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2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3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drawings/drawing4.xml" ContentType="application/vnd.openxmlformats-officedocument.drawing+xml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drawings/drawing5.xml" ContentType="application/vnd.openxmlformats-officedocument.drawing+xml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KALK\!Master\!MASTER_SA-018_SA-021_SA-024_SA-030_Saueressig\"/>
    </mc:Choice>
  </mc:AlternateContent>
  <bookViews>
    <workbookView xWindow="7350" yWindow="210" windowWidth="16140" windowHeight="14580" firstSheet="1" activeTab="1"/>
  </bookViews>
  <sheets>
    <sheet name="EVA_Input" sheetId="9" state="hidden" r:id="rId1"/>
    <sheet name="Eingaben" sheetId="4" r:id="rId2"/>
    <sheet name="Dimensionsware" sheetId="19" r:id="rId3"/>
    <sheet name="Hilfsstoffe" sheetId="18" r:id="rId4"/>
    <sheet name="Lohn" sheetId="17" r:id="rId5"/>
    <sheet name="Kalkulation" sheetId="16" r:id="rId6"/>
    <sheet name="Plattenverschnitt" sheetId="20" state="hidden" r:id="rId7"/>
  </sheets>
  <functionGroups builtInGroupCount="18"/>
  <definedNames>
    <definedName name="AUSSEN_RECH_B">INNEN_B + 2 * SE_SHS_H + 2 * SE_FL1_H</definedName>
    <definedName name="AUSSEN_RECH_B_GR">Eingaben!$BL$66</definedName>
    <definedName name="AUSSEN_RECH_H">BO_UKH1_H + (BO_LKH_H * BO_LKH_OPT) + (BO_FL1_N * BO_FL1_H) + INNEN_H + DE_FL1_H + DE_SBS1_H</definedName>
    <definedName name="AUSSEN_RECH_H_GR">Eingaben!$BL$69</definedName>
    <definedName name="AUSSEN_RECH_L">INNEN_L + 2 * KO_SHS_H + 2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>Kalkulation!$AO$190</definedName>
    <definedName name="BEZ_VK_ST">Kalkulation!$AU$187</definedName>
    <definedName name="BO_ART">Eingaben!$BU$74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SE_FL1_H - 2</definedName>
    <definedName name="BO_FL1_GG">BO_FL1_V * BO_FL1_SG</definedName>
    <definedName name="BO_FL1_H">Eingaben!$BU$79</definedName>
    <definedName name="BO_FL1_L">INNEN_L + 2 * KO_FL1_H + 2 * KO_SHS_H</definedName>
    <definedName name="BO_FL1_N">Eingaben!$BU$77</definedName>
    <definedName name="BO_FL1_N_BA">KI_N * BO_FL1_N</definedName>
    <definedName name="BO_FL1_SG">600</definedName>
    <definedName name="BO_FL1_V">BO_FL1_N * BO_FL1_H * BO_FL1_B * BO_FL1_L / 10^9</definedName>
    <definedName name="BO_GG">BO_FL1_GG + BO_KKH_GG + BO_LK1_GG + BO_UKH1_GG</definedName>
    <definedName name="BO_KKH_SG">600</definedName>
    <definedName name="BO_LK1_B">Eingaben!#REF!</definedName>
    <definedName name="BO_LK1_GG">BO_LK1_SG * BO_LK1_V</definedName>
    <definedName name="BO_LK1_H">Eingaben!#REF!</definedName>
    <definedName name="BO_LK1_L">(INNEN_L + 2 * KO_FL1_H + 2 * KO_SHS_H) * BO_LKH_OPT</definedName>
    <definedName name="BO_LK1_N">Eingaben!#REF!</definedName>
    <definedName name="BO_LK1_N_BA">BO_LK1_N * KI_N</definedName>
    <definedName name="BO_LK1_SG">600</definedName>
    <definedName name="BO_LK1_V">BO_LK1_L * BO_LK1_H * BO_LK1_B * BO_LK1_N / 10^9</definedName>
    <definedName name="BO_LKH_B">Eingaben!$BU$88</definedName>
    <definedName name="BO_LKH_GG">BO_LKH_SG + BO_LKH_V</definedName>
    <definedName name="BO_LKH_H">Eingaben!$BU$86</definedName>
    <definedName name="BO_LKH_L">INNEN_L + 2 * KO_FL1_H + 2 * KO_SHS_H</definedName>
    <definedName name="BO_LKH_N">Eingaben!$BU$84</definedName>
    <definedName name="BO_LKH_N_BA">BO_LKH_N * KI_N</definedName>
    <definedName name="BO_LKH_OPT">Eingaben!$CJ$84</definedName>
    <definedName name="BO_LKH_V">BO_LKH_L * BO_LKH_H * BO_LKH_B * BO_LKH_N / 10^9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UKH1_B">Eingaben!$BU$97</definedName>
    <definedName name="BO_UKH1_GG">BO_UKH1_SG + BO_UKH1_V</definedName>
    <definedName name="BO_UKH1_H">Eingaben!$BU$95</definedName>
    <definedName name="BO_UKH1_L">(INNEN_B + 2 * SE_FL1_H) + (2 * SE_SHS_H * BO_LKH_OPT) - 2</definedName>
    <definedName name="BO_UKH1_N">Eingaben!$BU$93</definedName>
    <definedName name="BO_UKH1_N_BA">BO_UKH1_N * KI_N</definedName>
    <definedName name="BO_UKH1_SG">600</definedName>
    <definedName name="BO_UKH1_V">BO_UKH1_L * BO_UKH1_H * BO_UKH1_B * BO_UKH1_N / 10^9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+ 2 * SE_FL1_H + - 2</definedName>
    <definedName name="DE_FL1_GG">DE_FL1_V * DE_FL1_SG</definedName>
    <definedName name="DE_FL1_H">Eingaben!$AK$81</definedName>
    <definedName name="DE_FL1_L">INNEN_L + 2 * KO_FL1_H + 2 * KO_SHS_H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SOLL">Eingaben!$CN$76</definedName>
    <definedName name="DE_FLW_VAL">Eingaben!$DH$76</definedName>
    <definedName name="DE_GG">DE_FL1_GG + DE_SLW1_GG + DE_SBS1_GG + DE_SLW2_GG + DE_SBS2_GG + DE_KHBS_GG</definedName>
    <definedName name="DE_KHBS_SG">600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Eingaben!$DI$89</definedName>
    <definedName name="DE_SBS1_GG">DE_SBS1_V * DE_SBS1_SG</definedName>
    <definedName name="DE_SBS1_H">Eingaben!$DI$87</definedName>
    <definedName name="DE_SBS1_L">INNEN_B + 2 * SE_FL1_H - 2</definedName>
    <definedName name="DE_SBS1_N">BO_UKH1_N</definedName>
    <definedName name="DE_SBS1_N_BA">DE_SBS1_N * KI_N</definedName>
    <definedName name="DE_SBS1_SG">600</definedName>
    <definedName name="DE_SBS1_V">DE_SBS1_L * DE_SBS1_B * DE_SBS1_H * DE_SBS1_N * DE_SLQ_N * DE_SLL_N / 10^9</definedName>
    <definedName name="DE_SBS2_SG">600</definedName>
    <definedName name="DE_SLW1_SG">600</definedName>
    <definedName name="DE_SLW2_SG">600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Eingaben!$L$12:$DX$101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O_KHL_B">Eingaben!$BU$106</definedName>
    <definedName name="HO_KHL_GG">HO_KHL_SG * HO_KHL_V HO_KHL_OPT</definedName>
    <definedName name="HO_KHL_H">Eingaben!$BU$108</definedName>
    <definedName name="HO_KHL_L">Eingaben!$BU$104</definedName>
    <definedName name="HO_KHL_N">Eingaben!$BU$102</definedName>
    <definedName name="HO_KHL_N_BA">HO_KHL_N * KI_N HO_KHL_OPT</definedName>
    <definedName name="HO_KHL_OPT">Eingaben!$CI$102</definedName>
    <definedName name="HO_KHL_V">HO_KHL_B * HO_KHL_L * HO_KHL_H * HO_KHL_N / 10 ^9</definedName>
    <definedName name="HS_EUR_SUM">Hilfsstoffe!$DQ$67</definedName>
    <definedName name="HS_EUR_SUM_BA">Hilfsstoffe!$DQ$71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>HS_SCHR_EG * HS_SCHR_N</definedName>
    <definedName name="HS_SCHR_GP">HS_SCHR_N * HS_SCHR_EP</definedName>
    <definedName name="HS_SCHR_N">BO_LK1_N * BO_UKH1_N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>HS_GG + KS_GG + KG_Tara_Konst</definedName>
    <definedName name="KO_FL1_B">INNEN_B</definedName>
    <definedName name="KO_FL1_GG">KO_FL1_V * KO_FL1_SG</definedName>
    <definedName name="KO_FL1_H">Eingaben!$AK$79</definedName>
    <definedName name="KO_FL1_L">INNEN_H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>KO_FL1_GG + KO_SBW_GG + KO_SHS_GG</definedName>
    <definedName name="KO_SBW_SG">600</definedName>
    <definedName name="KO_SHS_B">Eingaben!$AK$97</definedName>
    <definedName name="KO_SHS_GG">KO_SHS_V * KO_SHS_SG</definedName>
    <definedName name="KO_SHS_H">Eingaben!$AK$95</definedName>
    <definedName name="KO_SHS_L">INNEN_H</definedName>
    <definedName name="KO_SHS_N">4</definedName>
    <definedName name="KO_SHS_N_BA">KO_SHS_N * KI_N</definedName>
    <definedName name="KO_SHS_SG">600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MON_BEF_N">(AUSSEN_RECH_M2 * 30) + 50</definedName>
    <definedName name="SE_EI_L">Eingaben!$DI$123</definedName>
    <definedName name="SE_EI_R">Eingaben!$DI$125</definedName>
    <definedName name="SE_FHW_N">Eingaben!$DI$121</definedName>
    <definedName name="SE_FHW_OPT">Eingaben!$DQ$127</definedName>
    <definedName name="SE_FL1_B">INNEN_H</definedName>
    <definedName name="SE_FL1_GG">SE_FL1_V * SE_FL1_SG</definedName>
    <definedName name="SE_FL1_H">Eingaben!$AK$77</definedName>
    <definedName name="SE_FL1_L">INNEN_L + 2 * KO_FL1_H + 2 * KO_SHS_H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>SE_FL1_GG + SE_SLW_GG + SE_SHS_GG</definedName>
    <definedName name="SE_KTS_H">Eingaben!$DI$114</definedName>
    <definedName name="SE_KTS_OPT">Eingaben!$DQ$118</definedName>
    <definedName name="SE_SHS_B">Eingaben!$AK$93</definedName>
    <definedName name="SE_SHS_GG">SE_SHS_V * SE_SHS_SG</definedName>
    <definedName name="SE_SHS_H">Eingaben!$AK$91</definedName>
    <definedName name="SE_SHS_L">(INNEN_H + (BO_FL1_N * BO_FL1_H) + BO_UKH1_H + (BO_LKH_H * BO_LKH_OPT) + DE_SBS1_H + DE_FL1_H) - ((BO_UKH1_H * BO_LKH_OPT) + ( BO_LKH_OPT * 8)  + 17 )</definedName>
    <definedName name="SE_SHS_N">BO_UKH1_N * 2</definedName>
    <definedName name="SE_SHS_N_BA">SE_SHS_N * KI_N</definedName>
    <definedName name="SE_SHS_SG">600</definedName>
    <definedName name="SE_SHS_V">SE_SHS_L * SE_SHS_B * SE_SHS_H * SE_SHS_N / 10^9</definedName>
    <definedName name="SE_SLW_SG">600</definedName>
    <definedName name="SE_TSKW_B">INNEN_H / 2</definedName>
    <definedName name="SE_TSKW_GG">SE_TSKW_V * SE_TSKW_SG</definedName>
    <definedName name="SE_TSKW_H">Eingaben!$DI$82</definedName>
    <definedName name="SE_TSKW_L">INNEN_B - 5</definedName>
    <definedName name="SE_TSKW_N">TS_N * 2</definedName>
    <definedName name="SE_TSKW_N_BA">SE_TSKW_N * KI_N</definedName>
    <definedName name="SE_TSKW_V">SE_TSKW_N * SE_TSKW_L * SE_TSKW_B * SE_TSKW_H / 10^9</definedName>
    <definedName name="SE_TSLS_B">Eingaben!$DI$78</definedName>
    <definedName name="SE_TSLS_GG">SE_TSLS_V * SE_TSLS_SG</definedName>
    <definedName name="SE_TSLS_H">Eingaben!$DI$76</definedName>
    <definedName name="SE_TSLS_L">INNEN_H - 10</definedName>
    <definedName name="SE_TSLS_N">TS_N * 2 * 2</definedName>
    <definedName name="SE_TSLS_N_BA">SE_TSLS_N * KI_N</definedName>
    <definedName name="SE_TSLS_V">SE_TSLS_N * SE_TSLS_H * SE_TSLS_B * SE_TSLS_L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TS_N">Eingaben!$DI$74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  <definedName name="WKH_B">Eingaben!$DI$96 * WKH_OPT</definedName>
    <definedName name="WKH_L">(INNEN_L - 10) * WKH_OPT</definedName>
    <definedName name="WKH_N">Eingaben!$DI$94 * WKH_OPT</definedName>
    <definedName name="WKH_OPT">Eingaben!$DQ$98</definedName>
    <definedName name="WKH_SCH_AD">Eingaben!$DI$107 * WKH_SCH_OPT</definedName>
    <definedName name="WKH_SCH_B">Eingaben!$DI$107 * WKH_SCH_OPT</definedName>
    <definedName name="WKH_SCH_H">Eingaben!$DI$103 * WKH_SCH_OPT</definedName>
    <definedName name="WKH_SCH_ID">Eingaben!$DI$96 * WKH_SCH_OPT</definedName>
    <definedName name="WKH_SCH_L">Eingaben!$DI$105 * WKH_SCH_OPT</definedName>
    <definedName name="WKH_SCH_N">Eingaben!$DI$101 * WKH_SCH_OPT</definedName>
    <definedName name="WKH_SCH_OPT">Eingaben!$DQ$109</definedName>
  </definedNames>
  <calcPr calcId="152511" iterate="1" iterateCount="1"/>
</workbook>
</file>

<file path=xl/calcChain.xml><?xml version="1.0" encoding="utf-8"?>
<calcChain xmlns="http://schemas.openxmlformats.org/spreadsheetml/2006/main">
  <c r="DO67" i="17" l="1"/>
  <c r="DO65" i="17"/>
  <c r="DO63" i="17"/>
  <c r="DO61" i="17"/>
  <c r="BJ39" i="18" l="1"/>
  <c r="BJ41" i="18"/>
  <c r="BJ35" i="18"/>
  <c r="BR19" i="19" l="1"/>
  <c r="BL19" i="19"/>
  <c r="DO53" i="19" l="1"/>
  <c r="DG53" i="19"/>
  <c r="DO51" i="19"/>
  <c r="DG51" i="19"/>
  <c r="CJ51" i="19"/>
  <c r="CJ53" i="19"/>
  <c r="AP53" i="19"/>
  <c r="AP51" i="19"/>
  <c r="V51" i="19"/>
  <c r="CU127" i="4"/>
  <c r="CZ47" i="19" l="1"/>
  <c r="BW53" i="19"/>
  <c r="BR53" i="19"/>
  <c r="BL53" i="19"/>
  <c r="BH53" i="19"/>
  <c r="CB53" i="19" s="1"/>
  <c r="AL53" i="19"/>
  <c r="V53" i="19"/>
  <c r="R53" i="19"/>
  <c r="Q53" i="19"/>
  <c r="BW51" i="19"/>
  <c r="BR51" i="19"/>
  <c r="BL51" i="19"/>
  <c r="BH51" i="19"/>
  <c r="CB51" i="19" s="1"/>
  <c r="AL51" i="19"/>
  <c r="R51" i="19"/>
  <c r="Q51" i="19"/>
  <c r="BW49" i="19"/>
  <c r="BR49" i="19"/>
  <c r="BL49" i="19"/>
  <c r="BH49" i="19"/>
  <c r="CB49" i="19" s="1"/>
  <c r="V49" i="19"/>
  <c r="R49" i="19"/>
  <c r="CC47" i="19"/>
  <c r="DT47" i="19" s="1"/>
  <c r="CB47" i="19"/>
  <c r="CC49" i="19" l="1"/>
  <c r="DT49" i="19" s="1"/>
  <c r="CZ49" i="19"/>
  <c r="CQ47" i="19"/>
  <c r="CC51" i="19"/>
  <c r="CC53" i="19"/>
  <c r="CZ53" i="19"/>
  <c r="CZ51" i="19"/>
  <c r="CQ49" i="19" l="1"/>
  <c r="CQ51" i="19"/>
  <c r="DT51" i="19"/>
  <c r="DT53" i="19"/>
  <c r="CQ53" i="19"/>
  <c r="CF35" i="4" l="1"/>
  <c r="R44" i="20" l="1"/>
  <c r="S44" i="20" s="1"/>
  <c r="Q44" i="20"/>
  <c r="P44" i="20"/>
  <c r="N44" i="20"/>
  <c r="O44" i="20" s="1"/>
  <c r="M44" i="20"/>
  <c r="L44" i="20"/>
  <c r="Y37" i="20"/>
  <c r="Y6" i="20"/>
  <c r="CF28" i="4" l="1"/>
  <c r="I3" i="20"/>
  <c r="D15" i="20"/>
  <c r="F37" i="20"/>
  <c r="F40" i="20"/>
  <c r="F23" i="20"/>
  <c r="D12" i="20"/>
  <c r="G2" i="20"/>
  <c r="C47" i="20"/>
  <c r="G25" i="20"/>
  <c r="F35" i="20"/>
  <c r="I29" i="20"/>
  <c r="C34" i="20"/>
  <c r="D41" i="20"/>
  <c r="I8" i="20"/>
  <c r="I31" i="20"/>
  <c r="H36" i="20"/>
  <c r="C6" i="20"/>
  <c r="G26" i="20"/>
  <c r="F33" i="20"/>
  <c r="I10" i="20"/>
  <c r="H46" i="20"/>
  <c r="A13" i="20"/>
  <c r="A37" i="20"/>
  <c r="I20" i="20"/>
  <c r="D11" i="20"/>
  <c r="D24" i="20"/>
  <c r="F16" i="20"/>
  <c r="F30" i="20"/>
  <c r="F20" i="20"/>
  <c r="I23" i="20"/>
  <c r="A6" i="20"/>
  <c r="H31" i="20"/>
  <c r="G17" i="20"/>
  <c r="C40" i="20"/>
  <c r="G23" i="20"/>
  <c r="H26" i="20"/>
  <c r="D23" i="20"/>
  <c r="A43" i="20"/>
  <c r="D42" i="20"/>
  <c r="H20" i="20"/>
  <c r="A47" i="20"/>
  <c r="I14" i="20"/>
  <c r="A27" i="20"/>
  <c r="G37" i="20"/>
  <c r="H21" i="20"/>
  <c r="F26" i="20"/>
  <c r="D19" i="20"/>
  <c r="H34" i="20"/>
  <c r="A32" i="20"/>
  <c r="G34" i="20"/>
  <c r="H27" i="20"/>
  <c r="D46" i="20"/>
  <c r="H38" i="20"/>
  <c r="G36" i="20"/>
  <c r="I26" i="20"/>
  <c r="C19" i="20"/>
  <c r="D40" i="20"/>
  <c r="G35" i="20"/>
  <c r="A29" i="20"/>
  <c r="H43" i="20"/>
  <c r="C42" i="20"/>
  <c r="I22" i="20"/>
  <c r="H44" i="20"/>
  <c r="A46" i="20"/>
  <c r="A11" i="20"/>
  <c r="C28" i="20"/>
  <c r="H22" i="20"/>
  <c r="D14" i="20"/>
  <c r="F25" i="20"/>
  <c r="G38" i="20"/>
  <c r="I15" i="20"/>
  <c r="C4" i="20"/>
  <c r="I18" i="20"/>
  <c r="F36" i="20"/>
  <c r="D18" i="20"/>
  <c r="I12" i="20"/>
  <c r="I37" i="20"/>
  <c r="G18" i="20"/>
  <c r="G22" i="20"/>
  <c r="A16" i="20"/>
  <c r="G28" i="20"/>
  <c r="I32" i="20"/>
  <c r="I16" i="20"/>
  <c r="G27" i="20"/>
  <c r="I33" i="20"/>
  <c r="I9" i="20"/>
  <c r="I41" i="20"/>
  <c r="D5" i="20"/>
  <c r="I30" i="20"/>
  <c r="I34" i="20"/>
  <c r="D16" i="20"/>
  <c r="D47" i="20"/>
  <c r="D9" i="20"/>
  <c r="I28" i="20"/>
  <c r="G32" i="20"/>
  <c r="I13" i="20"/>
  <c r="D43" i="20"/>
  <c r="C14" i="20"/>
  <c r="G29" i="20"/>
  <c r="A7" i="20"/>
  <c r="C18" i="20"/>
  <c r="A35" i="20"/>
  <c r="F27" i="20"/>
  <c r="F43" i="20"/>
  <c r="G33" i="20"/>
  <c r="C25" i="20"/>
  <c r="F31" i="20"/>
  <c r="C11" i="20"/>
  <c r="I40" i="20"/>
  <c r="A14" i="20"/>
  <c r="D28" i="20"/>
  <c r="D38" i="20"/>
  <c r="H18" i="20"/>
  <c r="F18" i="20"/>
  <c r="C13" i="20"/>
  <c r="G30" i="20"/>
  <c r="F47" i="20"/>
  <c r="H47" i="20"/>
  <c r="C41" i="20"/>
  <c r="F21" i="20"/>
  <c r="G20" i="20"/>
  <c r="I38" i="20"/>
  <c r="H24" i="20"/>
  <c r="I25" i="20"/>
  <c r="A4" i="20"/>
  <c r="G42" i="20"/>
  <c r="D7" i="20"/>
  <c r="C7" i="20"/>
  <c r="F22" i="20"/>
  <c r="A38" i="20"/>
  <c r="H25" i="20"/>
  <c r="I21" i="20"/>
  <c r="D37" i="20"/>
  <c r="G39" i="20"/>
  <c r="A41" i="20"/>
  <c r="C29" i="20"/>
  <c r="D26" i="20"/>
  <c r="I11" i="20"/>
  <c r="C33" i="20"/>
  <c r="A21" i="20"/>
  <c r="C36" i="20"/>
  <c r="C5" i="20"/>
  <c r="H23" i="20"/>
  <c r="D30" i="20"/>
  <c r="C10" i="20"/>
  <c r="C17" i="20"/>
  <c r="C26" i="20"/>
  <c r="I4" i="20"/>
  <c r="F41" i="20"/>
  <c r="I39" i="20"/>
  <c r="A5" i="20"/>
  <c r="G47" i="20"/>
  <c r="A28" i="20"/>
  <c r="G43" i="20"/>
  <c r="H30" i="20"/>
  <c r="D27" i="20"/>
  <c r="F34" i="20"/>
  <c r="A23" i="20"/>
  <c r="I47" i="20"/>
  <c r="C31" i="20"/>
  <c r="D22" i="20"/>
  <c r="C22" i="20"/>
  <c r="D29" i="20"/>
  <c r="G19" i="20"/>
  <c r="I46" i="20"/>
  <c r="I6" i="20"/>
  <c r="I36" i="20"/>
  <c r="A2" i="20"/>
  <c r="D35" i="20"/>
  <c r="H37" i="20"/>
  <c r="G31" i="20"/>
  <c r="I43" i="20"/>
  <c r="I2" i="20"/>
  <c r="F39" i="20"/>
  <c r="H42" i="20"/>
  <c r="D33" i="20"/>
  <c r="H16" i="20"/>
  <c r="H33" i="20"/>
  <c r="D2" i="20"/>
  <c r="H29" i="20"/>
  <c r="I45" i="20"/>
  <c r="C23" i="20"/>
  <c r="C9" i="20"/>
  <c r="C38" i="20"/>
  <c r="F17" i="20"/>
  <c r="A26" i="20"/>
  <c r="C8" i="20"/>
  <c r="I5" i="20"/>
  <c r="G40" i="20"/>
  <c r="A17" i="20"/>
  <c r="A10" i="20"/>
  <c r="A30" i="20"/>
  <c r="C43" i="20"/>
  <c r="D21" i="20"/>
  <c r="C21" i="20"/>
  <c r="F28" i="20"/>
  <c r="I24" i="20"/>
  <c r="F46" i="20"/>
  <c r="A8" i="20"/>
  <c r="C39" i="20"/>
  <c r="F2" i="20"/>
  <c r="D20" i="20"/>
  <c r="A45" i="20"/>
  <c r="I42" i="20"/>
  <c r="A25" i="20"/>
  <c r="C35" i="20"/>
  <c r="H32" i="20"/>
  <c r="D36" i="20"/>
  <c r="G24" i="20"/>
  <c r="A22" i="20"/>
  <c r="G21" i="20"/>
  <c r="D6" i="20"/>
  <c r="C46" i="20"/>
  <c r="C32" i="20"/>
  <c r="C3" i="20"/>
  <c r="H45" i="20"/>
  <c r="H28" i="20"/>
  <c r="C30" i="20"/>
  <c r="F32" i="20"/>
  <c r="D44" i="20"/>
  <c r="A42" i="20"/>
  <c r="D10" i="20"/>
  <c r="H35" i="20"/>
  <c r="D31" i="20"/>
  <c r="A15" i="20"/>
  <c r="C24" i="20"/>
  <c r="C2" i="20"/>
  <c r="D13" i="20"/>
  <c r="A18" i="20"/>
  <c r="F19" i="20"/>
  <c r="A19" i="20"/>
  <c r="I44" i="20"/>
  <c r="D39" i="20"/>
  <c r="A20" i="20"/>
  <c r="D8" i="20"/>
  <c r="H17" i="20"/>
  <c r="D25" i="20"/>
  <c r="F44" i="20"/>
  <c r="F24" i="20"/>
  <c r="G46" i="20"/>
  <c r="C20" i="20"/>
  <c r="D4" i="20"/>
  <c r="H40" i="20"/>
  <c r="A31" i="20"/>
  <c r="A24" i="20"/>
  <c r="A36" i="20"/>
  <c r="F42" i="20"/>
  <c r="F38" i="20"/>
  <c r="C27" i="20"/>
  <c r="D45" i="20"/>
  <c r="F45" i="20"/>
  <c r="G16" i="20"/>
  <c r="I7" i="20"/>
  <c r="G44" i="20"/>
  <c r="G41" i="20"/>
  <c r="H19" i="20"/>
  <c r="A3" i="20"/>
  <c r="D34" i="20"/>
  <c r="A9" i="20"/>
  <c r="C12" i="20"/>
  <c r="C37" i="20"/>
  <c r="I35" i="20"/>
  <c r="D32" i="20"/>
  <c r="F29" i="20"/>
  <c r="A12" i="20"/>
  <c r="C16" i="20"/>
  <c r="C15" i="20"/>
  <c r="G45" i="20"/>
  <c r="D17" i="20"/>
  <c r="H39" i="20"/>
  <c r="A44" i="20"/>
  <c r="A33" i="20"/>
  <c r="C44" i="20"/>
  <c r="H41" i="20"/>
  <c r="A34" i="20"/>
  <c r="A40" i="20"/>
  <c r="I19" i="20"/>
  <c r="I17" i="20"/>
  <c r="D3" i="20"/>
  <c r="I27" i="20"/>
  <c r="A39" i="20"/>
  <c r="C45" i="20"/>
  <c r="K43" i="20" l="1" a="1"/>
  <c r="K43" i="20" s="1"/>
  <c r="K23" i="20" a="1"/>
  <c r="K23" i="20" s="1"/>
  <c r="K20" i="20" a="1"/>
  <c r="K20" i="20" s="1"/>
  <c r="K25" i="20" a="1"/>
  <c r="K25" i="20" s="1"/>
  <c r="K42" i="20" a="1"/>
  <c r="K42" i="20" s="1"/>
  <c r="K45" i="20" a="1"/>
  <c r="K45" i="20" s="1"/>
  <c r="K38" i="20" a="1"/>
  <c r="K38" i="20" s="1"/>
  <c r="K47" i="20" a="1"/>
  <c r="K47" i="20" s="1"/>
  <c r="K21" i="20" a="1"/>
  <c r="K21" i="20" s="1"/>
  <c r="K13" i="20" a="1"/>
  <c r="K13" i="20" s="1"/>
  <c r="K8" i="20" a="1"/>
  <c r="K8" i="20" s="1"/>
  <c r="K5" i="20" a="1"/>
  <c r="K5" i="20" s="1"/>
  <c r="K34" i="20" a="1"/>
  <c r="K34" i="20" s="1"/>
  <c r="K6" i="20" a="1"/>
  <c r="K6" i="20" s="1"/>
  <c r="K26" i="20" a="1"/>
  <c r="K26" i="20" s="1"/>
  <c r="K48" i="20" a="1"/>
  <c r="K48" i="20" s="1"/>
  <c r="K27" i="20" a="1"/>
  <c r="K27" i="20" s="1"/>
  <c r="K30" i="20" a="1"/>
  <c r="K30" i="20" s="1"/>
  <c r="K37" i="20" a="1"/>
  <c r="K37" i="20" s="1"/>
  <c r="K46" i="20" a="1"/>
  <c r="K46" i="20" s="1"/>
  <c r="K12" i="20" a="1"/>
  <c r="K12" i="20" s="1"/>
  <c r="K17" i="20" a="1"/>
  <c r="K17" i="20" s="1"/>
  <c r="K39" i="20" a="1"/>
  <c r="K39" i="20" s="1"/>
  <c r="K35" i="20" a="1"/>
  <c r="K35" i="20" s="1"/>
  <c r="K24" i="20" a="1"/>
  <c r="K24" i="20" s="1"/>
  <c r="K41" i="20" a="1"/>
  <c r="K41" i="20" s="1"/>
  <c r="K18" i="20" a="1"/>
  <c r="K18" i="20" s="1"/>
  <c r="K7" i="20" a="1"/>
  <c r="K7" i="20" s="1"/>
  <c r="K16" i="20" a="1"/>
  <c r="K16" i="20" s="1"/>
  <c r="K11" i="20" a="1"/>
  <c r="K11" i="20" s="1"/>
  <c r="K29" i="20" a="1"/>
  <c r="K29" i="20" s="1"/>
  <c r="K22" i="20" a="1"/>
  <c r="K22" i="20" s="1"/>
  <c r="K4" i="20" a="1"/>
  <c r="K4" i="20" s="1"/>
  <c r="K10" i="20" a="1"/>
  <c r="K10" i="20" s="1"/>
  <c r="K33" i="20" a="1"/>
  <c r="K33" i="20" s="1"/>
  <c r="K40" i="20" a="1"/>
  <c r="K40" i="20" s="1"/>
  <c r="K36" i="20" a="1"/>
  <c r="K36" i="20" s="1"/>
  <c r="K9" i="20" a="1"/>
  <c r="K9" i="20" s="1"/>
  <c r="K28" i="20" a="1"/>
  <c r="K28" i="20" s="1"/>
  <c r="K31" i="20" a="1"/>
  <c r="K31" i="20" s="1"/>
  <c r="K15" i="20" a="1"/>
  <c r="K15" i="20" s="1"/>
  <c r="K32" i="20" a="1"/>
  <c r="K32" i="20" s="1"/>
  <c r="K19" i="20" a="1"/>
  <c r="K19" i="20" s="1"/>
  <c r="K14" i="20" a="1"/>
  <c r="K14" i="20" s="1"/>
  <c r="CU16" i="4"/>
  <c r="R46" i="20" l="1"/>
  <c r="M46" i="20"/>
  <c r="Q46" i="20"/>
  <c r="L46" i="20"/>
  <c r="N46" i="20"/>
  <c r="O46" i="20" s="1"/>
  <c r="P46" i="20"/>
  <c r="R48" i="20"/>
  <c r="Q48" i="20"/>
  <c r="N48" i="20"/>
  <c r="O48" i="20" s="1"/>
  <c r="M48" i="20"/>
  <c r="P48" i="20"/>
  <c r="L48" i="20"/>
  <c r="R5" i="20"/>
  <c r="N5" i="20"/>
  <c r="O5" i="20" s="1"/>
  <c r="L5" i="20"/>
  <c r="P5" i="20"/>
  <c r="Q5" i="20"/>
  <c r="M5" i="20"/>
  <c r="M47" i="20"/>
  <c r="Q47" i="20"/>
  <c r="L47" i="20"/>
  <c r="P47" i="20"/>
  <c r="R47" i="20"/>
  <c r="N47" i="20"/>
  <c r="O47" i="20" s="1"/>
  <c r="Q25" i="20"/>
  <c r="M25" i="20"/>
  <c r="P25" i="20"/>
  <c r="L25" i="20"/>
  <c r="N25" i="20"/>
  <c r="O25" i="20" s="1"/>
  <c r="R25" i="20"/>
  <c r="L14" i="20"/>
  <c r="Q14" i="20"/>
  <c r="P14" i="20"/>
  <c r="N14" i="20"/>
  <c r="O14" i="20" s="1"/>
  <c r="R14" i="20"/>
  <c r="M14" i="20"/>
  <c r="L22" i="20"/>
  <c r="N22" i="20"/>
  <c r="O22" i="20" s="1"/>
  <c r="R22" i="20"/>
  <c r="M22" i="20"/>
  <c r="Q22" i="20"/>
  <c r="P22" i="20"/>
  <c r="M19" i="20"/>
  <c r="P19" i="20"/>
  <c r="L19" i="20"/>
  <c r="N19" i="20"/>
  <c r="O19" i="20" s="1"/>
  <c r="R19" i="20"/>
  <c r="Q19" i="20"/>
  <c r="M28" i="20"/>
  <c r="P28" i="20"/>
  <c r="L28" i="20"/>
  <c r="N28" i="20"/>
  <c r="O28" i="20" s="1"/>
  <c r="R28" i="20"/>
  <c r="Q28" i="20"/>
  <c r="R33" i="20"/>
  <c r="M33" i="20"/>
  <c r="Q33" i="20"/>
  <c r="L33" i="20"/>
  <c r="P33" i="20"/>
  <c r="N33" i="20"/>
  <c r="O33" i="20" s="1"/>
  <c r="R29" i="20"/>
  <c r="M29" i="20"/>
  <c r="N29" i="20"/>
  <c r="O29" i="20" s="1"/>
  <c r="Q29" i="20"/>
  <c r="L29" i="20"/>
  <c r="P29" i="20"/>
  <c r="Q18" i="20"/>
  <c r="N18" i="20"/>
  <c r="O18" i="20" s="1"/>
  <c r="P18" i="20"/>
  <c r="R18" i="20"/>
  <c r="L18" i="20"/>
  <c r="M18" i="20"/>
  <c r="R39" i="20"/>
  <c r="Q39" i="20"/>
  <c r="M39" i="20"/>
  <c r="P39" i="20"/>
  <c r="L39" i="20"/>
  <c r="N39" i="20"/>
  <c r="O39" i="20" s="1"/>
  <c r="P37" i="20"/>
  <c r="N37" i="20"/>
  <c r="O37" i="20" s="1"/>
  <c r="R37" i="20"/>
  <c r="M37" i="20"/>
  <c r="L37" i="20"/>
  <c r="Q37" i="20"/>
  <c r="R26" i="20"/>
  <c r="M26" i="20"/>
  <c r="Q26" i="20"/>
  <c r="L26" i="20"/>
  <c r="P26" i="20"/>
  <c r="N26" i="20"/>
  <c r="O26" i="20" s="1"/>
  <c r="Q8" i="20"/>
  <c r="P8" i="20"/>
  <c r="M8" i="20"/>
  <c r="N8" i="20"/>
  <c r="O8" i="20" s="1"/>
  <c r="R8" i="20"/>
  <c r="L8" i="20"/>
  <c r="N38" i="20"/>
  <c r="O38" i="20" s="1"/>
  <c r="Q38" i="20"/>
  <c r="M38" i="20"/>
  <c r="P38" i="20"/>
  <c r="L38" i="20"/>
  <c r="R38" i="20"/>
  <c r="R20" i="20"/>
  <c r="L20" i="20"/>
  <c r="Q20" i="20"/>
  <c r="P20" i="20"/>
  <c r="N20" i="20"/>
  <c r="O20" i="20" s="1"/>
  <c r="M20" i="20"/>
  <c r="P40" i="20"/>
  <c r="L40" i="20"/>
  <c r="N40" i="20"/>
  <c r="O40" i="20" s="1"/>
  <c r="Q40" i="20"/>
  <c r="R40" i="20"/>
  <c r="M40" i="20"/>
  <c r="N35" i="20"/>
  <c r="O35" i="20" s="1"/>
  <c r="Q35" i="20"/>
  <c r="M35" i="20"/>
  <c r="P35" i="20"/>
  <c r="R35" i="20"/>
  <c r="L35" i="20"/>
  <c r="Q32" i="20"/>
  <c r="P32" i="20"/>
  <c r="L32" i="20"/>
  <c r="N32" i="20"/>
  <c r="O32" i="20" s="1"/>
  <c r="R32" i="20"/>
  <c r="M32" i="20"/>
  <c r="R9" i="20"/>
  <c r="Q9" i="20"/>
  <c r="N9" i="20"/>
  <c r="O9" i="20" s="1"/>
  <c r="P9" i="20"/>
  <c r="M9" i="20"/>
  <c r="L9" i="20"/>
  <c r="L10" i="20"/>
  <c r="M10" i="20"/>
  <c r="Q10" i="20"/>
  <c r="R10" i="20"/>
  <c r="P10" i="20"/>
  <c r="N10" i="20"/>
  <c r="O10" i="20" s="1"/>
  <c r="N11" i="20"/>
  <c r="O11" i="20" s="1"/>
  <c r="R11" i="20"/>
  <c r="L11" i="20"/>
  <c r="P11" i="20"/>
  <c r="Q11" i="20"/>
  <c r="M11" i="20"/>
  <c r="M41" i="20"/>
  <c r="N41" i="20"/>
  <c r="O41" i="20" s="1"/>
  <c r="L41" i="20"/>
  <c r="P41" i="20"/>
  <c r="R41" i="20"/>
  <c r="Q41" i="20"/>
  <c r="N17" i="20"/>
  <c r="O17" i="20" s="1"/>
  <c r="Q17" i="20"/>
  <c r="M17" i="20"/>
  <c r="R17" i="20"/>
  <c r="L17" i="20"/>
  <c r="P17" i="20"/>
  <c r="N30" i="20"/>
  <c r="O30" i="20" s="1"/>
  <c r="R30" i="20"/>
  <c r="M30" i="20"/>
  <c r="Q30" i="20"/>
  <c r="L30" i="20"/>
  <c r="P30" i="20"/>
  <c r="R6" i="20"/>
  <c r="L6" i="20"/>
  <c r="P6" i="20"/>
  <c r="N6" i="20"/>
  <c r="O6" i="20" s="1"/>
  <c r="Q6" i="20"/>
  <c r="M6" i="20"/>
  <c r="N13" i="20"/>
  <c r="O13" i="20" s="1"/>
  <c r="P13" i="20"/>
  <c r="R13" i="20"/>
  <c r="M13" i="20"/>
  <c r="Q13" i="20"/>
  <c r="L13" i="20"/>
  <c r="N45" i="20"/>
  <c r="O45" i="20" s="1"/>
  <c r="Q45" i="20"/>
  <c r="M45" i="20"/>
  <c r="P45" i="20"/>
  <c r="R45" i="20"/>
  <c r="L45" i="20"/>
  <c r="R23" i="20"/>
  <c r="M23" i="20"/>
  <c r="Q23" i="20"/>
  <c r="L23" i="20"/>
  <c r="N23" i="20"/>
  <c r="O23" i="20" s="1"/>
  <c r="P23" i="20"/>
  <c r="L31" i="20"/>
  <c r="M31" i="20"/>
  <c r="R31" i="20"/>
  <c r="P31" i="20"/>
  <c r="N31" i="20"/>
  <c r="O31" i="20" s="1"/>
  <c r="Q31" i="20"/>
  <c r="M7" i="20"/>
  <c r="P7" i="20"/>
  <c r="Q7" i="20"/>
  <c r="N7" i="20"/>
  <c r="O7" i="20" s="1"/>
  <c r="L7" i="20"/>
  <c r="R7" i="20"/>
  <c r="Q15" i="20"/>
  <c r="N15" i="20"/>
  <c r="O15" i="20" s="1"/>
  <c r="P15" i="20"/>
  <c r="L15" i="20"/>
  <c r="M15" i="20"/>
  <c r="R15" i="20"/>
  <c r="Q36" i="20"/>
  <c r="P36" i="20"/>
  <c r="L36" i="20"/>
  <c r="N36" i="20"/>
  <c r="O36" i="20" s="1"/>
  <c r="M36" i="20"/>
  <c r="R36" i="20"/>
  <c r="W42" i="20"/>
  <c r="W45" i="20"/>
  <c r="W53" i="20"/>
  <c r="W44" i="20"/>
  <c r="W23" i="20"/>
  <c r="L4" i="20"/>
  <c r="W17" i="20"/>
  <c r="W22" i="20"/>
  <c r="W19" i="20"/>
  <c r="W47" i="20"/>
  <c r="W18" i="20"/>
  <c r="W50" i="20"/>
  <c r="W46" i="20"/>
  <c r="W15" i="20"/>
  <c r="W49" i="20"/>
  <c r="W14" i="20"/>
  <c r="W54" i="20"/>
  <c r="W21" i="20"/>
  <c r="W51" i="20"/>
  <c r="M4" i="20"/>
  <c r="W20" i="20"/>
  <c r="W13" i="20"/>
  <c r="W48" i="20"/>
  <c r="W43" i="20"/>
  <c r="W52" i="20"/>
  <c r="W55" i="20"/>
  <c r="W16" i="20"/>
  <c r="W24" i="20"/>
  <c r="W12" i="20"/>
  <c r="N4" i="20"/>
  <c r="O4" i="20" s="1"/>
  <c r="R16" i="20"/>
  <c r="P16" i="20"/>
  <c r="N16" i="20"/>
  <c r="O16" i="20" s="1"/>
  <c r="Q16" i="20"/>
  <c r="L16" i="20"/>
  <c r="M16" i="20"/>
  <c r="N24" i="20"/>
  <c r="O24" i="20" s="1"/>
  <c r="Q24" i="20"/>
  <c r="M24" i="20"/>
  <c r="P24" i="20"/>
  <c r="L24" i="20"/>
  <c r="R24" i="20"/>
  <c r="R12" i="20"/>
  <c r="P12" i="20"/>
  <c r="Q12" i="20"/>
  <c r="M12" i="20"/>
  <c r="N12" i="20"/>
  <c r="O12" i="20" s="1"/>
  <c r="L12" i="20"/>
  <c r="M27" i="20"/>
  <c r="Q27" i="20"/>
  <c r="L27" i="20"/>
  <c r="N27" i="20"/>
  <c r="O27" i="20" s="1"/>
  <c r="P27" i="20"/>
  <c r="R27" i="20"/>
  <c r="P34" i="20"/>
  <c r="R34" i="20"/>
  <c r="N34" i="20"/>
  <c r="O34" i="20" s="1"/>
  <c r="Q34" i="20"/>
  <c r="M34" i="20"/>
  <c r="L34" i="20"/>
  <c r="R21" i="20"/>
  <c r="M21" i="20"/>
  <c r="N21" i="20"/>
  <c r="O21" i="20" s="1"/>
  <c r="Q21" i="20"/>
  <c r="L21" i="20"/>
  <c r="P21" i="20"/>
  <c r="R42" i="20"/>
  <c r="Q42" i="20"/>
  <c r="M42" i="20"/>
  <c r="P42" i="20"/>
  <c r="L42" i="20"/>
  <c r="N42" i="20"/>
  <c r="O42" i="20" s="1"/>
  <c r="P43" i="20"/>
  <c r="N43" i="20"/>
  <c r="O43" i="20" s="1"/>
  <c r="R43" i="20"/>
  <c r="M43" i="20"/>
  <c r="Q43" i="20"/>
  <c r="L43" i="20"/>
  <c r="BL41" i="19"/>
  <c r="F13" i="20"/>
  <c r="S27" i="20" l="1"/>
  <c r="S24" i="20"/>
  <c r="S43" i="20"/>
  <c r="S15" i="20"/>
  <c r="S11" i="20"/>
  <c r="S10" i="20"/>
  <c r="S36" i="20"/>
  <c r="S7" i="20"/>
  <c r="S18" i="20"/>
  <c r="S25" i="20"/>
  <c r="S21" i="20"/>
  <c r="S45" i="20"/>
  <c r="S13" i="20"/>
  <c r="S6" i="20"/>
  <c r="S9" i="20"/>
  <c r="S35" i="20"/>
  <c r="S20" i="20"/>
  <c r="S8" i="20"/>
  <c r="S33" i="20"/>
  <c r="S19" i="20"/>
  <c r="S22" i="20"/>
  <c r="S14" i="20"/>
  <c r="S47" i="20"/>
  <c r="S48" i="20"/>
  <c r="S34" i="20"/>
  <c r="S30" i="20"/>
  <c r="S17" i="20"/>
  <c r="S38" i="20"/>
  <c r="S42" i="20"/>
  <c r="S12" i="20"/>
  <c r="S16" i="20"/>
  <c r="S31" i="20"/>
  <c r="S23" i="20"/>
  <c r="S41" i="20"/>
  <c r="S32" i="20"/>
  <c r="S40" i="20"/>
  <c r="S26" i="20"/>
  <c r="S37" i="20"/>
  <c r="S39" i="20"/>
  <c r="S29" i="20"/>
  <c r="S28" i="20"/>
  <c r="S5" i="20"/>
  <c r="W11" i="20" s="1"/>
  <c r="S46" i="20"/>
  <c r="BH41" i="19"/>
  <c r="W41" i="20" l="1"/>
  <c r="Y40" i="20" s="1"/>
  <c r="X58" i="20" s="1"/>
  <c r="X61" i="20" s="1"/>
  <c r="DA104" i="16"/>
  <c r="CT104" i="16"/>
  <c r="CE104" i="16"/>
  <c r="BW104" i="16"/>
  <c r="BO104" i="16"/>
  <c r="BJ104" i="16"/>
  <c r="AN104" i="16"/>
  <c r="DA103" i="16"/>
  <c r="CT103" i="16"/>
  <c r="CE103" i="16"/>
  <c r="BW103" i="16"/>
  <c r="BO103" i="16"/>
  <c r="BJ103" i="16"/>
  <c r="AN103" i="16"/>
  <c r="DA102" i="16"/>
  <c r="CT102" i="16"/>
  <c r="CE102" i="16"/>
  <c r="BW102" i="16"/>
  <c r="BO102" i="16"/>
  <c r="BJ102" i="16"/>
  <c r="AN102" i="16"/>
  <c r="DA101" i="16"/>
  <c r="CT101" i="16"/>
  <c r="CE101" i="16"/>
  <c r="BW101" i="16"/>
  <c r="BO101" i="16"/>
  <c r="BJ101" i="16"/>
  <c r="AN101" i="16"/>
  <c r="DA100" i="16"/>
  <c r="CT100" i="16"/>
  <c r="CE100" i="16"/>
  <c r="BW100" i="16"/>
  <c r="BO100" i="16"/>
  <c r="BJ100" i="16"/>
  <c r="AN100" i="16"/>
  <c r="DA99" i="16"/>
  <c r="CT99" i="16"/>
  <c r="CE99" i="16"/>
  <c r="BW99" i="16"/>
  <c r="BO99" i="16"/>
  <c r="BJ99" i="16"/>
  <c r="AN99" i="16"/>
  <c r="DA98" i="16"/>
  <c r="CT98" i="16"/>
  <c r="CE98" i="16"/>
  <c r="BW98" i="16"/>
  <c r="BO98" i="16"/>
  <c r="BJ98" i="16"/>
  <c r="AN98" i="16"/>
  <c r="DA97" i="16"/>
  <c r="CT97" i="16"/>
  <c r="CE97" i="16"/>
  <c r="BW97" i="16"/>
  <c r="BO97" i="16"/>
  <c r="BJ97" i="16"/>
  <c r="AN97" i="16"/>
  <c r="DA96" i="16"/>
  <c r="CT96" i="16"/>
  <c r="CE96" i="16"/>
  <c r="BW96" i="16"/>
  <c r="BO96" i="16"/>
  <c r="BJ96" i="16"/>
  <c r="AN96" i="16"/>
  <c r="DA95" i="16"/>
  <c r="CT95" i="16"/>
  <c r="CE95" i="16"/>
  <c r="BW95" i="16"/>
  <c r="BO95" i="16"/>
  <c r="BJ95" i="16"/>
  <c r="AN95" i="16"/>
  <c r="DA94" i="16"/>
  <c r="CT94" i="16"/>
  <c r="CE94" i="16"/>
  <c r="BW94" i="16"/>
  <c r="BO94" i="16"/>
  <c r="BJ94" i="16"/>
  <c r="AN94" i="16"/>
  <c r="DA93" i="16"/>
  <c r="CT93" i="16"/>
  <c r="CE93" i="16"/>
  <c r="BW93" i="16"/>
  <c r="BO93" i="16"/>
  <c r="BJ93" i="16"/>
  <c r="AN93" i="16"/>
  <c r="DA92" i="16"/>
  <c r="CT92" i="16"/>
  <c r="CE92" i="16"/>
  <c r="BW92" i="16"/>
  <c r="BO92" i="16"/>
  <c r="BJ92" i="16"/>
  <c r="AN92" i="16"/>
  <c r="DA91" i="16"/>
  <c r="CT91" i="16"/>
  <c r="CE91" i="16"/>
  <c r="BW91" i="16"/>
  <c r="BO91" i="16"/>
  <c r="BJ91" i="16"/>
  <c r="AN91" i="16"/>
  <c r="DA90" i="16"/>
  <c r="CT90" i="16"/>
  <c r="CE90" i="16"/>
  <c r="BW90" i="16"/>
  <c r="BO90" i="16"/>
  <c r="BJ90" i="16"/>
  <c r="AN90" i="16"/>
  <c r="DA89" i="16"/>
  <c r="CT89" i="16"/>
  <c r="CE89" i="16"/>
  <c r="BW89" i="16"/>
  <c r="BO89" i="16"/>
  <c r="BJ89" i="16"/>
  <c r="AN89" i="16"/>
  <c r="DA88" i="16"/>
  <c r="CT88" i="16"/>
  <c r="AN88" i="16"/>
  <c r="DA87" i="16"/>
  <c r="CT87" i="16"/>
  <c r="AN87" i="16"/>
  <c r="DA86" i="16"/>
  <c r="CT86" i="16"/>
  <c r="AN86" i="16"/>
  <c r="DA85" i="16"/>
  <c r="CT85" i="16"/>
  <c r="AN85" i="16"/>
  <c r="DA84" i="16"/>
  <c r="CT84" i="16"/>
  <c r="AN84" i="16"/>
  <c r="DA83" i="16"/>
  <c r="CT83" i="16"/>
  <c r="AN83" i="16"/>
  <c r="DA82" i="16"/>
  <c r="CT82" i="16"/>
  <c r="AN82" i="16"/>
  <c r="DA81" i="16"/>
  <c r="CT81" i="16"/>
  <c r="AN81" i="16"/>
  <c r="DA80" i="16"/>
  <c r="CT80" i="16"/>
  <c r="AN80" i="16"/>
  <c r="DA79" i="16"/>
  <c r="CT79" i="16"/>
  <c r="AN79" i="16"/>
  <c r="DA78" i="16"/>
  <c r="CT78" i="16"/>
  <c r="AN78" i="16"/>
  <c r="DA77" i="16"/>
  <c r="CT77" i="16"/>
  <c r="AN77" i="16"/>
  <c r="DA76" i="16"/>
  <c r="CT76" i="16"/>
  <c r="AN76" i="16"/>
  <c r="DA75" i="16"/>
  <c r="CT75" i="16"/>
  <c r="AN75" i="16"/>
  <c r="BW75" i="16" l="1"/>
  <c r="BO75" i="16"/>
  <c r="DW31" i="18" l="1"/>
  <c r="DW33" i="18"/>
  <c r="BT41" i="18" l="1"/>
  <c r="BT37" i="18"/>
  <c r="BT35" i="18"/>
  <c r="BT33" i="18"/>
  <c r="FN97" i="18" l="1"/>
  <c r="FN95" i="18"/>
  <c r="FN93" i="18"/>
  <c r="FN91" i="18"/>
  <c r="FN89" i="18"/>
  <c r="FN87" i="18"/>
  <c r="FN85" i="18"/>
  <c r="FN83" i="18"/>
  <c r="FN81" i="18"/>
  <c r="FN79" i="18"/>
  <c r="FN77" i="18"/>
  <c r="FN75" i="18"/>
  <c r="FN73" i="18"/>
  <c r="FN71" i="18"/>
  <c r="FN69" i="18"/>
  <c r="FN67" i="18"/>
  <c r="FN65" i="18"/>
  <c r="FN63" i="18"/>
  <c r="FN61" i="18"/>
  <c r="FN59" i="18"/>
  <c r="FN57" i="18"/>
  <c r="FN55" i="18"/>
  <c r="FN53" i="18"/>
  <c r="FN51" i="18"/>
  <c r="FN49" i="18"/>
  <c r="FN47" i="18"/>
  <c r="FN45" i="18"/>
  <c r="FN43" i="18"/>
  <c r="FN39" i="18"/>
  <c r="FN37" i="18"/>
  <c r="FN33" i="18"/>
  <c r="FN23" i="18"/>
  <c r="FN21" i="18"/>
  <c r="EG97" i="18"/>
  <c r="EU97" i="18" s="1"/>
  <c r="EG95" i="18"/>
  <c r="EU95" i="18" s="1"/>
  <c r="EG93" i="18"/>
  <c r="EU93" i="18" s="1"/>
  <c r="EG91" i="18"/>
  <c r="EU91" i="18" s="1"/>
  <c r="EG89" i="18"/>
  <c r="EU89" i="18" s="1"/>
  <c r="EG87" i="18"/>
  <c r="EU87" i="18" s="1"/>
  <c r="EG85" i="18"/>
  <c r="EU85" i="18" s="1"/>
  <c r="EG83" i="18"/>
  <c r="EU83" i="18" s="1"/>
  <c r="EG81" i="18"/>
  <c r="EU81" i="18" s="1"/>
  <c r="EG79" i="18"/>
  <c r="EU79" i="18" s="1"/>
  <c r="EG77" i="18"/>
  <c r="EU77" i="18" s="1"/>
  <c r="EG75" i="18"/>
  <c r="EU75" i="18" s="1"/>
  <c r="EG73" i="18"/>
  <c r="EU73" i="18" s="1"/>
  <c r="EG71" i="18"/>
  <c r="EU71" i="18" s="1"/>
  <c r="EG69" i="18"/>
  <c r="EU69" i="18" s="1"/>
  <c r="EG67" i="18"/>
  <c r="EU67" i="18" s="1"/>
  <c r="EG65" i="18"/>
  <c r="EU65" i="18" s="1"/>
  <c r="EG63" i="18"/>
  <c r="EU63" i="18" s="1"/>
  <c r="EG61" i="18"/>
  <c r="EU61" i="18" s="1"/>
  <c r="EG59" i="18"/>
  <c r="EU59" i="18" s="1"/>
  <c r="EG57" i="18"/>
  <c r="EU57" i="18" s="1"/>
  <c r="EG55" i="18"/>
  <c r="EU55" i="18" s="1"/>
  <c r="EG53" i="18"/>
  <c r="EU53" i="18" s="1"/>
  <c r="EG51" i="18"/>
  <c r="EU51" i="18" s="1"/>
  <c r="EG49" i="18"/>
  <c r="EU49" i="18" s="1"/>
  <c r="EG47" i="18"/>
  <c r="EU47" i="18" s="1"/>
  <c r="EG45" i="18"/>
  <c r="EU45" i="18" s="1"/>
  <c r="EG43" i="18"/>
  <c r="EU43" i="18" s="1"/>
  <c r="EG39" i="18"/>
  <c r="EU39" i="18" s="1"/>
  <c r="EG37" i="18"/>
  <c r="EU37" i="18" s="1"/>
  <c r="EG33" i="18"/>
  <c r="EU33" i="18" s="1"/>
  <c r="EG23" i="18"/>
  <c r="EU23" i="18" s="1"/>
  <c r="EG21" i="18"/>
  <c r="EU21" i="18" s="1"/>
  <c r="BT97" i="18"/>
  <c r="BT95" i="18"/>
  <c r="BT93" i="18"/>
  <c r="BT91" i="18"/>
  <c r="BT89" i="18"/>
  <c r="BT87" i="18"/>
  <c r="BT85" i="18"/>
  <c r="BT83" i="18"/>
  <c r="BT81" i="18"/>
  <c r="BT79" i="18"/>
  <c r="BT77" i="18"/>
  <c r="BT75" i="18"/>
  <c r="BT73" i="18"/>
  <c r="BT71" i="18"/>
  <c r="BT69" i="18"/>
  <c r="BT67" i="18"/>
  <c r="BT65" i="18"/>
  <c r="BT63" i="18"/>
  <c r="BT61" i="18"/>
  <c r="BT59" i="18"/>
  <c r="BT57" i="18"/>
  <c r="BT55" i="18"/>
  <c r="BT53" i="18"/>
  <c r="BT51" i="18"/>
  <c r="BT49" i="18"/>
  <c r="BT47" i="18"/>
  <c r="BT45" i="18"/>
  <c r="BT43" i="18"/>
  <c r="CC109" i="19"/>
  <c r="CB109" i="19"/>
  <c r="CC107" i="19"/>
  <c r="CB107" i="19"/>
  <c r="CC105" i="19"/>
  <c r="CB105" i="19"/>
  <c r="CC103" i="19"/>
  <c r="CB103" i="19"/>
  <c r="CC101" i="19"/>
  <c r="CB101" i="19"/>
  <c r="CC99" i="19"/>
  <c r="CB99" i="19"/>
  <c r="CC97" i="19"/>
  <c r="CB97" i="19"/>
  <c r="CC95" i="19"/>
  <c r="CB95" i="19"/>
  <c r="CC93" i="19"/>
  <c r="CB93" i="19"/>
  <c r="CC91" i="19"/>
  <c r="CB91" i="19"/>
  <c r="CC89" i="19"/>
  <c r="CB89" i="19"/>
  <c r="CC87" i="19"/>
  <c r="CB87" i="19"/>
  <c r="CC85" i="19"/>
  <c r="CB85" i="19"/>
  <c r="CC83" i="19"/>
  <c r="CB83" i="19"/>
  <c r="CC81" i="19"/>
  <c r="CB81" i="19"/>
  <c r="CC79" i="19"/>
  <c r="CB79" i="19"/>
  <c r="CC77" i="19"/>
  <c r="CL104" i="16" s="1"/>
  <c r="CB77" i="19"/>
  <c r="CC75" i="19"/>
  <c r="CL103" i="16" s="1"/>
  <c r="CB75" i="19"/>
  <c r="CC73" i="19"/>
  <c r="CL102" i="16" s="1"/>
  <c r="CB73" i="19"/>
  <c r="CC71" i="19"/>
  <c r="CL101" i="16" s="1"/>
  <c r="CB71" i="19"/>
  <c r="CC69" i="19"/>
  <c r="CL100" i="16" s="1"/>
  <c r="CB69" i="19"/>
  <c r="CC67" i="19"/>
  <c r="CL99" i="16" s="1"/>
  <c r="CB67" i="19"/>
  <c r="CC65" i="19"/>
  <c r="CL98" i="16" s="1"/>
  <c r="CB65" i="19"/>
  <c r="CC63" i="19"/>
  <c r="CL97" i="16" s="1"/>
  <c r="CB63" i="19"/>
  <c r="CC61" i="19"/>
  <c r="CL96" i="16" s="1"/>
  <c r="CB61" i="19"/>
  <c r="CC59" i="19"/>
  <c r="CL95" i="16" s="1"/>
  <c r="CB59" i="19"/>
  <c r="CC57" i="19"/>
  <c r="CL94" i="16" s="1"/>
  <c r="CB57" i="19"/>
  <c r="CC55" i="19"/>
  <c r="CL93" i="16" s="1"/>
  <c r="CB55" i="19"/>
  <c r="CL92" i="16"/>
  <c r="CL91" i="16"/>
  <c r="CL90" i="16"/>
  <c r="CL89" i="16"/>
  <c r="CZ109" i="19"/>
  <c r="CQ109" i="19"/>
  <c r="CZ107" i="19"/>
  <c r="CQ107" i="19"/>
  <c r="CZ105" i="19"/>
  <c r="CQ105" i="19"/>
  <c r="CZ103" i="19"/>
  <c r="CQ103" i="19"/>
  <c r="CZ101" i="19"/>
  <c r="CQ101" i="19"/>
  <c r="CZ99" i="19"/>
  <c r="CQ99" i="19"/>
  <c r="CZ97" i="19"/>
  <c r="CQ97" i="19"/>
  <c r="CZ95" i="19"/>
  <c r="CQ95" i="19"/>
  <c r="CZ93" i="19"/>
  <c r="CQ93" i="19"/>
  <c r="CZ91" i="19"/>
  <c r="CQ91" i="19"/>
  <c r="CZ89" i="19"/>
  <c r="CQ89" i="19"/>
  <c r="CZ87" i="19"/>
  <c r="CQ87" i="19"/>
  <c r="CZ85" i="19"/>
  <c r="CQ85" i="19"/>
  <c r="CZ83" i="19"/>
  <c r="CQ83" i="19"/>
  <c r="CZ81" i="19"/>
  <c r="CQ81" i="19"/>
  <c r="CZ79" i="19"/>
  <c r="CQ79" i="19"/>
  <c r="CZ77" i="19"/>
  <c r="CQ77" i="19"/>
  <c r="CZ75" i="19"/>
  <c r="CQ75" i="19"/>
  <c r="CZ73" i="19"/>
  <c r="CQ73" i="19"/>
  <c r="CZ71" i="19"/>
  <c r="CQ71" i="19"/>
  <c r="CZ69" i="19"/>
  <c r="CQ69" i="19"/>
  <c r="CZ67" i="19"/>
  <c r="CQ67" i="19"/>
  <c r="CZ65" i="19"/>
  <c r="CQ65" i="19"/>
  <c r="CZ63" i="19"/>
  <c r="CQ63" i="19"/>
  <c r="CZ61" i="19"/>
  <c r="CZ59" i="19"/>
  <c r="CZ57" i="19"/>
  <c r="CQ57" i="19"/>
  <c r="CZ55" i="19"/>
  <c r="EB109" i="19"/>
  <c r="DT109" i="19"/>
  <c r="EB107" i="19"/>
  <c r="DT107" i="19"/>
  <c r="EB105" i="19"/>
  <c r="DT105" i="19"/>
  <c r="EB103" i="19"/>
  <c r="DT103" i="19"/>
  <c r="EB101" i="19"/>
  <c r="DT101" i="19"/>
  <c r="EB99" i="19"/>
  <c r="DT99" i="19"/>
  <c r="EB97" i="19"/>
  <c r="DT97" i="19"/>
  <c r="EB95" i="19"/>
  <c r="DT95" i="19"/>
  <c r="EB93" i="19"/>
  <c r="DT93" i="19"/>
  <c r="EB91" i="19"/>
  <c r="DT91" i="19"/>
  <c r="EB89" i="19"/>
  <c r="DT89" i="19"/>
  <c r="EB87" i="19"/>
  <c r="DT87" i="19"/>
  <c r="EB85" i="19"/>
  <c r="DT85" i="19"/>
  <c r="EB83" i="19"/>
  <c r="DT83" i="19"/>
  <c r="EB81" i="19"/>
  <c r="DT81" i="19"/>
  <c r="EB79" i="19"/>
  <c r="DT79" i="19"/>
  <c r="EB77" i="19"/>
  <c r="DT77" i="19"/>
  <c r="DE104" i="16" s="1"/>
  <c r="EB75" i="19"/>
  <c r="DT75" i="19"/>
  <c r="DE103" i="16" s="1"/>
  <c r="EB73" i="19"/>
  <c r="DT73" i="19"/>
  <c r="DE102" i="16" s="1"/>
  <c r="EB71" i="19"/>
  <c r="DT71" i="19"/>
  <c r="DE101" i="16" s="1"/>
  <c r="EB69" i="19"/>
  <c r="DT69" i="19"/>
  <c r="DE100" i="16" s="1"/>
  <c r="EB67" i="19"/>
  <c r="DT67" i="19"/>
  <c r="DE99" i="16" s="1"/>
  <c r="EB65" i="19"/>
  <c r="DT65" i="19"/>
  <c r="DE98" i="16" s="1"/>
  <c r="EB63" i="19"/>
  <c r="DT63" i="19"/>
  <c r="DE97" i="16" s="1"/>
  <c r="EB61" i="19"/>
  <c r="DT61" i="19"/>
  <c r="DE96" i="16" s="1"/>
  <c r="EB59" i="19"/>
  <c r="DT59" i="19"/>
  <c r="DE95" i="16" s="1"/>
  <c r="EB57" i="19"/>
  <c r="DT57" i="19"/>
  <c r="DE94" i="16" s="1"/>
  <c r="EB55" i="19"/>
  <c r="DT55" i="19"/>
  <c r="DE93" i="16" s="1"/>
  <c r="EB53" i="19"/>
  <c r="DE92" i="16"/>
  <c r="EB51" i="19"/>
  <c r="DE91" i="16"/>
  <c r="EB49" i="19"/>
  <c r="DE90" i="16"/>
  <c r="CQ61" i="19" l="1"/>
  <c r="CQ59" i="19"/>
  <c r="CQ55" i="19"/>
  <c r="EB47" i="19"/>
  <c r="DE89" i="16"/>
  <c r="BL45" i="19"/>
  <c r="F15" i="20"/>
  <c r="BO88" i="16" l="1"/>
  <c r="EW71" i="17"/>
  <c r="FO71" i="17" s="1"/>
  <c r="EW69" i="17"/>
  <c r="FE69" i="17" s="1"/>
  <c r="EW67" i="17"/>
  <c r="FE67" i="17" s="1"/>
  <c r="EW65" i="17"/>
  <c r="FE65" i="17" s="1"/>
  <c r="EW63" i="17"/>
  <c r="FO63" i="17" s="1"/>
  <c r="EW61" i="17"/>
  <c r="FE61" i="17" s="1"/>
  <c r="EW59" i="17"/>
  <c r="FE59" i="17" s="1"/>
  <c r="EW57" i="17"/>
  <c r="FO57" i="17" s="1"/>
  <c r="EW55" i="17"/>
  <c r="FO55" i="17" s="1"/>
  <c r="EW53" i="17"/>
  <c r="FE53" i="17" s="1"/>
  <c r="EW51" i="17"/>
  <c r="FO51" i="17" s="1"/>
  <c r="EW49" i="17"/>
  <c r="FO49" i="17" s="1"/>
  <c r="EW47" i="17"/>
  <c r="FO47" i="17" s="1"/>
  <c r="EW45" i="17"/>
  <c r="FE45" i="17" s="1"/>
  <c r="EW43" i="17"/>
  <c r="FE43" i="17" s="1"/>
  <c r="EW41" i="17"/>
  <c r="FE41" i="17" s="1"/>
  <c r="EW39" i="17"/>
  <c r="FO39" i="17" s="1"/>
  <c r="EW37" i="17"/>
  <c r="FE37" i="17" s="1"/>
  <c r="EW35" i="17"/>
  <c r="FO35" i="17" s="1"/>
  <c r="EW33" i="17"/>
  <c r="FO33" i="17" s="1"/>
  <c r="EW31" i="17"/>
  <c r="FO31" i="17" s="1"/>
  <c r="EW29" i="17"/>
  <c r="EW27" i="17"/>
  <c r="FO27" i="17" s="1"/>
  <c r="EW25" i="17"/>
  <c r="FE25" i="17" s="1"/>
  <c r="EW23" i="17"/>
  <c r="FO23" i="17" s="1"/>
  <c r="EW21" i="17"/>
  <c r="FE21" i="17" s="1"/>
  <c r="EW19" i="17"/>
  <c r="FE19" i="17" s="1"/>
  <c r="EW17" i="17"/>
  <c r="FE17" i="17" s="1"/>
  <c r="FO69" i="17" l="1"/>
  <c r="FO67" i="17"/>
  <c r="FO61" i="17"/>
  <c r="FO59" i="17"/>
  <c r="FE27" i="17"/>
  <c r="FO21" i="17"/>
  <c r="FO19" i="17"/>
  <c r="FO45" i="17"/>
  <c r="FE51" i="17"/>
  <c r="FO43" i="17"/>
  <c r="FO37" i="17"/>
  <c r="FE29" i="17"/>
  <c r="FO29" i="17"/>
  <c r="FE35" i="17"/>
  <c r="FO53" i="17"/>
  <c r="FY27" i="17"/>
  <c r="FE33" i="17"/>
  <c r="FE49" i="17"/>
  <c r="FE57" i="17"/>
  <c r="FO17" i="17"/>
  <c r="FE23" i="17"/>
  <c r="FO25" i="17"/>
  <c r="FE31" i="17"/>
  <c r="FE39" i="17"/>
  <c r="FO41" i="17"/>
  <c r="FE47" i="17"/>
  <c r="FE55" i="17"/>
  <c r="FE63" i="17"/>
  <c r="FO65" i="17"/>
  <c r="FE71" i="17"/>
  <c r="FY19" i="17" l="1"/>
  <c r="FY48" i="17" s="1"/>
  <c r="FY32" i="17"/>
  <c r="FY29" i="17"/>
  <c r="FY21" i="17"/>
  <c r="FY34" i="17" s="1"/>
  <c r="DL86" i="16" l="1"/>
  <c r="DL84" i="16"/>
  <c r="DL81" i="16"/>
  <c r="DL79" i="16"/>
  <c r="DL76" i="16"/>
  <c r="BL43" i="19" l="1"/>
  <c r="F14" i="20"/>
  <c r="Q4" i="20" l="1"/>
  <c r="BO87" i="16"/>
  <c r="BH43" i="19"/>
  <c r="CB43" i="19" l="1"/>
  <c r="BJ87" i="16"/>
  <c r="CZ43" i="19"/>
  <c r="FN41" i="18"/>
  <c r="EG41" i="18"/>
  <c r="EU41" i="18" s="1"/>
  <c r="BW37" i="19"/>
  <c r="H11" i="20"/>
  <c r="CE84" i="16" l="1"/>
  <c r="BL33" i="19"/>
  <c r="F9" i="20"/>
  <c r="BO82" i="16" l="1"/>
  <c r="CI102" i="4"/>
  <c r="BW45" i="19"/>
  <c r="BR45" i="19"/>
  <c r="BH45" i="19"/>
  <c r="BJ88" i="16" s="1"/>
  <c r="H15" i="20"/>
  <c r="G15" i="20"/>
  <c r="CE88" i="16" l="1"/>
  <c r="BW88" i="16"/>
  <c r="CB45" i="19"/>
  <c r="CZ45" i="19"/>
  <c r="CC45" i="19"/>
  <c r="DT45" i="19" l="1"/>
  <c r="DE88" i="16" s="1"/>
  <c r="CL88" i="16"/>
  <c r="EB45" i="19"/>
  <c r="CQ45" i="19"/>
  <c r="EG35" i="18" l="1"/>
  <c r="EU35" i="18" s="1"/>
  <c r="FN35" i="18"/>
  <c r="EG29" i="18"/>
  <c r="EU29" i="18" s="1"/>
  <c r="FN29" i="18"/>
  <c r="EG27" i="18"/>
  <c r="EU27" i="18" s="1"/>
  <c r="FN27" i="18"/>
  <c r="EG31" i="18"/>
  <c r="EU31" i="18" s="1"/>
  <c r="FN31" i="18"/>
  <c r="FN25" i="18"/>
  <c r="EG25" i="18"/>
  <c r="EU25" i="18" s="1"/>
  <c r="BR29" i="19"/>
  <c r="G7" i="20"/>
  <c r="BW80" i="16" l="1"/>
  <c r="BW43" i="19"/>
  <c r="BW41" i="19"/>
  <c r="BW39" i="19"/>
  <c r="BW35" i="19"/>
  <c r="BW33" i="19"/>
  <c r="BW31" i="19"/>
  <c r="BW29" i="19"/>
  <c r="BW27" i="19"/>
  <c r="BW25" i="19"/>
  <c r="BW23" i="19"/>
  <c r="BW21" i="19"/>
  <c r="BW19" i="19"/>
  <c r="BR43" i="19"/>
  <c r="BR41" i="19"/>
  <c r="BR39" i="19"/>
  <c r="BR37" i="19"/>
  <c r="BR35" i="19"/>
  <c r="BR33" i="19"/>
  <c r="BR31" i="19"/>
  <c r="BR27" i="19"/>
  <c r="BR25" i="19"/>
  <c r="BR23" i="19"/>
  <c r="BR21" i="19"/>
  <c r="BO86" i="16"/>
  <c r="BL39" i="19"/>
  <c r="BL37" i="19"/>
  <c r="BL35" i="19"/>
  <c r="BL31" i="19"/>
  <c r="BL29" i="19"/>
  <c r="BL27" i="19"/>
  <c r="BL25" i="19"/>
  <c r="BL23" i="19"/>
  <c r="BL21" i="19"/>
  <c r="BH39" i="19"/>
  <c r="BH37" i="19"/>
  <c r="BH35" i="19"/>
  <c r="BH33" i="19"/>
  <c r="BJ82" i="16" s="1"/>
  <c r="BH31" i="19"/>
  <c r="BH29" i="19"/>
  <c r="BH27" i="19"/>
  <c r="BH25" i="19"/>
  <c r="BH23" i="19"/>
  <c r="BH21" i="19"/>
  <c r="BH19" i="19"/>
  <c r="F11" i="20"/>
  <c r="F12" i="20"/>
  <c r="F5" i="20"/>
  <c r="G9" i="20"/>
  <c r="H2" i="20"/>
  <c r="F7" i="20"/>
  <c r="F4" i="20"/>
  <c r="G13" i="20"/>
  <c r="H3" i="20"/>
  <c r="F6" i="20"/>
  <c r="H9" i="20"/>
  <c r="G8" i="20"/>
  <c r="G4" i="20"/>
  <c r="G10" i="20"/>
  <c r="G5" i="20"/>
  <c r="G6" i="20"/>
  <c r="G12" i="20"/>
  <c r="H14" i="20"/>
  <c r="H12" i="20"/>
  <c r="H6" i="20"/>
  <c r="H8" i="20"/>
  <c r="F8" i="20"/>
  <c r="H10" i="20"/>
  <c r="F10" i="20"/>
  <c r="G3" i="20"/>
  <c r="H7" i="20"/>
  <c r="F3" i="20"/>
  <c r="H5" i="20"/>
  <c r="H4" i="20"/>
  <c r="G11" i="20"/>
  <c r="G14" i="20"/>
  <c r="H13" i="20"/>
  <c r="R4" i="20" l="1"/>
  <c r="BO78" i="16"/>
  <c r="BW76" i="16"/>
  <c r="BW85" i="16"/>
  <c r="CE80" i="16"/>
  <c r="BW77" i="16"/>
  <c r="BW86" i="16"/>
  <c r="CE81" i="16"/>
  <c r="BO80" i="16"/>
  <c r="BW78" i="16"/>
  <c r="BW87" i="16"/>
  <c r="CE82" i="16"/>
  <c r="BW79" i="16"/>
  <c r="CE83" i="16"/>
  <c r="BO83" i="16"/>
  <c r="BW81" i="16"/>
  <c r="CE76" i="16"/>
  <c r="CE85" i="16"/>
  <c r="BO84" i="16"/>
  <c r="BW82" i="16"/>
  <c r="CE77" i="16"/>
  <c r="CE86" i="16"/>
  <c r="BJ75" i="16"/>
  <c r="E47" i="20"/>
  <c r="E30" i="20"/>
  <c r="E22" i="20"/>
  <c r="E46" i="20"/>
  <c r="E44" i="20"/>
  <c r="E37" i="20"/>
  <c r="E29" i="20"/>
  <c r="E21" i="20"/>
  <c r="E13" i="20"/>
  <c r="E6" i="20"/>
  <c r="E42" i="20"/>
  <c r="E27" i="20"/>
  <c r="E11" i="20"/>
  <c r="E18" i="20"/>
  <c r="E3" i="20"/>
  <c r="E33" i="20"/>
  <c r="E2" i="20"/>
  <c r="E45" i="20"/>
  <c r="E43" i="20"/>
  <c r="E36" i="20"/>
  <c r="E28" i="20"/>
  <c r="E20" i="20"/>
  <c r="E12" i="20"/>
  <c r="E5" i="20"/>
  <c r="E35" i="20"/>
  <c r="E19" i="20"/>
  <c r="E4" i="20"/>
  <c r="E40" i="20"/>
  <c r="E25" i="20"/>
  <c r="E24" i="20"/>
  <c r="E38" i="20"/>
  <c r="E15" i="20"/>
  <c r="E41" i="20"/>
  <c r="E34" i="20"/>
  <c r="E26" i="20"/>
  <c r="E10" i="20"/>
  <c r="E9" i="20"/>
  <c r="E8" i="20"/>
  <c r="E31" i="20"/>
  <c r="E7" i="20"/>
  <c r="E17" i="20"/>
  <c r="E39" i="20"/>
  <c r="E32" i="20"/>
  <c r="E16" i="20"/>
  <c r="E23" i="20"/>
  <c r="E14" i="20"/>
  <c r="P4" i="20" s="1"/>
  <c r="BO76" i="16"/>
  <c r="BW83" i="16"/>
  <c r="CE78" i="16"/>
  <c r="CE87" i="16"/>
  <c r="BW84" i="16"/>
  <c r="CE79" i="16"/>
  <c r="BJ79" i="16"/>
  <c r="CB27" i="19"/>
  <c r="BJ81" i="16"/>
  <c r="CB31" i="19"/>
  <c r="BJ77" i="16"/>
  <c r="CB23" i="19"/>
  <c r="BJ85" i="16"/>
  <c r="CB39" i="19"/>
  <c r="BJ78" i="16"/>
  <c r="CB25" i="19"/>
  <c r="BO85" i="16"/>
  <c r="CZ39" i="19"/>
  <c r="CC39" i="19"/>
  <c r="CC19" i="19"/>
  <c r="CL75" i="16" s="1"/>
  <c r="CE75" i="16"/>
  <c r="CB41" i="19"/>
  <c r="BJ86" i="16"/>
  <c r="CB37" i="19"/>
  <c r="BJ84" i="16"/>
  <c r="CB35" i="19"/>
  <c r="BJ83" i="16"/>
  <c r="CB29" i="19"/>
  <c r="BJ80" i="16"/>
  <c r="CB21" i="19"/>
  <c r="BJ76" i="16"/>
  <c r="CZ23" i="19"/>
  <c r="BO77" i="16"/>
  <c r="CZ31" i="19"/>
  <c r="BO81" i="16"/>
  <c r="CZ27" i="19"/>
  <c r="BO79" i="16"/>
  <c r="CB19" i="19"/>
  <c r="CZ19" i="19"/>
  <c r="CC43" i="19"/>
  <c r="CL87" i="16" s="1"/>
  <c r="CB33" i="19"/>
  <c r="CZ33" i="19"/>
  <c r="CC33" i="19"/>
  <c r="CL82" i="16" s="1"/>
  <c r="CZ35" i="19"/>
  <c r="CC35" i="19"/>
  <c r="CL83" i="16" s="1"/>
  <c r="CZ25" i="19"/>
  <c r="CC25" i="19"/>
  <c r="CL78" i="16" s="1"/>
  <c r="CC37" i="19"/>
  <c r="CL84" i="16" s="1"/>
  <c r="CZ37" i="19"/>
  <c r="CC23" i="19"/>
  <c r="CC41" i="19"/>
  <c r="CL86" i="16" s="1"/>
  <c r="CZ41" i="19"/>
  <c r="CC27" i="19"/>
  <c r="CC31" i="19"/>
  <c r="CC21" i="19"/>
  <c r="CL76" i="16" s="1"/>
  <c r="CZ21" i="19"/>
  <c r="CC29" i="19"/>
  <c r="CL80" i="16" s="1"/>
  <c r="CZ29" i="19"/>
  <c r="DC61" i="4"/>
  <c r="S4" i="20" l="1"/>
  <c r="W10" i="20" s="1"/>
  <c r="Y9" i="20" s="1"/>
  <c r="X27" i="20" s="1"/>
  <c r="X30" i="20" s="1"/>
  <c r="CL85" i="16"/>
  <c r="EB39" i="19"/>
  <c r="DT39" i="19"/>
  <c r="DE85" i="16" s="1"/>
  <c r="CQ39" i="19"/>
  <c r="DT19" i="19"/>
  <c r="DE75" i="16" s="1"/>
  <c r="EB19" i="19"/>
  <c r="CQ19" i="19"/>
  <c r="DT31" i="19"/>
  <c r="DE81" i="16" s="1"/>
  <c r="CL81" i="16"/>
  <c r="EB23" i="19"/>
  <c r="CL77" i="16"/>
  <c r="DT27" i="19"/>
  <c r="DE79" i="16" s="1"/>
  <c r="CL79" i="16"/>
  <c r="CQ23" i="19"/>
  <c r="EB43" i="19"/>
  <c r="CQ43" i="19"/>
  <c r="DT43" i="19"/>
  <c r="DE87" i="16" s="1"/>
  <c r="CQ33" i="19"/>
  <c r="DT33" i="19"/>
  <c r="DE82" i="16" s="1"/>
  <c r="EB33" i="19"/>
  <c r="EJ51" i="19"/>
  <c r="EJ53" i="19" s="1"/>
  <c r="CQ31" i="19"/>
  <c r="DT23" i="19"/>
  <c r="DE77" i="16" s="1"/>
  <c r="EB25" i="19"/>
  <c r="CQ25" i="19"/>
  <c r="DT25" i="19"/>
  <c r="DE78" i="16" s="1"/>
  <c r="EB35" i="19"/>
  <c r="CQ35" i="19"/>
  <c r="DT35" i="19"/>
  <c r="DE83" i="16" s="1"/>
  <c r="EB37" i="19"/>
  <c r="CQ37" i="19"/>
  <c r="DT37" i="19"/>
  <c r="DE84" i="16" s="1"/>
  <c r="DT41" i="19"/>
  <c r="DE86" i="16" s="1"/>
  <c r="CQ41" i="19"/>
  <c r="EB41" i="19"/>
  <c r="EB31" i="19"/>
  <c r="CQ27" i="19"/>
  <c r="EB27" i="19"/>
  <c r="EB21" i="19"/>
  <c r="CQ21" i="19"/>
  <c r="DT21" i="19"/>
  <c r="DE76" i="16" s="1"/>
  <c r="EJ41" i="19"/>
  <c r="EJ43" i="19" s="1"/>
  <c r="EB29" i="19"/>
  <c r="CQ29" i="19"/>
  <c r="DT29" i="19"/>
  <c r="DE80" i="16" s="1"/>
  <c r="DO27" i="17"/>
  <c r="EJ21" i="19" l="1"/>
  <c r="EJ31" i="19"/>
  <c r="EJ33" i="19" s="1"/>
  <c r="AD39" i="16"/>
  <c r="BM12" i="16"/>
  <c r="R187" i="16" s="1"/>
  <c r="BV166" i="16"/>
  <c r="AW166" i="16"/>
  <c r="AS166" i="16"/>
  <c r="O166" i="16" s="1"/>
  <c r="BV165" i="16"/>
  <c r="AW165" i="16"/>
  <c r="AS165" i="16"/>
  <c r="O165" i="16" s="1"/>
  <c r="BV164" i="16"/>
  <c r="BV163" i="16"/>
  <c r="BV162" i="16"/>
  <c r="BV161" i="16"/>
  <c r="BV160" i="16"/>
  <c r="BV159" i="16"/>
  <c r="BV158" i="16"/>
  <c r="BV157" i="16"/>
  <c r="BV156" i="16"/>
  <c r="BV155" i="16"/>
  <c r="BV154" i="16"/>
  <c r="BV153" i="16"/>
  <c r="BV152" i="16"/>
  <c r="BV151" i="16"/>
  <c r="BV150" i="16"/>
  <c r="BV149" i="16"/>
  <c r="BV148" i="16"/>
  <c r="BV147" i="16"/>
  <c r="BV146" i="16"/>
  <c r="BV145" i="16"/>
  <c r="BV144" i="16"/>
  <c r="BV143" i="16"/>
  <c r="BV142" i="16"/>
  <c r="BV141" i="16"/>
  <c r="BV140" i="16"/>
  <c r="BV139" i="16"/>
  <c r="AW164" i="16"/>
  <c r="AW163" i="16"/>
  <c r="AW162" i="16"/>
  <c r="AW161" i="16"/>
  <c r="AW160" i="16"/>
  <c r="AW159" i="16"/>
  <c r="AW158" i="16"/>
  <c r="AW157" i="16"/>
  <c r="AW156" i="16"/>
  <c r="AW155" i="16"/>
  <c r="AW154" i="16"/>
  <c r="AW153" i="16"/>
  <c r="AW152" i="16"/>
  <c r="AW151" i="16"/>
  <c r="AW150" i="16"/>
  <c r="AW149" i="16"/>
  <c r="AW148" i="16"/>
  <c r="AW147" i="16"/>
  <c r="AW146" i="16"/>
  <c r="AW145" i="16"/>
  <c r="AW144" i="16"/>
  <c r="AW143" i="16"/>
  <c r="AW142" i="16"/>
  <c r="AW141" i="16"/>
  <c r="AW140" i="16"/>
  <c r="AW139" i="16"/>
  <c r="AJ104" i="16"/>
  <c r="AJ103" i="16"/>
  <c r="AJ102" i="16"/>
  <c r="AJ101" i="16"/>
  <c r="AJ100" i="16"/>
  <c r="AJ99" i="16"/>
  <c r="AJ98" i="16"/>
  <c r="AJ97" i="16"/>
  <c r="DW97" i="18"/>
  <c r="DW95" i="18"/>
  <c r="DW93" i="18"/>
  <c r="DW91" i="18"/>
  <c r="DW89" i="18"/>
  <c r="DW87" i="18"/>
  <c r="DW85" i="18"/>
  <c r="DW83" i="18"/>
  <c r="DW81" i="18"/>
  <c r="DW79" i="18"/>
  <c r="DW77" i="18"/>
  <c r="DW75" i="18"/>
  <c r="DW73" i="18"/>
  <c r="DW71" i="18"/>
  <c r="DW69" i="18"/>
  <c r="DW67" i="18"/>
  <c r="DW65" i="18"/>
  <c r="DW63" i="18"/>
  <c r="DW61" i="18"/>
  <c r="DW59" i="18"/>
  <c r="DW57" i="18"/>
  <c r="DW55" i="18"/>
  <c r="DW53" i="18"/>
  <c r="DW51" i="18"/>
  <c r="DW49" i="18"/>
  <c r="DW47" i="18"/>
  <c r="DW45" i="18"/>
  <c r="DW43" i="18"/>
  <c r="DW41" i="18"/>
  <c r="DW39" i="18"/>
  <c r="DW37" i="18"/>
  <c r="DW35" i="18"/>
  <c r="DW19" i="18"/>
  <c r="DH166" i="16"/>
  <c r="DO71" i="17"/>
  <c r="CR165" i="16"/>
  <c r="DO69" i="17"/>
  <c r="DH164" i="16"/>
  <c r="BP164" i="16"/>
  <c r="CR163" i="16"/>
  <c r="BP163" i="16"/>
  <c r="DH162" i="16"/>
  <c r="BP162" i="16"/>
  <c r="DH161" i="16"/>
  <c r="BP161" i="16"/>
  <c r="DH160" i="16"/>
  <c r="DO59" i="17"/>
  <c r="BP160" i="16" s="1"/>
  <c r="DH159" i="16"/>
  <c r="DO57" i="17"/>
  <c r="BP159" i="16" s="1"/>
  <c r="DH158" i="16"/>
  <c r="DO55" i="17"/>
  <c r="DH157" i="16"/>
  <c r="DO53" i="17"/>
  <c r="BP157" i="16" s="1"/>
  <c r="CR156" i="16"/>
  <c r="DO51" i="17"/>
  <c r="DH155" i="16"/>
  <c r="DO49" i="17"/>
  <c r="BP155" i="16" s="1"/>
  <c r="DH154" i="16"/>
  <c r="DO47" i="17"/>
  <c r="DH153" i="16"/>
  <c r="DO45" i="17"/>
  <c r="BP153" i="16" s="1"/>
  <c r="DH152" i="16"/>
  <c r="DO43" i="17"/>
  <c r="DH151" i="16"/>
  <c r="DO41" i="17"/>
  <c r="BP151" i="16" s="1"/>
  <c r="CZ150" i="16"/>
  <c r="DO39" i="17"/>
  <c r="BP150" i="16" s="1"/>
  <c r="CZ149" i="16"/>
  <c r="DO37" i="17"/>
  <c r="BP149" i="16" s="1"/>
  <c r="CZ148" i="16"/>
  <c r="DO35" i="17"/>
  <c r="BP148" i="16" s="1"/>
  <c r="CZ147" i="16"/>
  <c r="DO33" i="17"/>
  <c r="BP147" i="16" s="1"/>
  <c r="DH146" i="16"/>
  <c r="DO31" i="17"/>
  <c r="DH145" i="16"/>
  <c r="DO29" i="17"/>
  <c r="BP145" i="16" s="1"/>
  <c r="DH144" i="16"/>
  <c r="CR143" i="16"/>
  <c r="DO25" i="17"/>
  <c r="BP143" i="16" s="1"/>
  <c r="DH142" i="16"/>
  <c r="DO23" i="17"/>
  <c r="BP142" i="16" s="1"/>
  <c r="DH141" i="16"/>
  <c r="DO21" i="17"/>
  <c r="BP141" i="16" s="1"/>
  <c r="CR140" i="16"/>
  <c r="DO19" i="17"/>
  <c r="DO17" i="17"/>
  <c r="BP165" i="16" s="1"/>
  <c r="AS189" i="16"/>
  <c r="CJ179" i="16"/>
  <c r="CJ180" i="16" s="1"/>
  <c r="CI166" i="16"/>
  <c r="CB166" i="16"/>
  <c r="BH166" i="16"/>
  <c r="T166" i="16"/>
  <c r="CI165" i="16"/>
  <c r="CB165" i="16"/>
  <c r="BH165" i="16"/>
  <c r="T165" i="16"/>
  <c r="CI164" i="16"/>
  <c r="CB164" i="16"/>
  <c r="BH164" i="16"/>
  <c r="AS164" i="16"/>
  <c r="O164" i="16" s="1"/>
  <c r="T164" i="16"/>
  <c r="CI163" i="16"/>
  <c r="CB163" i="16"/>
  <c r="BH163" i="16"/>
  <c r="AS163" i="16"/>
  <c r="O163" i="16" s="1"/>
  <c r="T163" i="16"/>
  <c r="CR162" i="16"/>
  <c r="CI162" i="16"/>
  <c r="CB162" i="16"/>
  <c r="BH162" i="16"/>
  <c r="AS162" i="16"/>
  <c r="O162" i="16" s="1"/>
  <c r="T162" i="16"/>
  <c r="CI161" i="16"/>
  <c r="CB161" i="16"/>
  <c r="BH161" i="16"/>
  <c r="AS161" i="16"/>
  <c r="O161" i="16" s="1"/>
  <c r="T161" i="16"/>
  <c r="CR160" i="16"/>
  <c r="CI160" i="16"/>
  <c r="CB160" i="16"/>
  <c r="BH160" i="16"/>
  <c r="AS160" i="16"/>
  <c r="O160" i="16" s="1"/>
  <c r="T160" i="16"/>
  <c r="CI159" i="16"/>
  <c r="CB159" i="16"/>
  <c r="BH159" i="16"/>
  <c r="AS159" i="16"/>
  <c r="O159" i="16" s="1"/>
  <c r="T159" i="16"/>
  <c r="CI158" i="16"/>
  <c r="CB158" i="16"/>
  <c r="BP158" i="16"/>
  <c r="BH158" i="16"/>
  <c r="AS158" i="16"/>
  <c r="O158" i="16" s="1"/>
  <c r="T158" i="16"/>
  <c r="CI157" i="16"/>
  <c r="CB157" i="16"/>
  <c r="BH157" i="16"/>
  <c r="AS157" i="16"/>
  <c r="O157" i="16" s="1"/>
  <c r="T157" i="16"/>
  <c r="CI156" i="16"/>
  <c r="CB156" i="16"/>
  <c r="BP156" i="16"/>
  <c r="BH156" i="16"/>
  <c r="AS156" i="16"/>
  <c r="O156" i="16" s="1"/>
  <c r="T156" i="16"/>
  <c r="CR155" i="16"/>
  <c r="CI155" i="16"/>
  <c r="CB155" i="16"/>
  <c r="BH155" i="16"/>
  <c r="AS155" i="16"/>
  <c r="O155" i="16" s="1"/>
  <c r="T155" i="16"/>
  <c r="CR154" i="16"/>
  <c r="CI154" i="16"/>
  <c r="CB154" i="16"/>
  <c r="BP154" i="16"/>
  <c r="BH154" i="16"/>
  <c r="AS154" i="16"/>
  <c r="O154" i="16" s="1"/>
  <c r="T154" i="16"/>
  <c r="CI153" i="16"/>
  <c r="CB153" i="16"/>
  <c r="BH153" i="16"/>
  <c r="AS153" i="16"/>
  <c r="O153" i="16" s="1"/>
  <c r="T153" i="16"/>
  <c r="CI152" i="16"/>
  <c r="CB152" i="16"/>
  <c r="BP152" i="16"/>
  <c r="BH152" i="16"/>
  <c r="AS152" i="16"/>
  <c r="O152" i="16" s="1"/>
  <c r="T152" i="16"/>
  <c r="CI151" i="16"/>
  <c r="CB151" i="16"/>
  <c r="BH151" i="16"/>
  <c r="AS151" i="16"/>
  <c r="O151" i="16" s="1"/>
  <c r="T151" i="16"/>
  <c r="CR150" i="16"/>
  <c r="CI150" i="16"/>
  <c r="CB150" i="16"/>
  <c r="BH150" i="16"/>
  <c r="AS150" i="16"/>
  <c r="O150" i="16" s="1"/>
  <c r="T150" i="16"/>
  <c r="CR149" i="16"/>
  <c r="CI149" i="16"/>
  <c r="CB149" i="16"/>
  <c r="BH149" i="16"/>
  <c r="AS149" i="16"/>
  <c r="O149" i="16" s="1"/>
  <c r="T149" i="16"/>
  <c r="CI148" i="16"/>
  <c r="CB148" i="16"/>
  <c r="BH148" i="16"/>
  <c r="AS148" i="16"/>
  <c r="O148" i="16" s="1"/>
  <c r="T148" i="16"/>
  <c r="CI147" i="16"/>
  <c r="CB147" i="16"/>
  <c r="BH147" i="16"/>
  <c r="AS147" i="16"/>
  <c r="O147" i="16" s="1"/>
  <c r="T147" i="16"/>
  <c r="CI146" i="16"/>
  <c r="CB146" i="16"/>
  <c r="BP146" i="16"/>
  <c r="BH146" i="16"/>
  <c r="AS146" i="16"/>
  <c r="O146" i="16" s="1"/>
  <c r="T146" i="16"/>
  <c r="CI145" i="16"/>
  <c r="CB145" i="16"/>
  <c r="BH145" i="16"/>
  <c r="AS145" i="16"/>
  <c r="O145" i="16" s="1"/>
  <c r="T145" i="16"/>
  <c r="CI144" i="16"/>
  <c r="CB144" i="16"/>
  <c r="BP144" i="16"/>
  <c r="BH144" i="16"/>
  <c r="AS144" i="16"/>
  <c r="O144" i="16" s="1"/>
  <c r="T144" i="16"/>
  <c r="CI143" i="16"/>
  <c r="CB143" i="16"/>
  <c r="BH143" i="16"/>
  <c r="AS143" i="16"/>
  <c r="O143" i="16" s="1"/>
  <c r="T143" i="16"/>
  <c r="CI142" i="16"/>
  <c r="CB142" i="16"/>
  <c r="BH142" i="16"/>
  <c r="AS142" i="16"/>
  <c r="O142" i="16" s="1"/>
  <c r="T142" i="16"/>
  <c r="CI141" i="16"/>
  <c r="CB141" i="16"/>
  <c r="BH141" i="16"/>
  <c r="AS141" i="16"/>
  <c r="O141" i="16" s="1"/>
  <c r="T141" i="16"/>
  <c r="CI140" i="16"/>
  <c r="CB140" i="16"/>
  <c r="BP140" i="16"/>
  <c r="BH140" i="16"/>
  <c r="AS140" i="16"/>
  <c r="O140" i="16" s="1"/>
  <c r="T140" i="16"/>
  <c r="CI139" i="16"/>
  <c r="CB139" i="16"/>
  <c r="BH139" i="16"/>
  <c r="AS139" i="16"/>
  <c r="O139" i="16" s="1"/>
  <c r="T139" i="16"/>
  <c r="BZ136" i="16"/>
  <c r="BS136" i="16"/>
  <c r="AZ136" i="16"/>
  <c r="DB136" i="16" s="1"/>
  <c r="BZ135" i="16"/>
  <c r="BS135" i="16"/>
  <c r="AZ135" i="16"/>
  <c r="DI135" i="16" s="1"/>
  <c r="BZ134" i="16"/>
  <c r="BS134" i="16"/>
  <c r="AZ134" i="16"/>
  <c r="CU134" i="16" s="1"/>
  <c r="BZ133" i="16"/>
  <c r="BS133" i="16"/>
  <c r="AZ133" i="16"/>
  <c r="CU133" i="16" s="1"/>
  <c r="BZ132" i="16"/>
  <c r="BS132" i="16"/>
  <c r="AZ132" i="16"/>
  <c r="BZ131" i="16"/>
  <c r="BS131" i="16"/>
  <c r="AZ131" i="16"/>
  <c r="DI131" i="16" s="1"/>
  <c r="BZ130" i="16"/>
  <c r="BS130" i="16"/>
  <c r="AZ130" i="16"/>
  <c r="CU130" i="16" s="1"/>
  <c r="BZ129" i="16"/>
  <c r="BS129" i="16"/>
  <c r="AZ129" i="16"/>
  <c r="CU129" i="16" s="1"/>
  <c r="BZ128" i="16"/>
  <c r="BS128" i="16"/>
  <c r="AZ128" i="16"/>
  <c r="DB128" i="16" s="1"/>
  <c r="BZ127" i="16"/>
  <c r="BS127" i="16"/>
  <c r="AZ127" i="16"/>
  <c r="DI127" i="16" s="1"/>
  <c r="BZ126" i="16"/>
  <c r="BS126" i="16"/>
  <c r="AZ126" i="16"/>
  <c r="CU126" i="16" s="1"/>
  <c r="BZ125" i="16"/>
  <c r="BS125" i="16"/>
  <c r="AZ125" i="16"/>
  <c r="DI125" i="16" s="1"/>
  <c r="BZ124" i="16"/>
  <c r="BS124" i="16"/>
  <c r="AZ124" i="16"/>
  <c r="BZ123" i="16"/>
  <c r="BS123" i="16"/>
  <c r="AZ123" i="16"/>
  <c r="DI123" i="16" s="1"/>
  <c r="BZ122" i="16"/>
  <c r="BS122" i="16"/>
  <c r="AZ122" i="16"/>
  <c r="CU122" i="16" s="1"/>
  <c r="BZ121" i="16"/>
  <c r="BS121" i="16"/>
  <c r="AZ121" i="16"/>
  <c r="CU121" i="16" s="1"/>
  <c r="BZ120" i="16"/>
  <c r="BS120" i="16"/>
  <c r="AZ120" i="16"/>
  <c r="DB120" i="16" s="1"/>
  <c r="BZ119" i="16"/>
  <c r="BS119" i="16"/>
  <c r="AZ119" i="16"/>
  <c r="CN119" i="16" s="1"/>
  <c r="BZ118" i="16"/>
  <c r="BS118" i="16"/>
  <c r="AZ118" i="16"/>
  <c r="CN118" i="16" s="1"/>
  <c r="BZ117" i="16"/>
  <c r="BS117" i="16"/>
  <c r="AZ117" i="16"/>
  <c r="CN117" i="16" s="1"/>
  <c r="BZ116" i="16"/>
  <c r="BS116" i="16"/>
  <c r="BZ115" i="16"/>
  <c r="BS115" i="16"/>
  <c r="BZ114" i="16"/>
  <c r="BS114" i="16"/>
  <c r="BZ113" i="16"/>
  <c r="BS113" i="16"/>
  <c r="BZ112" i="16"/>
  <c r="BS112" i="16"/>
  <c r="BZ111" i="16"/>
  <c r="BS111" i="16"/>
  <c r="AZ111" i="16"/>
  <c r="CN111" i="16" s="1"/>
  <c r="BZ110" i="16"/>
  <c r="BS110" i="16"/>
  <c r="AZ110" i="16"/>
  <c r="CN110" i="16" s="1"/>
  <c r="BZ109" i="16"/>
  <c r="BS109" i="16"/>
  <c r="AZ109" i="16"/>
  <c r="CN109" i="16" s="1"/>
  <c r="BZ108" i="16"/>
  <c r="BS108" i="16"/>
  <c r="AZ108" i="16"/>
  <c r="CN108" i="16" s="1"/>
  <c r="BZ107" i="16"/>
  <c r="BS107" i="16"/>
  <c r="T104" i="16"/>
  <c r="P104" i="16"/>
  <c r="T103" i="16"/>
  <c r="P103" i="16"/>
  <c r="T102" i="16"/>
  <c r="P102" i="16"/>
  <c r="T101" i="16"/>
  <c r="P101" i="16"/>
  <c r="T100" i="16"/>
  <c r="P100" i="16"/>
  <c r="T99" i="16"/>
  <c r="P99" i="16"/>
  <c r="T98" i="16"/>
  <c r="P98" i="16"/>
  <c r="T97" i="16"/>
  <c r="P97" i="16"/>
  <c r="AJ96" i="16"/>
  <c r="T96" i="16"/>
  <c r="P96" i="16"/>
  <c r="AJ95" i="16"/>
  <c r="T95" i="16"/>
  <c r="P95" i="16"/>
  <c r="AJ94" i="16"/>
  <c r="T94" i="16"/>
  <c r="P94" i="16"/>
  <c r="AJ93" i="16"/>
  <c r="T93" i="16"/>
  <c r="P93" i="16"/>
  <c r="AJ92" i="16"/>
  <c r="T92" i="16"/>
  <c r="P92" i="16"/>
  <c r="AJ91" i="16"/>
  <c r="T91" i="16"/>
  <c r="P91" i="16"/>
  <c r="AJ90" i="16"/>
  <c r="T90" i="16"/>
  <c r="P90" i="16"/>
  <c r="L90" i="16"/>
  <c r="AJ89" i="16"/>
  <c r="T89" i="16"/>
  <c r="P89" i="16"/>
  <c r="L89" i="16"/>
  <c r="AJ88" i="16"/>
  <c r="T88" i="16"/>
  <c r="P88" i="16"/>
  <c r="L88" i="16"/>
  <c r="AJ87" i="16"/>
  <c r="T87" i="16"/>
  <c r="P87" i="16"/>
  <c r="L87" i="16"/>
  <c r="AJ86" i="16"/>
  <c r="T86" i="16"/>
  <c r="P86" i="16"/>
  <c r="L86" i="16"/>
  <c r="AJ85" i="16"/>
  <c r="T85" i="16"/>
  <c r="P85" i="16"/>
  <c r="L85" i="16"/>
  <c r="AJ84" i="16"/>
  <c r="T84" i="16"/>
  <c r="P84" i="16"/>
  <c r="L84" i="16"/>
  <c r="AJ83" i="16"/>
  <c r="T83" i="16"/>
  <c r="P83" i="16"/>
  <c r="L83" i="16"/>
  <c r="AJ82" i="16"/>
  <c r="T82" i="16"/>
  <c r="P82" i="16"/>
  <c r="L82" i="16"/>
  <c r="AJ81" i="16"/>
  <c r="T81" i="16"/>
  <c r="P81" i="16"/>
  <c r="L81" i="16"/>
  <c r="AJ80" i="16"/>
  <c r="T80" i="16"/>
  <c r="P80" i="16"/>
  <c r="L80" i="16"/>
  <c r="AJ79" i="16"/>
  <c r="T79" i="16"/>
  <c r="P79" i="16"/>
  <c r="L79" i="16"/>
  <c r="AJ78" i="16"/>
  <c r="T78" i="16"/>
  <c r="P78" i="16"/>
  <c r="L78" i="16"/>
  <c r="AJ77" i="16"/>
  <c r="T77" i="16"/>
  <c r="P77" i="16"/>
  <c r="L77" i="16"/>
  <c r="AJ76" i="16"/>
  <c r="T76" i="16"/>
  <c r="P76" i="16"/>
  <c r="L76" i="16"/>
  <c r="AJ75" i="16"/>
  <c r="T75" i="16"/>
  <c r="P75" i="16"/>
  <c r="L75" i="16"/>
  <c r="CF69" i="16"/>
  <c r="CF67" i="16"/>
  <c r="AT67" i="16"/>
  <c r="CF65" i="16"/>
  <c r="AT64" i="16"/>
  <c r="CF63" i="16"/>
  <c r="DC61" i="16"/>
  <c r="CF61" i="16"/>
  <c r="AT61" i="16"/>
  <c r="U61" i="16"/>
  <c r="BN54" i="16"/>
  <c r="N54" i="16"/>
  <c r="BN52" i="16"/>
  <c r="N52" i="16"/>
  <c r="BN50" i="16"/>
  <c r="N50" i="16"/>
  <c r="BN48" i="16"/>
  <c r="N48" i="16"/>
  <c r="BN46" i="16"/>
  <c r="N46" i="16"/>
  <c r="CF39" i="16"/>
  <c r="CF37" i="16"/>
  <c r="AD37" i="16"/>
  <c r="CF35" i="16"/>
  <c r="AD35" i="16"/>
  <c r="AD33" i="16"/>
  <c r="CF31" i="16"/>
  <c r="AD31" i="16"/>
  <c r="CF28" i="16"/>
  <c r="AD28" i="16"/>
  <c r="AD26" i="16"/>
  <c r="CF23" i="16"/>
  <c r="CF21" i="16"/>
  <c r="AD21" i="16"/>
  <c r="CF19" i="16"/>
  <c r="EJ23" i="19" l="1"/>
  <c r="EJ67" i="19"/>
  <c r="CR147" i="16"/>
  <c r="DH148" i="16"/>
  <c r="CZ153" i="16"/>
  <c r="BP139" i="16"/>
  <c r="CR151" i="16"/>
  <c r="DH147" i="16"/>
  <c r="DH150" i="16"/>
  <c r="CR148" i="16"/>
  <c r="CR153" i="16"/>
  <c r="T118" i="16"/>
  <c r="CR159" i="16"/>
  <c r="DH149" i="16"/>
  <c r="T125" i="16"/>
  <c r="CZ154" i="16"/>
  <c r="T129" i="16"/>
  <c r="T119" i="16"/>
  <c r="DB130" i="16"/>
  <c r="DB135" i="16"/>
  <c r="CR142" i="16"/>
  <c r="CR144" i="16"/>
  <c r="CR164" i="16"/>
  <c r="CR166" i="16"/>
  <c r="CZ141" i="16"/>
  <c r="CZ142" i="16"/>
  <c r="CZ143" i="16"/>
  <c r="CZ144" i="16"/>
  <c r="CZ145" i="16"/>
  <c r="CZ152" i="16"/>
  <c r="CZ160" i="16"/>
  <c r="CZ161" i="16"/>
  <c r="CZ162" i="16"/>
  <c r="CZ163" i="16"/>
  <c r="CZ164" i="16"/>
  <c r="CZ165" i="16"/>
  <c r="CZ166" i="16"/>
  <c r="DB122" i="16"/>
  <c r="T108" i="16"/>
  <c r="T121" i="16"/>
  <c r="T126" i="16"/>
  <c r="DB131" i="16"/>
  <c r="CR139" i="16"/>
  <c r="CR141" i="16"/>
  <c r="CR161" i="16"/>
  <c r="DH143" i="16"/>
  <c r="CZ151" i="16"/>
  <c r="DH163" i="16"/>
  <c r="DH165" i="16"/>
  <c r="DB134" i="16"/>
  <c r="T110" i="16"/>
  <c r="T117" i="16"/>
  <c r="T122" i="16"/>
  <c r="DB126" i="16"/>
  <c r="T133" i="16"/>
  <c r="CR145" i="16"/>
  <c r="CR152" i="16"/>
  <c r="DH139" i="16"/>
  <c r="CU118" i="16"/>
  <c r="DI121" i="16"/>
  <c r="DI122" i="16"/>
  <c r="DI126" i="16"/>
  <c r="DI129" i="16"/>
  <c r="DI130" i="16"/>
  <c r="DI133" i="16"/>
  <c r="DI134" i="16"/>
  <c r="CR146" i="16"/>
  <c r="CR158" i="16"/>
  <c r="BP166" i="16"/>
  <c r="CZ140" i="16"/>
  <c r="BZ170" i="16"/>
  <c r="CM170" i="16" s="1"/>
  <c r="CZ146" i="16"/>
  <c r="CZ155" i="16"/>
  <c r="CZ156" i="16"/>
  <c r="CZ157" i="16"/>
  <c r="CZ158" i="16"/>
  <c r="CZ159" i="16"/>
  <c r="T109" i="16"/>
  <c r="T111" i="16"/>
  <c r="CU123" i="16"/>
  <c r="CU127" i="16"/>
  <c r="T130" i="16"/>
  <c r="CU131" i="16"/>
  <c r="T134" i="16"/>
  <c r="CU135" i="16"/>
  <c r="CR157" i="16"/>
  <c r="DH140" i="16"/>
  <c r="DH156" i="16"/>
  <c r="CU109" i="16"/>
  <c r="CU119" i="16"/>
  <c r="DB123" i="16"/>
  <c r="DB127" i="16"/>
  <c r="CG120" i="16"/>
  <c r="CN124" i="16"/>
  <c r="BN124" i="16"/>
  <c r="O124" i="16"/>
  <c r="CG124" i="16"/>
  <c r="CG128" i="16"/>
  <c r="CN132" i="16"/>
  <c r="BN132" i="16"/>
  <c r="O132" i="16"/>
  <c r="DB109" i="16"/>
  <c r="DB111" i="16"/>
  <c r="CU120" i="16"/>
  <c r="CG121" i="16"/>
  <c r="CN125" i="16"/>
  <c r="BN125" i="16"/>
  <c r="O125" i="16"/>
  <c r="CU128" i="16"/>
  <c r="CG129" i="16"/>
  <c r="CU132" i="16"/>
  <c r="CG108" i="16"/>
  <c r="DI108" i="16"/>
  <c r="CG109" i="16"/>
  <c r="DI109" i="16"/>
  <c r="CG110" i="16"/>
  <c r="DI110" i="16"/>
  <c r="CG111" i="16"/>
  <c r="DI111" i="16"/>
  <c r="CG117" i="16"/>
  <c r="DI117" i="16"/>
  <c r="CG118" i="16"/>
  <c r="DI118" i="16"/>
  <c r="CG119" i="16"/>
  <c r="DI119" i="16"/>
  <c r="CN122" i="16"/>
  <c r="BN122" i="16"/>
  <c r="O122" i="16"/>
  <c r="CG122" i="16"/>
  <c r="T123" i="16"/>
  <c r="DB124" i="16"/>
  <c r="CU125" i="16"/>
  <c r="CN126" i="16"/>
  <c r="BN126" i="16"/>
  <c r="O126" i="16"/>
  <c r="CG126" i="16"/>
  <c r="T127" i="16"/>
  <c r="CN130" i="16"/>
  <c r="BN130" i="16"/>
  <c r="O130" i="16"/>
  <c r="CG130" i="16"/>
  <c r="T131" i="16"/>
  <c r="DB132" i="16"/>
  <c r="CN134" i="16"/>
  <c r="BN134" i="16"/>
  <c r="O134" i="16"/>
  <c r="CG134" i="16"/>
  <c r="T135" i="16"/>
  <c r="CN120" i="16"/>
  <c r="BN120" i="16"/>
  <c r="O120" i="16"/>
  <c r="CN128" i="16"/>
  <c r="BN128" i="16"/>
  <c r="O128" i="16"/>
  <c r="CG132" i="16"/>
  <c r="CN136" i="16"/>
  <c r="BN136" i="16"/>
  <c r="O136" i="16"/>
  <c r="CG136" i="16"/>
  <c r="DB108" i="16"/>
  <c r="DB110" i="16"/>
  <c r="DB117" i="16"/>
  <c r="DB118" i="16"/>
  <c r="DB119" i="16"/>
  <c r="CN121" i="16"/>
  <c r="BN121" i="16"/>
  <c r="O121" i="16"/>
  <c r="CU124" i="16"/>
  <c r="CG125" i="16"/>
  <c r="CN129" i="16"/>
  <c r="BN129" i="16"/>
  <c r="O129" i="16"/>
  <c r="CN133" i="16"/>
  <c r="BN133" i="16"/>
  <c r="O133" i="16"/>
  <c r="CG133" i="16"/>
  <c r="CU136" i="16"/>
  <c r="O108" i="16"/>
  <c r="BN108" i="16"/>
  <c r="O109" i="16"/>
  <c r="BN109" i="16"/>
  <c r="O110" i="16"/>
  <c r="BN110" i="16"/>
  <c r="O111" i="16"/>
  <c r="BN111" i="16"/>
  <c r="O117" i="16"/>
  <c r="BN117" i="16"/>
  <c r="O118" i="16"/>
  <c r="BN118" i="16"/>
  <c r="O119" i="16"/>
  <c r="BN119" i="16"/>
  <c r="T120" i="16"/>
  <c r="DI120" i="16"/>
  <c r="DB121" i="16"/>
  <c r="CN123" i="16"/>
  <c r="BN123" i="16"/>
  <c r="O123" i="16"/>
  <c r="CG123" i="16"/>
  <c r="T124" i="16"/>
  <c r="DI124" i="16"/>
  <c r="DB125" i="16"/>
  <c r="CN127" i="16"/>
  <c r="BN127" i="16"/>
  <c r="O127" i="16"/>
  <c r="CG127" i="16"/>
  <c r="T128" i="16"/>
  <c r="DI128" i="16"/>
  <c r="DB129" i="16"/>
  <c r="CN131" i="16"/>
  <c r="BN131" i="16"/>
  <c r="O131" i="16"/>
  <c r="CG131" i="16"/>
  <c r="T132" i="16"/>
  <c r="DI132" i="16"/>
  <c r="DB133" i="16"/>
  <c r="CN135" i="16"/>
  <c r="BN135" i="16"/>
  <c r="O135" i="16"/>
  <c r="CG135" i="16"/>
  <c r="T136" i="16"/>
  <c r="DI136" i="16"/>
  <c r="AN172" i="16" l="1"/>
  <c r="CZ139" i="16"/>
  <c r="AD19" i="16" l="1"/>
  <c r="CF33" i="16" l="1"/>
  <c r="CF26" i="16" l="1"/>
  <c r="CU16" i="16" s="1"/>
  <c r="AZ116" i="16"/>
  <c r="CN116" i="16" l="1"/>
  <c r="BN116" i="16"/>
  <c r="CU116" i="16"/>
  <c r="DI116" i="16"/>
  <c r="T116" i="16"/>
  <c r="DB116" i="16"/>
  <c r="CG116" i="16"/>
  <c r="O116" i="16"/>
  <c r="AZ114" i="16" l="1"/>
  <c r="AZ115" i="16"/>
  <c r="AZ112" i="16" l="1"/>
  <c r="CN115" i="16"/>
  <c r="CG115" i="16"/>
  <c r="DB115" i="16"/>
  <c r="CU115" i="16"/>
  <c r="T115" i="16"/>
  <c r="DI115" i="16"/>
  <c r="O115" i="16"/>
  <c r="BN115" i="16"/>
  <c r="AZ113" i="16"/>
  <c r="CN114" i="16"/>
  <c r="BN114" i="16"/>
  <c r="O114" i="16"/>
  <c r="DB114" i="16"/>
  <c r="DI114" i="16"/>
  <c r="T114" i="16"/>
  <c r="CU114" i="16"/>
  <c r="CG114" i="16"/>
  <c r="CN113" i="16" l="1"/>
  <c r="T113" i="16"/>
  <c r="CG113" i="16"/>
  <c r="DB113" i="16"/>
  <c r="DI113" i="16"/>
  <c r="O113" i="16"/>
  <c r="CU113" i="16"/>
  <c r="BN113" i="16"/>
  <c r="CN112" i="16"/>
  <c r="T112" i="16"/>
  <c r="DB112" i="16"/>
  <c r="BN112" i="16"/>
  <c r="O112" i="16"/>
  <c r="CU112" i="16"/>
  <c r="DI112" i="16"/>
  <c r="CG112" i="16"/>
  <c r="BG136" i="16"/>
  <c r="BG135" i="16"/>
  <c r="BG134" i="16"/>
  <c r="BG133" i="16"/>
  <c r="BG132" i="16"/>
  <c r="BG131" i="16"/>
  <c r="BG130" i="16"/>
  <c r="BG129" i="16"/>
  <c r="BG128" i="16"/>
  <c r="BG127" i="16"/>
  <c r="BG126" i="16"/>
  <c r="BG125" i="16"/>
  <c r="BG124" i="16"/>
  <c r="BG123" i="16"/>
  <c r="BG122" i="16"/>
  <c r="BG121" i="16"/>
  <c r="BG120" i="16"/>
  <c r="BG119" i="16"/>
  <c r="BG118" i="16"/>
  <c r="BG117" i="16"/>
  <c r="CU117" i="16"/>
  <c r="BG116" i="16"/>
  <c r="BG115" i="16"/>
  <c r="BG114" i="16"/>
  <c r="BG113" i="16"/>
  <c r="BG112" i="16"/>
  <c r="BG111" i="16"/>
  <c r="CU111" i="16"/>
  <c r="BG110" i="16"/>
  <c r="CU110" i="16"/>
  <c r="BG109" i="16"/>
  <c r="BG108" i="16"/>
  <c r="CU108" i="16"/>
  <c r="CF71" i="4"/>
  <c r="BN44" i="16"/>
  <c r="N44" i="16"/>
  <c r="DX39" i="4"/>
  <c r="DT37" i="4"/>
  <c r="DX37" i="4" s="1"/>
  <c r="DX35" i="4"/>
  <c r="DT32" i="4"/>
  <c r="DX32" i="4" s="1"/>
  <c r="AD25" i="4"/>
  <c r="AD19" i="4"/>
  <c r="AD23" i="16" l="1"/>
  <c r="AN190" i="16" l="1"/>
  <c r="CJ177" i="16" l="1"/>
  <c r="EJ71" i="19"/>
  <c r="CJ176" i="16"/>
  <c r="EJ75" i="19" l="1"/>
  <c r="EJ79" i="19"/>
  <c r="AN170" i="16"/>
  <c r="EJ83" i="19"/>
  <c r="DC63" i="4" l="1"/>
  <c r="DC63" i="16" s="1"/>
  <c r="CJ187" i="16" l="1"/>
  <c r="CJ189" i="16"/>
  <c r="AR194" i="16"/>
  <c r="BC63" i="4" l="1"/>
  <c r="BL63" i="4"/>
  <c r="BL61" i="16" s="1"/>
  <c r="BC61" i="16"/>
  <c r="BC66" i="4"/>
  <c r="BL66" i="4"/>
  <c r="BL64" i="16" s="1"/>
  <c r="BC64" i="16"/>
  <c r="BC69" i="4"/>
  <c r="BL69" i="4"/>
  <c r="BL67" i="16" s="1"/>
  <c r="BC67" i="16"/>
  <c r="FY40" i="17" l="1"/>
  <c r="CJ183" i="16"/>
  <c r="CJ182" i="16"/>
  <c r="CM172" i="16" s="1"/>
  <c r="BJ19" i="18"/>
  <c r="N63" i="4"/>
  <c r="N68" i="4" l="1"/>
  <c r="N65" i="4"/>
  <c r="O65" i="16"/>
  <c r="FN19" i="18"/>
  <c r="FW29" i="18" s="1"/>
  <c r="AZ107" i="16"/>
  <c r="BT19" i="18"/>
  <c r="BG107" i="16" s="1"/>
  <c r="EG19" i="18"/>
  <c r="FW21" i="18" l="1"/>
  <c r="EU19" i="18"/>
  <c r="CU107" i="16" s="1"/>
  <c r="BN107" i="16"/>
  <c r="CG107" i="16"/>
  <c r="CN107" i="16"/>
  <c r="O107" i="16"/>
  <c r="DB107" i="16"/>
  <c r="T107" i="16"/>
  <c r="DI107" i="16"/>
  <c r="FW31" i="18"/>
  <c r="DC65" i="4"/>
  <c r="DC67" i="4" l="1"/>
  <c r="DC65" i="16"/>
  <c r="FW23" i="18"/>
  <c r="AN171" i="16"/>
  <c r="AN177" i="16" s="1"/>
  <c r="BH171" i="16" l="1"/>
  <c r="AS179" i="16"/>
  <c r="BH172" i="16"/>
  <c r="AS180" i="16"/>
  <c r="AS181" i="16"/>
  <c r="EJ61" i="19"/>
  <c r="BH173" i="16"/>
  <c r="BH170" i="16"/>
  <c r="BH176" i="16"/>
  <c r="BH174" i="16"/>
  <c r="FW39" i="18"/>
  <c r="BH175" i="16"/>
  <c r="FY58" i="17"/>
  <c r="DC67" i="16"/>
  <c r="DC69" i="4"/>
  <c r="DC69" i="16" s="1"/>
  <c r="AN182" i="16" l="1"/>
  <c r="AS184" i="16" s="1"/>
  <c r="AS185" i="16" s="1"/>
  <c r="AS186" i="16" l="1"/>
  <c r="AU187" i="16" s="1"/>
  <c r="CJ185" i="16" l="1"/>
  <c r="CJ186" i="16"/>
  <c r="AO190" i="16"/>
  <c r="CJ188" i="16"/>
</calcChain>
</file>

<file path=xl/sharedStrings.xml><?xml version="1.0" encoding="utf-8"?>
<sst xmlns="http://schemas.openxmlformats.org/spreadsheetml/2006/main" count="877" uniqueCount="503">
  <si>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</si>
  <si>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</si>
  <si>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</si>
  <si>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</si>
  <si>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</si>
  <si>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</si>
  <si>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</si>
  <si>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</si>
  <si>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</si>
  <si>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</si>
  <si>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</si>
  <si>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</si>
  <si>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</si>
  <si>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</si>
  <si>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</si>
  <si>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HO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</si>
  <si>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</si>
  <si>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</si>
  <si>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</si>
  <si>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</si>
  <si>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</si>
  <si>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</si>
  <si>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</si>
  <si>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</si>
  <si>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</si>
  <si>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</si>
  <si>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</si>
  <si>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</si>
  <si>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</si>
  <si>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</si>
  <si>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</si>
  <si>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</si>
  <si>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</si>
  <si>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</si>
  <si>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</si>
  <si>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</si>
  <si>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</si>
  <si>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</si>
  <si>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</si>
  <si>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</si>
  <si>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</si>
  <si>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</si>
  <si>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kg</t>
  </si>
  <si>
    <t>Länge:</t>
  </si>
  <si>
    <t>mm</t>
  </si>
  <si>
    <t>Aluhaube:</t>
  </si>
  <si>
    <t>PE-Haube: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</si>
  <si>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</si>
  <si>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</si>
  <si>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</si>
  <si>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</si>
  <si>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</si>
  <si>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</si>
  <si>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</si>
  <si>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</si>
  <si>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[DE]</t>
  </si>
  <si>
    <t>[SE]</t>
  </si>
  <si>
    <t>[KO]</t>
  </si>
  <si>
    <t>Lage(n)</t>
  </si>
  <si>
    <t>Seiten-Spangen-Stärke:</t>
  </si>
  <si>
    <t>Seiten-Spangen-Breite:</t>
  </si>
  <si>
    <t>Kopf-Spangen-Stärke:</t>
  </si>
  <si>
    <t>Kopf-Spangen-Breite:</t>
  </si>
  <si>
    <t>………….. Anzahl Bodenlagen:</t>
  </si>
  <si>
    <t>Bauteil</t>
  </si>
  <si>
    <t>Arbeitsgang</t>
  </si>
  <si>
    <t>m³</t>
  </si>
  <si>
    <t>Feldzuordnungen vom</t>
  </si>
  <si>
    <t>Berechnung_Klimaschutz vom:</t>
  </si>
  <si>
    <t>Berechnung_Hilfsstoffe vom:</t>
  </si>
  <si>
    <t>Berechnung_Lohnkosten vom:</t>
  </si>
  <si>
    <t>Konstanten vom:</t>
  </si>
  <si>
    <t>g je Stück</t>
  </si>
  <si>
    <t>Einheit</t>
  </si>
  <si>
    <t>Listenzuordnungen</t>
  </si>
  <si>
    <t>Verwendung für</t>
  </si>
  <si>
    <t>Bauteilerstellung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</si>
  <si>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</si>
  <si>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</si>
  <si>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</si>
  <si>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</si>
  <si>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</si>
  <si>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</si>
  <si>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</si>
  <si>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</si>
  <si>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</si>
  <si>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</si>
  <si>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</si>
  <si>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</si>
  <si>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</si>
  <si>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</si>
  <si>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</si>
  <si>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</si>
  <si>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</si>
  <si>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</si>
  <si>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</si>
  <si>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</si>
  <si>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</si>
  <si>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</si>
  <si>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</si>
  <si>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</si>
  <si>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</si>
  <si>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</si>
  <si>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</si>
  <si>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</si>
  <si>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</si>
  <si>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</si>
  <si>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</si>
  <si>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</si>
  <si>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</si>
  <si>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</si>
  <si>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</si>
  <si>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</si>
  <si>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</si>
  <si>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</si>
  <si>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</si>
  <si>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</si>
  <si>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</si>
  <si>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</si>
  <si>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</si>
  <si>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</si>
  <si>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</si>
  <si>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</si>
  <si>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</si>
  <si>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</si>
  <si>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</si>
  <si>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</si>
  <si>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</si>
  <si>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</si>
  <si>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</si>
  <si>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</si>
  <si>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PackmittelBezeichnung</t>
  </si>
  <si>
    <t>WerkBezeichnung</t>
  </si>
  <si>
    <t>SchutzartBezeichnung</t>
  </si>
  <si>
    <t>Deckelspangen Stärke</t>
  </si>
  <si>
    <t>[TS]</t>
  </si>
  <si>
    <t>Transportsicherungen in Kiste</t>
  </si>
  <si>
    <t>Anzahl</t>
  </si>
  <si>
    <t>Spangen Breite</t>
  </si>
  <si>
    <t>Spangen Stärke</t>
  </si>
  <si>
    <t>Kantholz Stärke</t>
  </si>
  <si>
    <t>[HO]</t>
  </si>
  <si>
    <t>Länge</t>
  </si>
  <si>
    <t>Stärke</t>
  </si>
  <si>
    <t xml:space="preserve">mit Verpackung? </t>
  </si>
  <si>
    <t>K a l k u l a t i o n</t>
  </si>
  <si>
    <t>[WKH]</t>
  </si>
  <si>
    <t>Wellenkantholz</t>
  </si>
  <si>
    <t>Leistungskennzahl</t>
  </si>
  <si>
    <t>h</t>
  </si>
  <si>
    <t>Dimensionsmaterial</t>
  </si>
  <si>
    <t>Pos</t>
  </si>
  <si>
    <t xml:space="preserve">B. Gr. </t>
  </si>
  <si>
    <t>MA. Gr.</t>
  </si>
  <si>
    <t>Material</t>
  </si>
  <si>
    <t>Höhe</t>
  </si>
  <si>
    <t>Bo Querkantholz</t>
  </si>
  <si>
    <t>Bo Fläche</t>
  </si>
  <si>
    <t>Ko Flächen</t>
  </si>
  <si>
    <t>De Fläche</t>
  </si>
  <si>
    <t>Se Flächen</t>
  </si>
  <si>
    <t>Se Transportsicherung KH</t>
  </si>
  <si>
    <t>KoSp !Längs</t>
  </si>
  <si>
    <t>Lohnkosten</t>
  </si>
  <si>
    <t>Innensicherung</t>
  </si>
  <si>
    <t>Sollen die Werte automatisch aktualisiert werden?</t>
  </si>
  <si>
    <t>ja</t>
  </si>
  <si>
    <t>nein</t>
  </si>
  <si>
    <t>Endsprechendes Feld mit kleinem x markieren</t>
  </si>
  <si>
    <t>Scheiben</t>
  </si>
  <si>
    <t>PL</t>
  </si>
  <si>
    <t>[WKH Scheiben]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</si>
  <si>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</si>
  <si>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</si>
  <si>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</si>
  <si>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</si>
  <si>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</si>
  <si>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</si>
  <si>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</si>
  <si>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</si>
  <si>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</si>
  <si>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</si>
  <si>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</si>
  <si>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</si>
  <si>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</si>
  <si>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</si>
  <si>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</si>
  <si>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</si>
  <si>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</si>
  <si>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</si>
  <si>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</si>
  <si>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</si>
  <si>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</si>
  <si>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</si>
  <si>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</si>
  <si>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Hilfsstoffe</t>
  </si>
  <si>
    <t>A.Code</t>
  </si>
  <si>
    <t>Bezeichnung</t>
  </si>
  <si>
    <t>Zuschlagskalkulation</t>
  </si>
  <si>
    <t>Zeiten</t>
  </si>
  <si>
    <t>I.</t>
  </si>
  <si>
    <t>Summe Dimensionsmaterial</t>
  </si>
  <si>
    <t>IST-Zeiten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</si>
  <si>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</si>
  <si>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</si>
  <si>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</si>
  <si>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</si>
  <si>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</si>
  <si>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</si>
  <si>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</si>
  <si>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</si>
  <si>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</si>
  <si>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</si>
  <si>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</si>
  <si>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</si>
  <si>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</si>
  <si>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VII.</t>
  </si>
  <si>
    <t>Sonstige Kosten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</si>
  <si>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</si>
  <si>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</si>
  <si>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</si>
  <si>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</si>
  <si>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</si>
  <si>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</si>
  <si>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</si>
  <si>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</si>
  <si>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</si>
  <si>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</si>
  <si>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</si>
  <si>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</si>
  <si>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</si>
  <si>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</si>
  <si>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</si>
  <si>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</si>
  <si>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</si>
  <si>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</si>
  <si>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</si>
  <si>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</si>
  <si>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</si>
  <si>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= Verkaufspreis Gesamt BA</t>
  </si>
  <si>
    <t>Hinweis zur NK:</t>
  </si>
  <si>
    <t>*) Frei änderbare Felder</t>
  </si>
  <si>
    <t xml:space="preserve">Datensatz ID: </t>
  </si>
  <si>
    <t>Deckelisolierung:</t>
  </si>
  <si>
    <t>Kistenmontage</t>
  </si>
  <si>
    <t>Lieferung durch Robers</t>
  </si>
  <si>
    <t>*) Die Werte in den blau hinterlegten Feldern können frei eingetragen werden. (Im Bereich Zuschlagskalkulation)</t>
  </si>
  <si>
    <t>Paro ID:</t>
  </si>
  <si>
    <t>Sage Nr.</t>
  </si>
  <si>
    <t>Anzahl BA</t>
  </si>
  <si>
    <t>€ je Stück</t>
  </si>
  <si>
    <t>€ je BA</t>
  </si>
  <si>
    <t>g je Einheit</t>
  </si>
  <si>
    <t>Lohnkosten / Arbeitsgänge</t>
  </si>
  <si>
    <t>MA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</si>
  <si>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</si>
  <si>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</si>
  <si>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</si>
  <si>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</si>
  <si>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</si>
  <si>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</si>
  <si>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</si>
  <si>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</si>
  <si>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Dimensionsmaterial m³</t>
  </si>
  <si>
    <t>Lfd.
Pos.</t>
  </si>
  <si>
    <t>Arbeitsplatz</t>
  </si>
  <si>
    <t>A-Code
Nr.</t>
  </si>
  <si>
    <r>
      <t xml:space="preserve">St.-Satz
</t>
    </r>
    <r>
      <rPr>
        <b/>
        <sz val="4"/>
        <rFont val="Courier New"/>
        <family val="3"/>
      </rPr>
      <t>(exkl. Zuschläge)</t>
    </r>
  </si>
  <si>
    <t>Zeit
h</t>
  </si>
  <si>
    <t>Zuschl. auf
Zeit %</t>
  </si>
  <si>
    <t>Leistg.
Je Art</t>
  </si>
  <si>
    <t>Bedarf
je Art.</t>
  </si>
  <si>
    <t>Ges. je
Art. 
Min</t>
  </si>
  <si>
    <t>Kosten € je St</t>
  </si>
  <si>
    <t>Kosten € je BA</t>
  </si>
  <si>
    <t>Auswertungen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</si>
  <si>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</si>
  <si>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</si>
  <si>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</si>
  <si>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</si>
  <si>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</si>
  <si>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</si>
  <si>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</si>
  <si>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</si>
  <si>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Anteil Prod.-Herstellkosten</t>
  </si>
  <si>
    <t>%</t>
  </si>
  <si>
    <t>Bemerkungen:</t>
  </si>
  <si>
    <t>Leistung = Gefertigte St. In angegebener Zeit
Bedarf = St. Bedarf je Artikel
Beispiel: 3/4 h für 500 Klötze --&gt; Leistung = 500
10 Klötze je Artikel --&gt; Bedarf = 10</t>
  </si>
  <si>
    <t>Die Werte für die Verwungsauswahl sind direkt im Quellcode dieses Arbeitsblattes hinterlegt</t>
  </si>
  <si>
    <t>Sage
Nummer</t>
  </si>
  <si>
    <t>Bezeichnung Hilfsstoffe</t>
  </si>
  <si>
    <t>Anzahl
Stück</t>
  </si>
  <si>
    <t>Anzahl
BA</t>
  </si>
  <si>
    <t>Mengen-
einheit</t>
  </si>
  <si>
    <t>Kosten 
€/St.</t>
  </si>
  <si>
    <t>Kosten
€/BA</t>
  </si>
  <si>
    <t>Gewicht
g/Einh.</t>
  </si>
  <si>
    <t>Gewicht
g/St.</t>
  </si>
  <si>
    <t>Kosten Hilfsstoffe (St)</t>
  </si>
  <si>
    <t>je St</t>
  </si>
  <si>
    <t>je BA</t>
  </si>
  <si>
    <t>je St.</t>
  </si>
  <si>
    <t>Anteil Prod. - Herstellkosten</t>
  </si>
  <si>
    <t>Auswahl der Verwendungsart</t>
  </si>
  <si>
    <t>Verpackung</t>
  </si>
  <si>
    <t>Kundenwunsch</t>
  </si>
  <si>
    <t>Die Hilfsstoffauswahl ist in der Datei "Bemaßungsliste" im Tabellenblatt "HolzKonstanten" hinterlegt und können hier angepasst / ergänzt werden</t>
  </si>
  <si>
    <t>Die Werte aus der Auswahlliste (Preise, Zuschlagssätze,..) stammen aus der Datei "!KonstantenHolzliste.xlsx".</t>
  </si>
  <si>
    <t>Sage Art.
Nummer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</si>
  <si>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</si>
  <si>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</si>
  <si>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</si>
  <si>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</si>
  <si>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</si>
  <si>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</si>
  <si>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</si>
  <si>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</si>
  <si>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</si>
  <si>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</si>
  <si>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</si>
  <si>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Materialkosten</t>
  </si>
  <si>
    <t>cmb Dimensionsmat.</t>
  </si>
  <si>
    <t>lfm Dimensionsmat.</t>
  </si>
  <si>
    <t>Einbau-Höhe:</t>
  </si>
  <si>
    <t>Einbau-Breite:</t>
  </si>
  <si>
    <t>Stärke:</t>
  </si>
  <si>
    <t>Innendurchmesser:</t>
  </si>
  <si>
    <t>Aussendurchmesser:</t>
  </si>
  <si>
    <t>Bodenstärke je Lage:</t>
  </si>
  <si>
    <t>Tara Hilfsst:</t>
  </si>
  <si>
    <t>Tara gesamt:</t>
  </si>
  <si>
    <t>Tara Konstr:</t>
  </si>
  <si>
    <t>[SE/KO/DE]    Spangen-Breiten:</t>
  </si>
  <si>
    <t>[SE/KO/DE]    Spangen-Stärken:</t>
  </si>
  <si>
    <t xml:space="preserve">SeSp Transportsicherung </t>
  </si>
  <si>
    <t>Kantholz lose</t>
  </si>
  <si>
    <t>WKH</t>
  </si>
  <si>
    <t>03.06.2016</t>
  </si>
  <si>
    <t>13.10.2015</t>
  </si>
  <si>
    <t>10.02.2014</t>
  </si>
  <si>
    <t>02.02.2016</t>
  </si>
  <si>
    <t>Auftragskalkulation</t>
  </si>
  <si>
    <t>Kalkulationsarten</t>
  </si>
  <si>
    <t>Angebotskalkulation</t>
  </si>
  <si>
    <t>Musterkalkulation</t>
  </si>
  <si>
    <t>Nachkalkulation</t>
  </si>
  <si>
    <t>Testkalkulation</t>
  </si>
  <si>
    <t>Vorkalkulation</t>
  </si>
  <si>
    <t>Zielpreiskalkulation</t>
  </si>
  <si>
    <t>Arbeitsgang und Lohnkosten</t>
  </si>
  <si>
    <t>min je m² aussen</t>
  </si>
  <si>
    <t>Kantholz Fi (IPPC KD)</t>
  </si>
  <si>
    <t>TS</t>
  </si>
  <si>
    <t>Anz</t>
  </si>
  <si>
    <t>WKHS</t>
  </si>
  <si>
    <t>Abgerechnet mit je St.:</t>
  </si>
  <si>
    <t>Differrenz (RG / NK) je St.:</t>
  </si>
  <si>
    <t>Art:</t>
  </si>
  <si>
    <t>Gewebekraftpapier:</t>
  </si>
  <si>
    <t>[SE/KO]</t>
  </si>
  <si>
    <t xml:space="preserve"> [BO]</t>
  </si>
  <si>
    <t>[BO]</t>
  </si>
  <si>
    <t>Quer-Kanthölzer:</t>
  </si>
  <si>
    <t>Kantholz Lose</t>
  </si>
  <si>
    <t>Längs-Kanthölzer:</t>
  </si>
  <si>
    <t>Seiten-Stärke:</t>
  </si>
  <si>
    <t>Kopf-Stärke:</t>
  </si>
  <si>
    <t>Deckel-Stärke:</t>
  </si>
  <si>
    <t>[SE/KO/DE]      Flächen-Stärke:</t>
  </si>
  <si>
    <t>Längskantholz</t>
  </si>
  <si>
    <t>Se Spangen</t>
  </si>
  <si>
    <t>De Spangen</t>
  </si>
  <si>
    <t>[TS KH]</t>
  </si>
  <si>
    <t>Ant.. %</t>
  </si>
  <si>
    <t>Signum / Markierung</t>
  </si>
  <si>
    <t>Transportüberwachung</t>
  </si>
  <si>
    <t>LaSi / Umschlag</t>
  </si>
  <si>
    <t>Schocklagerung</t>
  </si>
  <si>
    <t>Schrumpfverpackung</t>
  </si>
  <si>
    <t>Deckelfolie</t>
  </si>
  <si>
    <t>Zeit je MA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</si>
  <si>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</si>
  <si>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 xml:space="preserve">Min. </t>
  </si>
  <si>
    <t>Durchmesser:</t>
  </si>
  <si>
    <t>31.08.2015</t>
  </si>
  <si>
    <t>lfm</t>
  </si>
  <si>
    <t>IVP
€ je ME</t>
  </si>
  <si>
    <t>VV
%</t>
  </si>
  <si>
    <t>IVP incl. VV</t>
  </si>
  <si>
    <t>IVP
€/m³</t>
  </si>
  <si>
    <t>IVP € je EH</t>
  </si>
  <si>
    <t>VV Zusch. %</t>
  </si>
  <si>
    <t>Bretter ohne Zuschnitt IPPC-HT-KD</t>
  </si>
  <si>
    <t>Kanthölzer ohne Zuschnitt, IPPC-HT-KD</t>
  </si>
  <si>
    <t>Nadelsperrholz Elliottis Pine 18mm, WBP, C+/C</t>
  </si>
  <si>
    <t>10001596</t>
  </si>
  <si>
    <t>10001365</t>
  </si>
  <si>
    <t>10001250</t>
  </si>
  <si>
    <t>10002232</t>
  </si>
  <si>
    <t>10001927</t>
  </si>
  <si>
    <t>10001659</t>
  </si>
  <si>
    <t>10002091</t>
  </si>
  <si>
    <t>Nägel - NAG Nägel COI   22x50 Rundkopf</t>
  </si>
  <si>
    <t>Arbeitsgangsatz Vorlage laden</t>
  </si>
  <si>
    <t>Bretter, IPPC-HT-KD</t>
  </si>
  <si>
    <t>Kanthölzer, IPPC-HT-KD</t>
  </si>
  <si>
    <t>Bohlen, IPPC-HT-KD</t>
  </si>
  <si>
    <t>Nadelsperrholz Elliottis 2.Wahl 18mm</t>
  </si>
  <si>
    <t>Wellenkantholz Anzahl:</t>
  </si>
  <si>
    <t>€ je m³</t>
  </si>
  <si>
    <t>VV %</t>
  </si>
  <si>
    <t>LKW- Zug oder Sattel</t>
  </si>
  <si>
    <t>19.07.2017</t>
  </si>
  <si>
    <t>Signierfarbe - SIGF Signierspray schwarz RAL 9005 400 ml</t>
  </si>
  <si>
    <t>Spannbänder - PETBA Bänder 1750x15,5x0,7 grün geprägt</t>
  </si>
  <si>
    <t>10001403</t>
  </si>
  <si>
    <t xml:space="preserve">-  - </t>
  </si>
  <si>
    <t>Besonderheiten:</t>
  </si>
  <si>
    <t>Schablonen - SABL Schablonen Ölkarton 910x280 400g/qm</t>
  </si>
  <si>
    <t>10001240</t>
  </si>
  <si>
    <t xml:space="preserve">Lagerkosten </t>
  </si>
  <si>
    <t>Ø € / cbm</t>
  </si>
  <si>
    <t>10002436</t>
  </si>
  <si>
    <t>Papier, Folien, Etiketten - ET LDPE-Begleitpapiertaschen C5/A5</t>
  </si>
  <si>
    <t xml:space="preserve">Transport: Deutschland, LKW, </t>
  </si>
  <si>
    <t>SAUERESSIG GmbH &amp; Co. KG</t>
  </si>
  <si>
    <t>D28024</t>
  </si>
  <si>
    <t>Gutenbergstr. 1-3, 48691 Vreden</t>
  </si>
  <si>
    <t>Zylindertransportkiste</t>
  </si>
  <si>
    <t>24 mm Schalung</t>
  </si>
  <si>
    <t>Beschriftung: IPPC Kennzeichnung, Kom.-Name, BM</t>
  </si>
  <si>
    <t>2-Wege</t>
  </si>
  <si>
    <t>Nägel - NAG Nägel STR 4,6x160 Rundkopf</t>
  </si>
  <si>
    <t>10001639</t>
  </si>
  <si>
    <t>Materialgruppe</t>
  </si>
  <si>
    <t>Materialbez</t>
  </si>
  <si>
    <t>SAGE Nr</t>
  </si>
  <si>
    <t>L</t>
  </si>
  <si>
    <t>B</t>
  </si>
  <si>
    <t>H</t>
  </si>
  <si>
    <t>Plattenmaterial Auflistung</t>
  </si>
  <si>
    <t>Verschnittsatzberechnung Material 1</t>
  </si>
  <si>
    <t>Materialbezeichnung</t>
  </si>
  <si>
    <t>SAGE Art Nr</t>
  </si>
  <si>
    <t>BA Anzahl</t>
  </si>
  <si>
    <t>ANZ je St</t>
  </si>
  <si>
    <t>L in mm</t>
  </si>
  <si>
    <t>B in mm</t>
  </si>
  <si>
    <t>qm</t>
  </si>
  <si>
    <t>Eingesetztes Plattenmaterial für Auftrag</t>
  </si>
  <si>
    <t>Plattenanzahl Stück</t>
  </si>
  <si>
    <t>Plattenlänge in mm</t>
  </si>
  <si>
    <t>Plattenbreite in mm</t>
  </si>
  <si>
    <t>Gesamt qm</t>
  </si>
  <si>
    <t>(A)</t>
  </si>
  <si>
    <t>Bauteile, die daraus geschnitten wurden</t>
  </si>
  <si>
    <t>Pos. (Bitte eingeben)</t>
  </si>
  <si>
    <t>qm gesamt für Bauteil</t>
  </si>
  <si>
    <t xml:space="preserve">Gesamt qm </t>
  </si>
  <si>
    <t>(B)</t>
  </si>
  <si>
    <t>Verschnittsatz Material 1</t>
  </si>
  <si>
    <t>(C) Differrenz=  (A) - (B)</t>
  </si>
  <si>
    <t xml:space="preserve">(C) </t>
  </si>
  <si>
    <t>Verschnittsatz Mat 1:</t>
  </si>
  <si>
    <t>(D) = (C ) / (B)</t>
  </si>
  <si>
    <t>(D)</t>
  </si>
  <si>
    <t>Verschnittsatzberechnung Material 2</t>
  </si>
  <si>
    <t>Verschnittsatz Material 2</t>
  </si>
  <si>
    <t>Verschnittsatz Mat 2:</t>
  </si>
  <si>
    <t>[KTS]</t>
  </si>
  <si>
    <t>Kombi TS:</t>
  </si>
  <si>
    <t>Spangen Breite:</t>
  </si>
  <si>
    <t>Nadelsperrholz Radiata 1.Wahl 12mm</t>
  </si>
  <si>
    <t>[FH]</t>
  </si>
  <si>
    <t>Abstützung Kombi-TS je Seite:</t>
  </si>
  <si>
    <t>Abst. Kombi TS        Links:</t>
  </si>
  <si>
    <t>Abst. Kombi TS    Rechts:</t>
  </si>
  <si>
    <t>10001928</t>
  </si>
  <si>
    <t>10001769</t>
  </si>
  <si>
    <t>10002356</t>
  </si>
  <si>
    <t>Nägel - NAG Nägel COI   25x55 Rundkopf</t>
  </si>
  <si>
    <t>Kunststoffplatten - KSP Stegplatten PE 4000x2000x2</t>
  </si>
  <si>
    <t>Gewebekraftpapier - GKP Gewebekraftpapier 100x1,50</t>
  </si>
  <si>
    <t>ohne Verpackungsarbeiten</t>
  </si>
  <si>
    <t>Mitarbeiter, Kat. V, Verwaltung/Vertrieb/Arbeitsvorbereitung</t>
  </si>
  <si>
    <t>VV u. AV, Büro</t>
  </si>
  <si>
    <t>Zuschnitt, Plattensäge, CUT-70/85</t>
  </si>
  <si>
    <t>Zuschnitt, Plattenmaterial</t>
  </si>
  <si>
    <t>Zuschnitt (&lt; 6m), Säge Quick-Stop, Reinhardt</t>
  </si>
  <si>
    <t>Zuschnitt, Massivholz</t>
  </si>
  <si>
    <t>Zuschnitt (&lt; 4m), Säge Slim-Line, Reinhardt</t>
  </si>
  <si>
    <t>CNC Bearbeitungszentrum, Typ Rover A4</t>
  </si>
  <si>
    <t>Fräsen, Bohren, Zuschneiden</t>
  </si>
  <si>
    <t>Rüsten CNC Bearbeitungszentrum, Typ Rover A4</t>
  </si>
  <si>
    <t>Beschickung, AP-Einr. U. Rüsten</t>
  </si>
  <si>
    <t>Fertigung u. Montage</t>
  </si>
  <si>
    <t>Transport, Logistik</t>
  </si>
  <si>
    <t>Versand, Auslieferung</t>
  </si>
  <si>
    <t>Einlagerung Stapler, bis 2,5 t., incl. einem fachkundigem Mitarbeiter</t>
  </si>
  <si>
    <t>Auslagerung Stapler, bis 2,5 t., incl. einem fachkundigem Mitarbeiter</t>
  </si>
  <si>
    <t>Rüsten Mitarbeiter, Kat. B, Rüsten - Produktion</t>
  </si>
  <si>
    <t>Fertigung Mitarbeiter, Kat. T, Facharbeiter, Tischler</t>
  </si>
  <si>
    <t>Vers. 2.1.9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</si>
</sst>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00_ ;[Red]\-#,##0.0000\ "/>
    <numFmt numFmtId="176" formatCode="_(&quot;€&quot;* #,##0.0000_);_(&quot;€&quot;* \(#,##0.0000\);_(&quot;€&quot;* &quot;-&quot;??_);_(@_)"/>
    <numFmt numFmtId="177" formatCode="#,##0.0000"/>
    <numFmt numFmtId="178" formatCode="#,##0.0000\ &quot;€&quot;"/>
  </numFmts>
  <fonts count="1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sz val="8"/>
      <color rgb="FF000000"/>
      <name val="Symbol"/>
      <family val="1"/>
      <charset val="2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i/>
      <sz val="8"/>
      <name val="Courier New"/>
      <family val="3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b/>
      <sz val="8"/>
      <color theme="0" tint="-0.499984740745262"/>
      <name val="Courier New"/>
      <family val="3"/>
    </font>
    <font>
      <b/>
      <sz val="8"/>
      <color theme="1"/>
      <name val="Courier New"/>
      <family val="3"/>
    </font>
    <font>
      <sz val="6"/>
      <color theme="0"/>
      <name val="Courier New"/>
      <family val="3"/>
    </font>
    <font>
      <sz val="5"/>
      <color theme="0"/>
      <name val="Courier New"/>
      <family val="3"/>
    </font>
    <font>
      <sz val="7"/>
      <name val="Courier New"/>
      <family val="3"/>
    </font>
    <font>
      <b/>
      <sz val="8"/>
      <color theme="0"/>
      <name val="Courier New"/>
      <family val="3"/>
    </font>
    <font>
      <sz val="8"/>
      <name val="Calibri"/>
      <family val="2"/>
      <scheme val="minor"/>
    </font>
    <font>
      <sz val="6"/>
      <name val="Calibri"/>
      <family val="2"/>
      <scheme val="minor"/>
    </font>
    <font>
      <sz val="8"/>
      <color theme="0"/>
      <name val="Courier New"/>
      <family val="3"/>
    </font>
    <font>
      <b/>
      <sz val="6"/>
      <color rgb="FF0070C0"/>
      <name val="Courier New"/>
      <family val="3"/>
    </font>
    <font>
      <b/>
      <sz val="6"/>
      <name val="Courier New"/>
      <family val="3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b/>
      <sz val="7"/>
      <color theme="1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10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4"/>
      <name val="Courier New"/>
      <family val="3"/>
    </font>
    <font>
      <sz val="2"/>
      <color theme="1"/>
      <name val="Courier New"/>
      <family val="3"/>
    </font>
    <font>
      <sz val="6"/>
      <name val="Arial"/>
      <family val="2"/>
    </font>
    <font>
      <sz val="26"/>
      <name val="Courier New"/>
      <family val="3"/>
    </font>
    <font>
      <sz val="28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sz val="7"/>
      <name val="Arial"/>
      <family val="2"/>
    </font>
    <font>
      <sz val="4"/>
      <name val="Arial"/>
      <family val="2"/>
    </font>
    <font>
      <sz val="6"/>
      <color theme="1"/>
      <name val="Calibri"/>
      <family val="2"/>
      <scheme val="minor"/>
    </font>
    <font>
      <b/>
      <sz val="5"/>
      <color theme="1"/>
      <name val="Courier New"/>
      <family val="3"/>
    </font>
    <font>
      <sz val="18"/>
      <color rgb="FF952842"/>
      <name val="Courier New"/>
      <family val="3"/>
    </font>
    <font>
      <sz val="7"/>
      <color theme="1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7"/>
      <color rgb="FFB4B4B4"/>
      <name val="Courier New"/>
      <family val="3"/>
    </font>
    <font>
      <sz val="7"/>
      <color rgb="FFFF0000"/>
      <name val="Courier New"/>
      <family val="3"/>
    </font>
    <font>
      <b/>
      <sz val="7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Symbol"/>
      <family val="1"/>
      <charset val="2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8"/>
      <color theme="3" tint="0.79998168889431442"/>
      <name val="Arial"/>
      <family val="2"/>
    </font>
    <font>
      <sz val="11"/>
      <color theme="3" tint="0.79998168889431442"/>
      <name val="Courier New"/>
      <family val="3"/>
    </font>
    <font>
      <sz val="2"/>
      <color theme="3" tint="0.79998168889431442"/>
      <name val="Arial"/>
      <family val="2"/>
    </font>
    <font>
      <b/>
      <sz val="11"/>
      <color rgb="FF952842"/>
      <name val="Courier New"/>
      <family val="3"/>
    </font>
    <font>
      <i/>
      <sz val="7"/>
      <name val="Courier New"/>
      <family val="3"/>
    </font>
    <font>
      <sz val="6"/>
      <color theme="4"/>
      <name val="Courier New"/>
      <family val="3"/>
    </font>
    <font>
      <sz val="6"/>
      <color rgb="FFB4B4B4"/>
      <name val="Courier New"/>
      <family val="3"/>
    </font>
    <font>
      <sz val="8"/>
      <color rgb="FFB4B4B4"/>
      <name val="Courier New"/>
      <family val="3"/>
    </font>
    <font>
      <sz val="8"/>
      <color theme="0" tint="-0.249977111117893"/>
      <name val="Courier New"/>
      <family val="3"/>
    </font>
    <font>
      <sz val="8"/>
      <color rgb="FFC5D9F1"/>
      <name val="Symbol"/>
      <family val="1"/>
      <charset val="2"/>
    </font>
    <font>
      <sz val="6"/>
      <color rgb="FF000000"/>
      <name val="Courier New"/>
      <family val="3"/>
    </font>
    <font>
      <b/>
      <sz val="6"/>
      <color rgb="FFC00000"/>
      <name val="Courier New"/>
      <family val="3"/>
    </font>
    <font>
      <sz val="11"/>
      <color theme="1"/>
      <name val="Courier New"/>
      <family val="3"/>
    </font>
    <font>
      <sz val="9"/>
      <color theme="1"/>
      <name val="Courier New"/>
      <family val="3"/>
    </font>
    <font>
      <b/>
      <sz val="18"/>
      <color theme="1"/>
      <name val="Courier New"/>
      <family val="3"/>
    </font>
    <font>
      <b/>
      <sz val="26"/>
      <color theme="1"/>
      <name val="Courier New"/>
      <family val="3"/>
    </font>
    <font>
      <b/>
      <sz val="9"/>
      <color theme="1"/>
      <name val="Courier New"/>
      <family val="3"/>
    </font>
    <font>
      <b/>
      <sz val="9"/>
      <color rgb="FF0070C0"/>
      <name val="Courier New"/>
      <family val="3"/>
    </font>
    <font>
      <b/>
      <sz val="9"/>
      <name val="Courier New"/>
      <family val="3"/>
    </font>
    <font>
      <sz val="8"/>
      <color rgb="FFFF0000"/>
      <name val="Courier New"/>
      <family val="3"/>
    </font>
    <font>
      <b/>
      <sz val="8"/>
      <color rgb="FFFF0000"/>
      <name val="Courier New"/>
      <family val="3"/>
    </font>
    <font>
      <sz val="6"/>
      <color rgb="FFFF0000"/>
      <name val="Courier New"/>
      <family val="3"/>
    </font>
    <font>
      <sz val="2"/>
      <color rgb="FFFF0000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9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hair">
        <color theme="0" tint="-0.499984740745262"/>
      </right>
      <top style="hair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dotted">
        <color auto="1"/>
      </right>
      <top/>
      <bottom/>
      <diagonal/>
    </border>
    <border>
      <left style="dotted">
        <color auto="1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dotted">
        <color auto="1"/>
      </right>
      <top style="hair">
        <color theme="0" tint="-0.499984740745262"/>
      </top>
      <bottom/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166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9" fontId="27" fillId="0" borderId="0" applyFont="0" applyFill="0" applyBorder="0" applyAlignment="0" applyProtection="0"/>
    <xf numFmtId="166" fontId="27" fillId="0" borderId="0" applyFont="0" applyFill="0" applyBorder="0" applyAlignment="0" applyProtection="0"/>
    <xf numFmtId="165" fontId="27" fillId="0" borderId="0" applyFont="0" applyFill="0" applyBorder="0" applyAlignment="0" applyProtection="0"/>
  </cellStyleXfs>
  <cellXfs count="1216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14" fontId="19" fillId="0" borderId="0" xfId="1" applyNumberFormat="1" applyFont="1" applyFill="1" applyBorder="1" applyAlignment="1" applyProtection="1">
      <alignment vertical="center" shrinkToFit="1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vertical="center"/>
    </xf>
    <xf numFmtId="3" fontId="8" fillId="0" borderId="0" xfId="1" applyNumberFormat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6" fillId="0" borderId="0" xfId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0" fontId="16" fillId="0" borderId="0" xfId="1" applyFont="1" applyFill="1" applyBorder="1" applyAlignment="1" applyProtection="1">
      <alignment vertical="center"/>
    </xf>
    <xf numFmtId="168" fontId="19" fillId="0" borderId="0" xfId="1" applyNumberFormat="1" applyFont="1" applyFill="1" applyBorder="1" applyAlignment="1" applyProtection="1">
      <alignment vertical="center"/>
    </xf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6" fillId="2" borderId="0" xfId="1" applyFont="1" applyFill="1" applyBorder="1" applyAlignment="1" applyProtection="1">
      <alignment vertical="center" shrinkToFit="1"/>
    </xf>
    <xf numFmtId="0" fontId="16" fillId="3" borderId="0" xfId="1" applyFont="1" applyFill="1" applyBorder="1" applyAlignment="1" applyProtection="1">
      <alignment vertical="center" shrinkToFit="1"/>
    </xf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" fillId="0" borderId="0" xfId="1" applyFont="1" applyFill="1" applyBorder="1" applyAlignment="1" applyProtection="1">
      <alignment horizontal="right"/>
    </xf>
    <xf numFmtId="0" fontId="26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10" fontId="19" fillId="0" borderId="0" xfId="1" applyNumberFormat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28" fillId="0" borderId="7" xfId="1" applyFont="1" applyFill="1" applyBorder="1" applyAlignment="1" applyProtection="1">
      <alignment horizontal="right" vertical="center"/>
    </xf>
    <xf numFmtId="0" fontId="28" fillId="0" borderId="7" xfId="1" applyFont="1" applyFill="1" applyBorder="1" applyAlignment="1" applyProtection="1">
      <alignment vertical="center"/>
    </xf>
    <xf numFmtId="0" fontId="28" fillId="0" borderId="7" xfId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left" vertical="center" shrinkToFit="1"/>
    </xf>
    <xf numFmtId="0" fontId="28" fillId="0" borderId="7" xfId="1" applyFont="1" applyFill="1" applyBorder="1" applyAlignment="1" applyProtection="1">
      <alignment horizontal="left" vertical="center"/>
    </xf>
    <xf numFmtId="1" fontId="28" fillId="0" borderId="7" xfId="1" applyNumberFormat="1" applyFont="1" applyFill="1" applyBorder="1" applyAlignment="1" applyProtection="1">
      <alignment horizontal="center" vertical="center"/>
    </xf>
    <xf numFmtId="3" fontId="28" fillId="0" borderId="7" xfId="1" applyNumberFormat="1" applyFont="1" applyFill="1" applyBorder="1" applyAlignment="1" applyProtection="1">
      <alignment horizontal="center" vertical="center"/>
    </xf>
    <xf numFmtId="167" fontId="29" fillId="0" borderId="7" xfId="1" applyNumberFormat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center"/>
    </xf>
    <xf numFmtId="169" fontId="29" fillId="0" borderId="7" xfId="1" applyNumberFormat="1" applyFont="1" applyFill="1" applyBorder="1" applyAlignment="1" applyProtection="1">
      <alignment horizontal="center" vertical="center"/>
    </xf>
    <xf numFmtId="9" fontId="29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30" fillId="0" borderId="7" xfId="1" applyFont="1" applyFill="1" applyBorder="1" applyAlignment="1" applyProtection="1">
      <alignment horizontal="center"/>
    </xf>
    <xf numFmtId="0" fontId="30" fillId="0" borderId="7" xfId="1" applyFont="1" applyFill="1" applyBorder="1" applyProtection="1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31" fillId="0" borderId="0" xfId="0" applyNumberFormat="1" applyFont="1" applyBorder="1" applyAlignment="1">
      <alignment vertical="center"/>
    </xf>
    <xf numFmtId="1" fontId="19" fillId="0" borderId="0" xfId="1" applyNumberFormat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 shrinkToFit="1"/>
    </xf>
    <xf numFmtId="0" fontId="19" fillId="0" borderId="2" xfId="1" applyFont="1" applyFill="1" applyBorder="1" applyAlignment="1" applyProtection="1">
      <alignment vertical="center"/>
    </xf>
    <xf numFmtId="0" fontId="19" fillId="0" borderId="4" xfId="1" applyFont="1" applyFill="1" applyBorder="1" applyAlignment="1" applyProtection="1">
      <alignment vertical="center"/>
    </xf>
    <xf numFmtId="0" fontId="32" fillId="0" borderId="0" xfId="1" applyFont="1" applyFill="1" applyBorder="1" applyAlignment="1" applyProtection="1">
      <alignment vertical="center" shrinkToFit="1"/>
    </xf>
    <xf numFmtId="0" fontId="9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24" fillId="2" borderId="0" xfId="1" applyFont="1" applyFill="1" applyBorder="1" applyProtection="1"/>
    <xf numFmtId="0" fontId="8" fillId="0" borderId="6" xfId="1" applyFont="1" applyFill="1" applyBorder="1" applyAlignment="1" applyProtection="1"/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0" fontId="2" fillId="0" borderId="8" xfId="1" applyFont="1" applyFill="1" applyBorder="1" applyAlignment="1" applyProtection="1"/>
    <xf numFmtId="0" fontId="37" fillId="0" borderId="0" xfId="1" applyFont="1" applyFill="1" applyBorder="1" applyAlignment="1" applyProtection="1">
      <alignment vertical="center" shrinkToFit="1"/>
    </xf>
    <xf numFmtId="0" fontId="44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42" fillId="2" borderId="0" xfId="1" applyFont="1" applyFill="1" applyBorder="1" applyProtection="1"/>
    <xf numFmtId="0" fontId="42" fillId="2" borderId="0" xfId="1" applyFont="1" applyFill="1" applyBorder="1" applyAlignment="1" applyProtection="1"/>
    <xf numFmtId="0" fontId="49" fillId="2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0" xfId="1" applyFont="1" applyFill="1" applyBorder="1" applyProtection="1"/>
    <xf numFmtId="0" fontId="21" fillId="0" borderId="4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0" xfId="1" applyFont="1" applyFill="1" applyBorder="1" applyAlignment="1" applyProtection="1"/>
    <xf numFmtId="0" fontId="54" fillId="0" borderId="0" xfId="1" applyFont="1" applyFill="1" applyBorder="1" applyAlignment="1" applyProtection="1"/>
    <xf numFmtId="0" fontId="45" fillId="0" borderId="0" xfId="1" applyFont="1" applyFill="1" applyBorder="1" applyAlignment="1" applyProtection="1"/>
    <xf numFmtId="0" fontId="45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4" fillId="0" borderId="4" xfId="1" applyFont="1" applyFill="1" applyBorder="1" applyProtection="1"/>
    <xf numFmtId="0" fontId="40" fillId="0" borderId="0" xfId="1" applyFont="1" applyFill="1" applyBorder="1" applyAlignment="1" applyProtection="1">
      <alignment vertical="center"/>
    </xf>
    <xf numFmtId="0" fontId="52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0" fontId="56" fillId="0" borderId="0" xfId="1" applyFont="1" applyFill="1" applyBorder="1" applyAlignment="1" applyProtection="1">
      <alignment vertical="center"/>
    </xf>
    <xf numFmtId="0" fontId="51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21" fillId="0" borderId="5" xfId="1" applyFont="1" applyFill="1" applyBorder="1" applyProtection="1"/>
    <xf numFmtId="0" fontId="46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5" borderId="7" xfId="1" applyNumberFormat="1" applyFont="1" applyFill="1" applyBorder="1" applyAlignment="1" applyProtection="1"/>
    <xf numFmtId="0" fontId="46" fillId="0" borderId="5" xfId="1" applyFont="1" applyFill="1" applyBorder="1" applyAlignment="1" applyProtection="1">
      <alignment horizontal="left" vertical="center"/>
    </xf>
    <xf numFmtId="0" fontId="61" fillId="0" borderId="0" xfId="1" quotePrefix="1" applyFont="1" applyFill="1" applyBorder="1" applyAlignment="1" applyProtection="1">
      <alignment horizontal="left" indent="1"/>
    </xf>
    <xf numFmtId="0" fontId="61" fillId="0" borderId="0" xfId="1" applyFont="1" applyFill="1" applyBorder="1" applyAlignment="1" applyProtection="1">
      <alignment horizontal="left" indent="1"/>
    </xf>
    <xf numFmtId="167" fontId="51" fillId="0" borderId="0" xfId="1" applyNumberFormat="1" applyFont="1" applyFill="1" applyBorder="1" applyAlignment="1" applyProtection="1"/>
    <xf numFmtId="0" fontId="62" fillId="0" borderId="17" xfId="1" quotePrefix="1" applyFont="1" applyFill="1" applyBorder="1" applyAlignment="1" applyProtection="1">
      <alignment vertical="center"/>
    </xf>
    <xf numFmtId="0" fontId="53" fillId="0" borderId="17" xfId="1" applyFont="1" applyFill="1" applyBorder="1" applyAlignment="1" applyProtection="1">
      <alignment vertical="center"/>
    </xf>
    <xf numFmtId="167" fontId="53" fillId="0" borderId="17" xfId="1" applyNumberFormat="1" applyFont="1" applyFill="1" applyBorder="1" applyAlignment="1" applyProtection="1">
      <alignment vertical="center"/>
    </xf>
    <xf numFmtId="0" fontId="64" fillId="3" borderId="0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/>
    <xf numFmtId="0" fontId="63" fillId="0" borderId="7" xfId="1" applyFont="1" applyFill="1" applyBorder="1" applyAlignment="1" applyProtection="1"/>
    <xf numFmtId="49" fontId="21" fillId="0" borderId="0" xfId="1" applyNumberFormat="1" applyFont="1" applyFill="1" applyBorder="1" applyAlignment="1" applyProtection="1">
      <alignment vertical="center"/>
    </xf>
    <xf numFmtId="0" fontId="2" fillId="2" borderId="4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21" fillId="0" borderId="7" xfId="1" applyFont="1" applyFill="1" applyBorder="1" applyAlignment="1" applyProtection="1">
      <alignment horizontal="left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2" fillId="0" borderId="0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46" fillId="0" borderId="0" xfId="1" applyFont="1" applyFill="1" applyBorder="1" applyAlignment="1" applyProtection="1">
      <alignment horizontal="right" vertical="center"/>
    </xf>
    <xf numFmtId="0" fontId="66" fillId="2" borderId="0" xfId="1" applyFont="1" applyFill="1" applyBorder="1" applyAlignment="1" applyProtection="1">
      <alignment horizontal="center" vertical="center"/>
    </xf>
    <xf numFmtId="0" fontId="63" fillId="0" borderId="5" xfId="1" applyFont="1" applyFill="1" applyBorder="1" applyAlignment="1" applyProtection="1"/>
    <xf numFmtId="167" fontId="65" fillId="5" borderId="7" xfId="1" applyNumberFormat="1" applyFont="1" applyFill="1" applyBorder="1" applyAlignment="1" applyProtection="1">
      <alignment horizontal="center"/>
    </xf>
    <xf numFmtId="0" fontId="63" fillId="5" borderId="7" xfId="1" applyFont="1" applyFill="1" applyBorder="1" applyAlignment="1" applyProtection="1"/>
    <xf numFmtId="0" fontId="10" fillId="5" borderId="1" xfId="1" applyFont="1" applyFill="1" applyBorder="1" applyAlignment="1" applyProtection="1">
      <alignment horizontal="center" vertical="center"/>
    </xf>
    <xf numFmtId="0" fontId="10" fillId="5" borderId="4" xfId="1" applyFont="1" applyFill="1" applyBorder="1" applyAlignment="1" applyProtection="1">
      <alignment horizontal="center" vertical="center"/>
    </xf>
    <xf numFmtId="0" fontId="4" fillId="2" borderId="0" xfId="1" applyFont="1" applyFill="1" applyBorder="1" applyProtection="1"/>
    <xf numFmtId="0" fontId="10" fillId="5" borderId="9" xfId="1" applyFont="1" applyFill="1" applyBorder="1" applyAlignment="1" applyProtection="1">
      <alignment horizontal="center" vertical="center"/>
    </xf>
    <xf numFmtId="0" fontId="50" fillId="9" borderId="3" xfId="1" applyFont="1" applyFill="1" applyBorder="1" applyAlignment="1" applyProtection="1">
      <alignment vertical="center"/>
    </xf>
    <xf numFmtId="0" fontId="50" fillId="9" borderId="5" xfId="1" applyFont="1" applyFill="1" applyBorder="1" applyAlignment="1" applyProtection="1">
      <alignment vertical="center"/>
    </xf>
    <xf numFmtId="0" fontId="57" fillId="0" borderId="3" xfId="1" applyFont="1" applyFill="1" applyBorder="1" applyProtection="1"/>
    <xf numFmtId="0" fontId="4" fillId="0" borderId="5" xfId="1" applyFont="1" applyFill="1" applyBorder="1" applyProtection="1"/>
    <xf numFmtId="0" fontId="57" fillId="0" borderId="5" xfId="1" applyFont="1" applyFill="1" applyBorder="1" applyProtection="1"/>
    <xf numFmtId="167" fontId="57" fillId="7" borderId="4" xfId="1" applyNumberFormat="1" applyFont="1" applyFill="1" applyBorder="1" applyAlignment="1" applyProtection="1">
      <alignment vertical="center"/>
    </xf>
    <xf numFmtId="167" fontId="57" fillId="7" borderId="0" xfId="1" applyNumberFormat="1" applyFont="1" applyFill="1" applyBorder="1" applyAlignment="1" applyProtection="1">
      <alignment vertical="center"/>
    </xf>
    <xf numFmtId="0" fontId="57" fillId="7" borderId="0" xfId="1" applyFont="1" applyFill="1" applyBorder="1" applyProtection="1"/>
    <xf numFmtId="0" fontId="57" fillId="7" borderId="5" xfId="1" applyFont="1" applyFill="1" applyBorder="1" applyProtection="1"/>
    <xf numFmtId="0" fontId="57" fillId="0" borderId="8" xfId="1" applyFont="1" applyFill="1" applyBorder="1" applyProtection="1"/>
    <xf numFmtId="0" fontId="10" fillId="5" borderId="6" xfId="1" applyFont="1" applyFill="1" applyBorder="1" applyAlignment="1" applyProtection="1">
      <alignment horizontal="center" vertical="center"/>
    </xf>
    <xf numFmtId="0" fontId="40" fillId="0" borderId="7" xfId="1" applyFont="1" applyFill="1" applyBorder="1" applyAlignment="1" applyProtection="1">
      <alignment vertical="center" shrinkToFit="1"/>
    </xf>
    <xf numFmtId="0" fontId="4" fillId="0" borderId="7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57" fillId="0" borderId="7" xfId="1" applyFont="1" applyFill="1" applyBorder="1" applyProtection="1"/>
    <xf numFmtId="0" fontId="59" fillId="0" borderId="7" xfId="1" applyFont="1" applyFill="1" applyBorder="1" applyAlignment="1" applyProtection="1">
      <alignment horizontal="center" vertical="center"/>
    </xf>
    <xf numFmtId="0" fontId="40" fillId="3" borderId="2" xfId="1" applyFont="1" applyFill="1" applyBorder="1" applyAlignment="1" applyProtection="1">
      <alignment vertical="center" shrinkToFit="1"/>
    </xf>
    <xf numFmtId="0" fontId="40" fillId="2" borderId="2" xfId="1" applyFont="1" applyFill="1" applyBorder="1" applyAlignment="1" applyProtection="1">
      <alignment vertical="center" shrinkToFit="1"/>
    </xf>
    <xf numFmtId="0" fontId="40" fillId="2" borderId="0" xfId="1" applyFont="1" applyFill="1" applyBorder="1" applyAlignment="1" applyProtection="1">
      <alignment vertical="center" shrinkToFit="1"/>
    </xf>
    <xf numFmtId="0" fontId="70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2" fillId="0" borderId="2" xfId="1" applyFont="1" applyFill="1" applyBorder="1" applyAlignment="1" applyProtection="1">
      <alignment shrinkToFit="1"/>
    </xf>
    <xf numFmtId="3" fontId="73" fillId="0" borderId="2" xfId="1" applyNumberFormat="1" applyFont="1" applyFill="1" applyBorder="1" applyAlignment="1" applyProtection="1">
      <alignment shrinkToFit="1"/>
    </xf>
    <xf numFmtId="0" fontId="70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167" fontId="52" fillId="0" borderId="0" xfId="1" applyNumberFormat="1" applyFont="1" applyFill="1" applyBorder="1" applyAlignment="1" applyProtection="1">
      <alignment vertical="center"/>
    </xf>
    <xf numFmtId="0" fontId="74" fillId="0" borderId="0" xfId="1" applyFont="1" applyFill="1" applyBorder="1" applyProtection="1"/>
    <xf numFmtId="1" fontId="74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5" applyNumberFormat="1" applyFont="1" applyFill="1" applyBorder="1" applyAlignment="1" applyProtection="1">
      <alignment horizontal="center" vertical="center"/>
    </xf>
    <xf numFmtId="0" fontId="4" fillId="7" borderId="30" xfId="1" applyFont="1" applyFill="1" applyBorder="1" applyProtection="1"/>
    <xf numFmtId="0" fontId="4" fillId="7" borderId="0" xfId="1" applyFont="1" applyFill="1" applyBorder="1" applyProtection="1"/>
    <xf numFmtId="0" fontId="4" fillId="7" borderId="34" xfId="1" applyFont="1" applyFill="1" applyBorder="1" applyProtection="1"/>
    <xf numFmtId="0" fontId="40" fillId="0" borderId="0" xfId="1" applyFont="1" applyFill="1" applyBorder="1" applyAlignment="1" applyProtection="1"/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40" fillId="0" borderId="0" xfId="1" applyFont="1" applyFill="1" applyBorder="1" applyAlignment="1" applyProtection="1">
      <alignment vertical="center" shrinkToFit="1"/>
    </xf>
    <xf numFmtId="0" fontId="70" fillId="0" borderId="7" xfId="1" applyFont="1" applyFill="1" applyBorder="1" applyAlignment="1" applyProtection="1">
      <alignment horizontal="center" vertical="center"/>
    </xf>
    <xf numFmtId="0" fontId="76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76" fillId="2" borderId="0" xfId="1" applyFont="1" applyFill="1" applyBorder="1" applyAlignment="1" applyProtection="1">
      <alignment horizontal="center" vertical="center" shrinkToFit="1"/>
    </xf>
    <xf numFmtId="1" fontId="76" fillId="2" borderId="0" xfId="1" applyNumberFormat="1" applyFont="1" applyFill="1" applyBorder="1" applyAlignment="1" applyProtection="1">
      <alignment vertical="center" shrinkToFit="1"/>
    </xf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71" fillId="2" borderId="0" xfId="1" applyNumberFormat="1" applyFont="1" applyFill="1" applyBorder="1" applyAlignment="1" applyProtection="1">
      <alignment vertical="top" shrinkToFit="1"/>
    </xf>
    <xf numFmtId="0" fontId="43" fillId="2" borderId="0" xfId="1" applyFont="1" applyFill="1" applyBorder="1" applyProtection="1"/>
    <xf numFmtId="0" fontId="26" fillId="2" borderId="0" xfId="1" applyFont="1" applyFill="1" applyBorder="1" applyProtection="1"/>
    <xf numFmtId="0" fontId="78" fillId="2" borderId="0" xfId="1" applyFont="1" applyFill="1" applyBorder="1" applyAlignment="1" applyProtection="1">
      <alignment horizontal="center" vertical="center"/>
    </xf>
    <xf numFmtId="0" fontId="50" fillId="0" borderId="0" xfId="1" applyFont="1" applyFill="1" applyBorder="1" applyAlignment="1" applyProtection="1">
      <alignment vertical="center"/>
    </xf>
    <xf numFmtId="0" fontId="50" fillId="0" borderId="41" xfId="1" applyFont="1" applyFill="1" applyBorder="1" applyAlignment="1" applyProtection="1">
      <alignment vertical="center"/>
    </xf>
    <xf numFmtId="0" fontId="2" fillId="0" borderId="30" xfId="1" applyFont="1" applyFill="1" applyBorder="1" applyProtection="1"/>
    <xf numFmtId="0" fontId="21" fillId="0" borderId="30" xfId="1" applyFont="1" applyFill="1" applyBorder="1" applyAlignment="1" applyProtection="1"/>
    <xf numFmtId="1" fontId="59" fillId="7" borderId="0" xfId="1" applyNumberFormat="1" applyFont="1" applyFill="1" applyBorder="1" applyAlignment="1" applyProtection="1">
      <alignment horizontal="center" vertical="center"/>
    </xf>
    <xf numFmtId="1" fontId="57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/>
    <xf numFmtId="0" fontId="21" fillId="7" borderId="34" xfId="1" applyFont="1" applyFill="1" applyBorder="1" applyAlignment="1" applyProtection="1"/>
    <xf numFmtId="0" fontId="4" fillId="0" borderId="3" xfId="1" applyFont="1" applyFill="1" applyBorder="1" applyAlignment="1" applyProtection="1"/>
    <xf numFmtId="0" fontId="70" fillId="0" borderId="0" xfId="1" applyFont="1" applyFill="1" applyBorder="1" applyAlignment="1" applyProtection="1">
      <alignment horizontal="center" vertical="center"/>
    </xf>
    <xf numFmtId="0" fontId="4" fillId="0" borderId="6" xfId="1" applyFont="1" applyFill="1" applyBorder="1" applyAlignment="1" applyProtection="1"/>
    <xf numFmtId="0" fontId="4" fillId="0" borderId="7" xfId="1" applyFont="1" applyFill="1" applyBorder="1" applyAlignment="1" applyProtection="1"/>
    <xf numFmtId="0" fontId="44" fillId="0" borderId="7" xfId="1" applyFont="1" applyFill="1" applyBorder="1" applyAlignment="1" applyProtection="1"/>
    <xf numFmtId="0" fontId="44" fillId="0" borderId="0" xfId="1" applyFont="1" applyFill="1" applyBorder="1" applyAlignment="1" applyProtection="1"/>
    <xf numFmtId="0" fontId="66" fillId="0" borderId="0" xfId="1" applyFont="1" applyFill="1" applyBorder="1" applyAlignment="1" applyProtection="1">
      <alignment vertical="center" shrinkToFit="1"/>
    </xf>
    <xf numFmtId="0" fontId="66" fillId="0" borderId="4" xfId="1" applyFont="1" applyFill="1" applyBorder="1" applyAlignment="1" applyProtection="1">
      <alignment vertical="center" shrinkToFit="1"/>
    </xf>
    <xf numFmtId="0" fontId="66" fillId="0" borderId="0" xfId="1" applyFont="1" applyFill="1" applyBorder="1" applyAlignment="1" applyProtection="1"/>
    <xf numFmtId="0" fontId="40" fillId="0" borderId="4" xfId="1" applyFont="1" applyFill="1" applyBorder="1" applyProtection="1"/>
    <xf numFmtId="0" fontId="40" fillId="0" borderId="0" xfId="1" applyFont="1" applyFill="1" applyBorder="1" applyProtection="1"/>
    <xf numFmtId="0" fontId="23" fillId="0" borderId="0" xfId="1" applyFont="1" applyFill="1" applyBorder="1" applyProtection="1"/>
    <xf numFmtId="0" fontId="56" fillId="0" borderId="0" xfId="1" applyFont="1" applyFill="1" applyBorder="1" applyProtection="1"/>
    <xf numFmtId="0" fontId="44" fillId="5" borderId="0" xfId="1" applyFont="1" applyFill="1" applyBorder="1" applyProtection="1"/>
    <xf numFmtId="0" fontId="38" fillId="0" borderId="0" xfId="1" applyFont="1" applyFill="1" applyBorder="1" applyAlignment="1" applyProtection="1">
      <alignment wrapText="1"/>
    </xf>
    <xf numFmtId="0" fontId="44" fillId="0" borderId="0" xfId="1" applyFont="1" applyFill="1" applyBorder="1" applyProtection="1"/>
    <xf numFmtId="0" fontId="23" fillId="0" borderId="7" xfId="1" applyFont="1" applyFill="1" applyBorder="1" applyProtection="1"/>
    <xf numFmtId="0" fontId="4" fillId="0" borderId="1" xfId="1" applyFont="1" applyFill="1" applyBorder="1" applyProtection="1"/>
    <xf numFmtId="0" fontId="4" fillId="0" borderId="1" xfId="1" applyFont="1" applyFill="1" applyBorder="1" applyAlignment="1" applyProtection="1"/>
    <xf numFmtId="0" fontId="40" fillId="0" borderId="2" xfId="1" applyFont="1" applyFill="1" applyBorder="1" applyAlignment="1" applyProtection="1"/>
    <xf numFmtId="0" fontId="40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Protection="1"/>
    <xf numFmtId="0" fontId="86" fillId="0" borderId="1" xfId="1" applyFont="1" applyFill="1" applyBorder="1" applyAlignment="1" applyProtection="1"/>
    <xf numFmtId="0" fontId="4" fillId="0" borderId="2" xfId="1" applyFont="1" applyFill="1" applyBorder="1" applyAlignment="1" applyProtection="1">
      <alignment vertical="center"/>
    </xf>
    <xf numFmtId="0" fontId="4" fillId="0" borderId="3" xfId="1" applyFont="1" applyFill="1" applyBorder="1" applyProtection="1"/>
    <xf numFmtId="0" fontId="88" fillId="0" borderId="0" xfId="1" applyFont="1" applyFill="1" applyBorder="1" applyProtection="1"/>
    <xf numFmtId="0" fontId="81" fillId="0" borderId="0" xfId="1" applyFont="1" applyFill="1" applyBorder="1" applyProtection="1"/>
    <xf numFmtId="0" fontId="84" fillId="0" borderId="0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4" fillId="0" borderId="0" xfId="1" applyFont="1" applyFill="1" applyBorder="1" applyAlignment="1" applyProtection="1">
      <alignment vertical="center"/>
    </xf>
    <xf numFmtId="0" fontId="40" fillId="0" borderId="5" xfId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vertical="top"/>
    </xf>
    <xf numFmtId="0" fontId="40" fillId="5" borderId="0" xfId="1" applyFont="1" applyFill="1" applyBorder="1" applyAlignment="1" applyProtection="1">
      <alignment vertical="center"/>
    </xf>
    <xf numFmtId="0" fontId="40" fillId="0" borderId="5" xfId="1" applyFont="1" applyFill="1" applyBorder="1" applyAlignment="1" applyProtection="1"/>
    <xf numFmtId="0" fontId="40" fillId="0" borderId="2" xfId="1" applyFont="1" applyFill="1" applyBorder="1" applyAlignment="1" applyProtection="1">
      <alignment vertical="top"/>
    </xf>
    <xf numFmtId="0" fontId="90" fillId="0" borderId="0" xfId="1" applyFont="1" applyFill="1" applyBorder="1" applyAlignment="1" applyProtection="1">
      <alignment vertical="center"/>
    </xf>
    <xf numFmtId="0" fontId="4" fillId="0" borderId="6" xfId="1" applyFont="1" applyFill="1" applyBorder="1" applyProtection="1"/>
    <xf numFmtId="0" fontId="4" fillId="0" borderId="8" xfId="1" applyFont="1" applyFill="1" applyBorder="1" applyProtection="1"/>
    <xf numFmtId="0" fontId="4" fillId="7" borderId="4" xfId="1" applyFont="1" applyFill="1" applyBorder="1" applyAlignment="1" applyProtection="1">
      <alignment horizontal="left" vertical="center"/>
    </xf>
    <xf numFmtId="0" fontId="4" fillId="0" borderId="0" xfId="1" applyNumberFormat="1" applyFont="1" applyFill="1" applyBorder="1" applyAlignment="1" applyProtection="1">
      <alignment vertical="center"/>
    </xf>
    <xf numFmtId="0" fontId="21" fillId="0" borderId="4" xfId="1" applyFont="1" applyFill="1" applyBorder="1" applyAlignment="1" applyProtection="1">
      <alignment vertical="center"/>
    </xf>
    <xf numFmtId="0" fontId="40" fillId="0" borderId="7" xfId="1" applyFont="1" applyFill="1" applyBorder="1" applyAlignment="1" applyProtection="1"/>
    <xf numFmtId="0" fontId="40" fillId="0" borderId="6" xfId="1" applyFont="1" applyFill="1" applyBorder="1" applyAlignment="1" applyProtection="1"/>
    <xf numFmtId="0" fontId="91" fillId="0" borderId="7" xfId="1" applyFont="1" applyFill="1" applyBorder="1" applyAlignment="1" applyProtection="1"/>
    <xf numFmtId="0" fontId="91" fillId="0" borderId="0" xfId="1" applyFont="1" applyFill="1" applyBorder="1" applyAlignment="1" applyProtection="1"/>
    <xf numFmtId="167" fontId="4" fillId="0" borderId="0" xfId="1" applyNumberFormat="1" applyFont="1" applyFill="1" applyBorder="1" applyProtection="1"/>
    <xf numFmtId="167" fontId="4" fillId="0" borderId="7" xfId="1" applyNumberFormat="1" applyFont="1" applyFill="1" applyBorder="1" applyProtection="1"/>
    <xf numFmtId="0" fontId="40" fillId="0" borderId="48" xfId="1" applyFont="1" applyFill="1" applyBorder="1" applyProtection="1"/>
    <xf numFmtId="0" fontId="40" fillId="0" borderId="47" xfId="1" applyFont="1" applyFill="1" applyBorder="1" applyProtection="1"/>
    <xf numFmtId="0" fontId="40" fillId="0" borderId="47" xfId="1" applyFont="1" applyFill="1" applyBorder="1" applyAlignment="1" applyProtection="1"/>
    <xf numFmtId="0" fontId="40" fillId="0" borderId="49" xfId="1" applyFont="1" applyFill="1" applyBorder="1" applyAlignment="1" applyProtection="1"/>
    <xf numFmtId="0" fontId="4" fillId="0" borderId="34" xfId="1" applyFont="1" applyFill="1" applyBorder="1" applyProtection="1"/>
    <xf numFmtId="0" fontId="4" fillId="0" borderId="30" xfId="1" applyFont="1" applyFill="1" applyBorder="1" applyProtection="1"/>
    <xf numFmtId="0" fontId="40" fillId="0" borderId="34" xfId="1" applyFont="1" applyFill="1" applyBorder="1" applyProtection="1"/>
    <xf numFmtId="0" fontId="40" fillId="0" borderId="30" xfId="1" applyFont="1" applyFill="1" applyBorder="1" applyProtection="1"/>
    <xf numFmtId="0" fontId="40" fillId="0" borderId="34" xfId="1" applyFont="1" applyFill="1" applyBorder="1" applyAlignment="1" applyProtection="1"/>
    <xf numFmtId="0" fontId="40" fillId="0" borderId="30" xfId="1" applyFont="1" applyFill="1" applyBorder="1" applyAlignment="1" applyProtection="1"/>
    <xf numFmtId="0" fontId="21" fillId="0" borderId="0" xfId="1" applyFont="1" applyFill="1" applyBorder="1" applyAlignment="1" applyProtection="1"/>
    <xf numFmtId="3" fontId="80" fillId="0" borderId="0" xfId="1" applyNumberFormat="1" applyFont="1" applyFill="1" applyBorder="1" applyAlignment="1" applyProtection="1">
      <alignment vertical="center" shrinkToFit="1"/>
    </xf>
    <xf numFmtId="0" fontId="93" fillId="2" borderId="0" xfId="1" applyFont="1" applyFill="1" applyBorder="1" applyProtection="1"/>
    <xf numFmtId="0" fontId="94" fillId="2" borderId="0" xfId="1" applyFont="1" applyFill="1" applyBorder="1" applyAlignment="1" applyProtection="1">
      <alignment vertical="top"/>
    </xf>
    <xf numFmtId="0" fontId="95" fillId="2" borderId="0" xfId="1" applyFont="1" applyFill="1" applyBorder="1" applyAlignment="1" applyProtection="1">
      <alignment horizontal="center" vertical="center"/>
    </xf>
    <xf numFmtId="0" fontId="96" fillId="2" borderId="0" xfId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/>
    <xf numFmtId="0" fontId="97" fillId="2" borderId="0" xfId="1" applyFont="1" applyFill="1" applyBorder="1" applyAlignment="1" applyProtection="1">
      <alignment shrinkToFit="1"/>
    </xf>
    <xf numFmtId="0" fontId="98" fillId="2" borderId="0" xfId="1" applyFont="1" applyFill="1" applyBorder="1" applyAlignment="1" applyProtection="1">
      <alignment horizontal="center" vertical="center"/>
    </xf>
    <xf numFmtId="0" fontId="99" fillId="2" borderId="0" xfId="1" applyFont="1" applyFill="1" applyBorder="1" applyAlignment="1" applyProtection="1">
      <alignment horizontal="center" vertical="center"/>
    </xf>
    <xf numFmtId="0" fontId="91" fillId="0" borderId="0" xfId="1" applyFont="1" applyFill="1" applyBorder="1" applyAlignment="1" applyProtection="1">
      <alignment horizontal="left" vertical="center"/>
    </xf>
    <xf numFmtId="0" fontId="91" fillId="0" borderId="0" xfId="1" applyFont="1" applyFill="1" applyBorder="1" applyAlignment="1" applyProtection="1">
      <alignment vertical="center"/>
    </xf>
    <xf numFmtId="1" fontId="32" fillId="5" borderId="48" xfId="1" applyNumberFormat="1" applyFont="1" applyFill="1" applyBorder="1" applyAlignment="1" applyProtection="1">
      <alignment vertical="center"/>
    </xf>
    <xf numFmtId="0" fontId="87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81" fillId="0" borderId="0" xfId="1" applyFont="1" applyFill="1" applyBorder="1" applyAlignment="1" applyProtection="1"/>
    <xf numFmtId="0" fontId="40" fillId="0" borderId="0" xfId="1" applyFont="1" applyFill="1" applyBorder="1" applyAlignment="1" applyProtection="1">
      <alignment horizontal="left" vertical="center"/>
    </xf>
    <xf numFmtId="0" fontId="40" fillId="0" borderId="0" xfId="1" applyFont="1" applyFill="1" applyBorder="1" applyAlignment="1" applyProtection="1">
      <alignment vertical="center"/>
    </xf>
    <xf numFmtId="0" fontId="89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vertical="center"/>
    </xf>
    <xf numFmtId="0" fontId="105" fillId="0" borderId="0" xfId="1" applyFont="1" applyFill="1" applyBorder="1" applyProtection="1"/>
    <xf numFmtId="0" fontId="106" fillId="2" borderId="0" xfId="1" applyFont="1" applyFill="1" applyBorder="1" applyProtection="1"/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0" fontId="21" fillId="0" borderId="0" xfId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21" fillId="0" borderId="0" xfId="1" applyNumberFormat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7" xfId="1" applyNumberFormat="1" applyFont="1" applyFill="1" applyBorder="1" applyProtection="1"/>
    <xf numFmtId="1" fontId="21" fillId="0" borderId="7" xfId="1" applyNumberFormat="1" applyFont="1" applyFill="1" applyBorder="1" applyAlignment="1" applyProtection="1"/>
    <xf numFmtId="0" fontId="21" fillId="0" borderId="35" xfId="1" applyFont="1" applyFill="1" applyBorder="1" applyProtection="1">
      <protection locked="0"/>
    </xf>
    <xf numFmtId="0" fontId="21" fillId="0" borderId="36" xfId="1" applyFont="1" applyFill="1" applyBorder="1" applyProtection="1">
      <protection locked="0"/>
    </xf>
    <xf numFmtId="0" fontId="21" fillId="0" borderId="30" xfId="1" applyFont="1" applyFill="1" applyBorder="1" applyProtection="1">
      <protection locked="0"/>
    </xf>
    <xf numFmtId="0" fontId="21" fillId="0" borderId="0" xfId="1" applyFont="1" applyFill="1" applyBorder="1" applyProtection="1">
      <protection locked="0"/>
    </xf>
    <xf numFmtId="0" fontId="21" fillId="0" borderId="34" xfId="1" applyFont="1" applyFill="1" applyBorder="1" applyProtection="1">
      <protection locked="0"/>
    </xf>
    <xf numFmtId="0" fontId="21" fillId="0" borderId="40" xfId="1" applyFont="1" applyFill="1" applyBorder="1" applyProtection="1">
      <protection locked="0"/>
    </xf>
    <xf numFmtId="0" fontId="21" fillId="0" borderId="41" xfId="1" applyFont="1" applyFill="1" applyBorder="1" applyProtection="1">
      <protection locked="0"/>
    </xf>
    <xf numFmtId="0" fontId="21" fillId="0" borderId="42" xfId="1" applyFont="1" applyFill="1" applyBorder="1" applyProtection="1">
      <protection locked="0"/>
    </xf>
    <xf numFmtId="0" fontId="57" fillId="0" borderId="0" xfId="1" applyFont="1" applyFill="1" applyBorder="1" applyAlignment="1" applyProtection="1">
      <protection locked="0"/>
    </xf>
    <xf numFmtId="0" fontId="57" fillId="0" borderId="5" xfId="1" applyFont="1" applyFill="1" applyBorder="1" applyAlignment="1" applyProtection="1">
      <protection locked="0"/>
    </xf>
    <xf numFmtId="0" fontId="57" fillId="0" borderId="7" xfId="1" applyFont="1" applyFill="1" applyBorder="1" applyAlignment="1" applyProtection="1">
      <protection locked="0"/>
    </xf>
    <xf numFmtId="0" fontId="57" fillId="0" borderId="8" xfId="1" applyFont="1" applyFill="1" applyBorder="1" applyAlignment="1" applyProtection="1">
      <protection locked="0"/>
    </xf>
    <xf numFmtId="0" fontId="109" fillId="0" borderId="0" xfId="0" applyFont="1"/>
    <xf numFmtId="0" fontId="110" fillId="0" borderId="0" xfId="0" applyFont="1" applyAlignment="1">
      <alignment horizontal="center"/>
    </xf>
    <xf numFmtId="0" fontId="110" fillId="0" borderId="0" xfId="0" applyFont="1"/>
    <xf numFmtId="0" fontId="111" fillId="0" borderId="0" xfId="0" applyFont="1" applyAlignment="1"/>
    <xf numFmtId="0" fontId="112" fillId="0" borderId="0" xfId="0" applyFont="1" applyAlignment="1">
      <alignment horizontal="center"/>
    </xf>
    <xf numFmtId="3" fontId="109" fillId="0" borderId="0" xfId="0" applyNumberFormat="1" applyFont="1"/>
    <xf numFmtId="0" fontId="110" fillId="7" borderId="52" xfId="0" applyFont="1" applyFill="1" applyBorder="1" applyAlignment="1">
      <alignment horizontal="center"/>
    </xf>
    <xf numFmtId="0" fontId="112" fillId="0" borderId="0" xfId="0" applyFont="1" applyBorder="1" applyAlignment="1">
      <alignment horizontal="center"/>
    </xf>
    <xf numFmtId="0" fontId="109" fillId="7" borderId="52" xfId="0" applyFont="1" applyFill="1" applyBorder="1"/>
    <xf numFmtId="0" fontId="111" fillId="7" borderId="53" xfId="0" applyFont="1" applyFill="1" applyBorder="1"/>
    <xf numFmtId="0" fontId="109" fillId="7" borderId="53" xfId="0" applyFont="1" applyFill="1" applyBorder="1"/>
    <xf numFmtId="0" fontId="109" fillId="7" borderId="54" xfId="0" applyFont="1" applyFill="1" applyBorder="1"/>
    <xf numFmtId="0" fontId="113" fillId="7" borderId="55" xfId="0" applyFont="1" applyFill="1" applyBorder="1" applyAlignment="1">
      <alignment horizontal="center"/>
    </xf>
    <xf numFmtId="0" fontId="110" fillId="7" borderId="56" xfId="0" applyFont="1" applyFill="1" applyBorder="1"/>
    <xf numFmtId="0" fontId="110" fillId="7" borderId="56" xfId="0" applyFont="1" applyFill="1" applyBorder="1" applyAlignment="1">
      <alignment horizontal="center"/>
    </xf>
    <xf numFmtId="0" fontId="110" fillId="7" borderId="56" xfId="0" applyFont="1" applyFill="1" applyBorder="1" applyAlignment="1">
      <alignment horizontal="right"/>
    </xf>
    <xf numFmtId="0" fontId="110" fillId="7" borderId="57" xfId="0" applyFont="1" applyFill="1" applyBorder="1" applyAlignment="1">
      <alignment horizontal="right"/>
    </xf>
    <xf numFmtId="0" fontId="109" fillId="0" borderId="0" xfId="0" applyFont="1" applyBorder="1" applyAlignment="1">
      <alignment horizontal="right"/>
    </xf>
    <xf numFmtId="0" fontId="109" fillId="7" borderId="58" xfId="0" applyFont="1" applyFill="1" applyBorder="1"/>
    <xf numFmtId="0" fontId="109" fillId="7" borderId="0" xfId="0" applyFont="1" applyFill="1" applyBorder="1"/>
    <xf numFmtId="0" fontId="109" fillId="7" borderId="59" xfId="0" applyFont="1" applyFill="1" applyBorder="1"/>
    <xf numFmtId="0" fontId="113" fillId="7" borderId="60" xfId="0" applyFont="1" applyFill="1" applyBorder="1" applyAlignment="1">
      <alignment horizontal="center"/>
    </xf>
    <xf numFmtId="0" fontId="110" fillId="7" borderId="46" xfId="0" applyFont="1" applyFill="1" applyBorder="1"/>
    <xf numFmtId="0" fontId="110" fillId="7" borderId="46" xfId="0" applyFont="1" applyFill="1" applyBorder="1" applyAlignment="1">
      <alignment horizontal="center"/>
    </xf>
    <xf numFmtId="0" fontId="110" fillId="7" borderId="46" xfId="0" applyFont="1" applyFill="1" applyBorder="1" applyAlignment="1">
      <alignment horizontal="right"/>
    </xf>
    <xf numFmtId="0" fontId="110" fillId="7" borderId="61" xfId="0" applyFont="1" applyFill="1" applyBorder="1" applyAlignment="1">
      <alignment horizontal="right"/>
    </xf>
    <xf numFmtId="0" fontId="110" fillId="7" borderId="0" xfId="0" applyFont="1" applyFill="1" applyBorder="1"/>
    <xf numFmtId="0" fontId="110" fillId="7" borderId="59" xfId="0" applyFont="1" applyFill="1" applyBorder="1"/>
    <xf numFmtId="0" fontId="113" fillId="7" borderId="0" xfId="0" applyFont="1" applyFill="1" applyBorder="1"/>
    <xf numFmtId="1" fontId="114" fillId="4" borderId="46" xfId="1" applyNumberFormat="1" applyFont="1" applyFill="1" applyBorder="1" applyAlignment="1" applyProtection="1">
      <alignment horizontal="center" vertical="center"/>
    </xf>
    <xf numFmtId="0" fontId="109" fillId="0" borderId="0" xfId="0" applyFont="1" applyFill="1" applyBorder="1"/>
    <xf numFmtId="0" fontId="109" fillId="0" borderId="0" xfId="0" applyFont="1" applyBorder="1"/>
    <xf numFmtId="0" fontId="113" fillId="7" borderId="46" xfId="0" applyFont="1" applyFill="1" applyBorder="1"/>
    <xf numFmtId="169" fontId="110" fillId="7" borderId="0" xfId="0" applyNumberFormat="1" applyFont="1" applyFill="1" applyBorder="1"/>
    <xf numFmtId="169" fontId="110" fillId="7" borderId="62" xfId="0" applyNumberFormat="1" applyFont="1" applyFill="1" applyBorder="1"/>
    <xf numFmtId="0" fontId="109" fillId="7" borderId="63" xfId="0" applyFont="1" applyFill="1" applyBorder="1"/>
    <xf numFmtId="0" fontId="113" fillId="7" borderId="64" xfId="0" applyFont="1" applyFill="1" applyBorder="1"/>
    <xf numFmtId="9" fontId="113" fillId="7" borderId="64" xfId="4" applyFont="1" applyFill="1" applyBorder="1"/>
    <xf numFmtId="0" fontId="110" fillId="7" borderId="64" xfId="0" applyFont="1" applyFill="1" applyBorder="1"/>
    <xf numFmtId="0" fontId="110" fillId="7" borderId="65" xfId="0" applyFont="1" applyFill="1" applyBorder="1"/>
    <xf numFmtId="0" fontId="113" fillId="7" borderId="53" xfId="0" applyFont="1" applyFill="1" applyBorder="1"/>
    <xf numFmtId="0" fontId="110" fillId="7" borderId="53" xfId="0" applyFont="1" applyFill="1" applyBorder="1"/>
    <xf numFmtId="0" fontId="110" fillId="7" borderId="54" xfId="0" applyFont="1" applyFill="1" applyBorder="1"/>
    <xf numFmtId="2" fontId="18" fillId="0" borderId="0" xfId="0" applyNumberFormat="1" applyFont="1"/>
    <xf numFmtId="0" fontId="115" fillId="7" borderId="60" xfId="0" applyFont="1" applyFill="1" applyBorder="1" applyAlignment="1" applyProtection="1">
      <alignment horizontal="center"/>
    </xf>
    <xf numFmtId="1" fontId="109" fillId="0" borderId="0" xfId="0" applyNumberFormat="1" applyFont="1"/>
    <xf numFmtId="0" fontId="113" fillId="7" borderId="66" xfId="0" applyFont="1" applyFill="1" applyBorder="1" applyAlignment="1">
      <alignment horizontal="center"/>
    </xf>
    <xf numFmtId="0" fontId="110" fillId="7" borderId="67" xfId="0" applyFont="1" applyFill="1" applyBorder="1"/>
    <xf numFmtId="0" fontId="110" fillId="7" borderId="67" xfId="0" applyFont="1" applyFill="1" applyBorder="1" applyAlignment="1">
      <alignment horizontal="center"/>
    </xf>
    <xf numFmtId="0" fontId="110" fillId="7" borderId="67" xfId="0" applyFont="1" applyFill="1" applyBorder="1" applyAlignment="1">
      <alignment horizontal="right"/>
    </xf>
    <xf numFmtId="0" fontId="110" fillId="7" borderId="68" xfId="0" applyFont="1" applyFill="1" applyBorder="1" applyAlignment="1">
      <alignment horizontal="right"/>
    </xf>
    <xf numFmtId="0" fontId="110" fillId="0" borderId="0" xfId="0" applyFont="1" applyAlignment="1">
      <alignment horizontal="right"/>
    </xf>
    <xf numFmtId="0" fontId="109" fillId="0" borderId="0" xfId="0" applyFont="1" applyAlignment="1">
      <alignment horizontal="right"/>
    </xf>
    <xf numFmtId="178" fontId="4" fillId="7" borderId="30" xfId="1" applyNumberFormat="1" applyFont="1" applyFill="1" applyBorder="1" applyProtection="1"/>
    <xf numFmtId="178" fontId="4" fillId="7" borderId="0" xfId="1" applyNumberFormat="1" applyFont="1" applyFill="1" applyBorder="1" applyProtection="1"/>
    <xf numFmtId="178" fontId="4" fillId="7" borderId="34" xfId="1" applyNumberFormat="1" applyFont="1" applyFill="1" applyBorder="1" applyProtection="1"/>
    <xf numFmtId="178" fontId="53" fillId="7" borderId="0" xfId="1" applyNumberFormat="1" applyFont="1" applyFill="1" applyBorder="1" applyAlignment="1" applyProtection="1">
      <alignment vertical="center"/>
    </xf>
    <xf numFmtId="175" fontId="57" fillId="7" borderId="4" xfId="1" applyNumberFormat="1" applyFont="1" applyFill="1" applyBorder="1" applyAlignment="1" applyProtection="1">
      <alignment vertical="center"/>
    </xf>
    <xf numFmtId="175" fontId="57" fillId="7" borderId="0" xfId="1" applyNumberFormat="1" applyFont="1" applyFill="1" applyBorder="1" applyAlignment="1" applyProtection="1">
      <alignment vertical="center"/>
    </xf>
    <xf numFmtId="175" fontId="57" fillId="7" borderId="0" xfId="1" applyNumberFormat="1" applyFont="1" applyFill="1" applyBorder="1" applyProtection="1"/>
    <xf numFmtId="175" fontId="57" fillId="7" borderId="5" xfId="1" applyNumberFormat="1" applyFont="1" applyFill="1" applyBorder="1" applyProtection="1"/>
    <xf numFmtId="175" fontId="2" fillId="7" borderId="0" xfId="1" applyNumberFormat="1" applyFont="1" applyFill="1" applyBorder="1" applyProtection="1"/>
    <xf numFmtId="175" fontId="2" fillId="7" borderId="4" xfId="1" applyNumberFormat="1" applyFont="1" applyFill="1" applyBorder="1" applyProtection="1"/>
    <xf numFmtId="175" fontId="2" fillId="7" borderId="5" xfId="1" applyNumberFormat="1" applyFont="1" applyFill="1" applyBorder="1" applyProtection="1"/>
    <xf numFmtId="169" fontId="21" fillId="0" borderId="0" xfId="1" applyNumberFormat="1" applyFont="1" applyFill="1" applyBorder="1" applyAlignment="1" applyProtection="1">
      <alignment horizontal="right" vertical="center"/>
    </xf>
    <xf numFmtId="169" fontId="21" fillId="0" borderId="0" xfId="1" applyNumberFormat="1" applyFont="1" applyFill="1" applyBorder="1" applyAlignment="1" applyProtection="1">
      <alignment horizontal="right"/>
    </xf>
    <xf numFmtId="169" fontId="32" fillId="0" borderId="0" xfId="1" applyNumberFormat="1" applyFont="1" applyFill="1" applyBorder="1" applyAlignment="1" applyProtection="1">
      <alignment horizontal="right" vertical="center"/>
    </xf>
    <xf numFmtId="169" fontId="46" fillId="0" borderId="0" xfId="1" applyNumberFormat="1" applyFont="1" applyFill="1" applyBorder="1" applyAlignment="1" applyProtection="1">
      <alignment horizontal="right" vertical="center"/>
    </xf>
    <xf numFmtId="0" fontId="116" fillId="0" borderId="5" xfId="1" applyFont="1" applyFill="1" applyBorder="1" applyProtection="1"/>
    <xf numFmtId="0" fontId="117" fillId="0" borderId="5" xfId="1" applyFont="1" applyFill="1" applyBorder="1" applyAlignment="1" applyProtection="1">
      <alignment vertical="center"/>
    </xf>
    <xf numFmtId="0" fontId="118" fillId="0" borderId="5" xfId="1" applyFont="1" applyFill="1" applyBorder="1" applyAlignment="1" applyProtection="1">
      <alignment vertical="center" shrinkToFit="1"/>
    </xf>
    <xf numFmtId="0" fontId="116" fillId="0" borderId="7" xfId="1" applyFont="1" applyFill="1" applyBorder="1" applyProtection="1"/>
    <xf numFmtId="0" fontId="119" fillId="0" borderId="7" xfId="1" applyFont="1" applyFill="1" applyBorder="1" applyAlignment="1" applyProtection="1">
      <alignment horizontal="center" vertical="center"/>
    </xf>
    <xf numFmtId="0" fontId="116" fillId="0" borderId="7" xfId="1" applyFont="1" applyFill="1" applyBorder="1" applyAlignment="1" applyProtection="1"/>
    <xf numFmtId="0" fontId="118" fillId="0" borderId="7" xfId="1" applyFont="1" applyFill="1" applyBorder="1" applyAlignment="1" applyProtection="1">
      <alignment vertical="center" shrinkToFit="1"/>
    </xf>
    <xf numFmtId="0" fontId="118" fillId="0" borderId="8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wrapText="1"/>
    </xf>
    <xf numFmtId="0" fontId="21" fillId="0" borderId="0" xfId="1" applyFont="1" applyFill="1" applyBorder="1" applyAlignment="1" applyProtection="1">
      <alignment wrapText="1"/>
    </xf>
    <xf numFmtId="0" fontId="4" fillId="0" borderId="0" xfId="1" applyFont="1" applyFill="1" applyBorder="1" applyProtection="1">
      <protection locked="0"/>
    </xf>
    <xf numFmtId="0" fontId="84" fillId="0" borderId="0" xfId="1" applyFont="1" applyFill="1" applyBorder="1" applyAlignment="1" applyProtection="1">
      <alignment vertical="center"/>
      <protection locked="0"/>
    </xf>
    <xf numFmtId="0" fontId="4" fillId="0" borderId="4" xfId="1" applyFont="1" applyFill="1" applyBorder="1" applyProtection="1">
      <protection locked="0"/>
    </xf>
    <xf numFmtId="0" fontId="4" fillId="0" borderId="0" xfId="1" applyFont="1" applyFill="1" applyBorder="1" applyAlignment="1" applyProtection="1">
      <alignment horizontal="center"/>
    </xf>
    <xf numFmtId="0" fontId="44" fillId="0" borderId="0" xfId="1" applyFont="1" applyFill="1" applyBorder="1" applyAlignment="1" applyProtection="1">
      <alignment horizontal="center"/>
    </xf>
    <xf numFmtId="0" fontId="32" fillId="4" borderId="47" xfId="1" applyFont="1" applyFill="1" applyBorder="1" applyAlignment="1" applyProtection="1">
      <alignment vertical="center"/>
      <protection locked="0"/>
    </xf>
    <xf numFmtId="0" fontId="40" fillId="0" borderId="0" xfId="1" applyFont="1" applyFill="1" applyBorder="1" applyAlignment="1" applyProtection="1">
      <alignment vertical="center"/>
    </xf>
    <xf numFmtId="0" fontId="40" fillId="0" borderId="0" xfId="1" applyFont="1" applyFill="1" applyBorder="1" applyAlignment="1" applyProtection="1">
      <alignment horizontal="right" vertical="center"/>
    </xf>
    <xf numFmtId="0" fontId="19" fillId="5" borderId="0" xfId="1" applyFont="1" applyFill="1" applyBorder="1" applyAlignment="1" applyProtection="1">
      <alignment horizontal="right" vertical="center"/>
    </xf>
    <xf numFmtId="0" fontId="25" fillId="6" borderId="0" xfId="1" applyFont="1" applyFill="1" applyBorder="1" applyAlignment="1" applyProtection="1">
      <alignment vertical="center"/>
      <protection locked="0"/>
    </xf>
    <xf numFmtId="0" fontId="25" fillId="0" borderId="0" xfId="1" applyFont="1" applyFill="1" applyBorder="1" applyAlignment="1" applyProtection="1">
      <alignment vertical="center"/>
      <protection locked="0"/>
    </xf>
    <xf numFmtId="0" fontId="89" fillId="0" borderId="0" xfId="1" applyFont="1" applyFill="1" applyBorder="1" applyAlignment="1" applyProtection="1">
      <alignment horizontal="center" vertical="center"/>
    </xf>
    <xf numFmtId="0" fontId="89" fillId="0" borderId="0" xfId="1" applyFont="1" applyFill="1" applyBorder="1" applyAlignment="1" applyProtection="1">
      <alignment horizontal="right" vertical="center"/>
    </xf>
    <xf numFmtId="0" fontId="89" fillId="0" borderId="0" xfId="1" applyFont="1" applyFill="1" applyBorder="1" applyAlignment="1" applyProtection="1">
      <alignment vertical="center"/>
    </xf>
    <xf numFmtId="0" fontId="89" fillId="0" borderId="0" xfId="1" applyFont="1" applyFill="1" applyBorder="1" applyAlignment="1" applyProtection="1">
      <alignment horizontal="left" vertical="center"/>
    </xf>
    <xf numFmtId="0" fontId="40" fillId="0" borderId="0" xfId="1" applyFont="1" applyFill="1" applyBorder="1" applyAlignment="1" applyProtection="1">
      <alignment horizontal="left" vertical="center"/>
    </xf>
    <xf numFmtId="1" fontId="25" fillId="6" borderId="47" xfId="1" applyNumberFormat="1" applyFont="1" applyFill="1" applyBorder="1" applyAlignment="1" applyProtection="1">
      <alignment vertical="center"/>
      <protection locked="0"/>
    </xf>
    <xf numFmtId="1" fontId="32" fillId="4" borderId="47" xfId="1" applyNumberFormat="1" applyFont="1" applyFill="1" applyBorder="1" applyAlignment="1" applyProtection="1">
      <alignment vertical="center"/>
      <protection locked="0"/>
    </xf>
    <xf numFmtId="1" fontId="32" fillId="4" borderId="49" xfId="1" applyNumberFormat="1" applyFont="1" applyFill="1" applyBorder="1" applyAlignment="1" applyProtection="1">
      <alignment vertical="center"/>
      <protection locked="0"/>
    </xf>
    <xf numFmtId="1" fontId="25" fillId="6" borderId="48" xfId="1" applyNumberFormat="1" applyFont="1" applyFill="1" applyBorder="1" applyAlignment="1" applyProtection="1">
      <alignment vertical="center"/>
      <protection locked="0"/>
    </xf>
    <xf numFmtId="1" fontId="32" fillId="4" borderId="48" xfId="1" applyNumberFormat="1" applyFont="1" applyFill="1" applyBorder="1" applyAlignment="1" applyProtection="1">
      <alignment vertical="center"/>
      <protection locked="0"/>
    </xf>
    <xf numFmtId="0" fontId="102" fillId="0" borderId="0" xfId="1" applyFont="1" applyFill="1" applyBorder="1" applyAlignment="1" applyProtection="1">
      <alignment horizontal="left"/>
      <protection locked="0"/>
    </xf>
    <xf numFmtId="0" fontId="54" fillId="4" borderId="0" xfId="1" applyFont="1" applyFill="1" applyBorder="1" applyAlignment="1" applyProtection="1">
      <alignment horizontal="left"/>
      <protection locked="0"/>
    </xf>
    <xf numFmtId="0" fontId="87" fillId="0" borderId="0" xfId="1" applyFont="1" applyFill="1" applyBorder="1" applyAlignment="1" applyProtection="1">
      <alignment horizontal="left"/>
    </xf>
    <xf numFmtId="0" fontId="34" fillId="4" borderId="0" xfId="1" applyFont="1" applyFill="1" applyBorder="1" applyAlignment="1" applyProtection="1">
      <alignment horizontal="left"/>
    </xf>
    <xf numFmtId="0" fontId="89" fillId="0" borderId="0" xfId="1" applyFont="1" applyFill="1" applyBorder="1" applyAlignment="1" applyProtection="1">
      <alignment horizontal="right" vertical="top"/>
    </xf>
    <xf numFmtId="0" fontId="40" fillId="0" borderId="0" xfId="1" applyFont="1" applyFill="1" applyBorder="1" applyAlignment="1" applyProtection="1">
      <alignment horizontal="right" vertical="top"/>
    </xf>
    <xf numFmtId="0" fontId="89" fillId="0" borderId="0" xfId="1" applyFont="1" applyFill="1" applyBorder="1" applyAlignment="1" applyProtection="1">
      <alignment horizontal="left" vertical="top"/>
    </xf>
    <xf numFmtId="0" fontId="40" fillId="0" borderId="0" xfId="1" applyFont="1" applyFill="1" applyBorder="1" applyAlignment="1" applyProtection="1">
      <alignment horizontal="left" vertical="top"/>
    </xf>
    <xf numFmtId="0" fontId="87" fillId="0" borderId="0" xfId="1" applyFont="1" applyFill="1" applyBorder="1" applyAlignment="1" applyProtection="1">
      <alignment horizontal="right" vertical="center"/>
    </xf>
    <xf numFmtId="0" fontId="87" fillId="0" borderId="0" xfId="1" applyFont="1" applyFill="1" applyBorder="1" applyAlignment="1" applyProtection="1">
      <alignment horizontal="center" vertical="center"/>
    </xf>
    <xf numFmtId="0" fontId="84" fillId="0" borderId="0" xfId="1" applyFont="1" applyFill="1" applyBorder="1" applyAlignment="1" applyProtection="1">
      <alignment horizontal="center" vertical="center"/>
    </xf>
    <xf numFmtId="0" fontId="32" fillId="4" borderId="49" xfId="1" applyFont="1" applyFill="1" applyBorder="1" applyAlignment="1" applyProtection="1">
      <alignment vertical="center"/>
      <protection locked="0"/>
    </xf>
    <xf numFmtId="0" fontId="32" fillId="4" borderId="48" xfId="1" applyFont="1" applyFill="1" applyBorder="1" applyAlignment="1" applyProtection="1">
      <alignment vertical="center"/>
      <protection locked="0"/>
    </xf>
    <xf numFmtId="0" fontId="32" fillId="4" borderId="47" xfId="1" applyFont="1" applyFill="1" applyBorder="1" applyAlignment="1" applyProtection="1">
      <alignment vertical="center"/>
    </xf>
    <xf numFmtId="0" fontId="32" fillId="4" borderId="0" xfId="1" applyFont="1" applyFill="1" applyBorder="1" applyAlignment="1" applyProtection="1">
      <alignment horizontal="left" vertical="center" shrinkToFit="1"/>
      <protection locked="0"/>
    </xf>
    <xf numFmtId="0" fontId="40" fillId="0" borderId="0" xfId="1" applyFont="1" applyFill="1" applyBorder="1" applyAlignment="1" applyProtection="1">
      <alignment horizontal="center" vertical="center"/>
    </xf>
    <xf numFmtId="49" fontId="34" fillId="4" borderId="47" xfId="1" applyNumberFormat="1" applyFont="1" applyFill="1" applyBorder="1" applyAlignment="1" applyProtection="1">
      <alignment horizontal="left"/>
      <protection locked="0"/>
    </xf>
    <xf numFmtId="0" fontId="32" fillId="4" borderId="47" xfId="1" applyFont="1" applyFill="1" applyBorder="1" applyAlignment="1" applyProtection="1">
      <alignment horizontal="center" vertical="center"/>
      <protection locked="0"/>
    </xf>
    <xf numFmtId="1" fontId="47" fillId="0" borderId="0" xfId="1" applyNumberFormat="1" applyFont="1" applyFill="1" applyBorder="1" applyAlignment="1" applyProtection="1">
      <alignment horizontal="right" vertical="center"/>
    </xf>
    <xf numFmtId="0" fontId="83" fillId="0" borderId="0" xfId="1" applyFont="1" applyFill="1" applyBorder="1" applyAlignment="1" applyProtection="1">
      <alignment horizontal="center" vertical="center"/>
    </xf>
    <xf numFmtId="0" fontId="45" fillId="4" borderId="0" xfId="1" applyFont="1" applyFill="1" applyBorder="1" applyAlignment="1" applyProtection="1">
      <alignment horizontal="left" vertical="top" wrapText="1"/>
      <protection locked="0"/>
    </xf>
    <xf numFmtId="0" fontId="45" fillId="4" borderId="0" xfId="1" applyFont="1" applyFill="1" applyBorder="1" applyAlignment="1" applyProtection="1">
      <alignment horizontal="left" vertical="top"/>
      <protection locked="0"/>
    </xf>
    <xf numFmtId="0" fontId="21" fillId="0" borderId="0" xfId="1" applyFont="1" applyFill="1" applyBorder="1" applyAlignment="1" applyProtection="1">
      <alignment horizontal="right" vertical="center"/>
    </xf>
    <xf numFmtId="1" fontId="32" fillId="4" borderId="0" xfId="1" applyNumberFormat="1" applyFont="1" applyFill="1" applyBorder="1" applyAlignment="1" applyProtection="1">
      <alignment horizontal="center" vertical="center"/>
      <protection locked="0"/>
    </xf>
    <xf numFmtId="0" fontId="81" fillId="0" borderId="0" xfId="1" applyFont="1" applyFill="1" applyBorder="1" applyAlignment="1" applyProtection="1">
      <alignment horizontal="center" vertical="center"/>
    </xf>
    <xf numFmtId="0" fontId="81" fillId="0" borderId="0" xfId="1" applyFont="1" applyFill="1" applyBorder="1" applyAlignment="1" applyProtection="1">
      <alignment horizontal="left" vertical="center"/>
    </xf>
    <xf numFmtId="0" fontId="81" fillId="0" borderId="0" xfId="1" applyFont="1" applyFill="1" applyBorder="1" applyAlignment="1" applyProtection="1">
      <alignment horizontal="left" vertical="center" shrinkToFit="1"/>
    </xf>
    <xf numFmtId="0" fontId="38" fillId="0" borderId="0" xfId="1" applyFont="1" applyFill="1" applyBorder="1" applyAlignment="1" applyProtection="1">
      <alignment horizontal="center"/>
    </xf>
    <xf numFmtId="0" fontId="38" fillId="0" borderId="0" xfId="1" applyFont="1" applyFill="1" applyBorder="1" applyAlignment="1" applyProtection="1">
      <alignment horizontal="center" wrapText="1"/>
    </xf>
    <xf numFmtId="0" fontId="39" fillId="0" borderId="0" xfId="1" applyFont="1" applyFill="1" applyBorder="1" applyAlignment="1" applyProtection="1">
      <alignment horizontal="center" wrapText="1"/>
    </xf>
    <xf numFmtId="0" fontId="41" fillId="0" borderId="0" xfId="1" applyFont="1" applyFill="1" applyBorder="1" applyAlignment="1" applyProtection="1">
      <alignment horizontal="center"/>
    </xf>
    <xf numFmtId="0" fontId="41" fillId="0" borderId="0" xfId="1" applyFont="1" applyFill="1" applyBorder="1" applyAlignment="1" applyProtection="1">
      <alignment horizontal="center" vertical="center" shrinkToFit="1"/>
      <protection locked="0"/>
    </xf>
    <xf numFmtId="0" fontId="32" fillId="0" borderId="0" xfId="1" applyFont="1" applyFill="1" applyBorder="1" applyAlignment="1" applyProtection="1">
      <alignment horizontal="center" vertical="center" shrinkToFit="1"/>
      <protection locked="0"/>
    </xf>
    <xf numFmtId="0" fontId="37" fillId="0" borderId="0" xfId="1" applyFont="1" applyFill="1" applyBorder="1" applyAlignment="1" applyProtection="1">
      <alignment horizontal="left" vertical="center" indent="1" shrinkToFit="1"/>
      <protection locked="0"/>
    </xf>
    <xf numFmtId="0" fontId="81" fillId="0" borderId="0" xfId="1" applyFont="1" applyFill="1" applyBorder="1" applyAlignment="1" applyProtection="1">
      <alignment horizontal="right" vertical="center"/>
    </xf>
    <xf numFmtId="0" fontId="32" fillId="4" borderId="49" xfId="1" applyFont="1" applyFill="1" applyBorder="1" applyAlignment="1" applyProtection="1">
      <alignment horizontal="center" vertical="center"/>
      <protection locked="0"/>
    </xf>
    <xf numFmtId="0" fontId="60" fillId="0" borderId="0" xfId="1" applyFont="1" applyFill="1" applyBorder="1" applyAlignment="1" applyProtection="1">
      <alignment horizontal="right" vertical="center"/>
    </xf>
    <xf numFmtId="0" fontId="32" fillId="4" borderId="47" xfId="1" applyFont="1" applyFill="1" applyBorder="1" applyAlignment="1" applyProtection="1">
      <alignment horizontal="left" vertical="center" shrinkToFit="1"/>
      <protection locked="0"/>
    </xf>
    <xf numFmtId="0" fontId="32" fillId="4" borderId="49" xfId="1" applyFont="1" applyFill="1" applyBorder="1" applyAlignment="1" applyProtection="1">
      <alignment horizontal="left" vertical="center" shrinkToFit="1"/>
      <protection locked="0"/>
    </xf>
    <xf numFmtId="14" fontId="92" fillId="2" borderId="0" xfId="1" applyNumberFormat="1" applyFont="1" applyFill="1" applyBorder="1" applyAlignment="1" applyProtection="1">
      <alignment horizontal="center" vertical="center"/>
    </xf>
    <xf numFmtId="0" fontId="92" fillId="2" borderId="0" xfId="1" applyFont="1" applyFill="1" applyBorder="1" applyAlignment="1" applyProtection="1">
      <alignment horizontal="center" vertical="center"/>
    </xf>
    <xf numFmtId="0" fontId="32" fillId="4" borderId="0" xfId="1" applyFont="1" applyFill="1" applyBorder="1" applyAlignment="1" applyProtection="1">
      <alignment vertical="center"/>
      <protection locked="0"/>
    </xf>
    <xf numFmtId="0" fontId="47" fillId="0" borderId="0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83" fillId="0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 shrinkToFit="1"/>
    </xf>
    <xf numFmtId="0" fontId="40" fillId="0" borderId="4" xfId="1" applyFont="1" applyFill="1" applyBorder="1" applyAlignment="1" applyProtection="1">
      <alignment horizontal="right" vertical="center"/>
    </xf>
    <xf numFmtId="49" fontId="34" fillId="4" borderId="49" xfId="1" applyNumberFormat="1" applyFont="1" applyFill="1" applyBorder="1" applyAlignment="1" applyProtection="1">
      <alignment horizontal="left"/>
      <protection locked="0"/>
    </xf>
    <xf numFmtId="49" fontId="34" fillId="4" borderId="47" xfId="1" quotePrefix="1" applyNumberFormat="1" applyFont="1" applyFill="1" applyBorder="1" applyAlignment="1" applyProtection="1">
      <alignment horizontal="left"/>
      <protection locked="0"/>
    </xf>
    <xf numFmtId="0" fontId="92" fillId="2" borderId="0" xfId="1" applyFont="1" applyFill="1" applyBorder="1" applyAlignment="1" applyProtection="1">
      <alignment horizontal="center"/>
    </xf>
    <xf numFmtId="0" fontId="92" fillId="2" borderId="0" xfId="1" applyFont="1" applyFill="1" applyBorder="1" applyAlignment="1" applyProtection="1">
      <alignment horizontal="left"/>
    </xf>
    <xf numFmtId="0" fontId="92" fillId="2" borderId="0" xfId="1" applyFont="1" applyFill="1" applyBorder="1" applyAlignment="1" applyProtection="1">
      <alignment horizontal="right" vertical="center" wrapText="1"/>
    </xf>
    <xf numFmtId="49" fontId="34" fillId="4" borderId="51" xfId="1" applyNumberFormat="1" applyFont="1" applyFill="1" applyBorder="1" applyAlignment="1" applyProtection="1">
      <alignment horizontal="left"/>
      <protection locked="0"/>
    </xf>
    <xf numFmtId="0" fontId="33" fillId="4" borderId="48" xfId="1" applyNumberFormat="1" applyFont="1" applyFill="1" applyBorder="1" applyAlignment="1" applyProtection="1">
      <alignment horizontal="left" vertical="center" shrinkToFit="1"/>
      <protection locked="0"/>
    </xf>
    <xf numFmtId="0" fontId="33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82" fillId="0" borderId="0" xfId="1" applyFont="1" applyFill="1" applyBorder="1" applyAlignment="1" applyProtection="1">
      <alignment horizontal="left" vertical="center" shrinkToFit="1"/>
    </xf>
    <xf numFmtId="0" fontId="34" fillId="4" borderId="47" xfId="1" applyNumberFormat="1" applyFont="1" applyFill="1" applyBorder="1" applyAlignment="1" applyProtection="1">
      <alignment horizontal="left"/>
      <protection locked="0"/>
    </xf>
    <xf numFmtId="3" fontId="61" fillId="0" borderId="0" xfId="1" applyNumberFormat="1" applyFont="1" applyFill="1" applyBorder="1" applyAlignment="1" applyProtection="1">
      <alignment horizontal="center" vertical="center" shrinkToFit="1"/>
    </xf>
    <xf numFmtId="3" fontId="80" fillId="0" borderId="0" xfId="1" applyNumberFormat="1" applyFont="1" applyFill="1" applyBorder="1" applyAlignment="1" applyProtection="1">
      <alignment horizontal="center" vertical="center" shrinkToFit="1"/>
    </xf>
    <xf numFmtId="0" fontId="25" fillId="6" borderId="47" xfId="1" applyFont="1" applyFill="1" applyBorder="1" applyAlignment="1" applyProtection="1">
      <alignment vertical="center"/>
      <protection locked="0"/>
    </xf>
    <xf numFmtId="0" fontId="103" fillId="0" borderId="0" xfId="1" applyFont="1" applyFill="1" applyBorder="1" applyAlignment="1" applyProtection="1">
      <alignment horizontal="right" vertical="center"/>
    </xf>
    <xf numFmtId="0" fontId="107" fillId="0" borderId="0" xfId="1" applyFont="1" applyFill="1" applyBorder="1" applyAlignment="1" applyProtection="1">
      <alignment horizontal="right" vertical="center"/>
    </xf>
    <xf numFmtId="0" fontId="21" fillId="0" borderId="4" xfId="1" applyFont="1" applyFill="1" applyBorder="1" applyAlignment="1" applyProtection="1">
      <alignment horizontal="right" vertical="center"/>
      <protection locked="0"/>
    </xf>
    <xf numFmtId="0" fontId="21" fillId="0" borderId="0" xfId="1" applyFont="1" applyFill="1" applyBorder="1" applyAlignment="1" applyProtection="1">
      <alignment horizontal="right" vertical="center"/>
      <protection locked="0"/>
    </xf>
    <xf numFmtId="0" fontId="82" fillId="0" borderId="0" xfId="1" applyFont="1" applyFill="1" applyBorder="1" applyAlignment="1" applyProtection="1">
      <alignment horizontal="left" vertical="center" shrinkToFit="1"/>
      <protection locked="0"/>
    </xf>
    <xf numFmtId="0" fontId="40" fillId="0" borderId="6" xfId="1" applyFont="1" applyFill="1" applyBorder="1" applyAlignment="1" applyProtection="1">
      <alignment horizontal="right"/>
    </xf>
    <xf numFmtId="0" fontId="40" fillId="0" borderId="7" xfId="1" applyFont="1" applyFill="1" applyBorder="1" applyAlignment="1" applyProtection="1">
      <alignment horizontal="right"/>
    </xf>
    <xf numFmtId="0" fontId="4" fillId="0" borderId="7" xfId="1" applyFont="1" applyFill="1" applyBorder="1" applyAlignment="1" applyProtection="1">
      <alignment horizontal="left"/>
    </xf>
    <xf numFmtId="49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81" fillId="0" borderId="4" xfId="1" applyFont="1" applyFill="1" applyBorder="1" applyAlignment="1" applyProtection="1">
      <alignment horizontal="right" vertical="center"/>
    </xf>
    <xf numFmtId="14" fontId="32" fillId="4" borderId="48" xfId="1" applyNumberFormat="1" applyFont="1" applyFill="1" applyBorder="1" applyAlignment="1" applyProtection="1">
      <alignment horizontal="left" vertical="center" shrinkToFit="1"/>
      <protection locked="0"/>
    </xf>
    <xf numFmtId="14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14" fontId="32" fillId="4" borderId="48" xfId="1" quotePrefix="1" applyNumberFormat="1" applyFont="1" applyFill="1" applyBorder="1" applyAlignment="1" applyProtection="1">
      <alignment horizontal="left" vertical="center" shrinkToFit="1"/>
      <protection locked="0"/>
    </xf>
    <xf numFmtId="0" fontId="61" fillId="0" borderId="0" xfId="1" applyFont="1" applyFill="1" applyBorder="1" applyAlignment="1" applyProtection="1">
      <alignment horizontal="center" vertical="center"/>
    </xf>
    <xf numFmtId="14" fontId="92" fillId="2" borderId="0" xfId="1" applyNumberFormat="1" applyFont="1" applyFill="1" applyBorder="1" applyAlignment="1" applyProtection="1">
      <alignment horizontal="center"/>
    </xf>
    <xf numFmtId="0" fontId="92" fillId="2" borderId="0" xfId="1" applyFont="1" applyFill="1" applyBorder="1" applyAlignment="1" applyProtection="1">
      <alignment horizontal="center" vertical="center" wrapText="1"/>
    </xf>
    <xf numFmtId="0" fontId="36" fillId="0" borderId="0" xfId="1" applyFont="1" applyFill="1" applyBorder="1" applyAlignment="1" applyProtection="1">
      <alignment horizontal="left" vertical="center" shrinkToFit="1"/>
    </xf>
    <xf numFmtId="0" fontId="32" fillId="4" borderId="48" xfId="1" applyFont="1" applyFill="1" applyBorder="1" applyAlignment="1" applyProtection="1">
      <alignment horizontal="left" vertical="center" shrinkToFit="1"/>
      <protection locked="0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25" fillId="6" borderId="48" xfId="1" applyFont="1" applyFill="1" applyBorder="1" applyAlignment="1" applyProtection="1">
      <alignment vertical="center"/>
      <protection locked="0"/>
    </xf>
    <xf numFmtId="0" fontId="34" fillId="4" borderId="0" xfId="1" applyFont="1" applyFill="1" applyBorder="1" applyAlignment="1" applyProtection="1">
      <alignment horizontal="right" vertical="center"/>
    </xf>
    <xf numFmtId="0" fontId="37" fillId="5" borderId="47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Alignment="1" applyProtection="1">
      <alignment horizontal="left" vertical="center"/>
    </xf>
    <xf numFmtId="0" fontId="103" fillId="0" borderId="0" xfId="1" applyFont="1" applyFill="1" applyBorder="1" applyAlignment="1" applyProtection="1">
      <alignment horizontal="left"/>
      <protection locked="0"/>
    </xf>
    <xf numFmtId="0" fontId="103" fillId="6" borderId="0" xfId="1" applyFont="1" applyFill="1" applyBorder="1" applyAlignment="1" applyProtection="1">
      <alignment horizontal="left"/>
      <protection locked="0"/>
    </xf>
    <xf numFmtId="0" fontId="94" fillId="2" borderId="0" xfId="1" applyFont="1" applyFill="1" applyBorder="1" applyAlignment="1" applyProtection="1">
      <alignment horizontal="left"/>
    </xf>
    <xf numFmtId="3" fontId="100" fillId="0" borderId="0" xfId="1" applyNumberFormat="1" applyFont="1" applyFill="1" applyBorder="1" applyAlignment="1" applyProtection="1">
      <alignment horizontal="center" vertical="center"/>
      <protection locked="0"/>
    </xf>
    <xf numFmtId="0" fontId="83" fillId="0" borderId="4" xfId="1" applyFont="1" applyFill="1" applyBorder="1" applyAlignment="1" applyProtection="1">
      <alignment horizontal="right" vertical="center"/>
    </xf>
    <xf numFmtId="0" fontId="83" fillId="0" borderId="0" xfId="1" applyFont="1" applyFill="1" applyBorder="1" applyAlignment="1" applyProtection="1">
      <alignment horizontal="right" vertical="center"/>
    </xf>
    <xf numFmtId="0" fontId="102" fillId="0" borderId="0" xfId="1" applyFont="1" applyFill="1" applyBorder="1" applyAlignment="1" applyProtection="1">
      <alignment horizontal="left"/>
    </xf>
    <xf numFmtId="0" fontId="40" fillId="0" borderId="0" xfId="1" applyFont="1" applyFill="1" applyBorder="1" applyAlignment="1" applyProtection="1">
      <alignment horizontal="right"/>
    </xf>
    <xf numFmtId="0" fontId="84" fillId="0" borderId="0" xfId="1" applyFont="1" applyFill="1" applyBorder="1" applyAlignment="1" applyProtection="1">
      <alignment horizontal="center"/>
    </xf>
    <xf numFmtId="0" fontId="35" fillId="4" borderId="0" xfId="1" applyFont="1" applyFill="1" applyBorder="1" applyAlignment="1" applyProtection="1">
      <alignment horizontal="center" vertical="center"/>
      <protection locked="0"/>
    </xf>
    <xf numFmtId="0" fontId="85" fillId="0" borderId="0" xfId="1" applyFont="1" applyFill="1" applyBorder="1" applyAlignment="1" applyProtection="1">
      <alignment horizontal="center"/>
    </xf>
    <xf numFmtId="0" fontId="104" fillId="0" borderId="0" xfId="1" applyFont="1" applyFill="1" applyBorder="1" applyAlignment="1" applyProtection="1">
      <alignment horizontal="center"/>
    </xf>
    <xf numFmtId="0" fontId="102" fillId="4" borderId="0" xfId="1" applyFont="1" applyFill="1" applyBorder="1" applyAlignment="1" applyProtection="1">
      <alignment horizontal="left"/>
      <protection locked="0"/>
    </xf>
    <xf numFmtId="0" fontId="88" fillId="0" borderId="0" xfId="1" applyFont="1" applyFill="1" applyBorder="1" applyAlignment="1" applyProtection="1">
      <alignment horizontal="center"/>
    </xf>
    <xf numFmtId="0" fontId="89" fillId="0" borderId="0" xfId="1" applyFont="1" applyFill="1" applyBorder="1" applyAlignment="1" applyProtection="1">
      <alignment horizontal="left" vertical="center"/>
      <protection locked="0"/>
    </xf>
    <xf numFmtId="0" fontId="40" fillId="0" borderId="0" xfId="1" applyFont="1" applyFill="1" applyBorder="1" applyAlignment="1" applyProtection="1">
      <alignment horizontal="left" vertical="center"/>
      <protection locked="0"/>
    </xf>
    <xf numFmtId="0" fontId="89" fillId="0" borderId="0" xfId="1" applyFont="1" applyFill="1" applyBorder="1" applyAlignment="1" applyProtection="1">
      <alignment horizontal="right" vertical="center"/>
      <protection locked="0"/>
    </xf>
    <xf numFmtId="0" fontId="40" fillId="0" borderId="0" xfId="1" applyFont="1" applyFill="1" applyBorder="1" applyAlignment="1" applyProtection="1">
      <alignment horizontal="right" vertical="center"/>
      <protection locked="0"/>
    </xf>
    <xf numFmtId="0" fontId="44" fillId="0" borderId="0" xfId="1" applyFont="1" applyFill="1" applyBorder="1" applyAlignment="1" applyProtection="1">
      <alignment horizontal="center"/>
      <protection locked="0"/>
    </xf>
    <xf numFmtId="0" fontId="25" fillId="6" borderId="47" xfId="1" applyFont="1" applyFill="1" applyBorder="1" applyAlignment="1" applyProtection="1">
      <alignment vertical="center"/>
    </xf>
    <xf numFmtId="167" fontId="50" fillId="9" borderId="27" xfId="1" applyNumberFormat="1" applyFont="1" applyFill="1" applyBorder="1" applyAlignment="1" applyProtection="1">
      <alignment horizontal="center" vertical="center" wrapText="1"/>
    </xf>
    <xf numFmtId="167" fontId="50" fillId="9" borderId="29" xfId="1" applyNumberFormat="1" applyFont="1" applyFill="1" applyBorder="1" applyAlignment="1" applyProtection="1">
      <alignment horizontal="center" vertical="center" wrapText="1"/>
    </xf>
    <xf numFmtId="1" fontId="50" fillId="9" borderId="27" xfId="1" applyNumberFormat="1" applyFont="1" applyFill="1" applyBorder="1" applyAlignment="1" applyProtection="1">
      <alignment horizontal="center" vertical="center" wrapText="1"/>
    </xf>
    <xf numFmtId="1" fontId="50" fillId="9" borderId="29" xfId="1" applyNumberFormat="1" applyFont="1" applyFill="1" applyBorder="1" applyAlignment="1" applyProtection="1">
      <alignment horizontal="center" vertical="center" wrapText="1"/>
    </xf>
    <xf numFmtId="0" fontId="46" fillId="10" borderId="35" xfId="1" applyFont="1" applyFill="1" applyBorder="1" applyAlignment="1" applyProtection="1">
      <alignment horizontal="center" vertical="center"/>
    </xf>
    <xf numFmtId="0" fontId="46" fillId="10" borderId="36" xfId="1" applyFont="1" applyFill="1" applyBorder="1" applyAlignment="1" applyProtection="1">
      <alignment horizontal="center" vertical="center"/>
    </xf>
    <xf numFmtId="0" fontId="46" fillId="10" borderId="37" xfId="1" applyFont="1" applyFill="1" applyBorder="1" applyAlignment="1" applyProtection="1">
      <alignment horizontal="center" vertical="center"/>
    </xf>
    <xf numFmtId="0" fontId="46" fillId="10" borderId="30" xfId="1" applyFont="1" applyFill="1" applyBorder="1" applyAlignment="1" applyProtection="1">
      <alignment horizontal="center" vertical="center"/>
    </xf>
    <xf numFmtId="0" fontId="46" fillId="10" borderId="0" xfId="1" applyFont="1" applyFill="1" applyBorder="1" applyAlignment="1" applyProtection="1">
      <alignment horizontal="center" vertical="center"/>
    </xf>
    <xf numFmtId="0" fontId="46" fillId="10" borderId="34" xfId="1" applyFont="1" applyFill="1" applyBorder="1" applyAlignment="1" applyProtection="1">
      <alignment horizontal="center" vertical="center"/>
    </xf>
    <xf numFmtId="0" fontId="50" fillId="9" borderId="27" xfId="1" applyFont="1" applyFill="1" applyBorder="1" applyAlignment="1" applyProtection="1">
      <alignment horizontal="center" vertical="center" wrapText="1"/>
    </xf>
    <xf numFmtId="0" fontId="50" fillId="9" borderId="27" xfId="1" applyFont="1" applyFill="1" applyBorder="1" applyAlignment="1" applyProtection="1">
      <alignment horizontal="center" vertical="center"/>
    </xf>
    <xf numFmtId="0" fontId="50" fillId="9" borderId="29" xfId="1" applyFont="1" applyFill="1" applyBorder="1" applyAlignment="1" applyProtection="1">
      <alignment horizontal="center" vertical="center"/>
    </xf>
    <xf numFmtId="0" fontId="50" fillId="9" borderId="29" xfId="1" applyFont="1" applyFill="1" applyBorder="1" applyAlignment="1" applyProtection="1">
      <alignment horizontal="center" vertical="center" wrapText="1"/>
    </xf>
    <xf numFmtId="0" fontId="50" fillId="9" borderId="27" xfId="1" applyFont="1" applyFill="1" applyBorder="1" applyAlignment="1" applyProtection="1">
      <alignment horizontal="center" wrapText="1"/>
    </xf>
    <xf numFmtId="0" fontId="50" fillId="9" borderId="27" xfId="1" applyFont="1" applyFill="1" applyBorder="1" applyAlignment="1" applyProtection="1">
      <alignment horizontal="center"/>
    </xf>
    <xf numFmtId="0" fontId="50" fillId="9" borderId="29" xfId="1" applyFont="1" applyFill="1" applyBorder="1" applyAlignment="1" applyProtection="1">
      <alignment horizontal="center"/>
    </xf>
    <xf numFmtId="167" fontId="50" fillId="9" borderId="27" xfId="1" applyNumberFormat="1" applyFont="1" applyFill="1" applyBorder="1" applyAlignment="1" applyProtection="1">
      <alignment horizontal="center" vertical="center"/>
    </xf>
    <xf numFmtId="167" fontId="50" fillId="9" borderId="29" xfId="1" applyNumberFormat="1" applyFont="1" applyFill="1" applyBorder="1" applyAlignment="1" applyProtection="1">
      <alignment horizontal="center" vertical="center"/>
    </xf>
    <xf numFmtId="0" fontId="77" fillId="2" borderId="0" xfId="1" applyFont="1" applyFill="1" applyBorder="1" applyAlignment="1" applyProtection="1">
      <alignment horizontal="left" vertical="top"/>
    </xf>
    <xf numFmtId="0" fontId="12" fillId="2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/>
    </xf>
    <xf numFmtId="1" fontId="59" fillId="4" borderId="34" xfId="1" applyNumberFormat="1" applyFont="1" applyFill="1" applyBorder="1" applyAlignment="1" applyProtection="1">
      <alignment horizontal="center" vertical="center"/>
      <protection locked="0"/>
    </xf>
    <xf numFmtId="1" fontId="59" fillId="4" borderId="29" xfId="1" applyNumberFormat="1" applyFont="1" applyFill="1" applyBorder="1" applyAlignment="1" applyProtection="1">
      <alignment horizontal="center" vertical="center"/>
      <protection locked="0"/>
    </xf>
    <xf numFmtId="167" fontId="59" fillId="0" borderId="29" xfId="1" applyNumberFormat="1" applyFont="1" applyFill="1" applyBorder="1" applyAlignment="1" applyProtection="1">
      <alignment horizontal="center" vertical="center"/>
    </xf>
    <xf numFmtId="0" fontId="46" fillId="7" borderId="30" xfId="1" applyFont="1" applyFill="1" applyBorder="1" applyAlignment="1" applyProtection="1">
      <alignment horizontal="left" indent="1"/>
    </xf>
    <xf numFmtId="0" fontId="46" fillId="7" borderId="0" xfId="1" applyFont="1" applyFill="1" applyBorder="1" applyAlignment="1" applyProtection="1">
      <alignment horizontal="left" indent="1"/>
    </xf>
    <xf numFmtId="0" fontId="46" fillId="7" borderId="34" xfId="1" applyFont="1" applyFill="1" applyBorder="1" applyAlignment="1" applyProtection="1">
      <alignment horizontal="left" indent="1"/>
    </xf>
    <xf numFmtId="0" fontId="59" fillId="0" borderId="29" xfId="1" applyFont="1" applyFill="1" applyBorder="1" applyAlignment="1" applyProtection="1">
      <alignment horizontal="right" vertical="center"/>
    </xf>
    <xf numFmtId="49" fontId="59" fillId="0" borderId="30" xfId="1" applyNumberFormat="1" applyFont="1" applyFill="1" applyBorder="1" applyAlignment="1" applyProtection="1">
      <alignment horizontal="center" vertical="center"/>
    </xf>
    <xf numFmtId="0" fontId="59" fillId="0" borderId="30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left" vertical="center" shrinkToFit="1"/>
    </xf>
    <xf numFmtId="0" fontId="59" fillId="0" borderId="34" xfId="1" applyFont="1" applyFill="1" applyBorder="1" applyAlignment="1" applyProtection="1">
      <alignment horizontal="left" vertical="center" shrinkToFit="1"/>
    </xf>
    <xf numFmtId="0" fontId="59" fillId="0" borderId="30" xfId="1" applyFont="1" applyFill="1" applyBorder="1" applyAlignment="1" applyProtection="1">
      <alignment horizontal="left" vertical="center"/>
    </xf>
    <xf numFmtId="0" fontId="59" fillId="0" borderId="0" xfId="1" applyFont="1" applyFill="1" applyBorder="1" applyAlignment="1" applyProtection="1">
      <alignment horizontal="left" vertical="center"/>
    </xf>
    <xf numFmtId="1" fontId="57" fillId="0" borderId="29" xfId="1" applyNumberFormat="1" applyFont="1" applyFill="1" applyBorder="1" applyAlignment="1" applyProtection="1">
      <alignment horizontal="center" vertical="center"/>
    </xf>
    <xf numFmtId="169" fontId="59" fillId="0" borderId="29" xfId="1" applyNumberFormat="1" applyFont="1" applyFill="1" applyBorder="1" applyAlignment="1" applyProtection="1">
      <alignment horizontal="center" vertical="center"/>
    </xf>
    <xf numFmtId="1" fontId="59" fillId="4" borderId="29" xfId="5" applyNumberFormat="1" applyFont="1" applyFill="1" applyBorder="1" applyAlignment="1" applyProtection="1">
      <alignment horizontal="center" vertical="center"/>
      <protection locked="0"/>
    </xf>
    <xf numFmtId="2" fontId="59" fillId="0" borderId="29" xfId="1" applyNumberFormat="1" applyFont="1" applyFill="1" applyBorder="1" applyAlignment="1" applyProtection="1">
      <alignment horizontal="center" vertical="center"/>
    </xf>
    <xf numFmtId="167" fontId="57" fillId="4" borderId="38" xfId="1" applyNumberFormat="1" applyFont="1" applyFill="1" applyBorder="1" applyAlignment="1" applyProtection="1">
      <alignment horizontal="center" vertical="center"/>
      <protection locked="0"/>
    </xf>
    <xf numFmtId="167" fontId="57" fillId="4" borderId="14" xfId="1" applyNumberFormat="1" applyFont="1" applyFill="1" applyBorder="1" applyAlignment="1" applyProtection="1">
      <alignment horizontal="center" vertical="center"/>
      <protection locked="0"/>
    </xf>
    <xf numFmtId="167" fontId="57" fillId="4" borderId="39" xfId="1" applyNumberFormat="1" applyFont="1" applyFill="1" applyBorder="1" applyAlignment="1" applyProtection="1">
      <alignment horizontal="center" vertical="center"/>
      <protection locked="0"/>
    </xf>
    <xf numFmtId="0" fontId="59" fillId="0" borderId="34" xfId="1" applyFont="1" applyFill="1" applyBorder="1" applyAlignment="1" applyProtection="1">
      <alignment horizontal="left" vertical="center"/>
    </xf>
    <xf numFmtId="1" fontId="59" fillId="5" borderId="15" xfId="1" applyNumberFormat="1" applyFont="1" applyFill="1" applyBorder="1" applyAlignment="1" applyProtection="1">
      <alignment horizontal="center" vertical="center"/>
    </xf>
    <xf numFmtId="1" fontId="59" fillId="5" borderId="14" xfId="1" applyNumberFormat="1" applyFont="1" applyFill="1" applyBorder="1" applyAlignment="1" applyProtection="1">
      <alignment horizontal="center" vertical="center"/>
    </xf>
    <xf numFmtId="1" fontId="59" fillId="5" borderId="16" xfId="1" applyNumberFormat="1" applyFont="1" applyFill="1" applyBorder="1" applyAlignment="1" applyProtection="1">
      <alignment horizontal="center" vertical="center"/>
    </xf>
    <xf numFmtId="1" fontId="59" fillId="5" borderId="30" xfId="1" applyNumberFormat="1" applyFont="1" applyFill="1" applyBorder="1" applyAlignment="1" applyProtection="1">
      <alignment horizontal="center" vertical="center"/>
    </xf>
    <xf numFmtId="1" fontId="59" fillId="5" borderId="0" xfId="1" applyNumberFormat="1" applyFont="1" applyFill="1" applyBorder="1" applyAlignment="1" applyProtection="1">
      <alignment horizontal="center" vertical="center"/>
    </xf>
    <xf numFmtId="1" fontId="59" fillId="5" borderId="34" xfId="1" applyNumberFormat="1" applyFont="1" applyFill="1" applyBorder="1" applyAlignment="1" applyProtection="1">
      <alignment horizontal="center" vertical="center"/>
    </xf>
    <xf numFmtId="3" fontId="59" fillId="5" borderId="30" xfId="1" applyNumberFormat="1" applyFont="1" applyFill="1" applyBorder="1" applyAlignment="1" applyProtection="1">
      <alignment horizontal="center" vertical="center"/>
    </xf>
    <xf numFmtId="3" fontId="59" fillId="5" borderId="0" xfId="1" applyNumberFormat="1" applyFont="1" applyFill="1" applyBorder="1" applyAlignment="1" applyProtection="1">
      <alignment horizontal="center" vertical="center"/>
    </xf>
    <xf numFmtId="3" fontId="59" fillId="5" borderId="34" xfId="1" applyNumberFormat="1" applyFont="1" applyFill="1" applyBorder="1" applyAlignment="1" applyProtection="1">
      <alignment horizontal="center" vertical="center"/>
    </xf>
    <xf numFmtId="1" fontId="59" fillId="4" borderId="34" xfId="4" applyNumberFormat="1" applyFont="1" applyFill="1" applyBorder="1" applyAlignment="1" applyProtection="1">
      <alignment horizontal="center" vertical="center"/>
      <protection locked="0"/>
    </xf>
    <xf numFmtId="1" fontId="59" fillId="4" borderId="29" xfId="4" applyNumberFormat="1" applyFont="1" applyFill="1" applyBorder="1" applyAlignment="1" applyProtection="1">
      <alignment horizontal="center" vertical="center"/>
      <protection locked="0"/>
    </xf>
    <xf numFmtId="178" fontId="52" fillId="7" borderId="30" xfId="1" applyNumberFormat="1" applyFont="1" applyFill="1" applyBorder="1" applyAlignment="1" applyProtection="1">
      <alignment horizontal="right" vertical="center" indent="1"/>
    </xf>
    <xf numFmtId="178" fontId="52" fillId="7" borderId="0" xfId="1" applyNumberFormat="1" applyFont="1" applyFill="1" applyBorder="1" applyAlignment="1" applyProtection="1">
      <alignment horizontal="right" vertical="center" indent="1"/>
    </xf>
    <xf numFmtId="178" fontId="52" fillId="7" borderId="0" xfId="1" applyNumberFormat="1" applyFont="1" applyFill="1" applyBorder="1" applyAlignment="1" applyProtection="1">
      <alignment horizontal="left"/>
    </xf>
    <xf numFmtId="178" fontId="52" fillId="7" borderId="34" xfId="1" applyNumberFormat="1" applyFont="1" applyFill="1" applyBorder="1" applyAlignment="1" applyProtection="1">
      <alignment horizontal="left"/>
    </xf>
    <xf numFmtId="178" fontId="60" fillId="7" borderId="30" xfId="1" applyNumberFormat="1" applyFont="1" applyFill="1" applyBorder="1" applyAlignment="1" applyProtection="1">
      <alignment horizontal="right" vertical="center" indent="1"/>
    </xf>
    <xf numFmtId="178" fontId="60" fillId="7" borderId="0" xfId="1" applyNumberFormat="1" applyFont="1" applyFill="1" applyBorder="1" applyAlignment="1" applyProtection="1">
      <alignment horizontal="right" vertical="center" indent="1"/>
    </xf>
    <xf numFmtId="178" fontId="21" fillId="7" borderId="0" xfId="1" applyNumberFormat="1" applyFont="1" applyFill="1" applyBorder="1" applyAlignment="1" applyProtection="1">
      <alignment horizontal="left"/>
    </xf>
    <xf numFmtId="178" fontId="21" fillId="7" borderId="34" xfId="1" applyNumberFormat="1" applyFont="1" applyFill="1" applyBorder="1" applyAlignment="1" applyProtection="1">
      <alignment horizontal="left"/>
    </xf>
    <xf numFmtId="178" fontId="60" fillId="7" borderId="30" xfId="1" applyNumberFormat="1" applyFont="1" applyFill="1" applyBorder="1" applyAlignment="1" applyProtection="1">
      <alignment horizontal="center" vertical="center"/>
    </xf>
    <xf numFmtId="178" fontId="60" fillId="7" borderId="0" xfId="1" applyNumberFormat="1" applyFont="1" applyFill="1" applyBorder="1" applyAlignment="1" applyProtection="1">
      <alignment horizontal="center" vertical="center"/>
    </xf>
    <xf numFmtId="178" fontId="21" fillId="7" borderId="0" xfId="1" applyNumberFormat="1" applyFont="1" applyFill="1" applyBorder="1" applyAlignment="1" applyProtection="1">
      <alignment horizontal="center"/>
    </xf>
    <xf numFmtId="178" fontId="21" fillId="7" borderId="34" xfId="1" applyNumberFormat="1" applyFont="1" applyFill="1" applyBorder="1" applyAlignment="1" applyProtection="1">
      <alignment horizontal="center"/>
    </xf>
    <xf numFmtId="178" fontId="53" fillId="7" borderId="30" xfId="1" applyNumberFormat="1" applyFont="1" applyFill="1" applyBorder="1" applyAlignment="1" applyProtection="1">
      <alignment horizontal="left" vertical="center" indent="1"/>
    </xf>
    <xf numFmtId="178" fontId="53" fillId="7" borderId="0" xfId="1" applyNumberFormat="1" applyFont="1" applyFill="1" applyBorder="1" applyAlignment="1" applyProtection="1">
      <alignment horizontal="left" vertical="center" indent="1"/>
    </xf>
    <xf numFmtId="178" fontId="53" fillId="7" borderId="34" xfId="1" applyNumberFormat="1" applyFont="1" applyFill="1" applyBorder="1" applyAlignment="1" applyProtection="1">
      <alignment horizontal="left" vertical="center" indent="1"/>
    </xf>
    <xf numFmtId="178" fontId="52" fillId="7" borderId="30" xfId="1" applyNumberFormat="1" applyFont="1" applyFill="1" applyBorder="1" applyAlignment="1" applyProtection="1">
      <alignment horizontal="right" indent="1"/>
    </xf>
    <xf numFmtId="178" fontId="52" fillId="7" borderId="0" xfId="1" applyNumberFormat="1" applyFont="1" applyFill="1" applyBorder="1" applyAlignment="1" applyProtection="1">
      <alignment horizontal="right" indent="1"/>
    </xf>
    <xf numFmtId="178" fontId="60" fillId="7" borderId="30" xfId="2" applyNumberFormat="1" applyFont="1" applyFill="1" applyBorder="1" applyAlignment="1" applyProtection="1">
      <alignment horizontal="right" indent="1"/>
    </xf>
    <xf numFmtId="178" fontId="60" fillId="7" borderId="0" xfId="2" applyNumberFormat="1" applyFont="1" applyFill="1" applyBorder="1" applyAlignment="1" applyProtection="1">
      <alignment horizontal="right" indent="1"/>
    </xf>
    <xf numFmtId="167" fontId="60" fillId="7" borderId="30" xfId="1" applyNumberFormat="1" applyFont="1" applyFill="1" applyBorder="1" applyAlignment="1" applyProtection="1">
      <alignment horizontal="center" vertical="center"/>
    </xf>
    <xf numFmtId="167" fontId="60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34" xfId="1" applyFont="1" applyFill="1" applyBorder="1" applyAlignment="1" applyProtection="1">
      <alignment horizontal="center"/>
    </xf>
    <xf numFmtId="167" fontId="53" fillId="7" borderId="30" xfId="1" applyNumberFormat="1" applyFont="1" applyFill="1" applyBorder="1" applyAlignment="1" applyProtection="1">
      <alignment horizontal="left" vertical="center" indent="1"/>
    </xf>
    <xf numFmtId="167" fontId="53" fillId="7" borderId="0" xfId="1" applyNumberFormat="1" applyFont="1" applyFill="1" applyBorder="1" applyAlignment="1" applyProtection="1">
      <alignment horizontal="left" vertical="center" indent="1"/>
    </xf>
    <xf numFmtId="167" fontId="53" fillId="7" borderId="34" xfId="1" applyNumberFormat="1" applyFont="1" applyFill="1" applyBorder="1" applyAlignment="1" applyProtection="1">
      <alignment horizontal="left" vertical="center" indent="1"/>
    </xf>
    <xf numFmtId="169" fontId="52" fillId="7" borderId="30" xfId="1" applyNumberFormat="1" applyFont="1" applyFill="1" applyBorder="1" applyAlignment="1" applyProtection="1">
      <alignment horizontal="right" indent="1"/>
    </xf>
    <xf numFmtId="169" fontId="52" fillId="7" borderId="0" xfId="1" applyNumberFormat="1" applyFont="1" applyFill="1" applyBorder="1" applyAlignment="1" applyProtection="1">
      <alignment horizontal="right" indent="1"/>
    </xf>
    <xf numFmtId="0" fontId="52" fillId="7" borderId="0" xfId="1" applyFont="1" applyFill="1" applyBorder="1" applyAlignment="1" applyProtection="1">
      <alignment horizontal="left"/>
    </xf>
    <xf numFmtId="0" fontId="52" fillId="7" borderId="34" xfId="1" applyFont="1" applyFill="1" applyBorder="1" applyAlignment="1" applyProtection="1">
      <alignment horizontal="left"/>
    </xf>
    <xf numFmtId="169" fontId="60" fillId="7" borderId="30" xfId="1" applyNumberFormat="1" applyFont="1" applyFill="1" applyBorder="1" applyAlignment="1" applyProtection="1">
      <alignment horizontal="right" indent="1"/>
    </xf>
    <xf numFmtId="169" fontId="60" fillId="7" borderId="0" xfId="1" applyNumberFormat="1" applyFont="1" applyFill="1" applyBorder="1" applyAlignment="1" applyProtection="1">
      <alignment horizontal="right" indent="1"/>
    </xf>
    <xf numFmtId="0" fontId="21" fillId="7" borderId="0" xfId="1" applyFont="1" applyFill="1" applyBorder="1" applyAlignment="1" applyProtection="1">
      <alignment horizontal="left"/>
    </xf>
    <xf numFmtId="0" fontId="21" fillId="7" borderId="34" xfId="1" applyFont="1" applyFill="1" applyBorder="1" applyAlignment="1" applyProtection="1">
      <alignment horizontal="left"/>
    </xf>
    <xf numFmtId="0" fontId="57" fillId="5" borderId="30" xfId="1" applyFont="1" applyFill="1" applyBorder="1" applyAlignment="1" applyProtection="1">
      <alignment horizontal="center" vertical="center"/>
    </xf>
    <xf numFmtId="0" fontId="57" fillId="5" borderId="0" xfId="1" applyFont="1" applyFill="1" applyBorder="1" applyAlignment="1" applyProtection="1">
      <alignment horizontal="center" vertical="center"/>
    </xf>
    <xf numFmtId="0" fontId="59" fillId="5" borderId="0" xfId="1" applyFont="1" applyFill="1" applyBorder="1" applyAlignment="1" applyProtection="1">
      <alignment horizontal="left" vertical="center"/>
    </xf>
    <xf numFmtId="1" fontId="59" fillId="5" borderId="38" xfId="1" applyNumberFormat="1" applyFont="1" applyFill="1" applyBorder="1" applyAlignment="1" applyProtection="1">
      <alignment horizontal="center" vertical="center"/>
    </xf>
    <xf numFmtId="1" fontId="59" fillId="5" borderId="39" xfId="1" applyNumberFormat="1" applyFont="1" applyFill="1" applyBorder="1" applyAlignment="1" applyProtection="1">
      <alignment horizontal="center" vertical="center"/>
    </xf>
    <xf numFmtId="0" fontId="57" fillId="5" borderId="4" xfId="1" applyFont="1" applyFill="1" applyBorder="1" applyAlignment="1" applyProtection="1">
      <alignment horizontal="center" vertical="center"/>
    </xf>
    <xf numFmtId="0" fontId="59" fillId="5" borderId="0" xfId="1" applyFont="1" applyFill="1" applyBorder="1" applyAlignment="1" applyProtection="1">
      <alignment horizontal="center" vertical="center"/>
    </xf>
    <xf numFmtId="0" fontId="59" fillId="5" borderId="0" xfId="1" applyFont="1" applyFill="1" applyBorder="1" applyAlignment="1" applyProtection="1">
      <alignment horizontal="left" vertical="center" shrinkToFit="1"/>
    </xf>
    <xf numFmtId="0" fontId="59" fillId="5" borderId="5" xfId="1" applyFont="1" applyFill="1" applyBorder="1" applyAlignment="1" applyProtection="1">
      <alignment horizontal="left" vertical="center" shrinkToFit="1"/>
    </xf>
    <xf numFmtId="3" fontId="57" fillId="5" borderId="30" xfId="1" applyNumberFormat="1" applyFont="1" applyFill="1" applyBorder="1" applyAlignment="1" applyProtection="1">
      <alignment horizontal="center" vertical="center"/>
    </xf>
    <xf numFmtId="3" fontId="57" fillId="5" borderId="0" xfId="1" applyNumberFormat="1" applyFont="1" applyFill="1" applyBorder="1" applyAlignment="1" applyProtection="1">
      <alignment horizontal="center" vertical="center"/>
    </xf>
    <xf numFmtId="3" fontId="57" fillId="5" borderId="34" xfId="1" applyNumberFormat="1" applyFont="1" applyFill="1" applyBorder="1" applyAlignment="1" applyProtection="1">
      <alignment horizontal="center" vertical="center"/>
    </xf>
    <xf numFmtId="0" fontId="57" fillId="5" borderId="30" xfId="1" applyFont="1" applyFill="1" applyBorder="1" applyAlignment="1" applyProtection="1">
      <alignment horizontal="left" vertical="center"/>
    </xf>
    <xf numFmtId="0" fontId="57" fillId="5" borderId="0" xfId="1" applyFont="1" applyFill="1" applyBorder="1" applyAlignment="1" applyProtection="1">
      <alignment horizontal="left" vertical="center"/>
    </xf>
    <xf numFmtId="0" fontId="57" fillId="5" borderId="41" xfId="1" applyFont="1" applyFill="1" applyBorder="1" applyAlignment="1" applyProtection="1">
      <alignment horizontal="left" vertical="center"/>
    </xf>
    <xf numFmtId="0" fontId="57" fillId="5" borderId="42" xfId="1" applyFont="1" applyFill="1" applyBorder="1" applyAlignment="1" applyProtection="1">
      <alignment horizontal="left" vertical="center"/>
    </xf>
    <xf numFmtId="0" fontId="57" fillId="5" borderId="36" xfId="1" applyFont="1" applyFill="1" applyBorder="1" applyAlignment="1" applyProtection="1">
      <alignment horizontal="left" vertical="center"/>
    </xf>
    <xf numFmtId="0" fontId="57" fillId="5" borderId="37" xfId="1" applyFont="1" applyFill="1" applyBorder="1" applyAlignment="1" applyProtection="1">
      <alignment horizontal="left" vertical="center"/>
    </xf>
    <xf numFmtId="1" fontId="57" fillId="5" borderId="30" xfId="1" applyNumberFormat="1" applyFont="1" applyFill="1" applyBorder="1" applyAlignment="1" applyProtection="1">
      <alignment horizontal="center" vertical="center"/>
    </xf>
    <xf numFmtId="1" fontId="57" fillId="5" borderId="0" xfId="1" applyNumberFormat="1" applyFont="1" applyFill="1" applyBorder="1" applyAlignment="1" applyProtection="1">
      <alignment horizontal="center" vertical="center"/>
    </xf>
    <xf numFmtId="1" fontId="57" fillId="5" borderId="34" xfId="1" applyNumberFormat="1" applyFont="1" applyFill="1" applyBorder="1" applyAlignment="1" applyProtection="1">
      <alignment horizontal="center" vertical="center"/>
    </xf>
    <xf numFmtId="0" fontId="59" fillId="0" borderId="30" xfId="1" applyNumberFormat="1" applyFont="1" applyFill="1" applyBorder="1" applyAlignment="1" applyProtection="1">
      <alignment horizontal="center" vertical="center" wrapText="1"/>
    </xf>
    <xf numFmtId="0" fontId="59" fillId="0" borderId="30" xfId="1" applyNumberFormat="1" applyFont="1" applyFill="1" applyBorder="1" applyAlignment="1" applyProtection="1">
      <alignment horizontal="center" vertical="center"/>
    </xf>
    <xf numFmtId="0" fontId="57" fillId="5" borderId="0" xfId="1" applyFont="1" applyFill="1" applyBorder="1" applyAlignment="1" applyProtection="1">
      <alignment horizontal="left" vertical="center" shrinkToFit="1"/>
    </xf>
    <xf numFmtId="0" fontId="57" fillId="5" borderId="34" xfId="1" applyFont="1" applyFill="1" applyBorder="1" applyAlignment="1" applyProtection="1">
      <alignment horizontal="left" vertical="center" shrinkToFit="1"/>
    </xf>
    <xf numFmtId="0" fontId="57" fillId="5" borderId="34" xfId="1" applyFont="1" applyFill="1" applyBorder="1" applyAlignment="1" applyProtection="1">
      <alignment horizontal="left" vertical="center"/>
    </xf>
    <xf numFmtId="0" fontId="59" fillId="4" borderId="34" xfId="1" applyNumberFormat="1" applyFont="1" applyFill="1" applyBorder="1" applyAlignment="1" applyProtection="1">
      <alignment horizontal="center" vertical="center"/>
    </xf>
    <xf numFmtId="0" fontId="59" fillId="4" borderId="29" xfId="1" applyNumberFormat="1" applyFont="1" applyFill="1" applyBorder="1" applyAlignment="1" applyProtection="1">
      <alignment horizontal="center" vertical="center"/>
    </xf>
    <xf numFmtId="0" fontId="59" fillId="4" borderId="29" xfId="5" applyNumberFormat="1" applyFont="1" applyFill="1" applyBorder="1" applyAlignment="1" applyProtection="1">
      <alignment horizontal="center" vertical="center"/>
    </xf>
    <xf numFmtId="0" fontId="57" fillId="4" borderId="38" xfId="1" applyNumberFormat="1" applyFont="1" applyFill="1" applyBorder="1" applyAlignment="1" applyProtection="1">
      <alignment horizontal="center" vertical="center"/>
    </xf>
    <xf numFmtId="0" fontId="57" fillId="4" borderId="14" xfId="1" applyNumberFormat="1" applyFont="1" applyFill="1" applyBorder="1" applyAlignment="1" applyProtection="1">
      <alignment horizontal="center" vertical="center"/>
    </xf>
    <xf numFmtId="0" fontId="57" fillId="4" borderId="39" xfId="1" applyNumberFormat="1" applyFont="1" applyFill="1" applyBorder="1" applyAlignment="1" applyProtection="1">
      <alignment horizontal="center" vertical="center"/>
    </xf>
    <xf numFmtId="0" fontId="57" fillId="4" borderId="30" xfId="1" applyFont="1" applyFill="1" applyBorder="1" applyAlignment="1" applyProtection="1">
      <alignment horizontal="center" vertical="center"/>
      <protection locked="0"/>
    </xf>
    <xf numFmtId="0" fontId="57" fillId="4" borderId="0" xfId="1" applyFont="1" applyFill="1" applyBorder="1" applyAlignment="1" applyProtection="1">
      <alignment horizontal="center" vertical="center"/>
      <protection locked="0"/>
    </xf>
    <xf numFmtId="0" fontId="59" fillId="0" borderId="0" xfId="1" applyFont="1" applyFill="1" applyBorder="1" applyAlignment="1" applyProtection="1">
      <alignment horizontal="center" vertical="center"/>
      <protection locked="0"/>
    </xf>
    <xf numFmtId="0" fontId="57" fillId="4" borderId="0" xfId="1" applyFont="1" applyFill="1" applyBorder="1" applyAlignment="1" applyProtection="1">
      <alignment horizontal="left" vertical="center" shrinkToFit="1"/>
      <protection locked="0"/>
    </xf>
    <xf numFmtId="0" fontId="57" fillId="4" borderId="34" xfId="1" applyFont="1" applyFill="1" applyBorder="1" applyAlignment="1" applyProtection="1">
      <alignment horizontal="left" vertical="center" shrinkToFit="1"/>
      <protection locked="0"/>
    </xf>
    <xf numFmtId="0" fontId="59" fillId="0" borderId="0" xfId="1" applyFont="1" applyFill="1" applyBorder="1" applyAlignment="1" applyProtection="1">
      <alignment horizontal="left" vertical="center"/>
      <protection locked="0"/>
    </xf>
    <xf numFmtId="0" fontId="57" fillId="4" borderId="0" xfId="1" applyFont="1" applyFill="1" applyBorder="1" applyAlignment="1" applyProtection="1">
      <alignment horizontal="left" vertical="center"/>
      <protection locked="0"/>
    </xf>
    <xf numFmtId="0" fontId="57" fillId="4" borderId="34" xfId="1" applyFont="1" applyFill="1" applyBorder="1" applyAlignment="1" applyProtection="1">
      <alignment horizontal="left" vertical="center"/>
      <protection locked="0"/>
    </xf>
    <xf numFmtId="1" fontId="57" fillId="4" borderId="30" xfId="1" applyNumberFormat="1" applyFont="1" applyFill="1" applyBorder="1" applyAlignment="1" applyProtection="1">
      <alignment horizontal="center" vertical="center"/>
      <protection locked="0"/>
    </xf>
    <xf numFmtId="1" fontId="57" fillId="4" borderId="0" xfId="1" applyNumberFormat="1" applyFont="1" applyFill="1" applyBorder="1" applyAlignment="1" applyProtection="1">
      <alignment horizontal="center" vertical="center"/>
      <protection locked="0"/>
    </xf>
    <xf numFmtId="1" fontId="57" fillId="4" borderId="34" xfId="1" applyNumberFormat="1" applyFont="1" applyFill="1" applyBorder="1" applyAlignment="1" applyProtection="1">
      <alignment horizontal="center" vertical="center"/>
      <protection locked="0"/>
    </xf>
    <xf numFmtId="3" fontId="57" fillId="4" borderId="30" xfId="1" applyNumberFormat="1" applyFont="1" applyFill="1" applyBorder="1" applyAlignment="1" applyProtection="1">
      <alignment horizontal="center" vertical="center"/>
      <protection locked="0"/>
    </xf>
    <xf numFmtId="3" fontId="57" fillId="4" borderId="0" xfId="1" applyNumberFormat="1" applyFont="1" applyFill="1" applyBorder="1" applyAlignment="1" applyProtection="1">
      <alignment horizontal="center" vertical="center"/>
      <protection locked="0"/>
    </xf>
    <xf numFmtId="3" fontId="57" fillId="4" borderId="34" xfId="1" applyNumberFormat="1" applyFont="1" applyFill="1" applyBorder="1" applyAlignment="1" applyProtection="1">
      <alignment horizontal="center" vertical="center"/>
      <protection locked="0"/>
    </xf>
    <xf numFmtId="0" fontId="57" fillId="4" borderId="30" xfId="1" applyFont="1" applyFill="1" applyBorder="1" applyAlignment="1" applyProtection="1">
      <alignment horizontal="left" vertical="center"/>
      <protection locked="0"/>
    </xf>
    <xf numFmtId="167" fontId="79" fillId="7" borderId="30" xfId="1" applyNumberFormat="1" applyFont="1" applyFill="1" applyBorder="1" applyAlignment="1" applyProtection="1">
      <alignment horizontal="left" vertical="center" indent="1"/>
    </xf>
    <xf numFmtId="167" fontId="79" fillId="7" borderId="0" xfId="1" applyNumberFormat="1" applyFont="1" applyFill="1" applyBorder="1" applyAlignment="1" applyProtection="1">
      <alignment horizontal="left" vertical="center" indent="1"/>
    </xf>
    <xf numFmtId="167" fontId="79" fillId="7" borderId="34" xfId="1" applyNumberFormat="1" applyFont="1" applyFill="1" applyBorder="1" applyAlignment="1" applyProtection="1">
      <alignment horizontal="left" vertical="center" indent="1"/>
    </xf>
    <xf numFmtId="49" fontId="59" fillId="0" borderId="29" xfId="1" applyNumberFormat="1" applyFont="1" applyFill="1" applyBorder="1" applyAlignment="1" applyProtection="1">
      <alignment horizontal="center" vertical="center"/>
    </xf>
    <xf numFmtId="0" fontId="59" fillId="4" borderId="29" xfId="1" applyFont="1" applyFill="1" applyBorder="1" applyAlignment="1" applyProtection="1">
      <alignment horizontal="center" vertical="center"/>
      <protection locked="0"/>
    </xf>
    <xf numFmtId="0" fontId="59" fillId="4" borderId="30" xfId="1" applyFont="1" applyFill="1" applyBorder="1" applyAlignment="1" applyProtection="1">
      <alignment horizontal="center" vertical="center"/>
      <protection locked="0"/>
    </xf>
    <xf numFmtId="0" fontId="59" fillId="4" borderId="34" xfId="1" applyFont="1" applyFill="1" applyBorder="1" applyAlignment="1" applyProtection="1">
      <alignment horizontal="left" vertical="center"/>
      <protection locked="0"/>
    </xf>
    <xf numFmtId="0" fontId="59" fillId="4" borderId="29" xfId="1" applyFont="1" applyFill="1" applyBorder="1" applyAlignment="1" applyProtection="1">
      <alignment horizontal="left" vertical="center"/>
      <protection locked="0"/>
    </xf>
    <xf numFmtId="0" fontId="59" fillId="4" borderId="30" xfId="1" applyFont="1" applyFill="1" applyBorder="1" applyAlignment="1" applyProtection="1">
      <alignment horizontal="left" vertical="center"/>
      <protection locked="0"/>
    </xf>
    <xf numFmtId="0" fontId="57" fillId="4" borderId="41" xfId="1" applyFont="1" applyFill="1" applyBorder="1" applyAlignment="1" applyProtection="1">
      <alignment horizontal="left" vertical="center"/>
      <protection locked="0"/>
    </xf>
    <xf numFmtId="0" fontId="57" fillId="4" borderId="42" xfId="1" applyFont="1" applyFill="1" applyBorder="1" applyAlignment="1" applyProtection="1">
      <alignment horizontal="left" vertical="center"/>
      <protection locked="0"/>
    </xf>
    <xf numFmtId="0" fontId="57" fillId="4" borderId="36" xfId="1" applyFont="1" applyFill="1" applyBorder="1" applyAlignment="1" applyProtection="1">
      <alignment horizontal="left" vertical="center"/>
      <protection locked="0"/>
    </xf>
    <xf numFmtId="0" fontId="57" fillId="4" borderId="37" xfId="1" applyFont="1" applyFill="1" applyBorder="1" applyAlignment="1" applyProtection="1">
      <alignment horizontal="left" vertical="center"/>
      <protection locked="0"/>
    </xf>
    <xf numFmtId="173" fontId="60" fillId="7" borderId="30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167" fontId="59" fillId="4" borderId="29" xfId="1" applyNumberFormat="1" applyFont="1" applyFill="1" applyBorder="1" applyAlignment="1" applyProtection="1">
      <alignment horizontal="center" vertical="center"/>
      <protection locked="0"/>
    </xf>
    <xf numFmtId="3" fontId="59" fillId="4" borderId="29" xfId="1" applyNumberFormat="1" applyFont="1" applyFill="1" applyBorder="1" applyAlignment="1" applyProtection="1">
      <alignment horizontal="center" vertical="center"/>
      <protection locked="0"/>
    </xf>
    <xf numFmtId="3" fontId="59" fillId="4" borderId="30" xfId="1" applyNumberFormat="1" applyFont="1" applyFill="1" applyBorder="1" applyAlignment="1" applyProtection="1">
      <alignment horizontal="center" vertical="center"/>
      <protection locked="0"/>
    </xf>
    <xf numFmtId="176" fontId="108" fillId="7" borderId="30" xfId="6" applyNumberFormat="1" applyFont="1" applyFill="1" applyBorder="1" applyAlignment="1" applyProtection="1">
      <alignment horizontal="right" indent="1"/>
    </xf>
    <xf numFmtId="176" fontId="108" fillId="7" borderId="0" xfId="6" applyNumberFormat="1" applyFont="1" applyFill="1" applyBorder="1" applyAlignment="1" applyProtection="1">
      <alignment horizontal="right" indent="1"/>
    </xf>
    <xf numFmtId="0" fontId="60" fillId="7" borderId="30" xfId="1" applyFont="1" applyFill="1" applyBorder="1" applyAlignment="1" applyProtection="1">
      <alignment horizontal="left" indent="1"/>
    </xf>
    <xf numFmtId="0" fontId="60" fillId="7" borderId="0" xfId="1" applyFont="1" applyFill="1" applyBorder="1" applyAlignment="1" applyProtection="1">
      <alignment horizontal="left" indent="1"/>
    </xf>
    <xf numFmtId="0" fontId="60" fillId="7" borderId="34" xfId="1" applyFont="1" applyFill="1" applyBorder="1" applyAlignment="1" applyProtection="1">
      <alignment horizontal="left" indent="1"/>
    </xf>
    <xf numFmtId="174" fontId="60" fillId="7" borderId="30" xfId="1" applyNumberFormat="1" applyFont="1" applyFill="1" applyBorder="1" applyAlignment="1" applyProtection="1">
      <alignment horizontal="right" indent="1"/>
    </xf>
    <xf numFmtId="174" fontId="60" fillId="7" borderId="0" xfId="1" applyNumberFormat="1" applyFont="1" applyFill="1" applyBorder="1" applyAlignment="1" applyProtection="1">
      <alignment horizontal="right" indent="1"/>
    </xf>
    <xf numFmtId="177" fontId="60" fillId="7" borderId="30" xfId="1" applyNumberFormat="1" applyFont="1" applyFill="1" applyBorder="1" applyAlignment="1" applyProtection="1">
      <alignment horizontal="right" indent="1"/>
    </xf>
    <xf numFmtId="177" fontId="60" fillId="7" borderId="0" xfId="1" applyNumberFormat="1" applyFont="1" applyFill="1" applyBorder="1" applyAlignment="1" applyProtection="1">
      <alignment horizontal="right" indent="1"/>
    </xf>
    <xf numFmtId="178" fontId="60" fillId="7" borderId="30" xfId="1" applyNumberFormat="1" applyFont="1" applyFill="1" applyBorder="1" applyAlignment="1" applyProtection="1">
      <alignment vertical="center"/>
    </xf>
    <xf numFmtId="178" fontId="60" fillId="7" borderId="0" xfId="1" applyNumberFormat="1" applyFont="1" applyFill="1" applyBorder="1" applyAlignment="1" applyProtection="1">
      <alignment vertical="center"/>
    </xf>
    <xf numFmtId="0" fontId="50" fillId="4" borderId="30" xfId="1" applyFont="1" applyFill="1" applyBorder="1" applyAlignment="1" applyProtection="1">
      <alignment horizontal="center"/>
      <protection locked="0"/>
    </xf>
    <xf numFmtId="0" fontId="50" fillId="4" borderId="0" xfId="1" applyFont="1" applyFill="1" applyBorder="1" applyAlignment="1" applyProtection="1">
      <alignment horizontal="center"/>
      <protection locked="0"/>
    </xf>
    <xf numFmtId="0" fontId="50" fillId="4" borderId="34" xfId="1" applyFont="1" applyFill="1" applyBorder="1" applyAlignment="1" applyProtection="1">
      <alignment horizontal="center"/>
      <protection locked="0"/>
    </xf>
    <xf numFmtId="0" fontId="50" fillId="4" borderId="40" xfId="1" applyFont="1" applyFill="1" applyBorder="1" applyAlignment="1" applyProtection="1">
      <alignment horizontal="center"/>
      <protection locked="0"/>
    </xf>
    <xf numFmtId="0" fontId="50" fillId="4" borderId="41" xfId="1" applyFont="1" applyFill="1" applyBorder="1" applyAlignment="1" applyProtection="1">
      <alignment horizontal="center"/>
      <protection locked="0"/>
    </xf>
    <xf numFmtId="0" fontId="50" fillId="4" borderId="42" xfId="1" applyFont="1" applyFill="1" applyBorder="1" applyAlignment="1" applyProtection="1">
      <alignment horizontal="center"/>
      <protection locked="0"/>
    </xf>
    <xf numFmtId="0" fontId="50" fillId="4" borderId="35" xfId="1" applyFont="1" applyFill="1" applyBorder="1" applyAlignment="1" applyProtection="1">
      <alignment horizontal="center"/>
    </xf>
    <xf numFmtId="0" fontId="50" fillId="4" borderId="36" xfId="1" applyFont="1" applyFill="1" applyBorder="1" applyAlignment="1" applyProtection="1">
      <alignment horizontal="center"/>
    </xf>
    <xf numFmtId="0" fontId="50" fillId="4" borderId="37" xfId="1" applyFont="1" applyFill="1" applyBorder="1" applyAlignment="1" applyProtection="1">
      <alignment horizontal="center"/>
    </xf>
    <xf numFmtId="0" fontId="50" fillId="4" borderId="30" xfId="1" applyFont="1" applyFill="1" applyBorder="1" applyAlignment="1" applyProtection="1">
      <alignment horizontal="center"/>
    </xf>
    <xf numFmtId="0" fontId="50" fillId="4" borderId="0" xfId="1" applyFont="1" applyFill="1" applyBorder="1" applyAlignment="1" applyProtection="1">
      <alignment horizontal="center"/>
    </xf>
    <xf numFmtId="0" fontId="50" fillId="4" borderId="34" xfId="1" applyFont="1" applyFill="1" applyBorder="1" applyAlignment="1" applyProtection="1">
      <alignment horizontal="center"/>
    </xf>
    <xf numFmtId="167" fontId="59" fillId="0" borderId="30" xfId="1" applyNumberFormat="1" applyFont="1" applyFill="1" applyBorder="1" applyAlignment="1" applyProtection="1">
      <alignment horizontal="center" vertical="center"/>
    </xf>
    <xf numFmtId="167" fontId="59" fillId="0" borderId="0" xfId="1" applyNumberFormat="1" applyFont="1" applyFill="1" applyBorder="1" applyAlignment="1" applyProtection="1">
      <alignment horizontal="center" vertical="center"/>
    </xf>
    <xf numFmtId="167" fontId="59" fillId="0" borderId="34" xfId="1" applyNumberFormat="1" applyFont="1" applyFill="1" applyBorder="1" applyAlignment="1" applyProtection="1">
      <alignment horizontal="center" vertical="center"/>
    </xf>
    <xf numFmtId="0" fontId="59" fillId="4" borderId="34" xfId="1" applyFont="1" applyFill="1" applyBorder="1" applyAlignment="1" applyProtection="1">
      <alignment horizontal="left" vertical="center" shrinkToFit="1"/>
      <protection locked="0"/>
    </xf>
    <xf numFmtId="0" fontId="59" fillId="4" borderId="29" xfId="1" applyFont="1" applyFill="1" applyBorder="1" applyAlignment="1" applyProtection="1">
      <alignment horizontal="left" vertical="center" shrinkToFit="1"/>
      <protection locked="0"/>
    </xf>
    <xf numFmtId="0" fontId="59" fillId="0" borderId="28" xfId="1" applyFont="1" applyFill="1" applyBorder="1" applyAlignment="1" applyProtection="1">
      <alignment horizontal="right" vertical="center"/>
    </xf>
    <xf numFmtId="49" fontId="59" fillId="0" borderId="28" xfId="1" applyNumberFormat="1" applyFont="1" applyFill="1" applyBorder="1" applyAlignment="1" applyProtection="1">
      <alignment horizontal="center" vertical="center"/>
    </xf>
    <xf numFmtId="0" fontId="59" fillId="4" borderId="28" xfId="1" applyFont="1" applyFill="1" applyBorder="1" applyAlignment="1" applyProtection="1">
      <alignment horizontal="center" vertical="center"/>
      <protection locked="0"/>
    </xf>
    <xf numFmtId="0" fontId="59" fillId="4" borderId="40" xfId="1" applyFont="1" applyFill="1" applyBorder="1" applyAlignment="1" applyProtection="1">
      <alignment horizontal="center" vertical="center"/>
      <protection locked="0"/>
    </xf>
    <xf numFmtId="0" fontId="59" fillId="0" borderId="41" xfId="1" applyFont="1" applyFill="1" applyBorder="1" applyAlignment="1" applyProtection="1">
      <alignment horizontal="center" vertical="center"/>
      <protection locked="0"/>
    </xf>
    <xf numFmtId="0" fontId="59" fillId="4" borderId="42" xfId="1" applyFont="1" applyFill="1" applyBorder="1" applyAlignment="1" applyProtection="1">
      <alignment horizontal="left" vertical="center" shrinkToFit="1"/>
      <protection locked="0"/>
    </xf>
    <xf numFmtId="0" fontId="59" fillId="4" borderId="28" xfId="1" applyFont="1" applyFill="1" applyBorder="1" applyAlignment="1" applyProtection="1">
      <alignment horizontal="left" vertical="center" shrinkToFit="1"/>
      <protection locked="0"/>
    </xf>
    <xf numFmtId="0" fontId="59" fillId="4" borderId="28" xfId="1" applyFont="1" applyFill="1" applyBorder="1" applyAlignment="1" applyProtection="1">
      <alignment horizontal="left" vertical="center"/>
      <protection locked="0"/>
    </xf>
    <xf numFmtId="0" fontId="59" fillId="4" borderId="40" xfId="1" applyFont="1" applyFill="1" applyBorder="1" applyAlignment="1" applyProtection="1">
      <alignment horizontal="left" vertical="center"/>
      <protection locked="0"/>
    </xf>
    <xf numFmtId="0" fontId="53" fillId="7" borderId="30" xfId="1" applyFont="1" applyFill="1" applyBorder="1" applyAlignment="1" applyProtection="1">
      <alignment horizontal="left" indent="1"/>
    </xf>
    <xf numFmtId="0" fontId="53" fillId="7" borderId="0" xfId="1" applyFont="1" applyFill="1" applyBorder="1" applyAlignment="1" applyProtection="1">
      <alignment horizontal="left" indent="1"/>
    </xf>
    <xf numFmtId="0" fontId="53" fillId="7" borderId="34" xfId="1" applyFont="1" applyFill="1" applyBorder="1" applyAlignment="1" applyProtection="1">
      <alignment horizontal="left" indent="1"/>
    </xf>
    <xf numFmtId="1" fontId="59" fillId="4" borderId="28" xfId="1" applyNumberFormat="1" applyFont="1" applyFill="1" applyBorder="1" applyAlignment="1" applyProtection="1">
      <alignment horizontal="center" vertical="center"/>
      <protection locked="0"/>
    </xf>
    <xf numFmtId="167" fontId="59" fillId="0" borderId="28" xfId="1" applyNumberFormat="1" applyFont="1" applyFill="1" applyBorder="1" applyAlignment="1" applyProtection="1">
      <alignment horizontal="center" vertical="center"/>
    </xf>
    <xf numFmtId="1" fontId="59" fillId="4" borderId="28" xfId="5" applyNumberFormat="1" applyFont="1" applyFill="1" applyBorder="1" applyAlignment="1" applyProtection="1">
      <alignment horizontal="center" vertical="center"/>
      <protection locked="0"/>
    </xf>
    <xf numFmtId="2" fontId="59" fillId="0" borderId="28" xfId="1" applyNumberFormat="1" applyFont="1" applyFill="1" applyBorder="1" applyAlignment="1" applyProtection="1">
      <alignment horizontal="center" vertical="center"/>
    </xf>
    <xf numFmtId="167" fontId="59" fillId="4" borderId="28" xfId="1" applyNumberFormat="1" applyFont="1" applyFill="1" applyBorder="1" applyAlignment="1" applyProtection="1">
      <alignment horizontal="center" vertical="center"/>
      <protection locked="0"/>
    </xf>
    <xf numFmtId="0" fontId="59" fillId="0" borderId="41" xfId="1" applyFont="1" applyFill="1" applyBorder="1" applyAlignment="1" applyProtection="1">
      <alignment horizontal="left" vertical="center"/>
      <protection locked="0"/>
    </xf>
    <xf numFmtId="0" fontId="59" fillId="4" borderId="42" xfId="1" applyFont="1" applyFill="1" applyBorder="1" applyAlignment="1" applyProtection="1">
      <alignment horizontal="left" vertical="center"/>
      <protection locked="0"/>
    </xf>
    <xf numFmtId="3" fontId="59" fillId="4" borderId="28" xfId="1" applyNumberFormat="1" applyFont="1" applyFill="1" applyBorder="1" applyAlignment="1" applyProtection="1">
      <alignment horizontal="center" vertical="center"/>
      <protection locked="0"/>
    </xf>
    <xf numFmtId="0" fontId="71" fillId="2" borderId="0" xfId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horizontal="center" vertical="center"/>
    </xf>
    <xf numFmtId="0" fontId="50" fillId="9" borderId="28" xfId="1" applyFont="1" applyFill="1" applyBorder="1" applyAlignment="1" applyProtection="1">
      <alignment horizontal="center" vertical="center"/>
    </xf>
    <xf numFmtId="0" fontId="50" fillId="9" borderId="28" xfId="1" applyFont="1" applyFill="1" applyBorder="1" applyAlignment="1" applyProtection="1">
      <alignment horizontal="center" vertical="center" wrapText="1"/>
    </xf>
    <xf numFmtId="167" fontId="50" fillId="9" borderId="28" xfId="1" applyNumberFormat="1" applyFont="1" applyFill="1" applyBorder="1" applyAlignment="1" applyProtection="1">
      <alignment horizontal="center" vertical="center" wrapText="1"/>
    </xf>
    <xf numFmtId="167" fontId="50" fillId="9" borderId="28" xfId="1" applyNumberFormat="1" applyFont="1" applyFill="1" applyBorder="1" applyAlignment="1" applyProtection="1">
      <alignment horizontal="center" vertical="center"/>
    </xf>
    <xf numFmtId="0" fontId="46" fillId="10" borderId="27" xfId="1" applyFont="1" applyFill="1" applyBorder="1" applyAlignment="1" applyProtection="1">
      <alignment horizontal="center" vertical="center"/>
    </xf>
    <xf numFmtId="0" fontId="46" fillId="10" borderId="28" xfId="1" applyFont="1" applyFill="1" applyBorder="1" applyAlignment="1" applyProtection="1">
      <alignment horizontal="center" vertical="center"/>
    </xf>
    <xf numFmtId="0" fontId="21" fillId="0" borderId="29" xfId="1" applyFont="1" applyFill="1" applyBorder="1" applyAlignment="1" applyProtection="1">
      <alignment horizontal="center" vertical="center"/>
    </xf>
    <xf numFmtId="0" fontId="21" fillId="0" borderId="30" xfId="1" applyFont="1" applyFill="1" applyBorder="1" applyAlignment="1" applyProtection="1">
      <alignment horizontal="center" vertical="center"/>
    </xf>
    <xf numFmtId="49" fontId="60" fillId="0" borderId="27" xfId="1" applyNumberFormat="1" applyFont="1" applyFill="1" applyBorder="1" applyAlignment="1" applyProtection="1">
      <alignment horizontal="center" vertical="center"/>
    </xf>
    <xf numFmtId="49" fontId="60" fillId="0" borderId="29" xfId="1" applyNumberFormat="1" applyFont="1" applyFill="1" applyBorder="1" applyAlignment="1" applyProtection="1">
      <alignment horizontal="center" vertical="center"/>
    </xf>
    <xf numFmtId="0" fontId="60" fillId="0" borderId="15" xfId="1" applyFont="1" applyFill="1" applyBorder="1" applyAlignment="1" applyProtection="1">
      <alignment horizontal="left" vertical="center"/>
    </xf>
    <xf numFmtId="0" fontId="60" fillId="0" borderId="14" xfId="1" applyFont="1" applyFill="1" applyBorder="1" applyAlignment="1" applyProtection="1">
      <alignment horizontal="left" vertical="center"/>
    </xf>
    <xf numFmtId="0" fontId="60" fillId="0" borderId="16" xfId="1" applyFont="1" applyFill="1" applyBorder="1" applyAlignment="1" applyProtection="1">
      <alignment horizontal="left" vertical="center"/>
    </xf>
    <xf numFmtId="1" fontId="60" fillId="0" borderId="27" xfId="1" applyNumberFormat="1" applyFont="1" applyFill="1" applyBorder="1" applyAlignment="1" applyProtection="1">
      <alignment horizontal="right" vertical="center" indent="1"/>
    </xf>
    <xf numFmtId="1" fontId="60" fillId="0" borderId="29" xfId="1" applyNumberFormat="1" applyFont="1" applyFill="1" applyBorder="1" applyAlignment="1" applyProtection="1">
      <alignment horizontal="right" vertical="center" indent="1"/>
    </xf>
    <xf numFmtId="1" fontId="21" fillId="0" borderId="35" xfId="1" applyNumberFormat="1" applyFont="1" applyFill="1" applyBorder="1" applyAlignment="1" applyProtection="1">
      <alignment horizontal="center" vertical="center"/>
    </xf>
    <xf numFmtId="1" fontId="21" fillId="0" borderId="36" xfId="1" applyNumberFormat="1" applyFont="1" applyFill="1" applyBorder="1" applyAlignment="1" applyProtection="1">
      <alignment horizontal="center" vertical="center"/>
    </xf>
    <xf numFmtId="1" fontId="21" fillId="0" borderId="37" xfId="1" applyNumberFormat="1" applyFont="1" applyFill="1" applyBorder="1" applyAlignment="1" applyProtection="1">
      <alignment horizontal="center" vertical="center"/>
    </xf>
    <xf numFmtId="1" fontId="21" fillId="0" borderId="30" xfId="1" applyNumberFormat="1" applyFont="1" applyFill="1" applyBorder="1" applyAlignment="1" applyProtection="1">
      <alignment horizontal="center" vertical="center"/>
    </xf>
    <xf numFmtId="1" fontId="21" fillId="0" borderId="0" xfId="1" applyNumberFormat="1" applyFont="1" applyFill="1" applyBorder="1" applyAlignment="1" applyProtection="1">
      <alignment horizontal="center" vertical="center"/>
    </xf>
    <xf numFmtId="1" fontId="21" fillId="0" borderId="34" xfId="1" applyNumberFormat="1" applyFont="1" applyFill="1" applyBorder="1" applyAlignment="1" applyProtection="1">
      <alignment horizontal="center" vertical="center"/>
    </xf>
    <xf numFmtId="167" fontId="60" fillId="0" borderId="27" xfId="1" applyNumberFormat="1" applyFont="1" applyFill="1" applyBorder="1" applyAlignment="1" applyProtection="1">
      <alignment horizontal="center" vertical="center"/>
    </xf>
    <xf numFmtId="167" fontId="60" fillId="0" borderId="29" xfId="1" applyNumberFormat="1" applyFont="1" applyFill="1" applyBorder="1" applyAlignment="1" applyProtection="1">
      <alignment horizontal="center" vertical="center"/>
    </xf>
    <xf numFmtId="167" fontId="21" fillId="0" borderId="34" xfId="1" applyNumberFormat="1" applyFont="1" applyFill="1" applyBorder="1" applyAlignment="1" applyProtection="1">
      <alignment horizontal="center" vertical="center"/>
      <protection locked="0"/>
    </xf>
    <xf numFmtId="167" fontId="21" fillId="0" borderId="29" xfId="1" applyNumberFormat="1" applyFont="1" applyFill="1" applyBorder="1" applyAlignment="1" applyProtection="1">
      <alignment horizontal="center" vertical="center"/>
      <protection locked="0"/>
    </xf>
    <xf numFmtId="172" fontId="60" fillId="4" borderId="27" xfId="1" applyNumberFormat="1" applyFont="1" applyFill="1" applyBorder="1" applyAlignment="1" applyProtection="1">
      <alignment horizontal="right" vertical="center" indent="1"/>
      <protection locked="0"/>
    </xf>
    <xf numFmtId="172" fontId="60" fillId="4" borderId="29" xfId="1" applyNumberFormat="1" applyFont="1" applyFill="1" applyBorder="1" applyAlignment="1" applyProtection="1">
      <alignment horizontal="right" vertical="center" indent="1"/>
      <protection locked="0"/>
    </xf>
    <xf numFmtId="1" fontId="60" fillId="4" borderId="15" xfId="1" applyNumberFormat="1" applyFont="1" applyFill="1" applyBorder="1" applyAlignment="1" applyProtection="1">
      <alignment horizontal="right" vertical="center" indent="1"/>
      <protection locked="0"/>
    </xf>
    <xf numFmtId="1" fontId="60" fillId="4" borderId="14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9" xfId="1" applyNumberFormat="1" applyFont="1" applyFill="1" applyBorder="1" applyAlignment="1" applyProtection="1">
      <alignment horizontal="right" vertical="center" indent="1"/>
      <protection locked="0"/>
    </xf>
    <xf numFmtId="0" fontId="46" fillId="7" borderId="35" xfId="1" applyFont="1" applyFill="1" applyBorder="1" applyAlignment="1" applyProtection="1">
      <alignment horizontal="left" indent="2"/>
    </xf>
    <xf numFmtId="0" fontId="46" fillId="7" borderId="36" xfId="1" applyFont="1" applyFill="1" applyBorder="1" applyAlignment="1" applyProtection="1">
      <alignment horizontal="left" indent="2"/>
    </xf>
    <xf numFmtId="0" fontId="46" fillId="7" borderId="37" xfId="1" applyFont="1" applyFill="1" applyBorder="1" applyAlignment="1" applyProtection="1">
      <alignment horizontal="left" indent="2"/>
    </xf>
    <xf numFmtId="0" fontId="46" fillId="7" borderId="30" xfId="1" applyFont="1" applyFill="1" applyBorder="1" applyAlignment="1" applyProtection="1">
      <alignment horizontal="left" indent="2"/>
    </xf>
    <xf numFmtId="0" fontId="46" fillId="7" borderId="0" xfId="1" applyFont="1" applyFill="1" applyBorder="1" applyAlignment="1" applyProtection="1">
      <alignment horizontal="left" indent="2"/>
    </xf>
    <xf numFmtId="0" fontId="46" fillId="7" borderId="34" xfId="1" applyFont="1" applyFill="1" applyBorder="1" applyAlignment="1" applyProtection="1">
      <alignment horizontal="left" indent="2"/>
    </xf>
    <xf numFmtId="0" fontId="46" fillId="0" borderId="0" xfId="1" applyFont="1" applyFill="1" applyBorder="1" applyAlignment="1" applyProtection="1">
      <alignment horizontal="center"/>
    </xf>
    <xf numFmtId="2" fontId="60" fillId="0" borderId="29" xfId="1" applyNumberFormat="1" applyFont="1" applyFill="1" applyBorder="1" applyAlignment="1" applyProtection="1">
      <alignment horizontal="right" vertical="center" indent="1"/>
    </xf>
    <xf numFmtId="1" fontId="60" fillId="4" borderId="50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2" xfId="1" applyNumberFormat="1" applyFont="1" applyFill="1" applyBorder="1" applyAlignment="1" applyProtection="1">
      <alignment horizontal="right" vertical="center" indent="1"/>
      <protection locked="0"/>
    </xf>
    <xf numFmtId="1" fontId="60" fillId="4" borderId="33" xfId="1" applyNumberFormat="1" applyFont="1" applyFill="1" applyBorder="1" applyAlignment="1" applyProtection="1">
      <alignment horizontal="right" vertical="center" indent="1"/>
      <protection locked="0"/>
    </xf>
    <xf numFmtId="174" fontId="21" fillId="5" borderId="34" xfId="1" applyNumberFormat="1" applyFont="1" applyFill="1" applyBorder="1" applyAlignment="1" applyProtection="1">
      <alignment horizontal="center" vertical="center"/>
    </xf>
    <xf numFmtId="174" fontId="21" fillId="5" borderId="29" xfId="1" applyNumberFormat="1" applyFont="1" applyFill="1" applyBorder="1" applyAlignment="1" applyProtection="1">
      <alignment horizontal="center" vertical="center"/>
    </xf>
    <xf numFmtId="167" fontId="21" fillId="0" borderId="27" xfId="1" applyNumberFormat="1" applyFont="1" applyFill="1" applyBorder="1" applyAlignment="1" applyProtection="1">
      <alignment horizontal="center" vertical="center"/>
    </xf>
    <xf numFmtId="167" fontId="21" fillId="0" borderId="29" xfId="1" applyNumberFormat="1" applyFont="1" applyFill="1" applyBorder="1" applyAlignment="1" applyProtection="1">
      <alignment horizontal="center" vertical="center"/>
    </xf>
    <xf numFmtId="170" fontId="60" fillId="4" borderId="31" xfId="2" applyNumberFormat="1" applyFont="1" applyFill="1" applyBorder="1" applyAlignment="1" applyProtection="1">
      <alignment horizontal="center" vertical="center"/>
      <protection locked="0"/>
    </xf>
    <xf numFmtId="170" fontId="60" fillId="4" borderId="32" xfId="2" applyNumberFormat="1" applyFont="1" applyFill="1" applyBorder="1" applyAlignment="1" applyProtection="1">
      <alignment horizontal="center" vertical="center"/>
      <protection locked="0"/>
    </xf>
    <xf numFmtId="170" fontId="60" fillId="4" borderId="33" xfId="2" applyNumberFormat="1" applyFont="1" applyFill="1" applyBorder="1" applyAlignment="1" applyProtection="1">
      <alignment horizontal="center" vertical="center"/>
      <protection locked="0"/>
    </xf>
    <xf numFmtId="170" fontId="60" fillId="4" borderId="38" xfId="2" applyNumberFormat="1" applyFont="1" applyFill="1" applyBorder="1" applyAlignment="1" applyProtection="1">
      <alignment horizontal="center" vertical="center"/>
      <protection locked="0"/>
    </xf>
    <xf numFmtId="170" fontId="60" fillId="4" borderId="14" xfId="2" applyNumberFormat="1" applyFont="1" applyFill="1" applyBorder="1" applyAlignment="1" applyProtection="1">
      <alignment horizontal="center" vertical="center"/>
      <protection locked="0"/>
    </xf>
    <xf numFmtId="170" fontId="60" fillId="4" borderId="39" xfId="2" applyNumberFormat="1" applyFont="1" applyFill="1" applyBorder="1" applyAlignment="1" applyProtection="1">
      <alignment horizontal="center" vertical="center"/>
      <protection locked="0"/>
    </xf>
    <xf numFmtId="171" fontId="21" fillId="0" borderId="29" xfId="2" applyNumberFormat="1" applyFont="1" applyFill="1" applyBorder="1" applyAlignment="1" applyProtection="1">
      <alignment horizontal="center" vertical="center"/>
    </xf>
    <xf numFmtId="178" fontId="52" fillId="7" borderId="30" xfId="1" applyNumberFormat="1" applyFont="1" applyFill="1" applyBorder="1" applyAlignment="1" applyProtection="1">
      <alignment horizontal="right" vertical="center"/>
    </xf>
    <xf numFmtId="178" fontId="52" fillId="7" borderId="0" xfId="1" applyNumberFormat="1" applyFont="1" applyFill="1" applyBorder="1" applyAlignment="1" applyProtection="1">
      <alignment horizontal="right" vertical="center"/>
    </xf>
    <xf numFmtId="178" fontId="52" fillId="7" borderId="0" xfId="1" applyNumberFormat="1" applyFont="1" applyFill="1" applyBorder="1" applyAlignment="1" applyProtection="1">
      <alignment horizontal="left" vertical="center"/>
    </xf>
    <xf numFmtId="178" fontId="52" fillId="7" borderId="34" xfId="1" applyNumberFormat="1" applyFont="1" applyFill="1" applyBorder="1" applyAlignment="1" applyProtection="1">
      <alignment horizontal="left" vertical="center"/>
    </xf>
    <xf numFmtId="178" fontId="75" fillId="7" borderId="30" xfId="1" applyNumberFormat="1" applyFont="1" applyFill="1" applyBorder="1" applyAlignment="1" applyProtection="1">
      <alignment horizontal="right" vertical="center"/>
    </xf>
    <xf numFmtId="178" fontId="75" fillId="7" borderId="0" xfId="1" applyNumberFormat="1" applyFont="1" applyFill="1" applyBorder="1" applyAlignment="1" applyProtection="1">
      <alignment horizontal="right" vertical="center"/>
    </xf>
    <xf numFmtId="178" fontId="55" fillId="7" borderId="0" xfId="1" applyNumberFormat="1" applyFont="1" applyFill="1" applyBorder="1" applyAlignment="1" applyProtection="1">
      <alignment horizontal="left" vertical="center"/>
    </xf>
    <xf numFmtId="178" fontId="55" fillId="7" borderId="34" xfId="1" applyNumberFormat="1" applyFont="1" applyFill="1" applyBorder="1" applyAlignment="1" applyProtection="1">
      <alignment horizontal="left" vertical="center"/>
    </xf>
    <xf numFmtId="178" fontId="53" fillId="7" borderId="30" xfId="1" applyNumberFormat="1" applyFont="1" applyFill="1" applyBorder="1" applyAlignment="1" applyProtection="1">
      <alignment horizontal="left" vertical="center" indent="2"/>
    </xf>
    <xf numFmtId="178" fontId="53" fillId="7" borderId="0" xfId="1" applyNumberFormat="1" applyFont="1" applyFill="1" applyBorder="1" applyAlignment="1" applyProtection="1">
      <alignment horizontal="left" vertical="center" indent="2"/>
    </xf>
    <xf numFmtId="178" fontId="53" fillId="7" borderId="34" xfId="1" applyNumberFormat="1" applyFont="1" applyFill="1" applyBorder="1" applyAlignment="1" applyProtection="1">
      <alignment horizontal="left" vertical="center" indent="2"/>
    </xf>
    <xf numFmtId="178" fontId="52" fillId="7" borderId="30" xfId="2" applyNumberFormat="1" applyFont="1" applyFill="1" applyBorder="1" applyAlignment="1" applyProtection="1">
      <alignment horizontal="right" vertical="center"/>
    </xf>
    <xf numFmtId="178" fontId="52" fillId="7" borderId="0" xfId="2" applyNumberFormat="1" applyFont="1" applyFill="1" applyBorder="1" applyAlignment="1" applyProtection="1">
      <alignment horizontal="right" vertical="center"/>
    </xf>
    <xf numFmtId="178" fontId="75" fillId="7" borderId="30" xfId="2" applyNumberFormat="1" applyFont="1" applyFill="1" applyBorder="1" applyAlignment="1" applyProtection="1">
      <alignment horizontal="right" vertical="center"/>
    </xf>
    <xf numFmtId="178" fontId="75" fillId="7" borderId="0" xfId="2" applyNumberFormat="1" applyFont="1" applyFill="1" applyBorder="1" applyAlignment="1" applyProtection="1">
      <alignment horizontal="right" vertical="center"/>
    </xf>
    <xf numFmtId="49" fontId="60" fillId="5" borderId="29" xfId="1" applyNumberFormat="1" applyFont="1" applyFill="1" applyBorder="1" applyAlignment="1" applyProtection="1">
      <alignment horizontal="center" vertical="center"/>
    </xf>
    <xf numFmtId="0" fontId="60" fillId="5" borderId="15" xfId="1" applyFont="1" applyFill="1" applyBorder="1" applyAlignment="1" applyProtection="1">
      <alignment horizontal="left" vertical="center"/>
    </xf>
    <xf numFmtId="0" fontId="60" fillId="5" borderId="14" xfId="1" applyFont="1" applyFill="1" applyBorder="1" applyAlignment="1" applyProtection="1">
      <alignment horizontal="left" vertical="center"/>
    </xf>
    <xf numFmtId="0" fontId="60" fillId="5" borderId="16" xfId="1" applyFont="1" applyFill="1" applyBorder="1" applyAlignment="1" applyProtection="1">
      <alignment horizontal="left" vertical="center"/>
    </xf>
    <xf numFmtId="2" fontId="60" fillId="4" borderId="29" xfId="1" applyNumberFormat="1" applyFont="1" applyFill="1" applyBorder="1" applyAlignment="1" applyProtection="1">
      <alignment horizontal="right" vertical="center" indent="1"/>
      <protection locked="0"/>
    </xf>
    <xf numFmtId="167" fontId="60" fillId="5" borderId="29" xfId="1" applyNumberFormat="1" applyFont="1" applyFill="1" applyBorder="1" applyAlignment="1" applyProtection="1">
      <alignment horizontal="center" vertical="center"/>
    </xf>
    <xf numFmtId="1" fontId="60" fillId="5" borderId="29" xfId="1" applyNumberFormat="1" applyFont="1" applyFill="1" applyBorder="1" applyAlignment="1" applyProtection="1">
      <alignment horizontal="right" vertical="center" indent="1"/>
    </xf>
    <xf numFmtId="178" fontId="53" fillId="7" borderId="30" xfId="1" applyNumberFormat="1" applyFont="1" applyFill="1" applyBorder="1" applyAlignment="1" applyProtection="1">
      <alignment horizontal="left" vertical="center" wrapText="1" indent="2"/>
    </xf>
    <xf numFmtId="178" fontId="53" fillId="7" borderId="0" xfId="1" applyNumberFormat="1" applyFont="1" applyFill="1" applyBorder="1" applyAlignment="1" applyProtection="1">
      <alignment horizontal="left" vertical="center" wrapText="1" indent="2"/>
    </xf>
    <xf numFmtId="178" fontId="53" fillId="7" borderId="34" xfId="1" applyNumberFormat="1" applyFont="1" applyFill="1" applyBorder="1" applyAlignment="1" applyProtection="1">
      <alignment horizontal="left" vertical="center" wrapText="1" indent="2"/>
    </xf>
    <xf numFmtId="2" fontId="60" fillId="5" borderId="29" xfId="1" applyNumberFormat="1" applyFont="1" applyFill="1" applyBorder="1" applyAlignment="1" applyProtection="1">
      <alignment horizontal="right" vertical="center" indent="1"/>
    </xf>
    <xf numFmtId="178" fontId="53" fillId="7" borderId="30" xfId="1" applyNumberFormat="1" applyFont="1" applyFill="1" applyBorder="1" applyAlignment="1" applyProtection="1">
      <alignment horizontal="right" vertical="center"/>
    </xf>
    <xf numFmtId="178" fontId="53" fillId="7" borderId="0" xfId="1" applyNumberFormat="1" applyFont="1" applyFill="1" applyBorder="1" applyAlignment="1" applyProtection="1">
      <alignment horizontal="right" vertical="center"/>
    </xf>
    <xf numFmtId="178" fontId="53" fillId="7" borderId="0" xfId="1" applyNumberFormat="1" applyFont="1" applyFill="1" applyBorder="1" applyAlignment="1" applyProtection="1">
      <alignment horizontal="left" vertical="center"/>
    </xf>
    <xf numFmtId="173" fontId="60" fillId="0" borderId="29" xfId="1" applyNumberFormat="1" applyFont="1" applyFill="1" applyBorder="1" applyAlignment="1" applyProtection="1">
      <alignment horizontal="right" vertical="center" indent="1"/>
    </xf>
    <xf numFmtId="1" fontId="21" fillId="0" borderId="29" xfId="1" applyNumberFormat="1" applyFont="1" applyFill="1" applyBorder="1" applyAlignment="1" applyProtection="1">
      <alignment horizontal="center" vertical="center"/>
    </xf>
    <xf numFmtId="1" fontId="21" fillId="4" borderId="34" xfId="1" applyNumberFormat="1" applyFont="1" applyFill="1" applyBorder="1" applyAlignment="1" applyProtection="1">
      <alignment horizontal="right" vertical="center" indent="1"/>
      <protection locked="0"/>
    </xf>
    <xf numFmtId="1" fontId="21" fillId="4" borderId="29" xfId="1" applyNumberFormat="1" applyFont="1" applyFill="1" applyBorder="1" applyAlignment="1" applyProtection="1">
      <alignment horizontal="right" vertical="center" indent="1"/>
      <protection locked="0"/>
    </xf>
    <xf numFmtId="170" fontId="21" fillId="4" borderId="29" xfId="5" applyNumberFormat="1" applyFont="1" applyFill="1" applyBorder="1" applyAlignment="1" applyProtection="1">
      <alignment horizontal="center" vertical="center"/>
      <protection locked="0"/>
    </xf>
    <xf numFmtId="49" fontId="21" fillId="4" borderId="29" xfId="1" applyNumberFormat="1" applyFont="1" applyFill="1" applyBorder="1" applyAlignment="1" applyProtection="1">
      <alignment horizontal="center" vertical="center"/>
      <protection locked="0"/>
    </xf>
    <xf numFmtId="0" fontId="21" fillId="4" borderId="29" xfId="1" applyFont="1" applyFill="1" applyBorder="1" applyAlignment="1" applyProtection="1">
      <alignment horizontal="left" vertical="center"/>
      <protection locked="0"/>
    </xf>
    <xf numFmtId="2" fontId="21" fillId="4" borderId="29" xfId="1" applyNumberFormat="1" applyFont="1" applyFill="1" applyBorder="1" applyAlignment="1" applyProtection="1">
      <alignment horizontal="center" vertical="center"/>
      <protection locked="0"/>
    </xf>
    <xf numFmtId="1" fontId="21" fillId="0" borderId="30" xfId="1" applyNumberFormat="1" applyFont="1" applyFill="1" applyBorder="1" applyAlignment="1" applyProtection="1">
      <alignment horizontal="center" vertical="center"/>
      <protection locked="0"/>
    </xf>
    <xf numFmtId="1" fontId="21" fillId="0" borderId="0" xfId="1" applyNumberFormat="1" applyFont="1" applyFill="1" applyBorder="1" applyAlignment="1" applyProtection="1">
      <alignment horizontal="center" vertical="center"/>
      <protection locked="0"/>
    </xf>
    <xf numFmtId="1" fontId="21" fillId="0" borderId="34" xfId="1" applyNumberFormat="1" applyFont="1" applyFill="1" applyBorder="1" applyAlignment="1" applyProtection="1">
      <alignment horizontal="center" vertical="center"/>
      <protection locked="0"/>
    </xf>
    <xf numFmtId="167" fontId="21" fillId="4" borderId="29" xfId="1" applyNumberFormat="1" applyFont="1" applyFill="1" applyBorder="1" applyAlignment="1" applyProtection="1">
      <alignment horizontal="center" vertical="center"/>
      <protection locked="0"/>
    </xf>
    <xf numFmtId="172" fontId="21" fillId="4" borderId="29" xfId="1" applyNumberFormat="1" applyFont="1" applyFill="1" applyBorder="1" applyAlignment="1" applyProtection="1">
      <alignment horizontal="center" vertical="center"/>
      <protection locked="0"/>
    </xf>
    <xf numFmtId="1" fontId="21" fillId="4" borderId="28" xfId="1" applyNumberFormat="1" applyFont="1" applyFill="1" applyBorder="1" applyAlignment="1" applyProtection="1">
      <alignment horizontal="right" vertical="center" indent="1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</xf>
    <xf numFmtId="170" fontId="21" fillId="4" borderId="28" xfId="5" applyNumberFormat="1" applyFont="1" applyFill="1" applyBorder="1" applyAlignment="1" applyProtection="1">
      <alignment horizontal="center" vertical="center"/>
      <protection locked="0"/>
    </xf>
    <xf numFmtId="0" fontId="21" fillId="0" borderId="28" xfId="1" applyFont="1" applyFill="1" applyBorder="1" applyAlignment="1" applyProtection="1">
      <alignment horizontal="center" vertical="center"/>
    </xf>
    <xf numFmtId="49" fontId="21" fillId="4" borderId="28" xfId="1" applyNumberFormat="1" applyFont="1" applyFill="1" applyBorder="1" applyAlignment="1" applyProtection="1">
      <alignment horizontal="center" vertical="center"/>
      <protection locked="0"/>
    </xf>
    <xf numFmtId="0" fontId="21" fillId="4" borderId="28" xfId="1" applyFont="1" applyFill="1" applyBorder="1" applyAlignment="1" applyProtection="1">
      <alignment horizontal="left" vertical="center"/>
      <protection locked="0"/>
    </xf>
    <xf numFmtId="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0" borderId="40" xfId="1" applyNumberFormat="1" applyFont="1" applyFill="1" applyBorder="1" applyAlignment="1" applyProtection="1">
      <alignment horizontal="center" vertical="center"/>
      <protection locked="0"/>
    </xf>
    <xf numFmtId="1" fontId="21" fillId="0" borderId="41" xfId="1" applyNumberFormat="1" applyFont="1" applyFill="1" applyBorder="1" applyAlignment="1" applyProtection="1">
      <alignment horizontal="center" vertical="center"/>
      <protection locked="0"/>
    </xf>
    <xf numFmtId="1" fontId="21" fillId="0" borderId="42" xfId="1" applyNumberFormat="1" applyFont="1" applyFill="1" applyBorder="1" applyAlignment="1" applyProtection="1">
      <alignment horizontal="center" vertical="center"/>
      <protection locked="0"/>
    </xf>
    <xf numFmtId="167" fontId="21" fillId="4" borderId="28" xfId="1" applyNumberFormat="1" applyFont="1" applyFill="1" applyBorder="1" applyAlignment="1" applyProtection="1">
      <alignment horizontal="center" vertical="center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  <protection locked="0"/>
    </xf>
    <xf numFmtId="17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2" borderId="43" xfId="1" applyNumberFormat="1" applyFont="1" applyFill="1" applyBorder="1" applyAlignment="1" applyProtection="1">
      <alignment horizontal="left" vertical="top" shrinkToFit="1"/>
    </xf>
    <xf numFmtId="1" fontId="21" fillId="2" borderId="44" xfId="1" applyNumberFormat="1" applyFont="1" applyFill="1" applyBorder="1" applyAlignment="1" applyProtection="1">
      <alignment horizontal="left" vertical="top" shrinkToFit="1"/>
    </xf>
    <xf numFmtId="1" fontId="21" fillId="2" borderId="45" xfId="1" applyNumberFormat="1" applyFont="1" applyFill="1" applyBorder="1" applyAlignment="1" applyProtection="1">
      <alignment horizontal="left" vertical="top" shrinkToFit="1"/>
    </xf>
    <xf numFmtId="1" fontId="21" fillId="2" borderId="46" xfId="1" applyNumberFormat="1" applyFont="1" applyFill="1" applyBorder="1" applyAlignment="1" applyProtection="1">
      <alignment horizontal="left" vertical="top" shrinkToFit="1"/>
    </xf>
    <xf numFmtId="2" fontId="14" fillId="0" borderId="0" xfId="1" applyNumberFormat="1" applyFont="1" applyFill="1" applyBorder="1" applyAlignment="1" applyProtection="1">
      <alignment horizontal="left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67" fontId="50" fillId="9" borderId="20" xfId="1" applyNumberFormat="1" applyFont="1" applyFill="1" applyBorder="1" applyAlignment="1" applyProtection="1">
      <alignment horizontal="center" wrapText="1"/>
    </xf>
    <xf numFmtId="167" fontId="50" fillId="9" borderId="20" xfId="1" applyNumberFormat="1" applyFont="1" applyFill="1" applyBorder="1" applyAlignment="1" applyProtection="1">
      <alignment horizontal="center"/>
    </xf>
    <xf numFmtId="167" fontId="50" fillId="9" borderId="21" xfId="1" applyNumberFormat="1" applyFont="1" applyFill="1" applyBorder="1" applyAlignment="1" applyProtection="1">
      <alignment horizontal="center" wrapText="1"/>
    </xf>
    <xf numFmtId="167" fontId="50" fillId="10" borderId="1" xfId="1" applyNumberFormat="1" applyFont="1" applyFill="1" applyBorder="1" applyAlignment="1" applyProtection="1">
      <alignment horizontal="center" vertical="center"/>
    </xf>
    <xf numFmtId="167" fontId="50" fillId="10" borderId="2" xfId="1" applyNumberFormat="1" applyFont="1" applyFill="1" applyBorder="1" applyAlignment="1" applyProtection="1">
      <alignment horizontal="center" vertical="center"/>
    </xf>
    <xf numFmtId="167" fontId="50" fillId="10" borderId="3" xfId="1" applyNumberFormat="1" applyFont="1" applyFill="1" applyBorder="1" applyAlignment="1" applyProtection="1">
      <alignment horizontal="center" vertical="center"/>
    </xf>
    <xf numFmtId="167" fontId="50" fillId="10" borderId="6" xfId="1" applyNumberFormat="1" applyFont="1" applyFill="1" applyBorder="1" applyAlignment="1" applyProtection="1">
      <alignment horizontal="center" vertical="center"/>
    </xf>
    <xf numFmtId="167" fontId="50" fillId="10" borderId="7" xfId="1" applyNumberFormat="1" applyFont="1" applyFill="1" applyBorder="1" applyAlignment="1" applyProtection="1">
      <alignment horizontal="center" vertical="center"/>
    </xf>
    <xf numFmtId="167" fontId="50" fillId="10" borderId="8" xfId="1" applyNumberFormat="1" applyFont="1" applyFill="1" applyBorder="1" applyAlignment="1" applyProtection="1">
      <alignment horizontal="center" vertical="center"/>
    </xf>
    <xf numFmtId="0" fontId="50" fillId="9" borderId="20" xfId="1" applyFont="1" applyFill="1" applyBorder="1" applyAlignment="1" applyProtection="1">
      <alignment horizontal="center" vertical="center" wrapText="1"/>
    </xf>
    <xf numFmtId="0" fontId="50" fillId="9" borderId="21" xfId="1" applyFont="1" applyFill="1" applyBorder="1" applyAlignment="1" applyProtection="1">
      <alignment horizontal="center" vertical="center" wrapText="1"/>
    </xf>
    <xf numFmtId="0" fontId="50" fillId="9" borderId="20" xfId="1" applyFont="1" applyFill="1" applyBorder="1" applyAlignment="1" applyProtection="1">
      <alignment horizontal="center" vertical="center"/>
    </xf>
    <xf numFmtId="0" fontId="50" fillId="9" borderId="21" xfId="1" applyFont="1" applyFill="1" applyBorder="1" applyAlignment="1" applyProtection="1">
      <alignment horizontal="center" vertical="center"/>
    </xf>
    <xf numFmtId="0" fontId="50" fillId="9" borderId="1" xfId="1" applyFont="1" applyFill="1" applyBorder="1" applyAlignment="1" applyProtection="1">
      <alignment horizontal="center" vertical="center"/>
    </xf>
    <xf numFmtId="0" fontId="50" fillId="9" borderId="2" xfId="1" applyFont="1" applyFill="1" applyBorder="1" applyAlignment="1" applyProtection="1">
      <alignment horizontal="center" vertical="center"/>
    </xf>
    <xf numFmtId="0" fontId="50" fillId="9" borderId="3" xfId="1" applyFont="1" applyFill="1" applyBorder="1" applyAlignment="1" applyProtection="1">
      <alignment horizontal="center" vertical="center"/>
    </xf>
    <xf numFmtId="0" fontId="50" fillId="9" borderId="6" xfId="1" applyFont="1" applyFill="1" applyBorder="1" applyAlignment="1" applyProtection="1">
      <alignment horizontal="center" vertical="center"/>
    </xf>
    <xf numFmtId="0" fontId="50" fillId="9" borderId="7" xfId="1" applyFont="1" applyFill="1" applyBorder="1" applyAlignment="1" applyProtection="1">
      <alignment horizontal="center" vertical="center"/>
    </xf>
    <xf numFmtId="0" fontId="50" fillId="9" borderId="8" xfId="1" applyFont="1" applyFill="1" applyBorder="1" applyAlignment="1" applyProtection="1">
      <alignment horizontal="center" vertical="center"/>
    </xf>
    <xf numFmtId="167" fontId="50" fillId="9" borderId="1" xfId="1" applyNumberFormat="1" applyFont="1" applyFill="1" applyBorder="1" applyAlignment="1" applyProtection="1">
      <alignment horizontal="center" wrapText="1"/>
    </xf>
    <xf numFmtId="167" fontId="50" fillId="9" borderId="2" xfId="1" applyNumberFormat="1" applyFont="1" applyFill="1" applyBorder="1" applyAlignment="1" applyProtection="1">
      <alignment horizontal="center"/>
    </xf>
    <xf numFmtId="167" fontId="50" fillId="9" borderId="3" xfId="1" applyNumberFormat="1" applyFont="1" applyFill="1" applyBorder="1" applyAlignment="1" applyProtection="1">
      <alignment horizontal="center"/>
    </xf>
    <xf numFmtId="167" fontId="50" fillId="9" borderId="6" xfId="1" applyNumberFormat="1" applyFont="1" applyFill="1" applyBorder="1" applyAlignment="1" applyProtection="1">
      <alignment horizontal="center"/>
    </xf>
    <xf numFmtId="167" fontId="50" fillId="9" borderId="7" xfId="1" applyNumberFormat="1" applyFont="1" applyFill="1" applyBorder="1" applyAlignment="1" applyProtection="1">
      <alignment horizontal="center"/>
    </xf>
    <xf numFmtId="167" fontId="50" fillId="9" borderId="8" xfId="1" applyNumberFormat="1" applyFont="1" applyFill="1" applyBorder="1" applyAlignment="1" applyProtection="1">
      <alignment horizontal="center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7" fillId="0" borderId="10" xfId="1" applyNumberFormat="1" applyFont="1" applyFill="1" applyBorder="1" applyAlignment="1" applyProtection="1">
      <alignment horizontal="right" vertical="center" indent="1"/>
    </xf>
    <xf numFmtId="167" fontId="57" fillId="0" borderId="23" xfId="1" applyNumberFormat="1" applyFont="1" applyFill="1" applyBorder="1" applyAlignment="1" applyProtection="1">
      <alignment horizontal="right" vertical="center" indent="1"/>
    </xf>
    <xf numFmtId="167" fontId="57" fillId="0" borderId="11" xfId="1" applyNumberFormat="1" applyFont="1" applyFill="1" applyBorder="1" applyAlignment="1" applyProtection="1">
      <alignment horizontal="right" vertical="center" indent="1"/>
    </xf>
    <xf numFmtId="167" fontId="57" fillId="0" borderId="24" xfId="1" applyNumberFormat="1" applyFont="1" applyFill="1" applyBorder="1" applyAlignment="1" applyProtection="1">
      <alignment horizontal="right" vertical="center" indent="1"/>
    </xf>
    <xf numFmtId="167" fontId="57" fillId="0" borderId="0" xfId="1" applyNumberFormat="1" applyFont="1" applyFill="1" applyBorder="1" applyAlignment="1" applyProtection="1">
      <alignment horizontal="right" vertical="center" indent="1"/>
    </xf>
    <xf numFmtId="167" fontId="57" fillId="0" borderId="25" xfId="1" applyNumberFormat="1" applyFont="1" applyFill="1" applyBorder="1" applyAlignment="1" applyProtection="1">
      <alignment horizontal="right" vertical="center" indent="1"/>
    </xf>
    <xf numFmtId="1" fontId="57" fillId="0" borderId="10" xfId="1" applyNumberFormat="1" applyFont="1" applyFill="1" applyBorder="1" applyAlignment="1" applyProtection="1">
      <alignment horizontal="center" vertical="center"/>
    </xf>
    <xf numFmtId="1" fontId="57" fillId="0" borderId="23" xfId="1" applyNumberFormat="1" applyFont="1" applyFill="1" applyBorder="1" applyAlignment="1" applyProtection="1">
      <alignment horizontal="center" vertical="center"/>
    </xf>
    <xf numFmtId="1" fontId="57" fillId="0" borderId="11" xfId="1" applyNumberFormat="1" applyFont="1" applyFill="1" applyBorder="1" applyAlignment="1" applyProtection="1">
      <alignment horizontal="center" vertical="center"/>
    </xf>
    <xf numFmtId="1" fontId="57" fillId="0" borderId="24" xfId="1" applyNumberFormat="1" applyFont="1" applyFill="1" applyBorder="1" applyAlignment="1" applyProtection="1">
      <alignment horizontal="center" vertical="center"/>
    </xf>
    <xf numFmtId="1" fontId="57" fillId="0" borderId="0" xfId="1" applyNumberFormat="1" applyFont="1" applyFill="1" applyBorder="1" applyAlignment="1" applyProtection="1">
      <alignment horizontal="center" vertical="center"/>
    </xf>
    <xf numFmtId="1" fontId="57" fillId="0" borderId="25" xfId="1" applyNumberFormat="1" applyFont="1" applyFill="1" applyBorder="1" applyAlignment="1" applyProtection="1">
      <alignment horizontal="center" vertical="center"/>
    </xf>
    <xf numFmtId="0" fontId="57" fillId="0" borderId="9" xfId="1" applyFont="1" applyFill="1" applyBorder="1" applyAlignment="1" applyProtection="1">
      <alignment horizontal="center" vertical="center"/>
    </xf>
    <xf numFmtId="0" fontId="57" fillId="0" borderId="4" xfId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left" vertical="center" indent="1"/>
      <protection locked="0"/>
    </xf>
    <xf numFmtId="0" fontId="57" fillId="5" borderId="4" xfId="1" applyFont="1" applyFill="1" applyBorder="1" applyAlignment="1" applyProtection="1">
      <alignment vertical="center"/>
      <protection locked="0"/>
    </xf>
    <xf numFmtId="0" fontId="57" fillId="5" borderId="0" xfId="1" applyFont="1" applyFill="1" applyBorder="1" applyAlignment="1" applyProtection="1">
      <alignment vertical="center"/>
      <protection locked="0"/>
    </xf>
    <xf numFmtId="0" fontId="57" fillId="5" borderId="5" xfId="1" applyFont="1" applyFill="1" applyBorder="1" applyAlignment="1" applyProtection="1">
      <alignment vertical="center"/>
      <protection locked="0"/>
    </xf>
    <xf numFmtId="0" fontId="57" fillId="5" borderId="4" xfId="1" applyFont="1" applyFill="1" applyBorder="1" applyAlignment="1" applyProtection="1">
      <alignment horizontal="center" vertical="center"/>
      <protection locked="0"/>
    </xf>
    <xf numFmtId="0" fontId="57" fillId="5" borderId="0" xfId="1" applyFont="1" applyFill="1" applyBorder="1" applyAlignment="1" applyProtection="1">
      <alignment horizontal="center" vertical="center"/>
      <protection locked="0"/>
    </xf>
    <xf numFmtId="1" fontId="57" fillId="0" borderId="9" xfId="1" applyNumberFormat="1" applyFont="1" applyFill="1" applyBorder="1" applyAlignment="1" applyProtection="1">
      <alignment horizontal="center"/>
      <protection locked="0"/>
    </xf>
    <xf numFmtId="1" fontId="57" fillId="4" borderId="22" xfId="1" applyNumberFormat="1" applyFont="1" applyFill="1" applyBorder="1" applyAlignment="1" applyProtection="1">
      <alignment horizontal="center" vertical="center"/>
      <protection locked="0"/>
    </xf>
    <xf numFmtId="1" fontId="57" fillId="4" borderId="9" xfId="1" applyNumberFormat="1" applyFont="1" applyFill="1" applyBorder="1" applyAlignment="1" applyProtection="1">
      <alignment horizontal="center" vertical="center"/>
      <protection locked="0"/>
    </xf>
    <xf numFmtId="174" fontId="57" fillId="0" borderId="22" xfId="1" applyNumberFormat="1" applyFont="1" applyFill="1" applyBorder="1" applyAlignment="1" applyProtection="1">
      <alignment horizontal="center"/>
    </xf>
    <xf numFmtId="174" fontId="57" fillId="0" borderId="9" xfId="1" applyNumberFormat="1" applyFont="1" applyFill="1" applyBorder="1" applyAlignment="1" applyProtection="1">
      <alignment horizontal="center"/>
    </xf>
    <xf numFmtId="0" fontId="57" fillId="4" borderId="22" xfId="1" applyFont="1" applyFill="1" applyBorder="1" applyAlignment="1" applyProtection="1">
      <alignment horizontal="center"/>
      <protection locked="0"/>
    </xf>
    <xf numFmtId="0" fontId="57" fillId="4" borderId="9" xfId="1" applyFont="1" applyFill="1" applyBorder="1" applyAlignment="1" applyProtection="1">
      <alignment horizontal="center"/>
      <protection locked="0"/>
    </xf>
    <xf numFmtId="2" fontId="57" fillId="0" borderId="9" xfId="1" applyNumberFormat="1" applyFont="1" applyFill="1" applyBorder="1" applyAlignment="1" applyProtection="1">
      <alignment horizontal="center"/>
    </xf>
    <xf numFmtId="0" fontId="57" fillId="0" borderId="22" xfId="1" applyFont="1" applyFill="1" applyBorder="1" applyAlignment="1" applyProtection="1">
      <alignment horizontal="center" vertical="center"/>
    </xf>
    <xf numFmtId="0" fontId="57" fillId="0" borderId="1" xfId="1" applyFont="1" applyFill="1" applyBorder="1" applyAlignment="1" applyProtection="1">
      <alignment horizontal="center" vertical="center"/>
    </xf>
    <xf numFmtId="0" fontId="57" fillId="5" borderId="22" xfId="1" applyFont="1" applyFill="1" applyBorder="1" applyAlignment="1" applyProtection="1">
      <alignment horizontal="left" vertical="center" indent="1"/>
      <protection locked="0"/>
    </xf>
    <xf numFmtId="0" fontId="57" fillId="5" borderId="1" xfId="1" applyFont="1" applyFill="1" applyBorder="1" applyAlignment="1" applyProtection="1">
      <alignment vertical="center"/>
      <protection locked="0"/>
    </xf>
    <xf numFmtId="0" fontId="57" fillId="5" borderId="2" xfId="1" applyFont="1" applyFill="1" applyBorder="1" applyAlignment="1" applyProtection="1">
      <alignment vertical="center"/>
      <protection locked="0"/>
    </xf>
    <xf numFmtId="0" fontId="57" fillId="5" borderId="3" xfId="1" applyFont="1" applyFill="1" applyBorder="1" applyAlignment="1" applyProtection="1">
      <alignment vertical="center"/>
      <protection locked="0"/>
    </xf>
    <xf numFmtId="1" fontId="57" fillId="0" borderId="22" xfId="1" applyNumberFormat="1" applyFont="1" applyFill="1" applyBorder="1" applyAlignment="1" applyProtection="1">
      <alignment horizontal="center"/>
      <protection locked="0"/>
    </xf>
    <xf numFmtId="167" fontId="57" fillId="5" borderId="22" xfId="1" applyNumberFormat="1" applyFont="1" applyFill="1" applyBorder="1" applyAlignment="1" applyProtection="1">
      <alignment horizontal="center" vertical="center"/>
      <protection locked="0"/>
    </xf>
    <xf numFmtId="167" fontId="57" fillId="5" borderId="9" xfId="1" applyNumberFormat="1" applyFont="1" applyFill="1" applyBorder="1" applyAlignment="1" applyProtection="1">
      <alignment horizontal="center" vertical="center"/>
      <protection locked="0"/>
    </xf>
    <xf numFmtId="167" fontId="57" fillId="0" borderId="22" xfId="1" applyNumberFormat="1" applyFont="1" applyFill="1" applyBorder="1" applyAlignment="1" applyProtection="1">
      <alignment horizontal="right"/>
    </xf>
    <xf numFmtId="167" fontId="57" fillId="0" borderId="9" xfId="1" applyNumberFormat="1" applyFont="1" applyFill="1" applyBorder="1" applyAlignment="1" applyProtection="1">
      <alignment horizontal="right"/>
    </xf>
    <xf numFmtId="167" fontId="57" fillId="0" borderId="4" xfId="1" applyNumberFormat="1" applyFont="1" applyFill="1" applyBorder="1" applyAlignment="1" applyProtection="1">
      <alignment horizontal="right"/>
    </xf>
    <xf numFmtId="167" fontId="57" fillId="0" borderId="0" xfId="1" applyNumberFormat="1" applyFont="1" applyFill="1" applyBorder="1" applyAlignment="1" applyProtection="1">
      <alignment horizontal="right"/>
    </xf>
    <xf numFmtId="167" fontId="57" fillId="0" borderId="5" xfId="1" applyNumberFormat="1" applyFont="1" applyFill="1" applyBorder="1" applyAlignment="1" applyProtection="1">
      <alignment horizontal="right"/>
    </xf>
    <xf numFmtId="170" fontId="46" fillId="7" borderId="1" xfId="5" applyNumberFormat="1" applyFont="1" applyFill="1" applyBorder="1" applyAlignment="1" applyProtection="1">
      <alignment horizontal="left" vertical="center" indent="1"/>
    </xf>
    <xf numFmtId="170" fontId="46" fillId="7" borderId="2" xfId="5" applyNumberFormat="1" applyFont="1" applyFill="1" applyBorder="1" applyAlignment="1" applyProtection="1">
      <alignment horizontal="left" vertical="center" indent="1"/>
    </xf>
    <xf numFmtId="170" fontId="46" fillId="7" borderId="3" xfId="5" applyNumberFormat="1" applyFont="1" applyFill="1" applyBorder="1" applyAlignment="1" applyProtection="1">
      <alignment horizontal="left" vertical="center" indent="1"/>
    </xf>
    <xf numFmtId="170" fontId="46" fillId="7" borderId="4" xfId="5" applyNumberFormat="1" applyFont="1" applyFill="1" applyBorder="1" applyAlignment="1" applyProtection="1">
      <alignment horizontal="left" vertical="center" indent="1"/>
    </xf>
    <xf numFmtId="170" fontId="46" fillId="7" borderId="0" xfId="5" applyNumberFormat="1" applyFont="1" applyFill="1" applyBorder="1" applyAlignment="1" applyProtection="1">
      <alignment horizontal="left" vertical="center" indent="1"/>
    </xf>
    <xf numFmtId="170" fontId="46" fillId="7" borderId="5" xfId="5" applyNumberFormat="1" applyFont="1" applyFill="1" applyBorder="1" applyAlignment="1" applyProtection="1">
      <alignment horizontal="left" vertical="center" indent="1"/>
    </xf>
    <xf numFmtId="167" fontId="57" fillId="5" borderId="9" xfId="3" applyNumberFormat="1" applyFont="1" applyFill="1" applyBorder="1" applyAlignment="1" applyProtection="1">
      <alignment horizontal="center" vertical="center"/>
      <protection locked="0"/>
    </xf>
    <xf numFmtId="175" fontId="57" fillId="7" borderId="4" xfId="1" applyNumberFormat="1" applyFont="1" applyFill="1" applyBorder="1" applyAlignment="1" applyProtection="1">
      <alignment horizontal="center" vertical="center"/>
    </xf>
    <xf numFmtId="175" fontId="57" fillId="7" borderId="0" xfId="1" applyNumberFormat="1" applyFont="1" applyFill="1" applyBorder="1" applyAlignment="1" applyProtection="1">
      <alignment horizontal="center" vertical="center"/>
    </xf>
    <xf numFmtId="175" fontId="57" fillId="7" borderId="5" xfId="1" applyNumberFormat="1" applyFont="1" applyFill="1" applyBorder="1" applyAlignment="1" applyProtection="1">
      <alignment horizontal="center" vertical="center"/>
    </xf>
    <xf numFmtId="175" fontId="46" fillId="7" borderId="4" xfId="1" applyNumberFormat="1" applyFont="1" applyFill="1" applyBorder="1" applyAlignment="1" applyProtection="1">
      <alignment horizontal="right" vertical="center"/>
    </xf>
    <xf numFmtId="175" fontId="46" fillId="7" borderId="0" xfId="1" applyNumberFormat="1" applyFont="1" applyFill="1" applyBorder="1" applyAlignment="1" applyProtection="1">
      <alignment horizontal="right" vertical="center"/>
    </xf>
    <xf numFmtId="175" fontId="52" fillId="7" borderId="4" xfId="1" applyNumberFormat="1" applyFont="1" applyFill="1" applyBorder="1" applyAlignment="1" applyProtection="1">
      <alignment horizontal="right" vertical="center"/>
    </xf>
    <xf numFmtId="175" fontId="52" fillId="7" borderId="0" xfId="1" applyNumberFormat="1" applyFont="1" applyFill="1" applyBorder="1" applyAlignment="1" applyProtection="1">
      <alignment horizontal="right" vertical="center"/>
    </xf>
    <xf numFmtId="175" fontId="52" fillId="7" borderId="0" xfId="1" applyNumberFormat="1" applyFont="1" applyFill="1" applyBorder="1" applyAlignment="1" applyProtection="1">
      <alignment horizontal="left" vertical="center"/>
    </xf>
    <xf numFmtId="175" fontId="52" fillId="7" borderId="5" xfId="1" applyNumberFormat="1" applyFont="1" applyFill="1" applyBorder="1" applyAlignment="1" applyProtection="1">
      <alignment horizontal="left" vertical="center"/>
    </xf>
    <xf numFmtId="175" fontId="46" fillId="7" borderId="0" xfId="1" applyNumberFormat="1" applyFont="1" applyFill="1" applyBorder="1" applyAlignment="1" applyProtection="1">
      <alignment horizontal="left" vertical="center"/>
    </xf>
    <xf numFmtId="175" fontId="46" fillId="7" borderId="5" xfId="1" applyNumberFormat="1" applyFont="1" applyFill="1" applyBorder="1" applyAlignment="1" applyProtection="1">
      <alignment horizontal="left" vertical="center"/>
    </xf>
    <xf numFmtId="175" fontId="46" fillId="7" borderId="4" xfId="1" applyNumberFormat="1" applyFont="1" applyFill="1" applyBorder="1" applyAlignment="1" applyProtection="1">
      <alignment horizontal="left" vertical="center" indent="1"/>
    </xf>
    <xf numFmtId="175" fontId="46" fillId="7" borderId="0" xfId="1" applyNumberFormat="1" applyFont="1" applyFill="1" applyBorder="1" applyAlignment="1" applyProtection="1">
      <alignment horizontal="left" vertical="center" indent="1"/>
    </xf>
    <xf numFmtId="175" fontId="46" fillId="7" borderId="5" xfId="1" applyNumberFormat="1" applyFont="1" applyFill="1" applyBorder="1" applyAlignment="1" applyProtection="1">
      <alignment horizontal="left" vertical="center" indent="1"/>
    </xf>
    <xf numFmtId="175" fontId="46" fillId="7" borderId="4" xfId="1" applyNumberFormat="1" applyFont="1" applyFill="1" applyBorder="1" applyAlignment="1" applyProtection="1">
      <alignment horizontal="left" vertical="center" wrapText="1" indent="1"/>
    </xf>
    <xf numFmtId="175" fontId="46" fillId="7" borderId="0" xfId="1" applyNumberFormat="1" applyFont="1" applyFill="1" applyBorder="1" applyAlignment="1" applyProtection="1">
      <alignment horizontal="left" vertical="center" wrapText="1" indent="1"/>
    </xf>
    <xf numFmtId="175" fontId="46" fillId="7" borderId="5" xfId="1" applyNumberFormat="1" applyFont="1" applyFill="1" applyBorder="1" applyAlignment="1" applyProtection="1">
      <alignment horizontal="left" vertical="center" wrapText="1" indent="1"/>
    </xf>
    <xf numFmtId="167" fontId="50" fillId="4" borderId="1" xfId="1" applyNumberFormat="1" applyFont="1" applyFill="1" applyBorder="1" applyAlignment="1" applyProtection="1">
      <alignment horizontal="left" vertical="center" indent="1"/>
    </xf>
    <xf numFmtId="167" fontId="50" fillId="4" borderId="2" xfId="1" applyNumberFormat="1" applyFont="1" applyFill="1" applyBorder="1" applyAlignment="1" applyProtection="1">
      <alignment horizontal="left" vertical="center" indent="1"/>
    </xf>
    <xf numFmtId="167" fontId="50" fillId="4" borderId="3" xfId="1" applyNumberFormat="1" applyFont="1" applyFill="1" applyBorder="1" applyAlignment="1" applyProtection="1">
      <alignment horizontal="left" vertical="center" indent="1"/>
    </xf>
    <xf numFmtId="167" fontId="50" fillId="4" borderId="4" xfId="1" applyNumberFormat="1" applyFont="1" applyFill="1" applyBorder="1" applyAlignment="1" applyProtection="1">
      <alignment horizontal="left" vertical="center" indent="1"/>
    </xf>
    <xf numFmtId="167" fontId="50" fillId="4" borderId="0" xfId="1" applyNumberFormat="1" applyFont="1" applyFill="1" applyBorder="1" applyAlignment="1" applyProtection="1">
      <alignment horizontal="left" vertical="center" indent="1"/>
    </xf>
    <xf numFmtId="167" fontId="50" fillId="4" borderId="5" xfId="1" applyNumberFormat="1" applyFont="1" applyFill="1" applyBorder="1" applyAlignment="1" applyProtection="1">
      <alignment horizontal="left" vertical="center" indent="1"/>
    </xf>
    <xf numFmtId="167" fontId="57" fillId="4" borderId="4" xfId="1" applyNumberFormat="1" applyFont="1" applyFill="1" applyBorder="1" applyAlignment="1" applyProtection="1">
      <alignment horizontal="left" vertical="top"/>
      <protection locked="0"/>
    </xf>
    <xf numFmtId="167" fontId="57" fillId="4" borderId="0" xfId="1" applyNumberFormat="1" applyFont="1" applyFill="1" applyBorder="1" applyAlignment="1" applyProtection="1">
      <alignment horizontal="left" vertical="top"/>
      <protection locked="0"/>
    </xf>
    <xf numFmtId="167" fontId="57" fillId="4" borderId="5" xfId="1" applyNumberFormat="1" applyFont="1" applyFill="1" applyBorder="1" applyAlignment="1" applyProtection="1">
      <alignment horizontal="left" vertical="top"/>
      <protection locked="0"/>
    </xf>
    <xf numFmtId="167" fontId="57" fillId="4" borderId="6" xfId="1" applyNumberFormat="1" applyFont="1" applyFill="1" applyBorder="1" applyAlignment="1" applyProtection="1">
      <alignment horizontal="left" vertical="top"/>
      <protection locked="0"/>
    </xf>
    <xf numFmtId="167" fontId="57" fillId="4" borderId="7" xfId="1" applyNumberFormat="1" applyFont="1" applyFill="1" applyBorder="1" applyAlignment="1" applyProtection="1">
      <alignment horizontal="left" vertical="top"/>
      <protection locked="0"/>
    </xf>
    <xf numFmtId="167" fontId="57" fillId="4" borderId="8" xfId="1" applyNumberFormat="1" applyFont="1" applyFill="1" applyBorder="1" applyAlignment="1" applyProtection="1">
      <alignment horizontal="left" vertical="top"/>
      <protection locked="0"/>
    </xf>
    <xf numFmtId="2" fontId="57" fillId="0" borderId="19" xfId="1" applyNumberFormat="1" applyFont="1" applyFill="1" applyBorder="1" applyAlignment="1" applyProtection="1">
      <alignment horizontal="center"/>
    </xf>
    <xf numFmtId="167" fontId="57" fillId="0" borderId="19" xfId="1" applyNumberFormat="1" applyFont="1" applyFill="1" applyBorder="1" applyAlignment="1" applyProtection="1">
      <alignment horizontal="right"/>
    </xf>
    <xf numFmtId="167" fontId="57" fillId="0" borderId="6" xfId="1" applyNumberFormat="1" applyFont="1" applyFill="1" applyBorder="1" applyAlignment="1" applyProtection="1">
      <alignment horizontal="right"/>
    </xf>
    <xf numFmtId="167" fontId="57" fillId="0" borderId="7" xfId="1" applyNumberFormat="1" applyFont="1" applyFill="1" applyBorder="1" applyAlignment="1" applyProtection="1">
      <alignment horizontal="right"/>
    </xf>
    <xf numFmtId="167" fontId="57" fillId="0" borderId="8" xfId="1" applyNumberFormat="1" applyFont="1" applyFill="1" applyBorder="1" applyAlignment="1" applyProtection="1">
      <alignment horizontal="right"/>
    </xf>
    <xf numFmtId="167" fontId="57" fillId="0" borderId="12" xfId="1" applyNumberFormat="1" applyFont="1" applyFill="1" applyBorder="1" applyAlignment="1" applyProtection="1">
      <alignment horizontal="right" vertical="center" indent="1"/>
    </xf>
    <xf numFmtId="167" fontId="57" fillId="0" borderId="26" xfId="1" applyNumberFormat="1" applyFont="1" applyFill="1" applyBorder="1" applyAlignment="1" applyProtection="1">
      <alignment horizontal="right" vertical="center" indent="1"/>
    </xf>
    <xf numFmtId="167" fontId="57" fillId="0" borderId="13" xfId="1" applyNumberFormat="1" applyFont="1" applyFill="1" applyBorder="1" applyAlignment="1" applyProtection="1">
      <alignment horizontal="right" vertical="center" indent="1"/>
    </xf>
    <xf numFmtId="1" fontId="57" fillId="0" borderId="12" xfId="1" applyNumberFormat="1" applyFont="1" applyFill="1" applyBorder="1" applyAlignment="1" applyProtection="1">
      <alignment horizontal="center" vertical="center"/>
    </xf>
    <xf numFmtId="1" fontId="57" fillId="0" borderId="26" xfId="1" applyNumberFormat="1" applyFont="1" applyFill="1" applyBorder="1" applyAlignment="1" applyProtection="1">
      <alignment horizontal="center" vertical="center"/>
    </xf>
    <xf numFmtId="1" fontId="57" fillId="0" borderId="13" xfId="1" applyNumberFormat="1" applyFont="1" applyFill="1" applyBorder="1" applyAlignment="1" applyProtection="1">
      <alignment horizontal="center" vertical="center"/>
    </xf>
    <xf numFmtId="0" fontId="57" fillId="5" borderId="6" xfId="1" applyFont="1" applyFill="1" applyBorder="1" applyAlignment="1" applyProtection="1">
      <alignment vertical="center"/>
      <protection locked="0"/>
    </xf>
    <xf numFmtId="0" fontId="57" fillId="5" borderId="7" xfId="1" applyFont="1" applyFill="1" applyBorder="1" applyAlignment="1" applyProtection="1">
      <alignment vertical="center"/>
      <protection locked="0"/>
    </xf>
    <xf numFmtId="0" fontId="57" fillId="5" borderId="8" xfId="1" applyFont="1" applyFill="1" applyBorder="1" applyAlignment="1" applyProtection="1">
      <alignment vertical="center"/>
      <protection locked="0"/>
    </xf>
    <xf numFmtId="0" fontId="57" fillId="5" borderId="6" xfId="1" applyFont="1" applyFill="1" applyBorder="1" applyAlignment="1" applyProtection="1">
      <alignment horizontal="center" vertical="center"/>
      <protection locked="0"/>
    </xf>
    <xf numFmtId="0" fontId="57" fillId="5" borderId="7" xfId="1" applyFont="1" applyFill="1" applyBorder="1" applyAlignment="1" applyProtection="1">
      <alignment horizontal="center" vertical="center"/>
      <protection locked="0"/>
    </xf>
    <xf numFmtId="1" fontId="57" fillId="0" borderId="19" xfId="1" applyNumberFormat="1" applyFont="1" applyFill="1" applyBorder="1" applyAlignment="1" applyProtection="1">
      <alignment horizontal="center"/>
      <protection locked="0"/>
    </xf>
    <xf numFmtId="0" fontId="21" fillId="0" borderId="0" xfId="1" applyFont="1" applyFill="1" applyBorder="1" applyAlignment="1" applyProtection="1">
      <alignment horizontal="left" wrapText="1"/>
    </xf>
    <xf numFmtId="167" fontId="57" fillId="5" borderId="19" xfId="3" applyNumberFormat="1" applyFont="1" applyFill="1" applyBorder="1" applyAlignment="1" applyProtection="1">
      <alignment horizontal="center" vertical="center"/>
      <protection locked="0"/>
    </xf>
    <xf numFmtId="1" fontId="57" fillId="4" borderId="19" xfId="1" applyNumberFormat="1" applyFont="1" applyFill="1" applyBorder="1" applyAlignment="1" applyProtection="1">
      <alignment horizontal="center" vertical="center"/>
      <protection locked="0"/>
    </xf>
    <xf numFmtId="174" fontId="57" fillId="0" borderId="19" xfId="1" applyNumberFormat="1" applyFont="1" applyFill="1" applyBorder="1" applyAlignment="1" applyProtection="1">
      <alignment horizontal="center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0" borderId="19" xfId="1" applyFont="1" applyFill="1" applyBorder="1" applyAlignment="1" applyProtection="1">
      <alignment horizontal="center" vertical="center"/>
    </xf>
    <xf numFmtId="0" fontId="57" fillId="0" borderId="6" xfId="1" applyFont="1" applyFill="1" applyBorder="1" applyAlignment="1" applyProtection="1">
      <alignment horizontal="center" vertical="center"/>
    </xf>
    <xf numFmtId="0" fontId="57" fillId="5" borderId="19" xfId="1" applyFont="1" applyFill="1" applyBorder="1" applyAlignment="1" applyProtection="1">
      <alignment horizontal="left" vertical="center" indent="1"/>
      <protection locked="0"/>
    </xf>
    <xf numFmtId="0" fontId="46" fillId="0" borderId="4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right" vertical="center"/>
    </xf>
    <xf numFmtId="14" fontId="45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50" fillId="2" borderId="0" xfId="1" applyFont="1" applyFill="1" applyBorder="1" applyAlignment="1" applyProtection="1">
      <alignment horizontal="left"/>
    </xf>
    <xf numFmtId="3" fontId="67" fillId="0" borderId="1" xfId="1" applyNumberFormat="1" applyFont="1" applyFill="1" applyBorder="1" applyAlignment="1" applyProtection="1">
      <alignment horizontal="center" vertical="center"/>
    </xf>
    <xf numFmtId="3" fontId="67" fillId="0" borderId="2" xfId="1" applyNumberFormat="1" applyFont="1" applyFill="1" applyBorder="1" applyAlignment="1" applyProtection="1">
      <alignment horizontal="center" vertical="center"/>
    </xf>
    <xf numFmtId="3" fontId="67" fillId="0" borderId="4" xfId="1" applyNumberFormat="1" applyFont="1" applyFill="1" applyBorder="1" applyAlignment="1" applyProtection="1">
      <alignment horizontal="center" vertical="center"/>
    </xf>
    <xf numFmtId="3" fontId="67" fillId="0" borderId="0" xfId="1" applyNumberFormat="1" applyFont="1" applyFill="1" applyBorder="1" applyAlignment="1" applyProtection="1">
      <alignment horizontal="center" vertical="center"/>
    </xf>
    <xf numFmtId="3" fontId="67" fillId="0" borderId="6" xfId="1" applyNumberFormat="1" applyFont="1" applyFill="1" applyBorder="1" applyAlignment="1" applyProtection="1">
      <alignment horizontal="center" vertical="center"/>
    </xf>
    <xf numFmtId="3" fontId="67" fillId="0" borderId="7" xfId="1" applyNumberFormat="1" applyFont="1" applyFill="1" applyBorder="1" applyAlignment="1" applyProtection="1">
      <alignment horizontal="center" vertical="center"/>
    </xf>
    <xf numFmtId="3" fontId="68" fillId="0" borderId="2" xfId="1" applyNumberFormat="1" applyFont="1" applyFill="1" applyBorder="1" applyAlignment="1" applyProtection="1">
      <alignment horizontal="center" vertical="center" shrinkToFit="1"/>
    </xf>
    <xf numFmtId="3" fontId="68" fillId="0" borderId="3" xfId="1" applyNumberFormat="1" applyFont="1" applyFill="1" applyBorder="1" applyAlignment="1" applyProtection="1">
      <alignment horizontal="center" vertical="center" shrinkToFit="1"/>
    </xf>
    <xf numFmtId="3" fontId="68" fillId="0" borderId="0" xfId="1" applyNumberFormat="1" applyFont="1" applyFill="1" applyBorder="1" applyAlignment="1" applyProtection="1">
      <alignment horizontal="center" vertical="center" shrinkToFit="1"/>
    </xf>
    <xf numFmtId="3" fontId="68" fillId="0" borderId="5" xfId="1" applyNumberFormat="1" applyFont="1" applyFill="1" applyBorder="1" applyAlignment="1" applyProtection="1">
      <alignment horizontal="center" vertical="center" shrinkToFit="1"/>
    </xf>
    <xf numFmtId="3" fontId="68" fillId="0" borderId="7" xfId="1" applyNumberFormat="1" applyFont="1" applyFill="1" applyBorder="1" applyAlignment="1" applyProtection="1">
      <alignment horizontal="center" vertical="center" shrinkToFit="1"/>
    </xf>
    <xf numFmtId="3" fontId="68" fillId="0" borderId="8" xfId="1" applyNumberFormat="1" applyFont="1" applyFill="1" applyBorder="1" applyAlignment="1" applyProtection="1">
      <alignment horizontal="center" vertical="center" shrinkToFit="1"/>
    </xf>
    <xf numFmtId="3" fontId="51" fillId="0" borderId="0" xfId="1" applyNumberFormat="1" applyFont="1" applyFill="1" applyBorder="1" applyAlignment="1" applyProtection="1">
      <alignment horizontal="center" vertical="center" shrinkToFit="1"/>
    </xf>
    <xf numFmtId="14" fontId="52" fillId="0" borderId="0" xfId="1" applyNumberFormat="1" applyFont="1" applyFill="1" applyBorder="1" applyAlignment="1" applyProtection="1">
      <alignment horizontal="center" vertical="center"/>
    </xf>
    <xf numFmtId="0" fontId="52" fillId="0" borderId="0" xfId="1" applyFont="1" applyFill="1" applyBorder="1" applyAlignment="1" applyProtection="1">
      <alignment horizontal="center" vertical="center"/>
    </xf>
    <xf numFmtId="0" fontId="52" fillId="0" borderId="7" xfId="1" applyFont="1" applyFill="1" applyBorder="1" applyAlignment="1" applyProtection="1">
      <alignment horizontal="center" vertical="center"/>
    </xf>
    <xf numFmtId="0" fontId="53" fillId="0" borderId="4" xfId="1" applyFont="1" applyFill="1" applyBorder="1" applyAlignment="1" applyProtection="1">
      <alignment horizontal="right" vertical="center"/>
    </xf>
    <xf numFmtId="0" fontId="53" fillId="0" borderId="0" xfId="1" applyFont="1" applyFill="1" applyBorder="1" applyAlignment="1" applyProtection="1">
      <alignment horizontal="right" vertical="center"/>
    </xf>
    <xf numFmtId="0" fontId="53" fillId="0" borderId="2" xfId="1" applyFont="1" applyFill="1" applyBorder="1" applyAlignment="1" applyProtection="1">
      <alignment horizontal="right" vertical="center"/>
    </xf>
    <xf numFmtId="49" fontId="45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3" fillId="0" borderId="0" xfId="1" applyNumberFormat="1" applyFont="1" applyFill="1" applyBorder="1" applyAlignment="1" applyProtection="1">
      <alignment horizontal="left" vertical="center"/>
    </xf>
    <xf numFmtId="0" fontId="45" fillId="0" borderId="0" xfId="1" applyFont="1" applyFill="1" applyBorder="1" applyAlignment="1" applyProtection="1">
      <alignment horizontal="left" vertical="center" shrinkToFit="1"/>
    </xf>
    <xf numFmtId="0" fontId="46" fillId="0" borderId="0" xfId="1" applyFont="1" applyFill="1" applyBorder="1" applyAlignment="1" applyProtection="1">
      <alignment horizontal="center" vertical="center" shrinkToFit="1"/>
    </xf>
    <xf numFmtId="14" fontId="45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32" fillId="0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center" vertical="center"/>
    </xf>
    <xf numFmtId="0" fontId="55" fillId="0" borderId="0" xfId="1" applyFont="1" applyFill="1" applyBorder="1" applyAlignment="1" applyProtection="1">
      <alignment horizontal="right" vertical="center"/>
    </xf>
    <xf numFmtId="0" fontId="51" fillId="0" borderId="0" xfId="1" applyFont="1" applyFill="1" applyBorder="1" applyAlignment="1" applyProtection="1">
      <alignment horizontal="center" vertical="center"/>
    </xf>
    <xf numFmtId="1" fontId="51" fillId="0" borderId="0" xfId="1" applyNumberFormat="1" applyFont="1" applyFill="1" applyBorder="1" applyAlignment="1" applyProtection="1">
      <alignment horizontal="right" vertical="center"/>
    </xf>
    <xf numFmtId="1" fontId="32" fillId="0" borderId="0" xfId="1" applyNumberFormat="1" applyFont="1" applyFill="1" applyBorder="1" applyAlignment="1" applyProtection="1">
      <alignment horizontal="right" vertical="center"/>
    </xf>
    <xf numFmtId="1" fontId="32" fillId="0" borderId="0" xfId="1" applyNumberFormat="1" applyFont="1" applyFill="1" applyBorder="1" applyAlignment="1" applyProtection="1">
      <alignment horizontal="center" vertical="center"/>
    </xf>
    <xf numFmtId="167" fontId="46" fillId="0" borderId="0" xfId="1" applyNumberFormat="1" applyFont="1" applyFill="1" applyBorder="1" applyAlignment="1" applyProtection="1">
      <alignment horizontal="center" wrapText="1"/>
    </xf>
    <xf numFmtId="0" fontId="46" fillId="0" borderId="5" xfId="1" applyFont="1" applyFill="1" applyBorder="1" applyAlignment="1" applyProtection="1">
      <alignment horizontal="center"/>
    </xf>
    <xf numFmtId="0" fontId="21" fillId="0" borderId="4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center"/>
    </xf>
    <xf numFmtId="0" fontId="57" fillId="0" borderId="0" xfId="1" applyFont="1" applyFill="1" applyBorder="1" applyAlignment="1" applyProtection="1">
      <alignment horizontal="left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0" fontId="46" fillId="0" borderId="4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left" wrapText="1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5" xfId="1" applyFont="1" applyFill="1" applyBorder="1" applyAlignment="1" applyProtection="1">
      <alignment horizontal="center"/>
    </xf>
    <xf numFmtId="0" fontId="50" fillId="0" borderId="0" xfId="1" applyFont="1" applyFill="1" applyBorder="1" applyAlignment="1" applyProtection="1">
      <alignment horizontal="center"/>
    </xf>
    <xf numFmtId="0" fontId="50" fillId="0" borderId="5" xfId="1" applyFont="1" applyFill="1" applyBorder="1" applyAlignment="1" applyProtection="1">
      <alignment horizontal="center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53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0" fontId="21" fillId="0" borderId="0" xfId="1" applyFont="1" applyFill="1" applyBorder="1" applyAlignment="1" applyProtection="1"/>
    <xf numFmtId="0" fontId="58" fillId="0" borderId="0" xfId="1" applyFont="1" applyFill="1" applyBorder="1" applyAlignment="1" applyProtection="1">
      <alignment horizontal="center"/>
    </xf>
    <xf numFmtId="0" fontId="58" fillId="0" borderId="5" xfId="1" applyFont="1" applyFill="1" applyBorder="1" applyAlignment="1" applyProtection="1">
      <alignment horizontal="center"/>
    </xf>
    <xf numFmtId="0" fontId="57" fillId="0" borderId="0" xfId="1" applyFont="1" applyFill="1" applyBorder="1" applyAlignment="1" applyProtection="1">
      <alignment horizontal="center"/>
    </xf>
    <xf numFmtId="0" fontId="57" fillId="0" borderId="5" xfId="1" applyFont="1" applyFill="1" applyBorder="1" applyAlignment="1" applyProtection="1">
      <alignment horizontal="center"/>
    </xf>
    <xf numFmtId="0" fontId="21" fillId="0" borderId="5" xfId="1" applyFont="1" applyFill="1" applyBorder="1" applyAlignment="1" applyProtection="1"/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2" fontId="46" fillId="0" borderId="0" xfId="1" applyNumberFormat="1" applyFont="1" applyFill="1" applyBorder="1" applyAlignment="1" applyProtection="1">
      <alignment horizontal="right" wrapText="1"/>
    </xf>
    <xf numFmtId="0" fontId="53" fillId="0" borderId="0" xfId="1" applyFont="1" applyFill="1" applyBorder="1" applyAlignment="1" applyProtection="1">
      <alignment horizontal="center" wrapText="1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0" fontId="57" fillId="0" borderId="7" xfId="1" applyFont="1" applyFill="1" applyBorder="1" applyAlignment="1" applyProtection="1">
      <alignment horizontal="left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53" fillId="0" borderId="7" xfId="1" applyNumberFormat="1" applyFont="1" applyFill="1" applyBorder="1" applyAlignment="1" applyProtection="1">
      <alignment horizontal="right"/>
    </xf>
    <xf numFmtId="1" fontId="21" fillId="0" borderId="7" xfId="1" applyNumberFormat="1" applyFont="1" applyFill="1" applyBorder="1" applyAlignment="1" applyProtection="1">
      <alignment horizontal="center" wrapText="1"/>
    </xf>
    <xf numFmtId="174" fontId="21" fillId="0" borderId="0" xfId="1" applyNumberFormat="1" applyFont="1" applyFill="1" applyBorder="1" applyAlignment="1" applyProtection="1">
      <alignment horizontal="right"/>
    </xf>
    <xf numFmtId="2" fontId="21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right"/>
    </xf>
    <xf numFmtId="1" fontId="21" fillId="0" borderId="5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/>
    </xf>
    <xf numFmtId="0" fontId="59" fillId="0" borderId="0" xfId="1" applyFont="1" applyFill="1" applyBorder="1" applyAlignment="1" applyProtection="1">
      <alignment horizontal="left"/>
    </xf>
    <xf numFmtId="2" fontId="60" fillId="0" borderId="0" xfId="1" applyNumberFormat="1" applyFont="1" applyFill="1" applyBorder="1" applyAlignment="1" applyProtection="1">
      <alignment horizontal="right"/>
    </xf>
    <xf numFmtId="0" fontId="60" fillId="0" borderId="0" xfId="1" applyFont="1" applyFill="1" applyBorder="1" applyAlignment="1" applyProtection="1">
      <alignment horizontal="center"/>
    </xf>
    <xf numFmtId="0" fontId="46" fillId="0" borderId="5" xfId="1" applyFont="1" applyFill="1" applyBorder="1" applyAlignment="1" applyProtection="1">
      <alignment horizontal="center" wrapText="1"/>
    </xf>
    <xf numFmtId="0" fontId="21" fillId="0" borderId="0" xfId="1" applyFont="1" applyFill="1" applyBorder="1" applyAlignment="1" applyProtection="1">
      <alignment horizontal="right" indent="1"/>
    </xf>
    <xf numFmtId="174" fontId="60" fillId="0" borderId="0" xfId="1" applyNumberFormat="1" applyFont="1" applyFill="1" applyBorder="1" applyAlignment="1" applyProtection="1">
      <alignment horizontal="right"/>
    </xf>
    <xf numFmtId="1" fontId="21" fillId="0" borderId="7" xfId="1" applyNumberFormat="1" applyFont="1" applyFill="1" applyBorder="1" applyAlignment="1" applyProtection="1">
      <alignment horizontal="center"/>
    </xf>
    <xf numFmtId="2" fontId="60" fillId="0" borderId="7" xfId="1" applyNumberFormat="1" applyFont="1" applyFill="1" applyBorder="1" applyAlignment="1" applyProtection="1">
      <alignment horizontal="right"/>
    </xf>
    <xf numFmtId="0" fontId="60" fillId="0" borderId="7" xfId="1" applyFont="1" applyFill="1" applyBorder="1" applyAlignment="1" applyProtection="1">
      <alignment horizontal="center"/>
    </xf>
    <xf numFmtId="0" fontId="46" fillId="5" borderId="0" xfId="1" applyFont="1" applyFill="1" applyBorder="1" applyAlignment="1" applyProtection="1">
      <alignment horizontal="center" vertical="center" wrapText="1"/>
    </xf>
    <xf numFmtId="0" fontId="46" fillId="5" borderId="5" xfId="1" applyFont="1" applyFill="1" applyBorder="1" applyAlignment="1" applyProtection="1">
      <alignment horizontal="center" vertical="center" wrapText="1"/>
    </xf>
    <xf numFmtId="0" fontId="57" fillId="0" borderId="0" xfId="1" applyFont="1" applyFill="1" applyBorder="1" applyAlignment="1" applyProtection="1">
      <alignment horizontal="left" wrapText="1"/>
    </xf>
    <xf numFmtId="167" fontId="57" fillId="5" borderId="0" xfId="1" applyNumberFormat="1" applyFont="1" applyFill="1" applyBorder="1" applyAlignment="1" applyProtection="1">
      <alignment horizontal="right" vertical="center" wrapText="1" indent="2"/>
    </xf>
    <xf numFmtId="1" fontId="21" fillId="0" borderId="7" xfId="1" applyNumberFormat="1" applyFont="1" applyFill="1" applyBorder="1" applyAlignment="1" applyProtection="1">
      <alignment horizontal="right"/>
    </xf>
    <xf numFmtId="1" fontId="21" fillId="0" borderId="8" xfId="1" applyNumberFormat="1" applyFont="1" applyFill="1" applyBorder="1" applyAlignment="1" applyProtection="1">
      <alignment horizontal="right"/>
    </xf>
    <xf numFmtId="0" fontId="46" fillId="5" borderId="0" xfId="1" applyNumberFormat="1" applyFont="1" applyFill="1" applyBorder="1" applyAlignment="1" applyProtection="1">
      <alignment horizontal="center" vertical="center" wrapText="1"/>
    </xf>
    <xf numFmtId="174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>
      <alignment horizontal="right" indent="1"/>
    </xf>
    <xf numFmtId="174" fontId="60" fillId="0" borderId="7" xfId="1" applyNumberFormat="1" applyFont="1" applyFill="1" applyBorder="1" applyAlignment="1" applyProtection="1">
      <alignment horizontal="right"/>
    </xf>
    <xf numFmtId="2" fontId="21" fillId="0" borderId="7" xfId="1" applyNumberFormat="1" applyFont="1" applyFill="1" applyBorder="1" applyAlignment="1" applyProtection="1">
      <alignment horizontal="right"/>
    </xf>
    <xf numFmtId="173" fontId="57" fillId="5" borderId="0" xfId="1" applyNumberFormat="1" applyFont="1" applyFill="1" applyBorder="1" applyAlignment="1" applyProtection="1">
      <alignment horizontal="right" vertical="center"/>
    </xf>
    <xf numFmtId="1" fontId="57" fillId="5" borderId="0" xfId="1" applyNumberFormat="1" applyFont="1" applyFill="1" applyBorder="1" applyAlignment="1" applyProtection="1">
      <alignment horizontal="right" vertical="center"/>
    </xf>
    <xf numFmtId="167" fontId="57" fillId="5" borderId="0" xfId="1" applyNumberFormat="1" applyFont="1" applyFill="1" applyBorder="1" applyAlignment="1" applyProtection="1">
      <alignment horizontal="right" vertical="center"/>
    </xf>
    <xf numFmtId="167" fontId="57" fillId="5" borderId="5" xfId="1" applyNumberFormat="1" applyFont="1" applyFill="1" applyBorder="1" applyAlignment="1" applyProtection="1">
      <alignment horizontal="right" vertical="center"/>
    </xf>
    <xf numFmtId="1" fontId="57" fillId="5" borderId="0" xfId="1" applyNumberFormat="1" applyFont="1" applyFill="1" applyBorder="1" applyAlignment="1" applyProtection="1">
      <alignment horizontal="right" vertical="center" wrapText="1"/>
    </xf>
    <xf numFmtId="0" fontId="57" fillId="5" borderId="0" xfId="1" applyFont="1" applyFill="1" applyBorder="1" applyAlignment="1" applyProtection="1">
      <alignment horizontal="right" vertical="center" wrapText="1"/>
    </xf>
    <xf numFmtId="2" fontId="57" fillId="5" borderId="0" xfId="1" applyNumberFormat="1" applyFont="1" applyFill="1" applyBorder="1" applyAlignment="1" applyProtection="1">
      <alignment horizontal="right" vertical="center" wrapText="1"/>
    </xf>
    <xf numFmtId="0" fontId="21" fillId="0" borderId="9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57" fillId="0" borderId="4" xfId="1" applyFont="1" applyFill="1" applyBorder="1" applyAlignment="1" applyProtection="1">
      <alignment horizontal="left" wrapText="1"/>
    </xf>
    <xf numFmtId="0" fontId="57" fillId="0" borderId="5" xfId="1" applyFont="1" applyFill="1" applyBorder="1" applyAlignment="1" applyProtection="1">
      <alignment horizontal="left" wrapText="1"/>
    </xf>
    <xf numFmtId="1" fontId="57" fillId="5" borderId="9" xfId="1" applyNumberFormat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center" vertical="center"/>
    </xf>
    <xf numFmtId="0" fontId="57" fillId="5" borderId="9" xfId="1" applyFont="1" applyFill="1" applyBorder="1" applyAlignment="1" applyProtection="1">
      <alignment horizontal="center" vertical="center" wrapText="1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2" fillId="0" borderId="0" xfId="1" applyNumberFormat="1" applyFont="1" applyFill="1" applyBorder="1" applyAlignment="1" applyProtection="1"/>
    <xf numFmtId="2" fontId="21" fillId="0" borderId="0" xfId="1" applyNumberFormat="1" applyFont="1" applyFill="1" applyBorder="1" applyAlignment="1" applyProtection="1">
      <alignment horizontal="left"/>
    </xf>
    <xf numFmtId="1" fontId="57" fillId="5" borderId="9" xfId="1" applyNumberFormat="1" applyFont="1" applyFill="1" applyBorder="1" applyAlignment="1" applyProtection="1">
      <alignment horizontal="right" vertical="center" indent="1"/>
    </xf>
    <xf numFmtId="0" fontId="57" fillId="5" borderId="9" xfId="1" applyFont="1" applyFill="1" applyBorder="1" applyAlignment="1" applyProtection="1">
      <alignment horizontal="right" vertical="center" indent="2"/>
    </xf>
    <xf numFmtId="1" fontId="57" fillId="5" borderId="9" xfId="1" applyNumberFormat="1" applyFont="1" applyFill="1" applyBorder="1" applyAlignment="1" applyProtection="1">
      <alignment horizontal="right" vertical="center" indent="2"/>
    </xf>
    <xf numFmtId="167" fontId="57" fillId="5" borderId="9" xfId="1" applyNumberFormat="1" applyFont="1" applyFill="1" applyBorder="1" applyAlignment="1" applyProtection="1">
      <alignment horizontal="right" vertical="center" indent="1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1" fontId="57" fillId="5" borderId="9" xfId="1" applyNumberFormat="1" applyFont="1" applyFill="1" applyBorder="1" applyAlignment="1" applyProtection="1">
      <alignment horizontal="right" vertical="center" wrapText="1" indent="2"/>
    </xf>
    <xf numFmtId="0" fontId="57" fillId="5" borderId="9" xfId="1" applyFont="1" applyFill="1" applyBorder="1" applyAlignment="1" applyProtection="1">
      <alignment horizontal="right" vertical="center" wrapText="1" indent="2"/>
    </xf>
    <xf numFmtId="2" fontId="57" fillId="5" borderId="9" xfId="1" applyNumberFormat="1" applyFont="1" applyFill="1" applyBorder="1" applyAlignment="1" applyProtection="1">
      <alignment horizontal="right" vertical="center" wrapText="1" indent="1"/>
    </xf>
    <xf numFmtId="1" fontId="57" fillId="5" borderId="9" xfId="1" applyNumberFormat="1" applyFont="1" applyFill="1" applyBorder="1" applyAlignment="1" applyProtection="1">
      <alignment horizontal="right" vertical="center" wrapText="1" indent="1"/>
    </xf>
    <xf numFmtId="169" fontId="32" fillId="0" borderId="0" xfId="1" applyNumberFormat="1" applyFont="1" applyFill="1" applyBorder="1" applyAlignment="1" applyProtection="1">
      <alignment horizontal="right" vertical="center"/>
    </xf>
    <xf numFmtId="0" fontId="91" fillId="0" borderId="0" xfId="1" applyFont="1" applyFill="1" applyBorder="1" applyAlignment="1" applyProtection="1">
      <alignment horizontal="left" vertical="center"/>
    </xf>
    <xf numFmtId="169" fontId="51" fillId="0" borderId="0" xfId="1" applyNumberFormat="1" applyFont="1" applyFill="1" applyBorder="1" applyAlignment="1" applyProtection="1">
      <alignment horizontal="right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2" fillId="8" borderId="0" xfId="1" applyNumberFormat="1" applyFont="1" applyFill="1" applyBorder="1" applyAlignment="1" applyProtection="1">
      <protection locked="0"/>
    </xf>
    <xf numFmtId="2" fontId="21" fillId="0" borderId="0" xfId="1" applyNumberFormat="1" applyFont="1" applyFill="1" applyBorder="1" applyAlignment="1" applyProtection="1">
      <alignment horizontal="center"/>
    </xf>
    <xf numFmtId="0" fontId="32" fillId="0" borderId="0" xfId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left" vertical="center"/>
    </xf>
    <xf numFmtId="167" fontId="19" fillId="0" borderId="0" xfId="1" applyNumberFormat="1" applyFont="1" applyFill="1" applyBorder="1" applyAlignment="1" applyProtection="1"/>
    <xf numFmtId="168" fontId="21" fillId="0" borderId="0" xfId="1" applyNumberFormat="1" applyFont="1" applyFill="1" applyBorder="1" applyAlignment="1" applyProtection="1">
      <alignment horizontal="right" vertical="center"/>
    </xf>
    <xf numFmtId="0" fontId="21" fillId="8" borderId="7" xfId="1" applyFont="1" applyFill="1" applyBorder="1" applyAlignment="1" applyProtection="1">
      <alignment horizontal="left" indent="1"/>
      <protection locked="0"/>
    </xf>
    <xf numFmtId="167" fontId="32" fillId="8" borderId="7" xfId="1" applyNumberFormat="1" applyFont="1" applyFill="1" applyBorder="1" applyAlignment="1" applyProtection="1">
      <protection locked="0"/>
    </xf>
    <xf numFmtId="0" fontId="46" fillId="0" borderId="0" xfId="1" quotePrefix="1" applyFont="1" applyFill="1" applyBorder="1" applyAlignment="1" applyProtection="1">
      <alignment horizontal="left" indent="1"/>
    </xf>
    <xf numFmtId="0" fontId="46" fillId="0" borderId="0" xfId="1" applyFont="1" applyFill="1" applyBorder="1" applyAlignment="1" applyProtection="1">
      <alignment horizontal="left" indent="1"/>
    </xf>
    <xf numFmtId="9" fontId="21" fillId="0" borderId="0" xfId="1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horizontal="right"/>
      <protection locked="0"/>
    </xf>
    <xf numFmtId="167" fontId="32" fillId="5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alignment horizontal="right"/>
      <protection locked="0"/>
    </xf>
    <xf numFmtId="167" fontId="32" fillId="0" borderId="7" xfId="1" applyNumberFormat="1" applyFont="1" applyFill="1" applyBorder="1" applyAlignment="1" applyProtection="1"/>
    <xf numFmtId="178" fontId="32" fillId="0" borderId="0" xfId="3" applyNumberFormat="1" applyFont="1" applyFill="1" applyBorder="1" applyAlignment="1" applyProtection="1">
      <alignment horizontal="right" vertical="center"/>
    </xf>
    <xf numFmtId="0" fontId="21" fillId="5" borderId="7" xfId="1" applyFont="1" applyFill="1" applyBorder="1" applyAlignment="1" applyProtection="1">
      <alignment horizontal="left" indent="1"/>
    </xf>
    <xf numFmtId="9" fontId="21" fillId="5" borderId="7" xfId="1" applyNumberFormat="1" applyFont="1" applyFill="1" applyBorder="1" applyAlignment="1" applyProtection="1"/>
    <xf numFmtId="0" fontId="37" fillId="5" borderId="7" xfId="3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horizontal="right" vertical="center"/>
      <protection locked="0"/>
    </xf>
    <xf numFmtId="168" fontId="21" fillId="8" borderId="7" xfId="1" applyNumberFormat="1" applyFont="1" applyFill="1" applyBorder="1" applyAlignment="1" applyProtection="1">
      <alignment horizontal="right" vertical="center"/>
      <protection locked="0"/>
    </xf>
    <xf numFmtId="167" fontId="32" fillId="5" borderId="7" xfId="1" applyNumberFormat="1" applyFont="1" applyFill="1" applyBorder="1" applyAlignment="1" applyProtection="1"/>
    <xf numFmtId="178" fontId="47" fillId="0" borderId="0" xfId="3" applyNumberFormat="1" applyFont="1" applyFill="1" applyBorder="1" applyAlignment="1" applyProtection="1">
      <alignment horizontal="right" vertical="center"/>
    </xf>
    <xf numFmtId="169" fontId="47" fillId="0" borderId="0" xfId="1" applyNumberFormat="1" applyFont="1" applyFill="1" applyBorder="1" applyAlignment="1" applyProtection="1">
      <alignment horizontal="right" vertical="center"/>
    </xf>
    <xf numFmtId="0" fontId="52" fillId="0" borderId="18" xfId="1" quotePrefix="1" applyFont="1" applyFill="1" applyBorder="1" applyAlignment="1" applyProtection="1">
      <alignment horizontal="left" vertical="center"/>
    </xf>
    <xf numFmtId="167" fontId="51" fillId="0" borderId="18" xfId="1" applyNumberFormat="1" applyFont="1" applyFill="1" applyBorder="1" applyAlignment="1" applyProtection="1">
      <alignment vertical="center"/>
    </xf>
    <xf numFmtId="167" fontId="37" fillId="0" borderId="18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1" fillId="8" borderId="2" xfId="1" applyNumberFormat="1" applyFont="1" applyFill="1" applyBorder="1" applyAlignment="1" applyProtection="1">
      <alignment horizontal="center"/>
      <protection locked="0"/>
    </xf>
    <xf numFmtId="164" fontId="31" fillId="0" borderId="2" xfId="1" applyNumberFormat="1" applyFont="1" applyFill="1" applyBorder="1" applyAlignment="1" applyProtection="1">
      <alignment horizontal="center"/>
      <protection locked="0"/>
    </xf>
    <xf numFmtId="0" fontId="111" fillId="7" borderId="53" xfId="0" applyFont="1" applyFill="1" applyBorder="1" applyAlignment="1">
      <alignment horizontal="left"/>
    </xf>
    <xf numFmtId="0" fontId="111" fillId="7" borderId="54" xfId="0" applyFont="1" applyFill="1" applyBorder="1" applyAlignment="1">
      <alignment horizontal="left"/>
    </xf>
  </cellXfs>
  <cellStyles count="7">
    <cellStyle name="Komma" xfId="2" builtinId="3"/>
    <cellStyle name="Komma 2" xfId="5"/>
    <cellStyle name="Prozent" xfId="4" builtinId="5"/>
    <cellStyle name="Standard" xfId="0" builtinId="0"/>
    <cellStyle name="Standard 2" xfId="1"/>
    <cellStyle name="Währung" xfId="6" builtinId="4"/>
    <cellStyle name="Währung 2" xfId="3"/>
  </cellStyles>
  <dxfs count="0"/>
  <tableStyles count="0" defaultTableStyle="TableStyleMedium2" defaultPivotStyle="PivotStyleLight16"/>
  <colors>
    <mruColors>
      <color rgb="FFEAF0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3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0.emf"/><Relationship Id="rId18" Type="http://schemas.openxmlformats.org/officeDocument/2006/relationships/image" Target="../media/image25.emf"/><Relationship Id="rId26" Type="http://schemas.openxmlformats.org/officeDocument/2006/relationships/image" Target="../media/image3.emf"/><Relationship Id="rId3" Type="http://schemas.openxmlformats.org/officeDocument/2006/relationships/image" Target="../media/image10.emf"/><Relationship Id="rId21" Type="http://schemas.openxmlformats.org/officeDocument/2006/relationships/image" Target="../media/image7.emf"/><Relationship Id="rId7" Type="http://schemas.openxmlformats.org/officeDocument/2006/relationships/image" Target="../media/image9.emf"/><Relationship Id="rId12" Type="http://schemas.openxmlformats.org/officeDocument/2006/relationships/image" Target="../media/image19.emf"/><Relationship Id="rId17" Type="http://schemas.openxmlformats.org/officeDocument/2006/relationships/image" Target="../media/image24.emf"/><Relationship Id="rId25" Type="http://schemas.openxmlformats.org/officeDocument/2006/relationships/image" Target="../media/image4.emf"/><Relationship Id="rId2" Type="http://schemas.openxmlformats.org/officeDocument/2006/relationships/image" Target="../media/image12.emf"/><Relationship Id="rId16" Type="http://schemas.openxmlformats.org/officeDocument/2006/relationships/image" Target="../media/image23.emf"/><Relationship Id="rId20" Type="http://schemas.openxmlformats.org/officeDocument/2006/relationships/image" Target="../media/image27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11" Type="http://schemas.openxmlformats.org/officeDocument/2006/relationships/image" Target="../media/image18.emf"/><Relationship Id="rId24" Type="http://schemas.openxmlformats.org/officeDocument/2006/relationships/image" Target="../media/image28.emf"/><Relationship Id="rId5" Type="http://schemas.openxmlformats.org/officeDocument/2006/relationships/image" Target="../media/image14.emf"/><Relationship Id="rId15" Type="http://schemas.openxmlformats.org/officeDocument/2006/relationships/image" Target="../media/image22.emf"/><Relationship Id="rId23" Type="http://schemas.openxmlformats.org/officeDocument/2006/relationships/image" Target="../media/image5.emf"/><Relationship Id="rId28" Type="http://schemas.openxmlformats.org/officeDocument/2006/relationships/image" Target="../media/image1.emf"/><Relationship Id="rId10" Type="http://schemas.openxmlformats.org/officeDocument/2006/relationships/image" Target="../media/image17.emf"/><Relationship Id="rId19" Type="http://schemas.openxmlformats.org/officeDocument/2006/relationships/image" Target="../media/image26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21.emf"/><Relationship Id="rId22" Type="http://schemas.openxmlformats.org/officeDocument/2006/relationships/image" Target="../media/image6.emf"/><Relationship Id="rId27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45.emf"/><Relationship Id="rId18" Type="http://schemas.openxmlformats.org/officeDocument/2006/relationships/image" Target="../media/image40.emf"/><Relationship Id="rId26" Type="http://schemas.openxmlformats.org/officeDocument/2006/relationships/image" Target="../media/image32.emf"/><Relationship Id="rId3" Type="http://schemas.openxmlformats.org/officeDocument/2006/relationships/image" Target="../media/image55.emf"/><Relationship Id="rId21" Type="http://schemas.openxmlformats.org/officeDocument/2006/relationships/image" Target="../media/image37.emf"/><Relationship Id="rId7" Type="http://schemas.openxmlformats.org/officeDocument/2006/relationships/image" Target="../media/image51.emf"/><Relationship Id="rId12" Type="http://schemas.openxmlformats.org/officeDocument/2006/relationships/image" Target="../media/image46.emf"/><Relationship Id="rId17" Type="http://schemas.openxmlformats.org/officeDocument/2006/relationships/image" Target="../media/image41.emf"/><Relationship Id="rId25" Type="http://schemas.openxmlformats.org/officeDocument/2006/relationships/image" Target="../media/image33.emf"/><Relationship Id="rId2" Type="http://schemas.openxmlformats.org/officeDocument/2006/relationships/image" Target="../media/image56.emf"/><Relationship Id="rId16" Type="http://schemas.openxmlformats.org/officeDocument/2006/relationships/image" Target="../media/image42.emf"/><Relationship Id="rId20" Type="http://schemas.openxmlformats.org/officeDocument/2006/relationships/image" Target="../media/image38.emf"/><Relationship Id="rId1" Type="http://schemas.openxmlformats.org/officeDocument/2006/relationships/image" Target="../media/image57.emf"/><Relationship Id="rId6" Type="http://schemas.openxmlformats.org/officeDocument/2006/relationships/image" Target="../media/image52.emf"/><Relationship Id="rId11" Type="http://schemas.openxmlformats.org/officeDocument/2006/relationships/image" Target="../media/image47.emf"/><Relationship Id="rId24" Type="http://schemas.openxmlformats.org/officeDocument/2006/relationships/image" Target="../media/image34.emf"/><Relationship Id="rId5" Type="http://schemas.openxmlformats.org/officeDocument/2006/relationships/image" Target="../media/image53.emf"/><Relationship Id="rId15" Type="http://schemas.openxmlformats.org/officeDocument/2006/relationships/image" Target="../media/image43.emf"/><Relationship Id="rId23" Type="http://schemas.openxmlformats.org/officeDocument/2006/relationships/image" Target="../media/image35.emf"/><Relationship Id="rId28" Type="http://schemas.openxmlformats.org/officeDocument/2006/relationships/image" Target="../media/image30.emf"/><Relationship Id="rId10" Type="http://schemas.openxmlformats.org/officeDocument/2006/relationships/image" Target="../media/image48.emf"/><Relationship Id="rId19" Type="http://schemas.openxmlformats.org/officeDocument/2006/relationships/image" Target="../media/image39.emf"/><Relationship Id="rId4" Type="http://schemas.openxmlformats.org/officeDocument/2006/relationships/image" Target="../media/image54.emf"/><Relationship Id="rId9" Type="http://schemas.openxmlformats.org/officeDocument/2006/relationships/image" Target="../media/image49.emf"/><Relationship Id="rId14" Type="http://schemas.openxmlformats.org/officeDocument/2006/relationships/image" Target="../media/image44.emf"/><Relationship Id="rId22" Type="http://schemas.openxmlformats.org/officeDocument/2006/relationships/image" Target="../media/image36.emf"/><Relationship Id="rId27" Type="http://schemas.openxmlformats.org/officeDocument/2006/relationships/image" Target="../media/image3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7.emf"/><Relationship Id="rId18" Type="http://schemas.openxmlformats.org/officeDocument/2006/relationships/image" Target="../media/image92.emf"/><Relationship Id="rId26" Type="http://schemas.openxmlformats.org/officeDocument/2006/relationships/image" Target="../media/image84.emf"/><Relationship Id="rId39" Type="http://schemas.openxmlformats.org/officeDocument/2006/relationships/image" Target="../media/image71.emf"/><Relationship Id="rId3" Type="http://schemas.openxmlformats.org/officeDocument/2006/relationships/image" Target="../media/image107.emf"/><Relationship Id="rId21" Type="http://schemas.openxmlformats.org/officeDocument/2006/relationships/image" Target="../media/image89.emf"/><Relationship Id="rId34" Type="http://schemas.openxmlformats.org/officeDocument/2006/relationships/image" Target="../media/image76.emf"/><Relationship Id="rId42" Type="http://schemas.openxmlformats.org/officeDocument/2006/relationships/image" Target="../media/image68.emf"/><Relationship Id="rId47" Type="http://schemas.openxmlformats.org/officeDocument/2006/relationships/image" Target="../media/image63.emf"/><Relationship Id="rId50" Type="http://schemas.openxmlformats.org/officeDocument/2006/relationships/image" Target="../media/image61.emf"/><Relationship Id="rId7" Type="http://schemas.openxmlformats.org/officeDocument/2006/relationships/image" Target="../media/image103.emf"/><Relationship Id="rId12" Type="http://schemas.openxmlformats.org/officeDocument/2006/relationships/image" Target="../media/image98.emf"/><Relationship Id="rId17" Type="http://schemas.openxmlformats.org/officeDocument/2006/relationships/image" Target="../media/image93.emf"/><Relationship Id="rId25" Type="http://schemas.openxmlformats.org/officeDocument/2006/relationships/image" Target="../media/image85.emf"/><Relationship Id="rId33" Type="http://schemas.openxmlformats.org/officeDocument/2006/relationships/image" Target="../media/image77.emf"/><Relationship Id="rId38" Type="http://schemas.openxmlformats.org/officeDocument/2006/relationships/image" Target="../media/image72.emf"/><Relationship Id="rId46" Type="http://schemas.openxmlformats.org/officeDocument/2006/relationships/image" Target="../media/image64.emf"/><Relationship Id="rId2" Type="http://schemas.openxmlformats.org/officeDocument/2006/relationships/image" Target="../media/image108.emf"/><Relationship Id="rId16" Type="http://schemas.openxmlformats.org/officeDocument/2006/relationships/image" Target="../media/image94.emf"/><Relationship Id="rId20" Type="http://schemas.openxmlformats.org/officeDocument/2006/relationships/image" Target="../media/image90.emf"/><Relationship Id="rId29" Type="http://schemas.openxmlformats.org/officeDocument/2006/relationships/image" Target="../media/image81.emf"/><Relationship Id="rId41" Type="http://schemas.openxmlformats.org/officeDocument/2006/relationships/image" Target="../media/image69.emf"/><Relationship Id="rId1" Type="http://schemas.openxmlformats.org/officeDocument/2006/relationships/image" Target="../media/image109.emf"/><Relationship Id="rId6" Type="http://schemas.openxmlformats.org/officeDocument/2006/relationships/image" Target="../media/image104.emf"/><Relationship Id="rId11" Type="http://schemas.openxmlformats.org/officeDocument/2006/relationships/image" Target="../media/image99.emf"/><Relationship Id="rId24" Type="http://schemas.openxmlformats.org/officeDocument/2006/relationships/image" Target="../media/image86.emf"/><Relationship Id="rId32" Type="http://schemas.openxmlformats.org/officeDocument/2006/relationships/image" Target="../media/image78.emf"/><Relationship Id="rId37" Type="http://schemas.openxmlformats.org/officeDocument/2006/relationships/image" Target="../media/image73.emf"/><Relationship Id="rId40" Type="http://schemas.openxmlformats.org/officeDocument/2006/relationships/image" Target="../media/image70.emf"/><Relationship Id="rId45" Type="http://schemas.openxmlformats.org/officeDocument/2006/relationships/image" Target="../media/image65.emf"/><Relationship Id="rId5" Type="http://schemas.openxmlformats.org/officeDocument/2006/relationships/image" Target="../media/image105.emf"/><Relationship Id="rId15" Type="http://schemas.openxmlformats.org/officeDocument/2006/relationships/image" Target="../media/image95.emf"/><Relationship Id="rId23" Type="http://schemas.openxmlformats.org/officeDocument/2006/relationships/image" Target="../media/image87.emf"/><Relationship Id="rId28" Type="http://schemas.openxmlformats.org/officeDocument/2006/relationships/image" Target="../media/image82.emf"/><Relationship Id="rId36" Type="http://schemas.openxmlformats.org/officeDocument/2006/relationships/image" Target="../media/image74.emf"/><Relationship Id="rId49" Type="http://schemas.openxmlformats.org/officeDocument/2006/relationships/image" Target="../media/image58.emf"/><Relationship Id="rId10" Type="http://schemas.openxmlformats.org/officeDocument/2006/relationships/image" Target="../media/image100.emf"/><Relationship Id="rId19" Type="http://schemas.openxmlformats.org/officeDocument/2006/relationships/image" Target="../media/image91.emf"/><Relationship Id="rId31" Type="http://schemas.openxmlformats.org/officeDocument/2006/relationships/image" Target="../media/image79.emf"/><Relationship Id="rId44" Type="http://schemas.openxmlformats.org/officeDocument/2006/relationships/image" Target="../media/image66.emf"/><Relationship Id="rId52" Type="http://schemas.openxmlformats.org/officeDocument/2006/relationships/image" Target="../media/image60.emf"/><Relationship Id="rId4" Type="http://schemas.openxmlformats.org/officeDocument/2006/relationships/image" Target="../media/image106.emf"/><Relationship Id="rId9" Type="http://schemas.openxmlformats.org/officeDocument/2006/relationships/image" Target="../media/image101.emf"/><Relationship Id="rId14" Type="http://schemas.openxmlformats.org/officeDocument/2006/relationships/image" Target="../media/image96.emf"/><Relationship Id="rId22" Type="http://schemas.openxmlformats.org/officeDocument/2006/relationships/image" Target="../media/image88.emf"/><Relationship Id="rId27" Type="http://schemas.openxmlformats.org/officeDocument/2006/relationships/image" Target="../media/image83.emf"/><Relationship Id="rId30" Type="http://schemas.openxmlformats.org/officeDocument/2006/relationships/image" Target="../media/image80.emf"/><Relationship Id="rId35" Type="http://schemas.openxmlformats.org/officeDocument/2006/relationships/image" Target="../media/image75.emf"/><Relationship Id="rId43" Type="http://schemas.openxmlformats.org/officeDocument/2006/relationships/image" Target="../media/image67.emf"/><Relationship Id="rId48" Type="http://schemas.openxmlformats.org/officeDocument/2006/relationships/image" Target="../media/image62.emf"/><Relationship Id="rId8" Type="http://schemas.openxmlformats.org/officeDocument/2006/relationships/image" Target="../media/image102.emf"/><Relationship Id="rId51" Type="http://schemas.openxmlformats.org/officeDocument/2006/relationships/image" Target="../media/image59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13" Type="http://schemas.openxmlformats.org/officeDocument/2006/relationships/image" Target="../media/image125.emf"/><Relationship Id="rId18" Type="http://schemas.openxmlformats.org/officeDocument/2006/relationships/image" Target="../media/image120.emf"/><Relationship Id="rId26" Type="http://schemas.openxmlformats.org/officeDocument/2006/relationships/image" Target="../media/image112.emf"/><Relationship Id="rId3" Type="http://schemas.openxmlformats.org/officeDocument/2006/relationships/image" Target="../media/image135.emf"/><Relationship Id="rId21" Type="http://schemas.openxmlformats.org/officeDocument/2006/relationships/image" Target="../media/image117.emf"/><Relationship Id="rId7" Type="http://schemas.openxmlformats.org/officeDocument/2006/relationships/image" Target="../media/image131.emf"/><Relationship Id="rId12" Type="http://schemas.openxmlformats.org/officeDocument/2006/relationships/image" Target="../media/image126.emf"/><Relationship Id="rId17" Type="http://schemas.openxmlformats.org/officeDocument/2006/relationships/image" Target="../media/image121.emf"/><Relationship Id="rId25" Type="http://schemas.openxmlformats.org/officeDocument/2006/relationships/image" Target="../media/image113.emf"/><Relationship Id="rId2" Type="http://schemas.openxmlformats.org/officeDocument/2006/relationships/image" Target="../media/image136.emf"/><Relationship Id="rId16" Type="http://schemas.openxmlformats.org/officeDocument/2006/relationships/image" Target="../media/image122.emf"/><Relationship Id="rId20" Type="http://schemas.openxmlformats.org/officeDocument/2006/relationships/image" Target="../media/image118.emf"/><Relationship Id="rId29" Type="http://schemas.openxmlformats.org/officeDocument/2006/relationships/image" Target="../media/image138.emf"/><Relationship Id="rId1" Type="http://schemas.openxmlformats.org/officeDocument/2006/relationships/image" Target="../media/image137.emf"/><Relationship Id="rId6" Type="http://schemas.openxmlformats.org/officeDocument/2006/relationships/image" Target="../media/image132.emf"/><Relationship Id="rId11" Type="http://schemas.openxmlformats.org/officeDocument/2006/relationships/image" Target="../media/image127.emf"/><Relationship Id="rId24" Type="http://schemas.openxmlformats.org/officeDocument/2006/relationships/image" Target="../media/image114.emf"/><Relationship Id="rId5" Type="http://schemas.openxmlformats.org/officeDocument/2006/relationships/image" Target="../media/image133.emf"/><Relationship Id="rId15" Type="http://schemas.openxmlformats.org/officeDocument/2006/relationships/image" Target="../media/image123.emf"/><Relationship Id="rId23" Type="http://schemas.openxmlformats.org/officeDocument/2006/relationships/image" Target="../media/image115.emf"/><Relationship Id="rId28" Type="http://schemas.openxmlformats.org/officeDocument/2006/relationships/image" Target="../media/image110.emf"/><Relationship Id="rId10" Type="http://schemas.openxmlformats.org/officeDocument/2006/relationships/image" Target="../media/image128.emf"/><Relationship Id="rId19" Type="http://schemas.openxmlformats.org/officeDocument/2006/relationships/image" Target="../media/image119.emf"/><Relationship Id="rId4" Type="http://schemas.openxmlformats.org/officeDocument/2006/relationships/image" Target="../media/image134.emf"/><Relationship Id="rId9" Type="http://schemas.openxmlformats.org/officeDocument/2006/relationships/image" Target="../media/image129.emf"/><Relationship Id="rId14" Type="http://schemas.openxmlformats.org/officeDocument/2006/relationships/image" Target="../media/image124.emf"/><Relationship Id="rId22" Type="http://schemas.openxmlformats.org/officeDocument/2006/relationships/image" Target="../media/image116.emf"/><Relationship Id="rId27" Type="http://schemas.openxmlformats.org/officeDocument/2006/relationships/image" Target="../media/image1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0.emf"/><Relationship Id="rId2" Type="http://schemas.openxmlformats.org/officeDocument/2006/relationships/image" Target="../media/image141.emf"/><Relationship Id="rId1" Type="http://schemas.openxmlformats.org/officeDocument/2006/relationships/image" Target="../media/image142.emf"/><Relationship Id="rId4" Type="http://schemas.openxmlformats.org/officeDocument/2006/relationships/image" Target="../media/image1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14654</xdr:colOff>
      <xdr:row>11</xdr:row>
      <xdr:rowOff>51287</xdr:rowOff>
    </xdr:from>
    <xdr:to>
      <xdr:col>29</xdr:col>
      <xdr:colOff>22701</xdr:colOff>
      <xdr:row>17</xdr:row>
      <xdr:rowOff>36634</xdr:rowOff>
    </xdr:to>
    <xdr:pic>
      <xdr:nvPicPr>
        <xdr:cNvPr id="2" name="Grafik 2" descr="Logo_Gebr.Robers_www.paro.de_RAL3003_20111004.jpg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423" y="754672"/>
          <a:ext cx="1319566" cy="3370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19050</xdr:colOff>
          <xdr:row>3</xdr:row>
          <xdr:rowOff>28575</xdr:rowOff>
        </xdr:from>
        <xdr:to>
          <xdr:col>128</xdr:col>
          <xdr:colOff>9525</xdr:colOff>
          <xdr:row>9</xdr:row>
          <xdr:rowOff>19050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27</xdr:row>
          <xdr:rowOff>0</xdr:rowOff>
        </xdr:from>
        <xdr:to>
          <xdr:col>29</xdr:col>
          <xdr:colOff>19050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97</xdr:col>
          <xdr:colOff>47625</xdr:colOff>
          <xdr:row>93</xdr:row>
          <xdr:rowOff>28575</xdr:rowOff>
        </xdr:from>
        <xdr:to>
          <xdr:col>99</xdr:col>
          <xdr:colOff>38100</xdr:colOff>
          <xdr:row>95</xdr:row>
          <xdr:rowOff>0</xdr:rowOff>
        </xdr:to>
        <xdr:sp macro="" textlink="">
          <xdr:nvSpPr>
            <xdr:cNvPr id="1034" name="cmd_WKH_Opt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31</xdr:row>
          <xdr:rowOff>47625</xdr:rowOff>
        </xdr:from>
        <xdr:to>
          <xdr:col>84</xdr:col>
          <xdr:colOff>47625</xdr:colOff>
          <xdr:row>33</xdr:row>
          <xdr:rowOff>38100</xdr:rowOff>
        </xdr:to>
        <xdr:sp macro="" textlink="">
          <xdr:nvSpPr>
            <xdr:cNvPr id="1036" name="cmd_Liefera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35</xdr:row>
          <xdr:rowOff>47625</xdr:rowOff>
        </xdr:from>
        <xdr:to>
          <xdr:col>84</xdr:col>
          <xdr:colOff>47625</xdr:colOff>
          <xdr:row>37</xdr:row>
          <xdr:rowOff>38100</xdr:rowOff>
        </xdr:to>
        <xdr:sp macro="" textlink="">
          <xdr:nvSpPr>
            <xdr:cNvPr id="1037" name="cmd_Verpackung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37</xdr:row>
          <xdr:rowOff>47625</xdr:rowOff>
        </xdr:from>
        <xdr:to>
          <xdr:col>84</xdr:col>
          <xdr:colOff>47625</xdr:colOff>
          <xdr:row>39</xdr:row>
          <xdr:rowOff>38100</xdr:rowOff>
        </xdr:to>
        <xdr:sp macro="" textlink="">
          <xdr:nvSpPr>
            <xdr:cNvPr id="1038" name="cmd_Verpackungsor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28575</xdr:colOff>
          <xdr:row>100</xdr:row>
          <xdr:rowOff>9525</xdr:rowOff>
        </xdr:from>
        <xdr:to>
          <xdr:col>102</xdr:col>
          <xdr:colOff>19050</xdr:colOff>
          <xdr:row>101</xdr:row>
          <xdr:rowOff>47625</xdr:rowOff>
        </xdr:to>
        <xdr:sp macro="" textlink="">
          <xdr:nvSpPr>
            <xdr:cNvPr id="1039" name="cmd_WKH_SCH_Opt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103</xdr:row>
          <xdr:rowOff>0</xdr:rowOff>
        </xdr:from>
        <xdr:to>
          <xdr:col>35</xdr:col>
          <xdr:colOff>104775</xdr:colOff>
          <xdr:row>105</xdr:row>
          <xdr:rowOff>0</xdr:rowOff>
        </xdr:to>
        <xdr:sp macro="" textlink="">
          <xdr:nvSpPr>
            <xdr:cNvPr id="1040" name="cmdDeckelisolierung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38100</xdr:colOff>
          <xdr:row>12</xdr:row>
          <xdr:rowOff>0</xdr:rowOff>
        </xdr:from>
        <xdr:to>
          <xdr:col>97</xdr:col>
          <xdr:colOff>19050</xdr:colOff>
          <xdr:row>18</xdr:row>
          <xdr:rowOff>9525</xdr:rowOff>
        </xdr:to>
        <xdr:sp macro="" textlink="">
          <xdr:nvSpPr>
            <xdr:cNvPr id="1041" name="cmb_Auswahl_Kalkar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32</xdr:row>
          <xdr:rowOff>9525</xdr:rowOff>
        </xdr:from>
        <xdr:to>
          <xdr:col>29</xdr:col>
          <xdr:colOff>0</xdr:colOff>
          <xdr:row>33</xdr:row>
          <xdr:rowOff>47625</xdr:rowOff>
        </xdr:to>
        <xdr:sp macro="" textlink="">
          <xdr:nvSpPr>
            <xdr:cNvPr id="1042" name="cmdVorgI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72</xdr:row>
          <xdr:rowOff>47625</xdr:rowOff>
        </xdr:from>
        <xdr:to>
          <xdr:col>51</xdr:col>
          <xdr:colOff>0</xdr:colOff>
          <xdr:row>74</xdr:row>
          <xdr:rowOff>38100</xdr:rowOff>
        </xdr:to>
        <xdr:sp macro="" textlink="">
          <xdr:nvSpPr>
            <xdr:cNvPr id="1044" name="cmd_Boden_Ar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108</xdr:row>
          <xdr:rowOff>0</xdr:rowOff>
        </xdr:from>
        <xdr:to>
          <xdr:col>35</xdr:col>
          <xdr:colOff>104775</xdr:colOff>
          <xdr:row>110</xdr:row>
          <xdr:rowOff>0</xdr:rowOff>
        </xdr:to>
        <xdr:sp macro="" textlink="">
          <xdr:nvSpPr>
            <xdr:cNvPr id="1045" name="cmdGKP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19050</xdr:colOff>
          <xdr:row>83</xdr:row>
          <xdr:rowOff>9525</xdr:rowOff>
        </xdr:from>
        <xdr:to>
          <xdr:col>51</xdr:col>
          <xdr:colOff>9525</xdr:colOff>
          <xdr:row>84</xdr:row>
          <xdr:rowOff>57150</xdr:rowOff>
        </xdr:to>
        <xdr:sp macro="" textlink="">
          <xdr:nvSpPr>
            <xdr:cNvPr id="1046" name="cmdLKH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38100</xdr:colOff>
          <xdr:row>92</xdr:row>
          <xdr:rowOff>19050</xdr:rowOff>
        </xdr:from>
        <xdr:to>
          <xdr:col>51</xdr:col>
          <xdr:colOff>28575</xdr:colOff>
          <xdr:row>94</xdr:row>
          <xdr:rowOff>0</xdr:rowOff>
        </xdr:to>
        <xdr:sp macro="" textlink="">
          <xdr:nvSpPr>
            <xdr:cNvPr id="1047" name="cmdQKH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28575</xdr:colOff>
          <xdr:row>101</xdr:row>
          <xdr:rowOff>9525</xdr:rowOff>
        </xdr:from>
        <xdr:to>
          <xdr:col>51</xdr:col>
          <xdr:colOff>19050</xdr:colOff>
          <xdr:row>103</xdr:row>
          <xdr:rowOff>0</xdr:rowOff>
        </xdr:to>
        <xdr:sp macro="" textlink="">
          <xdr:nvSpPr>
            <xdr:cNvPr id="1048" name="cmdKHL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19050</xdr:colOff>
          <xdr:row>76</xdr:row>
          <xdr:rowOff>0</xdr:rowOff>
        </xdr:from>
        <xdr:to>
          <xdr:col>51</xdr:col>
          <xdr:colOff>9525</xdr:colOff>
          <xdr:row>77</xdr:row>
          <xdr:rowOff>47625</xdr:rowOff>
        </xdr:to>
        <xdr:sp macro="" textlink="">
          <xdr:nvSpPr>
            <xdr:cNvPr id="1050" name="cmdBoden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86</xdr:row>
          <xdr:rowOff>19050</xdr:rowOff>
        </xdr:from>
        <xdr:to>
          <xdr:col>90</xdr:col>
          <xdr:colOff>28575</xdr:colOff>
          <xdr:row>87</xdr:row>
          <xdr:rowOff>57150</xdr:rowOff>
        </xdr:to>
        <xdr:sp macro="" textlink="">
          <xdr:nvSpPr>
            <xdr:cNvPr id="1051" name="cmdD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73</xdr:row>
          <xdr:rowOff>9525</xdr:rowOff>
        </xdr:from>
        <xdr:to>
          <xdr:col>90</xdr:col>
          <xdr:colOff>28575</xdr:colOff>
          <xdr:row>75</xdr:row>
          <xdr:rowOff>0</xdr:rowOff>
        </xdr:to>
        <xdr:sp macro="" textlink="">
          <xdr:nvSpPr>
            <xdr:cNvPr id="1052" name="cmdTS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19050</xdr:colOff>
          <xdr:row>93</xdr:row>
          <xdr:rowOff>19050</xdr:rowOff>
        </xdr:from>
        <xdr:to>
          <xdr:col>90</xdr:col>
          <xdr:colOff>28575</xdr:colOff>
          <xdr:row>94</xdr:row>
          <xdr:rowOff>57150</xdr:rowOff>
        </xdr:to>
        <xdr:sp macro="" textlink="">
          <xdr:nvSpPr>
            <xdr:cNvPr id="1053" name="cmdWKH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100</xdr:row>
          <xdr:rowOff>28575</xdr:rowOff>
        </xdr:from>
        <xdr:to>
          <xdr:col>90</xdr:col>
          <xdr:colOff>38100</xdr:colOff>
          <xdr:row>102</xdr:row>
          <xdr:rowOff>9525</xdr:rowOff>
        </xdr:to>
        <xdr:sp macro="" textlink="">
          <xdr:nvSpPr>
            <xdr:cNvPr id="1054" name="cmdWKH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85</xdr:row>
          <xdr:rowOff>9525</xdr:rowOff>
        </xdr:from>
        <xdr:to>
          <xdr:col>13</xdr:col>
          <xdr:colOff>38100</xdr:colOff>
          <xdr:row>86</xdr:row>
          <xdr:rowOff>57150</xdr:rowOff>
        </xdr:to>
        <xdr:sp macro="" textlink="">
          <xdr:nvSpPr>
            <xdr:cNvPr id="1055" name="cmdSeKoSp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73</xdr:row>
          <xdr:rowOff>19050</xdr:rowOff>
        </xdr:from>
        <xdr:to>
          <xdr:col>13</xdr:col>
          <xdr:colOff>38100</xdr:colOff>
          <xdr:row>75</xdr:row>
          <xdr:rowOff>9525</xdr:rowOff>
        </xdr:to>
        <xdr:sp macro="" textlink="">
          <xdr:nvSpPr>
            <xdr:cNvPr id="1056" name="cmdSeKoDeF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80</xdr:row>
          <xdr:rowOff>57150</xdr:rowOff>
        </xdr:from>
        <xdr:to>
          <xdr:col>90</xdr:col>
          <xdr:colOff>47625</xdr:colOff>
          <xdr:row>82</xdr:row>
          <xdr:rowOff>28575</xdr:rowOff>
        </xdr:to>
        <xdr:sp macro="" textlink="">
          <xdr:nvSpPr>
            <xdr:cNvPr id="1057" name="cmdTSKH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98</xdr:col>
          <xdr:colOff>0</xdr:colOff>
          <xdr:row>3</xdr:row>
          <xdr:rowOff>28575</xdr:rowOff>
        </xdr:from>
        <xdr:to>
          <xdr:col>103</xdr:col>
          <xdr:colOff>47625</xdr:colOff>
          <xdr:row>9</xdr:row>
          <xdr:rowOff>9525</xdr:rowOff>
        </xdr:to>
        <xdr:sp macro="" textlink="">
          <xdr:nvSpPr>
            <xdr:cNvPr id="1059" name="cmd_IVP_Aktualisieren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111</xdr:row>
          <xdr:rowOff>9525</xdr:rowOff>
        </xdr:from>
        <xdr:to>
          <xdr:col>90</xdr:col>
          <xdr:colOff>47625</xdr:colOff>
          <xdr:row>113</xdr:row>
          <xdr:rowOff>0</xdr:rowOff>
        </xdr:to>
        <xdr:sp macro="" textlink="">
          <xdr:nvSpPr>
            <xdr:cNvPr id="1060" name="cmd_KT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120</xdr:row>
          <xdr:rowOff>9525</xdr:rowOff>
        </xdr:from>
        <xdr:to>
          <xdr:col>90</xdr:col>
          <xdr:colOff>47625</xdr:colOff>
          <xdr:row>122</xdr:row>
          <xdr:rowOff>0</xdr:rowOff>
        </xdr:to>
        <xdr:sp macro="" textlink="">
          <xdr:nvSpPr>
            <xdr:cNvPr id="1061" name="cmd_FHW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66675</xdr:colOff>
          <xdr:row>111</xdr:row>
          <xdr:rowOff>19050</xdr:rowOff>
        </xdr:from>
        <xdr:to>
          <xdr:col>95</xdr:col>
          <xdr:colOff>180975</xdr:colOff>
          <xdr:row>113</xdr:row>
          <xdr:rowOff>0</xdr:rowOff>
        </xdr:to>
        <xdr:sp macro="" textlink="">
          <xdr:nvSpPr>
            <xdr:cNvPr id="1062" name="cmd_KTS_OPT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66675</xdr:colOff>
          <xdr:row>120</xdr:row>
          <xdr:rowOff>9525</xdr:rowOff>
        </xdr:from>
        <xdr:to>
          <xdr:col>95</xdr:col>
          <xdr:colOff>180975</xdr:colOff>
          <xdr:row>122</xdr:row>
          <xdr:rowOff>0</xdr:rowOff>
        </xdr:to>
        <xdr:sp macro="" textlink="">
          <xdr:nvSpPr>
            <xdr:cNvPr id="1063" name="cmd_FHW_OPT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13313" name="CommandButton22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13314" name="CommandButton23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13315" name="CommandButton24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13316" name="CommandButton25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0</xdr:rowOff>
        </xdr:from>
        <xdr:to>
          <xdr:col>58</xdr:col>
          <xdr:colOff>200025</xdr:colOff>
          <xdr:row>69</xdr:row>
          <xdr:rowOff>28575</xdr:rowOff>
        </xdr:to>
        <xdr:sp macro="" textlink="">
          <xdr:nvSpPr>
            <xdr:cNvPr id="13317" name="CommandButton26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0</xdr:rowOff>
        </xdr:from>
        <xdr:to>
          <xdr:col>58</xdr:col>
          <xdr:colOff>200025</xdr:colOff>
          <xdr:row>71</xdr:row>
          <xdr:rowOff>28575</xdr:rowOff>
        </xdr:to>
        <xdr:sp macro="" textlink="">
          <xdr:nvSpPr>
            <xdr:cNvPr id="13318" name="CommandButton27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0</xdr:rowOff>
        </xdr:from>
        <xdr:to>
          <xdr:col>58</xdr:col>
          <xdr:colOff>200025</xdr:colOff>
          <xdr:row>73</xdr:row>
          <xdr:rowOff>28575</xdr:rowOff>
        </xdr:to>
        <xdr:sp macro="" textlink="">
          <xdr:nvSpPr>
            <xdr:cNvPr id="13319" name="CommandButton28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0</xdr:rowOff>
        </xdr:from>
        <xdr:to>
          <xdr:col>58</xdr:col>
          <xdr:colOff>200025</xdr:colOff>
          <xdr:row>75</xdr:row>
          <xdr:rowOff>28575</xdr:rowOff>
        </xdr:to>
        <xdr:sp macro="" textlink="">
          <xdr:nvSpPr>
            <xdr:cNvPr id="13320" name="CommandButton29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0</xdr:rowOff>
        </xdr:from>
        <xdr:to>
          <xdr:col>58</xdr:col>
          <xdr:colOff>200025</xdr:colOff>
          <xdr:row>77</xdr:row>
          <xdr:rowOff>28575</xdr:rowOff>
        </xdr:to>
        <xdr:sp macro="" textlink="">
          <xdr:nvSpPr>
            <xdr:cNvPr id="13321" name="CommandButton30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9525</xdr:rowOff>
        </xdr:from>
        <xdr:to>
          <xdr:col>58</xdr:col>
          <xdr:colOff>200025</xdr:colOff>
          <xdr:row>79</xdr:row>
          <xdr:rowOff>38100</xdr:rowOff>
        </xdr:to>
        <xdr:sp macro="" textlink="">
          <xdr:nvSpPr>
            <xdr:cNvPr id="13322" name="CommandButton31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13323" name="CommandButton32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13324" name="CommandButton33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13325" name="CommandButton34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13326" name="CommandButton35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13327" name="CommandButton36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13328" name="CommandButton37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13329" name="CommandButton38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13330" name="CommandButton39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13331" name="CommandButton40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13332" name="CommandButton41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13333" name="CommandButton42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13334" name="CommandButton43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13335" name="CommandButton44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13336" name="CommandButton45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13337" name="CommandButton46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9525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13356" name="CommandButton19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9525</xdr:rowOff>
        </xdr:from>
        <xdr:to>
          <xdr:col>58</xdr:col>
          <xdr:colOff>200025</xdr:colOff>
          <xdr:row>57</xdr:row>
          <xdr:rowOff>38100</xdr:rowOff>
        </xdr:to>
        <xdr:sp macro="" textlink="">
          <xdr:nvSpPr>
            <xdr:cNvPr id="13357" name="CommandButton20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13358" name="CommandButton21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12291" name="CommandButton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12292" name="CommandButton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12293" name="CommandButton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12294" name="CommandButton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12295" name="CommandButton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12296" name="CommandButton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12297" name="CommandButton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12298" name="CommandButton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12299" name="CommandButton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12300" name="CommandButton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12301" name="CommandButton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12302" name="CommandButton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12303" name="CommandButton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12304" name="CommandButton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12305" name="CommandButton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12306" name="CommandButton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12307" name="CommandButton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12308" name="CommandButton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12309" name="CommandButton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12310" name="CommandButton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12311" name="CommandButton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12312" name="CommandButton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12313" name="CommandButton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12314" name="CommandButton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12315" name="CommandButton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12316" name="CommandButton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12317" name="CommandButton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12318" name="CommandButton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12319" name="CommandButton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12320" name="CommandButton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12321" name="CommandButton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12322" name="CommandButton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12323" name="CommandButton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12324" name="CommandButton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12325" name="CommandButton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12326" name="CommandButton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12327" name="CommandButton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12328" name="CommandButton40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12329" name="cmb_Auswahl_Verwendung_P01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12330" name="cmb_Auswahl_Verwendung_P0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12331" name="cmb_Auswahl_Verwendung_P03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12332" name="cmb_Auswahl_Verwendung_P0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12333" name="cmb_Auswahl_Verwendung_P05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12334" name="cmb_Auswahl_Verwendung_P06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12335" name="cmb_Auswahl_Verwendung_P07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12336" name="cmb_Auswahl_Verwendung_P08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12337" name="cmb_Auswahl_Verwendung_P09" hidden="1">
              <a:extLst>
                <a:ext uri="{63B3BB69-23CF-44E3-9099-C40C66FF867C}">
                  <a14:compatExt spid="_x0000_s1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12338" name="cmb_Auswahl_Verwendung_P10" hidden="1">
              <a:extLst>
                <a:ext uri="{63B3BB69-23CF-44E3-9099-C40C66FF867C}">
                  <a14:compatExt spid="_x0000_s1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12339" name="cmb_Auswahl_Verwendung_P11" hidden="1">
              <a:extLst>
                <a:ext uri="{63B3BB69-23CF-44E3-9099-C40C66FF867C}">
                  <a14:compatExt spid="_x0000_s1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12340" name="cmb_Auswahl_Verwendung_P12" hidden="1">
              <a:extLst>
                <a:ext uri="{63B3BB69-23CF-44E3-9099-C40C66FF867C}">
                  <a14:compatExt spid="_x0000_s1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12341" name="cmb_Auswahl_Verwendung_P13" hidden="1">
              <a:extLst>
                <a:ext uri="{63B3BB69-23CF-44E3-9099-C40C66FF867C}">
                  <a14:compatExt spid="_x0000_s1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12342" name="cmb_Auswahl_Verwendung_P14" hidden="1">
              <a:extLst>
                <a:ext uri="{63B3BB69-23CF-44E3-9099-C40C66FF867C}">
                  <a14:compatExt spid="_x0000_s1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12343" name="cmb_Auswahl_Verwendung_P15" hidden="1">
              <a:extLst>
                <a:ext uri="{63B3BB69-23CF-44E3-9099-C40C66FF867C}">
                  <a14:compatExt spid="_x0000_s1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12344" name="cmb_Auswahl_Verwendung_P16" hidden="1">
              <a:extLst>
                <a:ext uri="{63B3BB69-23CF-44E3-9099-C40C66FF867C}">
                  <a14:compatExt spid="_x0000_s1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12345" name="cmb_Auswahl_Verwendung_P17" hidden="1">
              <a:extLst>
                <a:ext uri="{63B3BB69-23CF-44E3-9099-C40C66FF867C}">
                  <a14:compatExt spid="_x0000_s12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12346" name="cmb_Auswahl_Verwendung_P18" hidden="1">
              <a:extLst>
                <a:ext uri="{63B3BB69-23CF-44E3-9099-C40C66FF867C}">
                  <a14:compatExt spid="_x0000_s12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12347" name="cmb_Auswahl_Verwendung_P19" hidden="1">
              <a:extLst>
                <a:ext uri="{63B3BB69-23CF-44E3-9099-C40C66FF867C}">
                  <a14:compatExt spid="_x0000_s12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12348" name="cmb_Auswahl_Verwendung_P20" hidden="1">
              <a:extLst>
                <a:ext uri="{63B3BB69-23CF-44E3-9099-C40C66FF867C}">
                  <a14:compatExt spid="_x0000_s12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12349" name="cmb_Auswahl_Verwendung_P21" hidden="1">
              <a:extLst>
                <a:ext uri="{63B3BB69-23CF-44E3-9099-C40C66FF867C}">
                  <a14:compatExt spid="_x0000_s12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12350" name="cmb_Auswahl_Verwendung_P22" hidden="1">
              <a:extLst>
                <a:ext uri="{63B3BB69-23CF-44E3-9099-C40C66FF867C}">
                  <a14:compatExt spid="_x0000_s12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12351" name="cmb_Auswahl_Verwendung_P2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12352" name="cmb_Auswahl_Verwendung_P2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12353" name="cmb_Auswahl_Verwendung_P2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12354" name="cmb_Auswahl_Verwendung_P2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12355" name="cmb_Auswahl_Verwendung_P2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12356" name="cmb_Auswahl_Verwendung_P2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12357" name="cmb_Auswahl_Verwendung_P2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12358" name="cmb_Auswahl_Verwendung_P3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12359" name="cmb_Auswahl_Verwendung_P3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12360" name="cmb_Auswahl_Verwendung_P3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12361" name="cmb_Auswahl_Verwendung_P3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12362" name="cmb_Auswahl_Verwendung_P3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12363" name="cmb_Auswahl_Verwendung_P3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12364" name="cmb_Auswahl_Verwendung_P3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12365" name="cmb_Auswahl_Verwendung_P3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12366" name="cmb_Auswahl_Verwendung_P3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12367" name="cmb_Auswahl_Verwendung_P39" hidden="1">
              <a:extLst>
                <a:ext uri="{63B3BB69-23CF-44E3-9099-C40C66FF867C}">
                  <a14:compatExt spid="_x0000_s12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12368" name="cmb_Auswahl_Verwendung_P4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11267" name="CommandButton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11268" name="CommandButton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11269" name="CommandButton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11270" name="CommandButton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11271" name="CommandButton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11272" name="CommandButton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11273" name="CommandButton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11274" name="CommandButton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11275" name="CommandButton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11276" name="CommandButton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11277" name="CommandButton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11278" name="CommandButton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11279" name="CommandButton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11280" name="CommandButton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11281" name="CommandButton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11282" name="CommandButton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11283" name="CommandButton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11284" name="CommandButton20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11285" name="CommandButton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11286" name="CommandButton22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11287" name="CommandButton23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11288" name="CommandButton24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11289" name="CommandButton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11290" name="CommandButton26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11291" name="CommandButton27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11292" name="CommandButton28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0</xdr:colOff>
          <xdr:row>11</xdr:row>
          <xdr:rowOff>19050</xdr:rowOff>
        </xdr:from>
        <xdr:to>
          <xdr:col>150</xdr:col>
          <xdr:colOff>9525</xdr:colOff>
          <xdr:row>13</xdr:row>
          <xdr:rowOff>200025</xdr:rowOff>
        </xdr:to>
        <xdr:sp macro="" textlink="">
          <xdr:nvSpPr>
            <xdr:cNvPr id="11293" name="cmd_ArbeitsgangSet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11</xdr:row>
          <xdr:rowOff>9525</xdr:rowOff>
        </xdr:from>
        <xdr:to>
          <xdr:col>16383</xdr:col>
          <xdr:colOff>28575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22</xdr:row>
          <xdr:rowOff>19050</xdr:rowOff>
        </xdr:from>
        <xdr:to>
          <xdr:col>16383</xdr:col>
          <xdr:colOff>28575</xdr:colOff>
          <xdr:row>31</xdr:row>
          <xdr:rowOff>28575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34</xdr:row>
          <xdr:rowOff>38100</xdr:rowOff>
        </xdr:from>
        <xdr:to>
          <xdr:col>16383</xdr:col>
          <xdr:colOff>28575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45</xdr:row>
          <xdr:rowOff>11728</xdr:rowOff>
        </xdr:from>
        <xdr:to>
          <xdr:col>130</xdr:col>
          <xdr:colOff>0</xdr:colOff>
          <xdr:row>54</xdr:row>
          <xdr:rowOff>54957</xdr:rowOff>
        </xdr:to>
        <xdr:sp macro="" textlink="">
          <xdr:nvSpPr>
            <xdr:cNvPr id="10244" name="cmd_SA_DB_schreiben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4.emf"/><Relationship Id="rId18" Type="http://schemas.openxmlformats.org/officeDocument/2006/relationships/control" Target="../activeX/activeX36.xml"/><Relationship Id="rId26" Type="http://schemas.openxmlformats.org/officeDocument/2006/relationships/control" Target="../activeX/activeX40.xml"/><Relationship Id="rId39" Type="http://schemas.openxmlformats.org/officeDocument/2006/relationships/image" Target="../media/image47.emf"/><Relationship Id="rId21" Type="http://schemas.openxmlformats.org/officeDocument/2006/relationships/image" Target="../media/image38.emf"/><Relationship Id="rId34" Type="http://schemas.openxmlformats.org/officeDocument/2006/relationships/control" Target="../activeX/activeX44.xml"/><Relationship Id="rId42" Type="http://schemas.openxmlformats.org/officeDocument/2006/relationships/control" Target="../activeX/activeX48.xml"/><Relationship Id="rId47" Type="http://schemas.openxmlformats.org/officeDocument/2006/relationships/image" Target="../media/image51.emf"/><Relationship Id="rId50" Type="http://schemas.openxmlformats.org/officeDocument/2006/relationships/control" Target="../activeX/activeX52.xml"/><Relationship Id="rId55" Type="http://schemas.openxmlformats.org/officeDocument/2006/relationships/image" Target="../media/image55.emf"/><Relationship Id="rId7" Type="http://schemas.openxmlformats.org/officeDocument/2006/relationships/image" Target="../media/image31.emf"/><Relationship Id="rId12" Type="http://schemas.openxmlformats.org/officeDocument/2006/relationships/control" Target="../activeX/activeX33.xml"/><Relationship Id="rId17" Type="http://schemas.openxmlformats.org/officeDocument/2006/relationships/image" Target="../media/image36.emf"/><Relationship Id="rId25" Type="http://schemas.openxmlformats.org/officeDocument/2006/relationships/image" Target="../media/image40.emf"/><Relationship Id="rId33" Type="http://schemas.openxmlformats.org/officeDocument/2006/relationships/image" Target="../media/image44.emf"/><Relationship Id="rId38" Type="http://schemas.openxmlformats.org/officeDocument/2006/relationships/control" Target="../activeX/activeX46.xml"/><Relationship Id="rId46" Type="http://schemas.openxmlformats.org/officeDocument/2006/relationships/control" Target="../activeX/activeX50.xml"/><Relationship Id="rId59" Type="http://schemas.openxmlformats.org/officeDocument/2006/relationships/image" Target="../media/image5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5.xml"/><Relationship Id="rId20" Type="http://schemas.openxmlformats.org/officeDocument/2006/relationships/control" Target="../activeX/activeX37.xml"/><Relationship Id="rId29" Type="http://schemas.openxmlformats.org/officeDocument/2006/relationships/image" Target="../media/image42.emf"/><Relationship Id="rId41" Type="http://schemas.openxmlformats.org/officeDocument/2006/relationships/image" Target="../media/image48.emf"/><Relationship Id="rId54" Type="http://schemas.openxmlformats.org/officeDocument/2006/relationships/control" Target="../activeX/activeX5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0.xml"/><Relationship Id="rId11" Type="http://schemas.openxmlformats.org/officeDocument/2006/relationships/image" Target="../media/image33.emf"/><Relationship Id="rId24" Type="http://schemas.openxmlformats.org/officeDocument/2006/relationships/control" Target="../activeX/activeX39.xml"/><Relationship Id="rId32" Type="http://schemas.openxmlformats.org/officeDocument/2006/relationships/control" Target="../activeX/activeX43.xml"/><Relationship Id="rId37" Type="http://schemas.openxmlformats.org/officeDocument/2006/relationships/image" Target="../media/image46.emf"/><Relationship Id="rId40" Type="http://schemas.openxmlformats.org/officeDocument/2006/relationships/control" Target="../activeX/activeX47.xml"/><Relationship Id="rId45" Type="http://schemas.openxmlformats.org/officeDocument/2006/relationships/image" Target="../media/image50.emf"/><Relationship Id="rId53" Type="http://schemas.openxmlformats.org/officeDocument/2006/relationships/image" Target="../media/image54.emf"/><Relationship Id="rId58" Type="http://schemas.openxmlformats.org/officeDocument/2006/relationships/control" Target="../activeX/activeX56.xml"/><Relationship Id="rId5" Type="http://schemas.openxmlformats.org/officeDocument/2006/relationships/image" Target="../media/image30.emf"/><Relationship Id="rId15" Type="http://schemas.openxmlformats.org/officeDocument/2006/relationships/image" Target="../media/image35.emf"/><Relationship Id="rId23" Type="http://schemas.openxmlformats.org/officeDocument/2006/relationships/image" Target="../media/image39.emf"/><Relationship Id="rId28" Type="http://schemas.openxmlformats.org/officeDocument/2006/relationships/control" Target="../activeX/activeX41.xml"/><Relationship Id="rId36" Type="http://schemas.openxmlformats.org/officeDocument/2006/relationships/control" Target="../activeX/activeX45.xml"/><Relationship Id="rId49" Type="http://schemas.openxmlformats.org/officeDocument/2006/relationships/image" Target="../media/image52.emf"/><Relationship Id="rId57" Type="http://schemas.openxmlformats.org/officeDocument/2006/relationships/image" Target="../media/image56.emf"/><Relationship Id="rId10" Type="http://schemas.openxmlformats.org/officeDocument/2006/relationships/control" Target="../activeX/activeX32.xml"/><Relationship Id="rId19" Type="http://schemas.openxmlformats.org/officeDocument/2006/relationships/image" Target="../media/image37.emf"/><Relationship Id="rId31" Type="http://schemas.openxmlformats.org/officeDocument/2006/relationships/image" Target="../media/image43.emf"/><Relationship Id="rId44" Type="http://schemas.openxmlformats.org/officeDocument/2006/relationships/control" Target="../activeX/activeX49.xml"/><Relationship Id="rId52" Type="http://schemas.openxmlformats.org/officeDocument/2006/relationships/control" Target="../activeX/activeX53.xml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Relationship Id="rId14" Type="http://schemas.openxmlformats.org/officeDocument/2006/relationships/control" Target="../activeX/activeX34.xml"/><Relationship Id="rId22" Type="http://schemas.openxmlformats.org/officeDocument/2006/relationships/control" Target="../activeX/activeX38.xml"/><Relationship Id="rId27" Type="http://schemas.openxmlformats.org/officeDocument/2006/relationships/image" Target="../media/image41.emf"/><Relationship Id="rId30" Type="http://schemas.openxmlformats.org/officeDocument/2006/relationships/control" Target="../activeX/activeX42.xml"/><Relationship Id="rId35" Type="http://schemas.openxmlformats.org/officeDocument/2006/relationships/image" Target="../media/image45.emf"/><Relationship Id="rId43" Type="http://schemas.openxmlformats.org/officeDocument/2006/relationships/image" Target="../media/image49.emf"/><Relationship Id="rId48" Type="http://schemas.openxmlformats.org/officeDocument/2006/relationships/control" Target="../activeX/activeX51.xml"/><Relationship Id="rId56" Type="http://schemas.openxmlformats.org/officeDocument/2006/relationships/control" Target="../activeX/activeX55.xml"/><Relationship Id="rId8" Type="http://schemas.openxmlformats.org/officeDocument/2006/relationships/control" Target="../activeX/activeX31.xml"/><Relationship Id="rId51" Type="http://schemas.openxmlformats.org/officeDocument/2006/relationships/image" Target="../media/image53.emf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75.xml"/><Relationship Id="rId117" Type="http://schemas.openxmlformats.org/officeDocument/2006/relationships/image" Target="../media/image100.emf"/><Relationship Id="rId21" Type="http://schemas.openxmlformats.org/officeDocument/2006/relationships/control" Target="../activeX/activeX70.xml"/><Relationship Id="rId42" Type="http://schemas.openxmlformats.org/officeDocument/2006/relationships/control" Target="../activeX/activeX90.xml"/><Relationship Id="rId47" Type="http://schemas.openxmlformats.org/officeDocument/2006/relationships/image" Target="../media/image65.emf"/><Relationship Id="rId63" Type="http://schemas.openxmlformats.org/officeDocument/2006/relationships/image" Target="../media/image73.emf"/><Relationship Id="rId68" Type="http://schemas.openxmlformats.org/officeDocument/2006/relationships/control" Target="../activeX/activeX103.xml"/><Relationship Id="rId84" Type="http://schemas.openxmlformats.org/officeDocument/2006/relationships/control" Target="../activeX/activeX111.xml"/><Relationship Id="rId89" Type="http://schemas.openxmlformats.org/officeDocument/2006/relationships/image" Target="../media/image86.emf"/><Relationship Id="rId112" Type="http://schemas.openxmlformats.org/officeDocument/2006/relationships/control" Target="../activeX/activeX125.xml"/><Relationship Id="rId133" Type="http://schemas.openxmlformats.org/officeDocument/2006/relationships/image" Target="../media/image108.emf"/><Relationship Id="rId16" Type="http://schemas.openxmlformats.org/officeDocument/2006/relationships/control" Target="../activeX/activeX66.xml"/><Relationship Id="rId107" Type="http://schemas.openxmlformats.org/officeDocument/2006/relationships/image" Target="../media/image95.emf"/><Relationship Id="rId11" Type="http://schemas.openxmlformats.org/officeDocument/2006/relationships/control" Target="../activeX/activeX61.xml"/><Relationship Id="rId32" Type="http://schemas.openxmlformats.org/officeDocument/2006/relationships/control" Target="../activeX/activeX81.xml"/><Relationship Id="rId37" Type="http://schemas.openxmlformats.org/officeDocument/2006/relationships/control" Target="../activeX/activeX86.xml"/><Relationship Id="rId53" Type="http://schemas.openxmlformats.org/officeDocument/2006/relationships/image" Target="../media/image68.emf"/><Relationship Id="rId58" Type="http://schemas.openxmlformats.org/officeDocument/2006/relationships/control" Target="../activeX/activeX98.xml"/><Relationship Id="rId74" Type="http://schemas.openxmlformats.org/officeDocument/2006/relationships/control" Target="../activeX/activeX106.xml"/><Relationship Id="rId79" Type="http://schemas.openxmlformats.org/officeDocument/2006/relationships/image" Target="../media/image81.emf"/><Relationship Id="rId102" Type="http://schemas.openxmlformats.org/officeDocument/2006/relationships/control" Target="../activeX/activeX120.xml"/><Relationship Id="rId123" Type="http://schemas.openxmlformats.org/officeDocument/2006/relationships/image" Target="../media/image103.emf"/><Relationship Id="rId128" Type="http://schemas.openxmlformats.org/officeDocument/2006/relationships/control" Target="../activeX/activeX133.xml"/><Relationship Id="rId5" Type="http://schemas.openxmlformats.org/officeDocument/2006/relationships/image" Target="../media/image58.emf"/><Relationship Id="rId90" Type="http://schemas.openxmlformats.org/officeDocument/2006/relationships/control" Target="../activeX/activeX114.xml"/><Relationship Id="rId95" Type="http://schemas.openxmlformats.org/officeDocument/2006/relationships/image" Target="../media/image89.emf"/><Relationship Id="rId14" Type="http://schemas.openxmlformats.org/officeDocument/2006/relationships/control" Target="../activeX/activeX64.xml"/><Relationship Id="rId22" Type="http://schemas.openxmlformats.org/officeDocument/2006/relationships/control" Target="../activeX/activeX71.xml"/><Relationship Id="rId27" Type="http://schemas.openxmlformats.org/officeDocument/2006/relationships/control" Target="../activeX/activeX76.xml"/><Relationship Id="rId30" Type="http://schemas.openxmlformats.org/officeDocument/2006/relationships/control" Target="../activeX/activeX79.xml"/><Relationship Id="rId35" Type="http://schemas.openxmlformats.org/officeDocument/2006/relationships/control" Target="../activeX/activeX84.xml"/><Relationship Id="rId43" Type="http://schemas.openxmlformats.org/officeDocument/2006/relationships/image" Target="../media/image63.emf"/><Relationship Id="rId48" Type="http://schemas.openxmlformats.org/officeDocument/2006/relationships/control" Target="../activeX/activeX93.xml"/><Relationship Id="rId56" Type="http://schemas.openxmlformats.org/officeDocument/2006/relationships/control" Target="../activeX/activeX97.xml"/><Relationship Id="rId64" Type="http://schemas.openxmlformats.org/officeDocument/2006/relationships/control" Target="../activeX/activeX101.xml"/><Relationship Id="rId69" Type="http://schemas.openxmlformats.org/officeDocument/2006/relationships/image" Target="../media/image76.emf"/><Relationship Id="rId77" Type="http://schemas.openxmlformats.org/officeDocument/2006/relationships/image" Target="../media/image80.emf"/><Relationship Id="rId100" Type="http://schemas.openxmlformats.org/officeDocument/2006/relationships/control" Target="../activeX/activeX119.xml"/><Relationship Id="rId105" Type="http://schemas.openxmlformats.org/officeDocument/2006/relationships/image" Target="../media/image94.emf"/><Relationship Id="rId113" Type="http://schemas.openxmlformats.org/officeDocument/2006/relationships/image" Target="../media/image98.emf"/><Relationship Id="rId118" Type="http://schemas.openxmlformats.org/officeDocument/2006/relationships/control" Target="../activeX/activeX128.xml"/><Relationship Id="rId126" Type="http://schemas.openxmlformats.org/officeDocument/2006/relationships/control" Target="../activeX/activeX132.xml"/><Relationship Id="rId134" Type="http://schemas.openxmlformats.org/officeDocument/2006/relationships/control" Target="../activeX/activeX136.xml"/><Relationship Id="rId8" Type="http://schemas.openxmlformats.org/officeDocument/2006/relationships/image" Target="../media/image59.emf"/><Relationship Id="rId51" Type="http://schemas.openxmlformats.org/officeDocument/2006/relationships/image" Target="../media/image67.emf"/><Relationship Id="rId72" Type="http://schemas.openxmlformats.org/officeDocument/2006/relationships/control" Target="../activeX/activeX105.xml"/><Relationship Id="rId80" Type="http://schemas.openxmlformats.org/officeDocument/2006/relationships/control" Target="../activeX/activeX109.xml"/><Relationship Id="rId85" Type="http://schemas.openxmlformats.org/officeDocument/2006/relationships/image" Target="../media/image84.emf"/><Relationship Id="rId93" Type="http://schemas.openxmlformats.org/officeDocument/2006/relationships/image" Target="../media/image88.emf"/><Relationship Id="rId98" Type="http://schemas.openxmlformats.org/officeDocument/2006/relationships/control" Target="../activeX/activeX118.xml"/><Relationship Id="rId121" Type="http://schemas.openxmlformats.org/officeDocument/2006/relationships/image" Target="../media/image102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62.xml"/><Relationship Id="rId17" Type="http://schemas.openxmlformats.org/officeDocument/2006/relationships/control" Target="../activeX/activeX67.xml"/><Relationship Id="rId25" Type="http://schemas.openxmlformats.org/officeDocument/2006/relationships/control" Target="../activeX/activeX74.xml"/><Relationship Id="rId33" Type="http://schemas.openxmlformats.org/officeDocument/2006/relationships/control" Target="../activeX/activeX82.xml"/><Relationship Id="rId38" Type="http://schemas.openxmlformats.org/officeDocument/2006/relationships/control" Target="../activeX/activeX87.xml"/><Relationship Id="rId46" Type="http://schemas.openxmlformats.org/officeDocument/2006/relationships/control" Target="../activeX/activeX92.xml"/><Relationship Id="rId59" Type="http://schemas.openxmlformats.org/officeDocument/2006/relationships/image" Target="../media/image71.emf"/><Relationship Id="rId67" Type="http://schemas.openxmlformats.org/officeDocument/2006/relationships/image" Target="../media/image75.emf"/><Relationship Id="rId103" Type="http://schemas.openxmlformats.org/officeDocument/2006/relationships/image" Target="../media/image93.emf"/><Relationship Id="rId108" Type="http://schemas.openxmlformats.org/officeDocument/2006/relationships/control" Target="../activeX/activeX123.xml"/><Relationship Id="rId116" Type="http://schemas.openxmlformats.org/officeDocument/2006/relationships/control" Target="../activeX/activeX127.xml"/><Relationship Id="rId124" Type="http://schemas.openxmlformats.org/officeDocument/2006/relationships/control" Target="../activeX/activeX131.xml"/><Relationship Id="rId129" Type="http://schemas.openxmlformats.org/officeDocument/2006/relationships/image" Target="../media/image106.emf"/><Relationship Id="rId20" Type="http://schemas.openxmlformats.org/officeDocument/2006/relationships/control" Target="../activeX/activeX69.xml"/><Relationship Id="rId41" Type="http://schemas.openxmlformats.org/officeDocument/2006/relationships/image" Target="../media/image62.emf"/><Relationship Id="rId54" Type="http://schemas.openxmlformats.org/officeDocument/2006/relationships/control" Target="../activeX/activeX96.xml"/><Relationship Id="rId62" Type="http://schemas.openxmlformats.org/officeDocument/2006/relationships/control" Target="../activeX/activeX100.xml"/><Relationship Id="rId70" Type="http://schemas.openxmlformats.org/officeDocument/2006/relationships/control" Target="../activeX/activeX104.xml"/><Relationship Id="rId75" Type="http://schemas.openxmlformats.org/officeDocument/2006/relationships/image" Target="../media/image79.emf"/><Relationship Id="rId83" Type="http://schemas.openxmlformats.org/officeDocument/2006/relationships/image" Target="../media/image83.emf"/><Relationship Id="rId88" Type="http://schemas.openxmlformats.org/officeDocument/2006/relationships/control" Target="../activeX/activeX113.xml"/><Relationship Id="rId91" Type="http://schemas.openxmlformats.org/officeDocument/2006/relationships/image" Target="../media/image87.emf"/><Relationship Id="rId96" Type="http://schemas.openxmlformats.org/officeDocument/2006/relationships/control" Target="../activeX/activeX117.xml"/><Relationship Id="rId111" Type="http://schemas.openxmlformats.org/officeDocument/2006/relationships/image" Target="../media/image97.emf"/><Relationship Id="rId132" Type="http://schemas.openxmlformats.org/officeDocument/2006/relationships/control" Target="../activeX/activeX13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.xml"/><Relationship Id="rId15" Type="http://schemas.openxmlformats.org/officeDocument/2006/relationships/control" Target="../activeX/activeX65.xml"/><Relationship Id="rId23" Type="http://schemas.openxmlformats.org/officeDocument/2006/relationships/control" Target="../activeX/activeX72.xml"/><Relationship Id="rId28" Type="http://schemas.openxmlformats.org/officeDocument/2006/relationships/control" Target="../activeX/activeX77.xml"/><Relationship Id="rId36" Type="http://schemas.openxmlformats.org/officeDocument/2006/relationships/control" Target="../activeX/activeX85.xml"/><Relationship Id="rId49" Type="http://schemas.openxmlformats.org/officeDocument/2006/relationships/image" Target="../media/image66.emf"/><Relationship Id="rId57" Type="http://schemas.openxmlformats.org/officeDocument/2006/relationships/image" Target="../media/image70.emf"/><Relationship Id="rId106" Type="http://schemas.openxmlformats.org/officeDocument/2006/relationships/control" Target="../activeX/activeX122.xml"/><Relationship Id="rId114" Type="http://schemas.openxmlformats.org/officeDocument/2006/relationships/control" Target="../activeX/activeX126.xml"/><Relationship Id="rId119" Type="http://schemas.openxmlformats.org/officeDocument/2006/relationships/image" Target="../media/image101.emf"/><Relationship Id="rId127" Type="http://schemas.openxmlformats.org/officeDocument/2006/relationships/image" Target="../media/image105.emf"/><Relationship Id="rId10" Type="http://schemas.openxmlformats.org/officeDocument/2006/relationships/image" Target="../media/image60.emf"/><Relationship Id="rId31" Type="http://schemas.openxmlformats.org/officeDocument/2006/relationships/control" Target="../activeX/activeX80.xml"/><Relationship Id="rId44" Type="http://schemas.openxmlformats.org/officeDocument/2006/relationships/control" Target="../activeX/activeX91.xml"/><Relationship Id="rId52" Type="http://schemas.openxmlformats.org/officeDocument/2006/relationships/control" Target="../activeX/activeX95.xml"/><Relationship Id="rId60" Type="http://schemas.openxmlformats.org/officeDocument/2006/relationships/control" Target="../activeX/activeX99.xml"/><Relationship Id="rId65" Type="http://schemas.openxmlformats.org/officeDocument/2006/relationships/image" Target="../media/image74.emf"/><Relationship Id="rId73" Type="http://schemas.openxmlformats.org/officeDocument/2006/relationships/image" Target="../media/image78.emf"/><Relationship Id="rId78" Type="http://schemas.openxmlformats.org/officeDocument/2006/relationships/control" Target="../activeX/activeX108.xml"/><Relationship Id="rId81" Type="http://schemas.openxmlformats.org/officeDocument/2006/relationships/image" Target="../media/image82.emf"/><Relationship Id="rId86" Type="http://schemas.openxmlformats.org/officeDocument/2006/relationships/control" Target="../activeX/activeX112.xml"/><Relationship Id="rId94" Type="http://schemas.openxmlformats.org/officeDocument/2006/relationships/control" Target="../activeX/activeX116.xml"/><Relationship Id="rId99" Type="http://schemas.openxmlformats.org/officeDocument/2006/relationships/image" Target="../media/image91.emf"/><Relationship Id="rId101" Type="http://schemas.openxmlformats.org/officeDocument/2006/relationships/image" Target="../media/image92.emf"/><Relationship Id="rId122" Type="http://schemas.openxmlformats.org/officeDocument/2006/relationships/control" Target="../activeX/activeX130.xml"/><Relationship Id="rId130" Type="http://schemas.openxmlformats.org/officeDocument/2006/relationships/control" Target="../activeX/activeX134.xml"/><Relationship Id="rId135" Type="http://schemas.openxmlformats.org/officeDocument/2006/relationships/image" Target="../media/image109.emf"/><Relationship Id="rId4" Type="http://schemas.openxmlformats.org/officeDocument/2006/relationships/control" Target="../activeX/activeX57.xml"/><Relationship Id="rId9" Type="http://schemas.openxmlformats.org/officeDocument/2006/relationships/control" Target="../activeX/activeX60.xml"/><Relationship Id="rId13" Type="http://schemas.openxmlformats.org/officeDocument/2006/relationships/control" Target="../activeX/activeX63.xml"/><Relationship Id="rId18" Type="http://schemas.openxmlformats.org/officeDocument/2006/relationships/image" Target="../media/image61.emf"/><Relationship Id="rId39" Type="http://schemas.openxmlformats.org/officeDocument/2006/relationships/control" Target="../activeX/activeX88.xml"/><Relationship Id="rId109" Type="http://schemas.openxmlformats.org/officeDocument/2006/relationships/image" Target="../media/image96.emf"/><Relationship Id="rId34" Type="http://schemas.openxmlformats.org/officeDocument/2006/relationships/control" Target="../activeX/activeX83.xml"/><Relationship Id="rId50" Type="http://schemas.openxmlformats.org/officeDocument/2006/relationships/control" Target="../activeX/activeX94.xml"/><Relationship Id="rId55" Type="http://schemas.openxmlformats.org/officeDocument/2006/relationships/image" Target="../media/image69.emf"/><Relationship Id="rId76" Type="http://schemas.openxmlformats.org/officeDocument/2006/relationships/control" Target="../activeX/activeX107.xml"/><Relationship Id="rId97" Type="http://schemas.openxmlformats.org/officeDocument/2006/relationships/image" Target="../media/image90.emf"/><Relationship Id="rId104" Type="http://schemas.openxmlformats.org/officeDocument/2006/relationships/control" Target="../activeX/activeX121.xml"/><Relationship Id="rId120" Type="http://schemas.openxmlformats.org/officeDocument/2006/relationships/control" Target="../activeX/activeX129.xml"/><Relationship Id="rId125" Type="http://schemas.openxmlformats.org/officeDocument/2006/relationships/image" Target="../media/image104.emf"/><Relationship Id="rId7" Type="http://schemas.openxmlformats.org/officeDocument/2006/relationships/control" Target="../activeX/activeX59.xml"/><Relationship Id="rId71" Type="http://schemas.openxmlformats.org/officeDocument/2006/relationships/image" Target="../media/image77.emf"/><Relationship Id="rId92" Type="http://schemas.openxmlformats.org/officeDocument/2006/relationships/control" Target="../activeX/activeX115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78.xml"/><Relationship Id="rId24" Type="http://schemas.openxmlformats.org/officeDocument/2006/relationships/control" Target="../activeX/activeX73.xml"/><Relationship Id="rId40" Type="http://schemas.openxmlformats.org/officeDocument/2006/relationships/control" Target="../activeX/activeX89.xml"/><Relationship Id="rId45" Type="http://schemas.openxmlformats.org/officeDocument/2006/relationships/image" Target="../media/image64.emf"/><Relationship Id="rId66" Type="http://schemas.openxmlformats.org/officeDocument/2006/relationships/control" Target="../activeX/activeX102.xml"/><Relationship Id="rId87" Type="http://schemas.openxmlformats.org/officeDocument/2006/relationships/image" Target="../media/image85.emf"/><Relationship Id="rId110" Type="http://schemas.openxmlformats.org/officeDocument/2006/relationships/control" Target="../activeX/activeX124.xml"/><Relationship Id="rId115" Type="http://schemas.openxmlformats.org/officeDocument/2006/relationships/image" Target="../media/image99.emf"/><Relationship Id="rId131" Type="http://schemas.openxmlformats.org/officeDocument/2006/relationships/image" Target="../media/image107.emf"/><Relationship Id="rId61" Type="http://schemas.openxmlformats.org/officeDocument/2006/relationships/image" Target="../media/image72.emf"/><Relationship Id="rId82" Type="http://schemas.openxmlformats.org/officeDocument/2006/relationships/control" Target="../activeX/activeX110.xml"/><Relationship Id="rId19" Type="http://schemas.openxmlformats.org/officeDocument/2006/relationships/control" Target="../activeX/activeX6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4.emf"/><Relationship Id="rId18" Type="http://schemas.openxmlformats.org/officeDocument/2006/relationships/control" Target="../activeX/activeX144.xml"/><Relationship Id="rId26" Type="http://schemas.openxmlformats.org/officeDocument/2006/relationships/control" Target="../activeX/activeX148.xml"/><Relationship Id="rId39" Type="http://schemas.openxmlformats.org/officeDocument/2006/relationships/image" Target="../media/image127.emf"/><Relationship Id="rId21" Type="http://schemas.openxmlformats.org/officeDocument/2006/relationships/image" Target="../media/image118.emf"/><Relationship Id="rId34" Type="http://schemas.openxmlformats.org/officeDocument/2006/relationships/control" Target="../activeX/activeX152.xml"/><Relationship Id="rId42" Type="http://schemas.openxmlformats.org/officeDocument/2006/relationships/control" Target="../activeX/activeX156.xml"/><Relationship Id="rId47" Type="http://schemas.openxmlformats.org/officeDocument/2006/relationships/image" Target="../media/image131.emf"/><Relationship Id="rId50" Type="http://schemas.openxmlformats.org/officeDocument/2006/relationships/control" Target="../activeX/activeX160.xml"/><Relationship Id="rId55" Type="http://schemas.openxmlformats.org/officeDocument/2006/relationships/image" Target="../media/image135.emf"/><Relationship Id="rId7" Type="http://schemas.openxmlformats.org/officeDocument/2006/relationships/image" Target="../media/image1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3.xml"/><Relationship Id="rId20" Type="http://schemas.openxmlformats.org/officeDocument/2006/relationships/control" Target="../activeX/activeX145.xml"/><Relationship Id="rId29" Type="http://schemas.openxmlformats.org/officeDocument/2006/relationships/image" Target="../media/image122.emf"/><Relationship Id="rId41" Type="http://schemas.openxmlformats.org/officeDocument/2006/relationships/image" Target="../media/image128.emf"/><Relationship Id="rId54" Type="http://schemas.openxmlformats.org/officeDocument/2006/relationships/control" Target="../activeX/activeX16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38.xml"/><Relationship Id="rId11" Type="http://schemas.openxmlformats.org/officeDocument/2006/relationships/image" Target="../media/image113.emf"/><Relationship Id="rId24" Type="http://schemas.openxmlformats.org/officeDocument/2006/relationships/control" Target="../activeX/activeX147.xml"/><Relationship Id="rId32" Type="http://schemas.openxmlformats.org/officeDocument/2006/relationships/control" Target="../activeX/activeX151.xml"/><Relationship Id="rId37" Type="http://schemas.openxmlformats.org/officeDocument/2006/relationships/image" Target="../media/image126.emf"/><Relationship Id="rId40" Type="http://schemas.openxmlformats.org/officeDocument/2006/relationships/control" Target="../activeX/activeX155.xml"/><Relationship Id="rId45" Type="http://schemas.openxmlformats.org/officeDocument/2006/relationships/image" Target="../media/image130.emf"/><Relationship Id="rId53" Type="http://schemas.openxmlformats.org/officeDocument/2006/relationships/image" Target="../media/image134.emf"/><Relationship Id="rId58" Type="http://schemas.openxmlformats.org/officeDocument/2006/relationships/control" Target="../activeX/activeX164.xml"/><Relationship Id="rId5" Type="http://schemas.openxmlformats.org/officeDocument/2006/relationships/image" Target="../media/image110.emf"/><Relationship Id="rId15" Type="http://schemas.openxmlformats.org/officeDocument/2006/relationships/image" Target="../media/image115.emf"/><Relationship Id="rId23" Type="http://schemas.openxmlformats.org/officeDocument/2006/relationships/image" Target="../media/image119.emf"/><Relationship Id="rId28" Type="http://schemas.openxmlformats.org/officeDocument/2006/relationships/control" Target="../activeX/activeX149.xml"/><Relationship Id="rId36" Type="http://schemas.openxmlformats.org/officeDocument/2006/relationships/control" Target="../activeX/activeX153.xml"/><Relationship Id="rId49" Type="http://schemas.openxmlformats.org/officeDocument/2006/relationships/image" Target="../media/image132.emf"/><Relationship Id="rId57" Type="http://schemas.openxmlformats.org/officeDocument/2006/relationships/image" Target="../media/image136.emf"/><Relationship Id="rId61" Type="http://schemas.openxmlformats.org/officeDocument/2006/relationships/image" Target="../media/image138.emf"/><Relationship Id="rId10" Type="http://schemas.openxmlformats.org/officeDocument/2006/relationships/control" Target="../activeX/activeX140.xml"/><Relationship Id="rId19" Type="http://schemas.openxmlformats.org/officeDocument/2006/relationships/image" Target="../media/image117.emf"/><Relationship Id="rId31" Type="http://schemas.openxmlformats.org/officeDocument/2006/relationships/image" Target="../media/image123.emf"/><Relationship Id="rId44" Type="http://schemas.openxmlformats.org/officeDocument/2006/relationships/control" Target="../activeX/activeX157.xml"/><Relationship Id="rId52" Type="http://schemas.openxmlformats.org/officeDocument/2006/relationships/control" Target="../activeX/activeX161.xml"/><Relationship Id="rId60" Type="http://schemas.openxmlformats.org/officeDocument/2006/relationships/control" Target="../activeX/activeX165.xml"/><Relationship Id="rId4" Type="http://schemas.openxmlformats.org/officeDocument/2006/relationships/control" Target="../activeX/activeX137.xml"/><Relationship Id="rId9" Type="http://schemas.openxmlformats.org/officeDocument/2006/relationships/image" Target="../media/image112.emf"/><Relationship Id="rId14" Type="http://schemas.openxmlformats.org/officeDocument/2006/relationships/control" Target="../activeX/activeX142.xml"/><Relationship Id="rId22" Type="http://schemas.openxmlformats.org/officeDocument/2006/relationships/control" Target="../activeX/activeX146.xml"/><Relationship Id="rId27" Type="http://schemas.openxmlformats.org/officeDocument/2006/relationships/image" Target="../media/image121.emf"/><Relationship Id="rId30" Type="http://schemas.openxmlformats.org/officeDocument/2006/relationships/control" Target="../activeX/activeX150.xml"/><Relationship Id="rId35" Type="http://schemas.openxmlformats.org/officeDocument/2006/relationships/image" Target="../media/image125.emf"/><Relationship Id="rId43" Type="http://schemas.openxmlformats.org/officeDocument/2006/relationships/image" Target="../media/image129.emf"/><Relationship Id="rId48" Type="http://schemas.openxmlformats.org/officeDocument/2006/relationships/control" Target="../activeX/activeX159.xml"/><Relationship Id="rId56" Type="http://schemas.openxmlformats.org/officeDocument/2006/relationships/control" Target="../activeX/activeX163.xml"/><Relationship Id="rId8" Type="http://schemas.openxmlformats.org/officeDocument/2006/relationships/control" Target="../activeX/activeX139.xml"/><Relationship Id="rId51" Type="http://schemas.openxmlformats.org/officeDocument/2006/relationships/image" Target="../media/image133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41.xml"/><Relationship Id="rId17" Type="http://schemas.openxmlformats.org/officeDocument/2006/relationships/image" Target="../media/image116.emf"/><Relationship Id="rId25" Type="http://schemas.openxmlformats.org/officeDocument/2006/relationships/image" Target="../media/image120.emf"/><Relationship Id="rId33" Type="http://schemas.openxmlformats.org/officeDocument/2006/relationships/image" Target="../media/image124.emf"/><Relationship Id="rId38" Type="http://schemas.openxmlformats.org/officeDocument/2006/relationships/control" Target="../activeX/activeX154.xml"/><Relationship Id="rId46" Type="http://schemas.openxmlformats.org/officeDocument/2006/relationships/control" Target="../activeX/activeX158.xml"/><Relationship Id="rId59" Type="http://schemas.openxmlformats.org/officeDocument/2006/relationships/image" Target="../media/image13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7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0" Type="http://schemas.openxmlformats.org/officeDocument/2006/relationships/control" Target="../activeX/activeX169.xml"/><Relationship Id="rId4" Type="http://schemas.openxmlformats.org/officeDocument/2006/relationships/control" Target="../activeX/activeX166.xml"/><Relationship Id="rId9" Type="http://schemas.openxmlformats.org/officeDocument/2006/relationships/image" Target="../media/image14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B49"/>
  <sheetViews>
    <sheetView topLeftCell="A25" workbookViewId="0"/>
  </sheetViews>
  <sheetFormatPr baseColWidth="10" defaultRowHeight="15" x14ac:dyDescent="0.25"/>
  <cols>
    <col min="1" max="1" width="22.28515625" bestFit="1" customWidth="1"/>
    <col min="2" max="2" width="21.85546875" bestFit="1" customWidth="1"/>
  </cols>
  <sheetData>
    <row r="1" spans="1:2" x14ac:dyDescent="0.25">
      <c r="A1" t="s">
        <v>83</v>
      </c>
    </row>
    <row r="2" spans="1:2" x14ac:dyDescent="0.25">
      <c r="A2" t="s">
        <v>84</v>
      </c>
    </row>
    <row r="3" spans="1:2" x14ac:dyDescent="0.25">
      <c r="A3" t="s">
        <v>85</v>
      </c>
    </row>
    <row r="4" spans="1:2" x14ac:dyDescent="0.25">
      <c r="A4" t="s">
        <v>86</v>
      </c>
    </row>
    <row r="5" spans="1:2" x14ac:dyDescent="0.25">
      <c r="A5" t="s">
        <v>87</v>
      </c>
    </row>
    <row r="6" spans="1:2" x14ac:dyDescent="0.25">
      <c r="A6" t="s">
        <v>88</v>
      </c>
    </row>
    <row r="7" spans="1:2" x14ac:dyDescent="0.25">
      <c r="A7" t="s">
        <v>89</v>
      </c>
      <c r="B7" s="122"/>
    </row>
    <row r="8" spans="1:2" x14ac:dyDescent="0.25">
      <c r="A8" t="s">
        <v>90</v>
      </c>
    </row>
    <row r="9" spans="1:2" x14ac:dyDescent="0.25">
      <c r="A9" t="s">
        <v>91</v>
      </c>
      <c r="B9" s="123"/>
    </row>
    <row r="10" spans="1:2" x14ac:dyDescent="0.25">
      <c r="A10" t="s">
        <v>92</v>
      </c>
    </row>
    <row r="11" spans="1:2" x14ac:dyDescent="0.25">
      <c r="A11" t="s">
        <v>93</v>
      </c>
    </row>
    <row r="12" spans="1:2" x14ac:dyDescent="0.25">
      <c r="A12" t="s">
        <v>94</v>
      </c>
    </row>
    <row r="13" spans="1:2" x14ac:dyDescent="0.25">
      <c r="A13" t="s">
        <v>95</v>
      </c>
    </row>
    <row r="14" spans="1:2" x14ac:dyDescent="0.25">
      <c r="A14" t="s">
        <v>96</v>
      </c>
    </row>
    <row r="15" spans="1:2" x14ac:dyDescent="0.25">
      <c r="A15" t="s">
        <v>97</v>
      </c>
    </row>
    <row r="16" spans="1:2" x14ac:dyDescent="0.25">
      <c r="A16" t="s">
        <v>98</v>
      </c>
      <c r="B16" s="124"/>
    </row>
    <row r="17" spans="1:2" x14ac:dyDescent="0.25">
      <c r="A17" t="s">
        <v>99</v>
      </c>
    </row>
    <row r="18" spans="1:2" x14ac:dyDescent="0.25">
      <c r="A18" t="s">
        <v>100</v>
      </c>
    </row>
    <row r="19" spans="1:2" x14ac:dyDescent="0.25">
      <c r="A19" t="s">
        <v>101</v>
      </c>
    </row>
    <row r="20" spans="1:2" x14ac:dyDescent="0.25">
      <c r="A20" t="s">
        <v>131</v>
      </c>
      <c r="B20" s="122"/>
    </row>
    <row r="21" spans="1:2" x14ac:dyDescent="0.25">
      <c r="A21" t="s">
        <v>102</v>
      </c>
    </row>
    <row r="22" spans="1:2" x14ac:dyDescent="0.25">
      <c r="A22" t="s">
        <v>103</v>
      </c>
    </row>
    <row r="23" spans="1:2" x14ac:dyDescent="0.25">
      <c r="A23" t="s">
        <v>104</v>
      </c>
      <c r="B23" s="122"/>
    </row>
    <row r="24" spans="1:2" x14ac:dyDescent="0.25">
      <c r="A24" t="s">
        <v>105</v>
      </c>
    </row>
    <row r="25" spans="1:2" x14ac:dyDescent="0.25">
      <c r="A25" t="s">
        <v>106</v>
      </c>
    </row>
    <row r="26" spans="1:2" x14ac:dyDescent="0.25">
      <c r="A26" t="s">
        <v>107</v>
      </c>
    </row>
    <row r="27" spans="1:2" x14ac:dyDescent="0.25">
      <c r="A27" t="s">
        <v>108</v>
      </c>
    </row>
    <row r="28" spans="1:2" x14ac:dyDescent="0.25">
      <c r="A28" t="s">
        <v>109</v>
      </c>
    </row>
    <row r="29" spans="1:2" x14ac:dyDescent="0.25">
      <c r="A29" t="s">
        <v>110</v>
      </c>
    </row>
    <row r="30" spans="1:2" x14ac:dyDescent="0.25">
      <c r="A30" t="s">
        <v>111</v>
      </c>
    </row>
    <row r="31" spans="1:2" x14ac:dyDescent="0.25">
      <c r="A31" t="s">
        <v>112</v>
      </c>
    </row>
    <row r="32" spans="1:2" x14ac:dyDescent="0.25">
      <c r="A32" t="s">
        <v>113</v>
      </c>
    </row>
    <row r="33" spans="1:1" x14ac:dyDescent="0.25">
      <c r="A33" t="s">
        <v>114</v>
      </c>
    </row>
    <row r="34" spans="1:1" x14ac:dyDescent="0.25">
      <c r="A34" t="s">
        <v>115</v>
      </c>
    </row>
    <row r="35" spans="1:1" x14ac:dyDescent="0.25">
      <c r="A35" t="s">
        <v>116</v>
      </c>
    </row>
    <row r="36" spans="1:1" x14ac:dyDescent="0.25">
      <c r="A36" t="s">
        <v>117</v>
      </c>
    </row>
    <row r="37" spans="1:1" x14ac:dyDescent="0.25">
      <c r="A37" t="s">
        <v>118</v>
      </c>
    </row>
    <row r="38" spans="1:1" x14ac:dyDescent="0.25">
      <c r="A38" t="s">
        <v>119</v>
      </c>
    </row>
    <row r="39" spans="1:1" x14ac:dyDescent="0.25">
      <c r="A39" t="s">
        <v>120</v>
      </c>
    </row>
    <row r="40" spans="1:1" x14ac:dyDescent="0.25">
      <c r="A40" t="s">
        <v>121</v>
      </c>
    </row>
    <row r="41" spans="1:1" x14ac:dyDescent="0.25">
      <c r="A41" t="s">
        <v>122</v>
      </c>
    </row>
    <row r="42" spans="1:1" x14ac:dyDescent="0.25">
      <c r="A42" t="s">
        <v>133</v>
      </c>
    </row>
    <row r="43" spans="1:1" x14ac:dyDescent="0.25">
      <c r="A43" t="s">
        <v>123</v>
      </c>
    </row>
    <row r="44" spans="1:1" x14ac:dyDescent="0.25">
      <c r="A44" t="s">
        <v>124</v>
      </c>
    </row>
    <row r="45" spans="1:1" x14ac:dyDescent="0.25">
      <c r="A45" t="s">
        <v>125</v>
      </c>
    </row>
    <row r="46" spans="1:1" x14ac:dyDescent="0.25">
      <c r="A46" t="s">
        <v>132</v>
      </c>
    </row>
    <row r="47" spans="1:1" x14ac:dyDescent="0.25">
      <c r="A47" t="s">
        <v>126</v>
      </c>
    </row>
    <row r="48" spans="1:1" x14ac:dyDescent="0.25">
      <c r="A48" t="s">
        <v>127</v>
      </c>
    </row>
    <row r="49" spans="1:1" x14ac:dyDescent="0.25">
      <c r="A49" t="s">
        <v>128</v>
      </c>
    </row>
  </sheetData>
  <printOptions headings="1" gridLines="1"/>
  <pageMargins left="0.70866141732283472" right="0.70866141732283472" top="0.78740157480314965" bottom="0.78740157480314965" header="0.31496062992125984" footer="0.31496062992125984"/>
  <pageSetup paperSize="9" scale="97" fitToWidth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EI355"/>
  <sheetViews>
    <sheetView showGridLines="0" showRowColHeaders="0" showZeros="0" tabSelected="1" zoomScale="130" zoomScaleNormal="130" workbookViewId="0">
      <selection activeCell="AN2" sqref="AN2:BR3"/>
    </sheetView>
  </sheetViews>
  <sheetFormatPr baseColWidth="10" defaultColWidth="0" defaultRowHeight="4.5" customHeight="1" zeroHeight="1" x14ac:dyDescent="0.15"/>
  <cols>
    <col min="1" max="22" width="0.85546875" style="14" customWidth="1"/>
    <col min="23" max="23" width="4.7109375" style="14" customWidth="1"/>
    <col min="24" max="35" width="0.85546875" style="14" customWidth="1"/>
    <col min="36" max="36" width="2.140625" style="14" customWidth="1"/>
    <col min="37" max="54" width="0.85546875" style="14" customWidth="1"/>
    <col min="55" max="55" width="1.42578125" style="14" customWidth="1"/>
    <col min="56" max="75" width="0.85546875" style="14" customWidth="1"/>
    <col min="76" max="76" width="1.42578125" style="14" customWidth="1"/>
    <col min="77" max="82" width="0.85546875" style="14" customWidth="1"/>
    <col min="83" max="83" width="2.42578125" style="14" customWidth="1"/>
    <col min="84" max="89" width="0.85546875" style="14" customWidth="1"/>
    <col min="90" max="90" width="1.5703125" style="14" customWidth="1"/>
    <col min="91" max="95" width="0.85546875" style="14" customWidth="1"/>
    <col min="96" max="96" width="3.5703125" style="14" customWidth="1"/>
    <col min="97" max="106" width="0.85546875" style="14" customWidth="1"/>
    <col min="107" max="107" width="2.85546875" style="14" customWidth="1"/>
    <col min="108" max="116" width="0.85546875" style="14" customWidth="1"/>
    <col min="117" max="117" width="2.85546875" style="14" customWidth="1"/>
    <col min="118" max="138" width="0.85546875" style="14" customWidth="1"/>
    <col min="139" max="16384" width="0.85546875" style="14" hidden="1"/>
  </cols>
  <sheetData>
    <row r="1" spans="1:139" s="2" customFormat="1" ht="9" customHeight="1" x14ac:dyDescent="0.25">
      <c r="A1" s="1">
        <v>72142</v>
      </c>
      <c r="B1" s="1"/>
      <c r="C1" s="1"/>
      <c r="E1" s="3"/>
      <c r="F1" s="3"/>
      <c r="G1" s="3"/>
      <c r="H1" s="3"/>
      <c r="I1" s="524" t="s">
        <v>74</v>
      </c>
      <c r="J1" s="524"/>
      <c r="K1" s="524"/>
      <c r="L1" s="524"/>
      <c r="M1" s="524"/>
      <c r="N1" s="524"/>
      <c r="O1" s="524"/>
      <c r="P1" s="524"/>
      <c r="Q1" s="524"/>
      <c r="R1" s="524"/>
      <c r="S1" s="524"/>
      <c r="T1" s="524"/>
      <c r="U1" s="524"/>
      <c r="V1" s="524"/>
      <c r="W1" s="524"/>
      <c r="X1" s="524"/>
      <c r="Y1" s="524"/>
      <c r="Z1" s="524"/>
      <c r="AA1" s="524"/>
      <c r="AB1" s="524"/>
      <c r="AC1" s="524"/>
      <c r="AD1" s="549" t="s">
        <v>384</v>
      </c>
      <c r="AE1" s="524"/>
      <c r="AF1" s="524"/>
      <c r="AG1" s="524"/>
      <c r="AH1" s="524"/>
      <c r="AI1" s="524"/>
      <c r="AJ1" s="524"/>
      <c r="AK1" s="524"/>
      <c r="AL1" s="524"/>
      <c r="AM1" s="524"/>
      <c r="AN1" s="331"/>
      <c r="AO1" s="331"/>
      <c r="AP1" s="331"/>
      <c r="AQ1" s="331"/>
      <c r="AR1" s="331"/>
      <c r="AS1" s="331"/>
      <c r="AT1" s="331"/>
      <c r="AU1" s="331"/>
      <c r="AV1" s="331"/>
      <c r="AW1" s="331"/>
      <c r="AX1" s="331"/>
      <c r="AY1" s="331"/>
      <c r="AZ1" s="331"/>
      <c r="BA1" s="331"/>
      <c r="BB1" s="331"/>
      <c r="BC1" s="331"/>
      <c r="BD1" s="331"/>
      <c r="BE1" s="331"/>
      <c r="BF1" s="331"/>
      <c r="BG1" s="331"/>
      <c r="BH1" s="331"/>
      <c r="BI1" s="331"/>
      <c r="BJ1" s="331"/>
      <c r="BK1" s="331"/>
      <c r="BL1" s="331"/>
      <c r="BM1" s="331"/>
      <c r="BN1" s="331"/>
      <c r="BO1" s="331"/>
      <c r="BP1" s="331"/>
      <c r="BQ1" s="331"/>
      <c r="BR1" s="331"/>
      <c r="BS1" s="331"/>
      <c r="BT1" s="331"/>
      <c r="BU1" s="331"/>
      <c r="BV1" s="331"/>
      <c r="BW1" s="331"/>
      <c r="BX1" s="331"/>
      <c r="BY1" s="331"/>
      <c r="BZ1" s="331"/>
      <c r="CA1" s="331"/>
      <c r="CB1" s="331"/>
      <c r="CC1" s="331"/>
      <c r="CD1" s="331"/>
      <c r="CE1" s="331"/>
      <c r="DP1" s="211" t="s">
        <v>502</v>
      </c>
    </row>
    <row r="2" spans="1:139" s="2" customFormat="1" ht="6.75" customHeight="1" x14ac:dyDescent="0.25">
      <c r="A2" s="1"/>
      <c r="B2" s="1"/>
      <c r="C2" s="1"/>
      <c r="E2" s="3"/>
      <c r="F2" s="3"/>
      <c r="G2" s="3"/>
      <c r="H2" s="3"/>
      <c r="I2" s="550" t="s">
        <v>67</v>
      </c>
      <c r="J2" s="550"/>
      <c r="K2" s="550"/>
      <c r="L2" s="550"/>
      <c r="M2" s="550"/>
      <c r="N2" s="550"/>
      <c r="O2" s="550"/>
      <c r="P2" s="550"/>
      <c r="Q2" s="550"/>
      <c r="R2" s="550"/>
      <c r="S2" s="550"/>
      <c r="T2" s="550"/>
      <c r="U2" s="550"/>
      <c r="V2" s="550"/>
      <c r="W2" s="550"/>
      <c r="X2" s="550"/>
      <c r="Y2" s="550"/>
      <c r="Z2" s="550"/>
      <c r="AA2" s="550"/>
      <c r="AB2" s="550"/>
      <c r="AC2" s="550"/>
      <c r="AD2" s="513" t="s">
        <v>412</v>
      </c>
      <c r="AE2" s="514"/>
      <c r="AF2" s="514"/>
      <c r="AG2" s="514"/>
      <c r="AH2" s="514"/>
      <c r="AI2" s="514"/>
      <c r="AJ2" s="514"/>
      <c r="AK2" s="514"/>
      <c r="AL2" s="514"/>
      <c r="AM2" s="514"/>
      <c r="AN2" s="526" t="s">
        <v>165</v>
      </c>
      <c r="AO2" s="526"/>
      <c r="AP2" s="526"/>
      <c r="AQ2" s="526"/>
      <c r="AR2" s="526"/>
      <c r="AS2" s="526"/>
      <c r="AT2" s="526"/>
      <c r="AU2" s="526"/>
      <c r="AV2" s="526"/>
      <c r="AW2" s="526"/>
      <c r="AX2" s="526"/>
      <c r="AY2" s="526"/>
      <c r="AZ2" s="526"/>
      <c r="BA2" s="526"/>
      <c r="BB2" s="526"/>
      <c r="BC2" s="526"/>
      <c r="BD2" s="526"/>
      <c r="BE2" s="526"/>
      <c r="BF2" s="526"/>
      <c r="BG2" s="526"/>
      <c r="BH2" s="526"/>
      <c r="BI2" s="526"/>
      <c r="BJ2" s="526"/>
      <c r="BK2" s="526"/>
      <c r="BL2" s="526"/>
      <c r="BM2" s="526"/>
      <c r="BN2" s="526"/>
      <c r="BO2" s="526"/>
      <c r="BP2" s="526"/>
      <c r="BQ2" s="526"/>
      <c r="BR2" s="526"/>
      <c r="BS2" s="524" t="s">
        <v>7</v>
      </c>
      <c r="BT2" s="524"/>
      <c r="BU2" s="524" t="s">
        <v>166</v>
      </c>
      <c r="BV2" s="524"/>
      <c r="BW2" s="524"/>
      <c r="BX2" s="524"/>
      <c r="BY2" s="524"/>
      <c r="BZ2" s="525" t="s">
        <v>167</v>
      </c>
      <c r="CA2" s="525"/>
      <c r="CB2" s="525"/>
      <c r="CC2" s="525"/>
      <c r="CD2" s="525"/>
      <c r="CE2" s="525"/>
    </row>
    <row r="3" spans="1:139" s="2" customFormat="1" ht="4.5" customHeight="1" x14ac:dyDescent="0.25">
      <c r="A3" s="1"/>
      <c r="B3" s="1"/>
      <c r="E3" s="3"/>
      <c r="F3" s="3"/>
      <c r="G3" s="3"/>
      <c r="H3" s="3"/>
      <c r="I3" s="550"/>
      <c r="J3" s="550"/>
      <c r="K3" s="550"/>
      <c r="L3" s="550"/>
      <c r="M3" s="550"/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  <c r="AA3" s="550"/>
      <c r="AB3" s="550"/>
      <c r="AC3" s="550"/>
      <c r="AD3" s="514"/>
      <c r="AE3" s="514"/>
      <c r="AF3" s="514"/>
      <c r="AG3" s="514"/>
      <c r="AH3" s="514"/>
      <c r="AI3" s="514"/>
      <c r="AJ3" s="514"/>
      <c r="AK3" s="514"/>
      <c r="AL3" s="514"/>
      <c r="AM3" s="514"/>
      <c r="AN3" s="526"/>
      <c r="AO3" s="526"/>
      <c r="AP3" s="526"/>
      <c r="AQ3" s="526"/>
      <c r="AR3" s="526"/>
      <c r="AS3" s="526"/>
      <c r="AT3" s="526"/>
      <c r="AU3" s="526"/>
      <c r="AV3" s="526"/>
      <c r="AW3" s="526"/>
      <c r="AX3" s="526"/>
      <c r="AY3" s="526"/>
      <c r="AZ3" s="526"/>
      <c r="BA3" s="526"/>
      <c r="BB3" s="526"/>
      <c r="BC3" s="526"/>
      <c r="BD3" s="526"/>
      <c r="BE3" s="526"/>
      <c r="BF3" s="526"/>
      <c r="BG3" s="526"/>
      <c r="BH3" s="526"/>
      <c r="BI3" s="526"/>
      <c r="BJ3" s="526"/>
      <c r="BK3" s="526"/>
      <c r="BL3" s="526"/>
      <c r="BM3" s="526"/>
      <c r="BN3" s="526"/>
      <c r="BO3" s="526"/>
      <c r="BP3" s="526"/>
      <c r="BQ3" s="526"/>
      <c r="BR3" s="526"/>
      <c r="BS3" s="524"/>
      <c r="BT3" s="524"/>
      <c r="BU3" s="524"/>
      <c r="BV3" s="524"/>
      <c r="BW3" s="524"/>
      <c r="BX3" s="524"/>
      <c r="BY3" s="524"/>
      <c r="BZ3" s="525"/>
      <c r="CA3" s="525"/>
      <c r="CB3" s="525"/>
      <c r="CC3" s="525"/>
      <c r="CD3" s="525"/>
      <c r="CE3" s="525"/>
    </row>
    <row r="4" spans="1:139" s="2" customFormat="1" ht="4.5" customHeight="1" x14ac:dyDescent="0.25">
      <c r="A4" s="1"/>
      <c r="B4" s="1"/>
      <c r="E4" s="4"/>
      <c r="F4" s="4"/>
      <c r="G4" s="4"/>
      <c r="H4" s="4"/>
      <c r="I4" s="550" t="s">
        <v>68</v>
      </c>
      <c r="J4" s="550"/>
      <c r="K4" s="550"/>
      <c r="L4" s="550"/>
      <c r="M4" s="550"/>
      <c r="N4" s="550"/>
      <c r="O4" s="550"/>
      <c r="P4" s="550"/>
      <c r="Q4" s="550"/>
      <c r="R4" s="550"/>
      <c r="S4" s="550"/>
      <c r="T4" s="550"/>
      <c r="U4" s="550"/>
      <c r="V4" s="550"/>
      <c r="W4" s="550"/>
      <c r="X4" s="550"/>
      <c r="Y4" s="550"/>
      <c r="Z4" s="550"/>
      <c r="AA4" s="550"/>
      <c r="AB4" s="550"/>
      <c r="AC4" s="550"/>
      <c r="AD4" s="513" t="s">
        <v>337</v>
      </c>
      <c r="AE4" s="514"/>
      <c r="AF4" s="514"/>
      <c r="AG4" s="514"/>
      <c r="AH4" s="514"/>
      <c r="AI4" s="514"/>
      <c r="AJ4" s="514"/>
      <c r="AK4" s="514"/>
      <c r="AL4" s="514"/>
      <c r="AM4" s="514"/>
      <c r="AN4" s="332"/>
      <c r="AO4" s="332"/>
      <c r="AP4" s="332"/>
      <c r="AQ4" s="332"/>
      <c r="AR4" s="332"/>
      <c r="AS4" s="331"/>
      <c r="AT4" s="524" t="s">
        <v>168</v>
      </c>
      <c r="AU4" s="524"/>
      <c r="AV4" s="524"/>
      <c r="AW4" s="524"/>
      <c r="AX4" s="524"/>
      <c r="AY4" s="524"/>
      <c r="AZ4" s="524"/>
      <c r="BA4" s="524"/>
      <c r="BB4" s="524"/>
      <c r="BC4" s="524"/>
      <c r="BD4" s="524"/>
      <c r="BE4" s="524"/>
      <c r="BF4" s="524"/>
      <c r="BG4" s="524"/>
      <c r="BH4" s="524"/>
      <c r="BI4" s="524"/>
      <c r="BJ4" s="524"/>
      <c r="BK4" s="524"/>
      <c r="BL4" s="524"/>
      <c r="BM4" s="524"/>
      <c r="BN4" s="524"/>
      <c r="BO4" s="524"/>
      <c r="BP4" s="524"/>
      <c r="BQ4" s="524"/>
      <c r="BR4" s="524"/>
      <c r="BS4" s="524"/>
      <c r="BT4" s="524"/>
      <c r="BU4" s="524"/>
      <c r="BV4" s="524"/>
      <c r="BW4" s="524"/>
      <c r="BX4" s="524"/>
      <c r="BY4" s="524"/>
      <c r="BZ4" s="524"/>
      <c r="CA4" s="524"/>
      <c r="CB4" s="524"/>
      <c r="CC4" s="331"/>
      <c r="CD4" s="331"/>
      <c r="CE4" s="331"/>
    </row>
    <row r="5" spans="1:139" s="2" customFormat="1" ht="4.5" customHeight="1" x14ac:dyDescent="0.15">
      <c r="A5" s="1"/>
      <c r="B5" s="1"/>
      <c r="F5" s="5"/>
      <c r="G5" s="6"/>
      <c r="H5" s="6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14"/>
      <c r="AE5" s="514"/>
      <c r="AF5" s="514"/>
      <c r="AG5" s="514"/>
      <c r="AH5" s="514"/>
      <c r="AI5" s="514"/>
      <c r="AJ5" s="514"/>
      <c r="AK5" s="514"/>
      <c r="AL5" s="514"/>
      <c r="AM5" s="514"/>
      <c r="AN5" s="332"/>
      <c r="AO5" s="332"/>
      <c r="AP5" s="332"/>
      <c r="AQ5" s="332"/>
      <c r="AR5" s="332"/>
      <c r="AS5" s="333"/>
      <c r="AT5" s="524"/>
      <c r="AU5" s="524"/>
      <c r="AV5" s="524"/>
      <c r="AW5" s="524"/>
      <c r="AX5" s="524"/>
      <c r="AY5" s="524"/>
      <c r="AZ5" s="524"/>
      <c r="BA5" s="524"/>
      <c r="BB5" s="524"/>
      <c r="BC5" s="524"/>
      <c r="BD5" s="524"/>
      <c r="BE5" s="524"/>
      <c r="BF5" s="524"/>
      <c r="BG5" s="524"/>
      <c r="BH5" s="524"/>
      <c r="BI5" s="524"/>
      <c r="BJ5" s="524"/>
      <c r="BK5" s="524"/>
      <c r="BL5" s="524"/>
      <c r="BM5" s="524"/>
      <c r="BN5" s="524"/>
      <c r="BO5" s="524"/>
      <c r="BP5" s="524"/>
      <c r="BQ5" s="524"/>
      <c r="BR5" s="524"/>
      <c r="BS5" s="524"/>
      <c r="BT5" s="524"/>
      <c r="BU5" s="524"/>
      <c r="BV5" s="524"/>
      <c r="BW5" s="524"/>
      <c r="BX5" s="524"/>
      <c r="BY5" s="524"/>
      <c r="BZ5" s="524"/>
      <c r="CA5" s="524"/>
      <c r="CB5" s="524"/>
      <c r="CC5" s="331"/>
      <c r="CD5" s="331"/>
      <c r="CE5" s="331"/>
    </row>
    <row r="6" spans="1:139" s="2" customFormat="1" ht="4.5" customHeight="1" x14ac:dyDescent="0.15">
      <c r="A6" s="1"/>
      <c r="B6" s="1"/>
      <c r="F6" s="5"/>
      <c r="G6" s="6"/>
      <c r="H6" s="6"/>
      <c r="I6" s="550" t="s">
        <v>69</v>
      </c>
      <c r="J6" s="550"/>
      <c r="K6" s="550"/>
      <c r="L6" s="550"/>
      <c r="M6" s="550"/>
      <c r="N6" s="550"/>
      <c r="O6" s="550"/>
      <c r="P6" s="550"/>
      <c r="Q6" s="550"/>
      <c r="R6" s="550"/>
      <c r="S6" s="550"/>
      <c r="T6" s="550"/>
      <c r="U6" s="550"/>
      <c r="V6" s="550"/>
      <c r="W6" s="550"/>
      <c r="X6" s="550"/>
      <c r="Y6" s="550"/>
      <c r="Z6" s="550"/>
      <c r="AA6" s="550"/>
      <c r="AB6" s="550"/>
      <c r="AC6" s="550"/>
      <c r="AD6" s="513" t="s">
        <v>338</v>
      </c>
      <c r="AE6" s="514"/>
      <c r="AF6" s="514"/>
      <c r="AG6" s="514"/>
      <c r="AH6" s="514"/>
      <c r="AI6" s="514"/>
      <c r="AJ6" s="514"/>
      <c r="AK6" s="514"/>
      <c r="AL6" s="514"/>
      <c r="AM6" s="514"/>
      <c r="AN6" s="332"/>
      <c r="AO6" s="332"/>
      <c r="AP6" s="332"/>
      <c r="AQ6" s="332"/>
      <c r="AR6" s="332"/>
      <c r="AS6" s="333"/>
      <c r="AT6" s="333"/>
      <c r="AU6" s="333"/>
      <c r="AV6" s="333"/>
      <c r="AW6" s="333"/>
      <c r="AX6" s="333"/>
      <c r="AY6" s="333"/>
      <c r="AZ6" s="334"/>
      <c r="BA6" s="331"/>
      <c r="BB6" s="331"/>
      <c r="BC6" s="331"/>
      <c r="BD6" s="331"/>
      <c r="BE6" s="331"/>
      <c r="BF6" s="331"/>
      <c r="BG6" s="331"/>
      <c r="BH6" s="331"/>
      <c r="BI6" s="331"/>
      <c r="BJ6" s="331"/>
      <c r="BK6" s="331"/>
      <c r="BL6" s="331"/>
      <c r="BM6" s="331"/>
      <c r="BN6" s="331"/>
      <c r="BO6" s="331"/>
      <c r="BP6" s="331"/>
      <c r="BQ6" s="331"/>
      <c r="BR6" s="331"/>
      <c r="BS6" s="331"/>
      <c r="BT6" s="331"/>
      <c r="BU6" s="331"/>
      <c r="BV6" s="331"/>
      <c r="BW6" s="331"/>
      <c r="BX6" s="331"/>
      <c r="BY6" s="331"/>
      <c r="BZ6" s="331"/>
      <c r="CA6" s="331"/>
      <c r="CB6" s="331"/>
      <c r="CC6" s="331"/>
      <c r="CD6" s="331"/>
      <c r="CE6" s="331"/>
    </row>
    <row r="7" spans="1:139" s="2" customFormat="1" ht="4.5" customHeight="1" x14ac:dyDescent="0.2">
      <c r="A7" s="1"/>
      <c r="B7" s="1"/>
      <c r="F7" s="6"/>
      <c r="G7" s="6"/>
      <c r="H7" s="6"/>
      <c r="I7" s="550"/>
      <c r="J7" s="550"/>
      <c r="K7" s="550"/>
      <c r="L7" s="550"/>
      <c r="M7" s="550"/>
      <c r="N7" s="550"/>
      <c r="O7" s="550"/>
      <c r="P7" s="550"/>
      <c r="Q7" s="550"/>
      <c r="R7" s="550"/>
      <c r="S7" s="550"/>
      <c r="T7" s="550"/>
      <c r="U7" s="550"/>
      <c r="V7" s="550"/>
      <c r="W7" s="550"/>
      <c r="X7" s="550"/>
      <c r="Y7" s="550"/>
      <c r="Z7" s="550"/>
      <c r="AA7" s="550"/>
      <c r="AB7" s="550"/>
      <c r="AC7" s="550"/>
      <c r="AD7" s="514"/>
      <c r="AE7" s="514"/>
      <c r="AF7" s="514"/>
      <c r="AG7" s="514"/>
      <c r="AH7" s="514"/>
      <c r="AI7" s="514"/>
      <c r="AJ7" s="514"/>
      <c r="AK7" s="514"/>
      <c r="AL7" s="514"/>
      <c r="AM7" s="514"/>
      <c r="AN7" s="332"/>
      <c r="AO7" s="332"/>
      <c r="AP7" s="332"/>
      <c r="AQ7" s="332"/>
      <c r="AR7" s="332"/>
      <c r="AS7" s="333"/>
      <c r="AT7" s="333"/>
      <c r="AU7" s="333"/>
      <c r="AV7" s="333"/>
      <c r="AW7" s="333"/>
      <c r="AX7" s="333"/>
      <c r="AY7" s="333"/>
      <c r="AZ7" s="333"/>
      <c r="BA7" s="335"/>
      <c r="BB7" s="335"/>
      <c r="BC7" s="335"/>
      <c r="BD7" s="335"/>
      <c r="BE7" s="336"/>
      <c r="BF7" s="335"/>
      <c r="BG7" s="335"/>
      <c r="BH7" s="335"/>
      <c r="BI7" s="335"/>
      <c r="BJ7" s="335"/>
      <c r="BK7" s="335"/>
      <c r="BL7" s="335"/>
      <c r="BM7" s="335"/>
      <c r="BN7" s="335"/>
      <c r="BO7" s="335"/>
      <c r="BP7" s="335"/>
      <c r="BQ7" s="335"/>
      <c r="BR7" s="335"/>
      <c r="BS7" s="335"/>
      <c r="BT7" s="335"/>
      <c r="BU7" s="335"/>
      <c r="BV7" s="335"/>
      <c r="BW7" s="335"/>
      <c r="BX7" s="335"/>
      <c r="BY7" s="335"/>
      <c r="BZ7" s="335"/>
      <c r="CA7" s="335"/>
      <c r="CB7" s="335"/>
      <c r="CC7" s="335"/>
      <c r="CD7" s="335"/>
      <c r="CE7" s="335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</row>
    <row r="8" spans="1:139" s="2" customFormat="1" ht="4.5" customHeight="1" x14ac:dyDescent="0.15">
      <c r="A8" s="1"/>
      <c r="B8" s="1"/>
      <c r="F8" s="8"/>
      <c r="G8" s="8"/>
      <c r="H8" s="7"/>
      <c r="I8" s="550" t="s">
        <v>70</v>
      </c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13" t="s">
        <v>339</v>
      </c>
      <c r="AE8" s="514"/>
      <c r="AF8" s="514"/>
      <c r="AG8" s="514"/>
      <c r="AH8" s="514"/>
      <c r="AI8" s="514"/>
      <c r="AJ8" s="514"/>
      <c r="AK8" s="514"/>
      <c r="AL8" s="514"/>
      <c r="AM8" s="514"/>
      <c r="AN8" s="335"/>
      <c r="AO8" s="335"/>
      <c r="AP8" s="335"/>
      <c r="AQ8" s="335"/>
      <c r="AR8" s="335"/>
      <c r="AS8" s="335"/>
      <c r="AT8" s="335"/>
      <c r="AU8" s="335"/>
      <c r="AV8" s="335"/>
      <c r="AW8" s="335"/>
      <c r="AX8" s="335"/>
      <c r="AY8" s="335"/>
      <c r="AZ8" s="337"/>
      <c r="BA8" s="335"/>
      <c r="BB8" s="335"/>
      <c r="BC8" s="335"/>
      <c r="BD8" s="335"/>
      <c r="BE8" s="335"/>
      <c r="BF8" s="335"/>
      <c r="BG8" s="335"/>
      <c r="BH8" s="335"/>
      <c r="BI8" s="335"/>
      <c r="BJ8" s="335"/>
      <c r="BK8" s="335"/>
      <c r="BL8" s="335"/>
      <c r="BM8" s="335"/>
      <c r="BN8" s="335"/>
      <c r="BO8" s="335"/>
      <c r="BP8" s="335"/>
      <c r="BQ8" s="335"/>
      <c r="BR8" s="335"/>
      <c r="BS8" s="335"/>
      <c r="BT8" s="335"/>
      <c r="BU8" s="335"/>
      <c r="BV8" s="335"/>
      <c r="BW8" s="335"/>
      <c r="BX8" s="335"/>
      <c r="BY8" s="335"/>
      <c r="BZ8" s="335"/>
      <c r="CA8" s="335"/>
      <c r="CB8" s="335"/>
      <c r="CC8" s="335"/>
      <c r="CD8" s="335"/>
      <c r="CE8" s="335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</row>
    <row r="9" spans="1:139" s="2" customFormat="1" ht="4.5" customHeight="1" x14ac:dyDescent="0.15">
      <c r="A9" s="1"/>
      <c r="B9" s="1"/>
      <c r="F9" s="8"/>
      <c r="G9" s="8"/>
      <c r="H9" s="7"/>
      <c r="I9" s="550"/>
      <c r="J9" s="550"/>
      <c r="K9" s="550"/>
      <c r="L9" s="550"/>
      <c r="M9" s="550"/>
      <c r="N9" s="550"/>
      <c r="O9" s="550"/>
      <c r="P9" s="550"/>
      <c r="Q9" s="550"/>
      <c r="R9" s="550"/>
      <c r="S9" s="550"/>
      <c r="T9" s="550"/>
      <c r="U9" s="550"/>
      <c r="V9" s="550"/>
      <c r="W9" s="550"/>
      <c r="X9" s="550"/>
      <c r="Y9" s="550"/>
      <c r="Z9" s="550"/>
      <c r="AA9" s="550"/>
      <c r="AB9" s="550"/>
      <c r="AC9" s="550"/>
      <c r="AD9" s="514"/>
      <c r="AE9" s="514"/>
      <c r="AF9" s="514"/>
      <c r="AG9" s="514"/>
      <c r="AH9" s="514"/>
      <c r="AI9" s="514"/>
      <c r="AJ9" s="514"/>
      <c r="AK9" s="514"/>
      <c r="AL9" s="514"/>
      <c r="AM9" s="514"/>
      <c r="AN9" s="335"/>
      <c r="AO9" s="335"/>
      <c r="AP9" s="335"/>
      <c r="AQ9" s="335"/>
      <c r="AR9" s="335"/>
      <c r="AS9" s="335"/>
      <c r="AT9" s="335"/>
      <c r="AU9" s="335"/>
      <c r="AV9" s="335"/>
      <c r="AW9" s="335"/>
      <c r="AX9" s="335"/>
      <c r="AY9" s="335"/>
      <c r="AZ9" s="337"/>
      <c r="BA9" s="335"/>
      <c r="BB9" s="335"/>
      <c r="BC9" s="335"/>
      <c r="BD9" s="335"/>
      <c r="BE9" s="335"/>
      <c r="BF9" s="335"/>
      <c r="BG9" s="335"/>
      <c r="BH9" s="335"/>
      <c r="BI9" s="335"/>
      <c r="BJ9" s="335"/>
      <c r="BK9" s="335"/>
      <c r="BL9" s="335"/>
      <c r="BM9" s="335"/>
      <c r="BN9" s="335"/>
      <c r="BO9" s="335"/>
      <c r="BP9" s="335"/>
      <c r="BQ9" s="335"/>
      <c r="BR9" s="335"/>
      <c r="BS9" s="335"/>
      <c r="BT9" s="335"/>
      <c r="BU9" s="335"/>
      <c r="BV9" s="335"/>
      <c r="BW9" s="335"/>
      <c r="BX9" s="335"/>
      <c r="BY9" s="335"/>
      <c r="BZ9" s="335"/>
      <c r="CA9" s="335"/>
      <c r="CB9" s="335"/>
      <c r="CC9" s="335"/>
      <c r="CD9" s="335"/>
      <c r="CE9" s="335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</row>
    <row r="10" spans="1:139" s="2" customFormat="1" ht="4.5" customHeight="1" x14ac:dyDescent="0.15">
      <c r="A10" s="1"/>
      <c r="B10" s="1"/>
      <c r="F10" s="8"/>
      <c r="G10" s="8"/>
      <c r="H10" s="7"/>
      <c r="I10" s="550" t="s">
        <v>71</v>
      </c>
      <c r="J10" s="550"/>
      <c r="K10" s="550"/>
      <c r="L10" s="550"/>
      <c r="M10" s="550"/>
      <c r="N10" s="550"/>
      <c r="O10" s="550"/>
      <c r="P10" s="550"/>
      <c r="Q10" s="550"/>
      <c r="R10" s="550"/>
      <c r="S10" s="550"/>
      <c r="T10" s="550"/>
      <c r="U10" s="550"/>
      <c r="V10" s="550"/>
      <c r="W10" s="550"/>
      <c r="X10" s="550"/>
      <c r="Y10" s="550"/>
      <c r="Z10" s="550"/>
      <c r="AA10" s="550"/>
      <c r="AB10" s="550"/>
      <c r="AC10" s="550"/>
      <c r="AD10" s="513" t="s">
        <v>340</v>
      </c>
      <c r="AE10" s="514"/>
      <c r="AF10" s="514"/>
      <c r="AG10" s="514"/>
      <c r="AH10" s="514"/>
      <c r="AI10" s="514"/>
      <c r="AJ10" s="514"/>
      <c r="AK10" s="514"/>
      <c r="AL10" s="514"/>
      <c r="AM10" s="514"/>
      <c r="AN10" s="335"/>
      <c r="AO10" s="335"/>
      <c r="AP10" s="335"/>
      <c r="AQ10" s="335"/>
      <c r="AR10" s="335"/>
      <c r="AS10" s="335"/>
      <c r="AT10" s="335"/>
      <c r="AU10" s="335"/>
      <c r="AV10" s="335"/>
      <c r="AW10" s="335"/>
      <c r="AX10" s="335"/>
      <c r="AY10" s="335"/>
      <c r="AZ10" s="337"/>
      <c r="BA10" s="335"/>
      <c r="BB10" s="335"/>
      <c r="BC10" s="335"/>
      <c r="BD10" s="335"/>
      <c r="BE10" s="335"/>
      <c r="BF10" s="335"/>
      <c r="BG10" s="335"/>
      <c r="BH10" s="335"/>
      <c r="BI10" s="335"/>
      <c r="BJ10" s="335"/>
      <c r="BK10" s="335"/>
      <c r="BL10" s="335"/>
      <c r="BM10" s="335"/>
      <c r="BN10" s="335"/>
      <c r="BO10" s="335"/>
      <c r="BP10" s="335"/>
      <c r="BQ10" s="335"/>
      <c r="BR10" s="335"/>
      <c r="BS10" s="335"/>
      <c r="BT10" s="335"/>
      <c r="BU10" s="335"/>
      <c r="BV10" s="335"/>
      <c r="BW10" s="335"/>
      <c r="BX10" s="335"/>
      <c r="BY10" s="335"/>
      <c r="BZ10" s="335"/>
      <c r="CA10" s="335"/>
      <c r="CB10" s="335"/>
      <c r="CC10" s="335"/>
      <c r="CD10" s="335"/>
      <c r="CE10" s="335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</row>
    <row r="11" spans="1:139" ht="4.5" customHeight="1" x14ac:dyDescent="0.15">
      <c r="A11" s="1"/>
      <c r="B11" s="1"/>
      <c r="C11" s="2"/>
      <c r="D11" s="2"/>
      <c r="E11" s="2"/>
      <c r="F11" s="8"/>
      <c r="G11" s="8"/>
      <c r="H11" s="7"/>
      <c r="I11" s="550"/>
      <c r="J11" s="550"/>
      <c r="K11" s="550"/>
      <c r="L11" s="550"/>
      <c r="M11" s="550"/>
      <c r="N11" s="550"/>
      <c r="O11" s="550"/>
      <c r="P11" s="550"/>
      <c r="Q11" s="550"/>
      <c r="R11" s="550"/>
      <c r="S11" s="550"/>
      <c r="T11" s="550"/>
      <c r="U11" s="550"/>
      <c r="V11" s="550"/>
      <c r="W11" s="550"/>
      <c r="X11" s="550"/>
      <c r="Y11" s="550"/>
      <c r="Z11" s="550"/>
      <c r="AA11" s="550"/>
      <c r="AB11" s="550"/>
      <c r="AC11" s="550"/>
      <c r="AD11" s="514"/>
      <c r="AE11" s="514"/>
      <c r="AF11" s="514"/>
      <c r="AG11" s="514"/>
      <c r="AH11" s="514"/>
      <c r="AI11" s="514"/>
      <c r="AJ11" s="514"/>
      <c r="AK11" s="514"/>
      <c r="AL11" s="514"/>
      <c r="AM11" s="514"/>
      <c r="AN11" s="338"/>
      <c r="AO11" s="338"/>
      <c r="AP11" s="338"/>
      <c r="AQ11" s="338"/>
      <c r="AR11" s="338"/>
      <c r="AS11" s="338"/>
      <c r="AT11" s="338"/>
      <c r="AU11" s="338"/>
      <c r="AV11" s="338"/>
      <c r="AW11" s="338"/>
      <c r="AX11" s="338"/>
      <c r="AY11" s="338"/>
      <c r="AZ11" s="338"/>
      <c r="BA11" s="338"/>
      <c r="BB11" s="338"/>
      <c r="BC11" s="338"/>
      <c r="BD11" s="338"/>
      <c r="BE11" s="338"/>
      <c r="BF11" s="338"/>
      <c r="BG11" s="338"/>
      <c r="BH11" s="338"/>
      <c r="BI11" s="338"/>
      <c r="BJ11" s="338"/>
      <c r="BK11" s="338"/>
      <c r="BL11" s="338"/>
      <c r="BM11" s="338"/>
      <c r="BN11" s="338"/>
      <c r="BO11" s="338"/>
      <c r="BP11" s="338"/>
      <c r="BQ11" s="338"/>
      <c r="BR11" s="338"/>
      <c r="BS11" s="338"/>
      <c r="BT11" s="338"/>
      <c r="BU11" s="338"/>
      <c r="BV11" s="338"/>
      <c r="BW11" s="338"/>
      <c r="BX11" s="338"/>
      <c r="BY11" s="338"/>
      <c r="BZ11" s="338"/>
      <c r="CA11" s="338"/>
      <c r="CB11" s="338"/>
      <c r="CC11" s="338"/>
      <c r="CD11" s="338"/>
      <c r="CE11" s="338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7"/>
      <c r="DP11" s="10"/>
      <c r="DQ11" s="10"/>
      <c r="DR11" s="10"/>
      <c r="DS11" s="10"/>
      <c r="DT11" s="10"/>
      <c r="DU11" s="7"/>
      <c r="DV11" s="10"/>
      <c r="DW11" s="10"/>
      <c r="DX11" s="11"/>
      <c r="DY11" s="11"/>
      <c r="DZ11" s="2"/>
      <c r="EA11" s="2"/>
      <c r="EB11" s="2"/>
      <c r="EC11" s="2"/>
      <c r="ED11" s="2"/>
      <c r="EE11" s="2"/>
      <c r="EF11" s="2"/>
      <c r="EG11" s="2"/>
      <c r="EH11" s="2"/>
      <c r="EI11" s="2"/>
    </row>
    <row r="12" spans="1:139" ht="4.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288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234"/>
      <c r="Z12" s="17"/>
      <c r="AA12" s="234"/>
      <c r="AB12" s="234"/>
      <c r="AC12" s="234"/>
      <c r="AD12" s="234"/>
      <c r="AE12" s="234"/>
      <c r="AF12" s="17"/>
      <c r="AG12" s="17"/>
      <c r="AH12" s="234"/>
      <c r="AI12" s="234"/>
      <c r="AJ12" s="234"/>
      <c r="AK12" s="234"/>
      <c r="AL12" s="234"/>
      <c r="AM12" s="234"/>
      <c r="AN12" s="234"/>
      <c r="AO12" s="234"/>
      <c r="AP12" s="234"/>
      <c r="AQ12" s="234"/>
      <c r="AR12" s="234"/>
      <c r="AS12" s="235"/>
      <c r="AT12" s="236"/>
      <c r="AU12" s="237"/>
      <c r="AV12" s="237"/>
      <c r="AW12" s="237"/>
      <c r="AX12" s="237"/>
      <c r="AY12" s="237"/>
      <c r="AZ12" s="237"/>
      <c r="BA12" s="237"/>
      <c r="BB12" s="237"/>
      <c r="BC12" s="237"/>
      <c r="BD12" s="237"/>
      <c r="BE12" s="237"/>
      <c r="BF12" s="237"/>
      <c r="BG12" s="237"/>
      <c r="BH12" s="237"/>
      <c r="BI12" s="237"/>
      <c r="BJ12" s="237"/>
      <c r="BK12" s="237"/>
      <c r="BL12" s="237"/>
      <c r="BM12" s="237"/>
      <c r="BN12" s="237"/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237"/>
      <c r="BZ12" s="237"/>
      <c r="CA12" s="237"/>
      <c r="CB12" s="237"/>
      <c r="CC12" s="237"/>
      <c r="CD12" s="237"/>
      <c r="CE12" s="237"/>
      <c r="CF12" s="237"/>
      <c r="CG12" s="234"/>
      <c r="CH12" s="234"/>
      <c r="CI12" s="234"/>
      <c r="CJ12" s="234"/>
      <c r="CK12" s="234"/>
      <c r="CL12" s="234"/>
      <c r="CM12" s="234"/>
      <c r="CN12" s="234"/>
      <c r="CO12" s="234"/>
      <c r="CP12" s="234"/>
      <c r="CQ12" s="234"/>
      <c r="CR12" s="234"/>
      <c r="CS12" s="234"/>
      <c r="CT12" s="234"/>
      <c r="CU12" s="234"/>
      <c r="CV12" s="234"/>
      <c r="CW12" s="234"/>
      <c r="CX12" s="234"/>
      <c r="CY12" s="234"/>
      <c r="CZ12" s="234"/>
      <c r="DA12" s="234"/>
      <c r="DB12" s="234"/>
      <c r="DC12" s="234"/>
      <c r="DD12" s="234"/>
      <c r="DE12" s="234"/>
      <c r="DF12" s="234"/>
      <c r="DG12" s="234"/>
      <c r="DH12" s="234"/>
      <c r="DI12" s="234"/>
      <c r="DJ12" s="234"/>
      <c r="DK12" s="234"/>
      <c r="DL12" s="234"/>
      <c r="DM12" s="234"/>
      <c r="DN12" s="234"/>
      <c r="DO12" s="234"/>
      <c r="DP12" s="238"/>
      <c r="DQ12" s="234"/>
      <c r="DR12" s="234"/>
      <c r="DS12" s="234"/>
      <c r="DT12" s="234"/>
      <c r="DU12" s="238"/>
      <c r="DV12" s="234"/>
      <c r="DW12" s="234"/>
      <c r="DX12" s="270"/>
      <c r="DY12" s="12"/>
      <c r="DZ12" s="2"/>
      <c r="EA12" s="2"/>
      <c r="EB12" s="2"/>
      <c r="EC12" s="2"/>
      <c r="ED12" s="2"/>
      <c r="EE12" s="2"/>
      <c r="EF12" s="2"/>
      <c r="EG12" s="2"/>
      <c r="EH12" s="2"/>
      <c r="EI12" s="2"/>
    </row>
    <row r="13" spans="1:139" ht="4.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171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22"/>
      <c r="AA13" s="53"/>
      <c r="AB13" s="53"/>
      <c r="AC13" s="53"/>
      <c r="AD13" s="53"/>
      <c r="AE13" s="53"/>
      <c r="AF13" s="22"/>
      <c r="AG13" s="22"/>
      <c r="AH13" s="53"/>
      <c r="AI13" s="171"/>
      <c r="AJ13" s="533" t="s">
        <v>130</v>
      </c>
      <c r="AK13" s="533"/>
      <c r="AL13" s="533"/>
      <c r="AM13" s="533"/>
      <c r="AN13" s="533"/>
      <c r="AO13" s="533"/>
      <c r="AP13" s="533"/>
      <c r="AQ13" s="533"/>
      <c r="AR13" s="533"/>
      <c r="AS13" s="533"/>
      <c r="AT13" s="533"/>
      <c r="AU13" s="533"/>
      <c r="AV13" s="533"/>
      <c r="AW13" s="533"/>
      <c r="AX13" s="533"/>
      <c r="AY13" s="533"/>
      <c r="AZ13" s="533"/>
      <c r="BA13" s="533"/>
      <c r="BB13" s="533"/>
      <c r="BC13" s="533"/>
      <c r="BD13" s="533"/>
      <c r="BE13" s="533"/>
      <c r="BF13" s="533"/>
      <c r="BG13" s="533"/>
      <c r="BH13" s="533"/>
      <c r="BI13" s="533"/>
      <c r="BJ13" s="533"/>
      <c r="BK13" s="533"/>
      <c r="BL13" s="533"/>
      <c r="BM13" s="330"/>
      <c r="BN13" s="330"/>
      <c r="BO13" s="330"/>
      <c r="BP13" s="330"/>
      <c r="BQ13" s="330"/>
      <c r="BR13" s="330"/>
      <c r="BS13" s="330"/>
      <c r="BT13" s="330"/>
      <c r="BU13" s="330"/>
      <c r="BV13" s="330"/>
      <c r="BW13" s="561" t="s">
        <v>346</v>
      </c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32" t="s">
        <v>1</v>
      </c>
      <c r="CV13" s="532"/>
      <c r="CW13" s="532"/>
      <c r="CX13" s="532"/>
      <c r="CY13" s="532"/>
      <c r="CZ13" s="532"/>
      <c r="DA13" s="532"/>
      <c r="DB13" s="532"/>
      <c r="DC13" s="532"/>
      <c r="DD13" s="532"/>
      <c r="DE13" s="532"/>
      <c r="DF13" s="532"/>
      <c r="DG13" s="532"/>
      <c r="DH13" s="532"/>
      <c r="DI13" s="532"/>
      <c r="DJ13" s="532"/>
      <c r="DK13" s="532"/>
      <c r="DL13" s="532"/>
      <c r="DM13" s="532"/>
      <c r="DN13" s="53"/>
      <c r="DO13" s="53"/>
      <c r="DP13" s="271"/>
      <c r="DQ13" s="53"/>
      <c r="DR13" s="53"/>
      <c r="DS13" s="167"/>
      <c r="DT13" s="53"/>
      <c r="DU13" s="271"/>
      <c r="DV13" s="53"/>
      <c r="DW13" s="53"/>
      <c r="DX13" s="173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</row>
    <row r="14" spans="1:139" ht="4.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171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22"/>
      <c r="AA14" s="53"/>
      <c r="AB14" s="53"/>
      <c r="AC14" s="53"/>
      <c r="AD14" s="53"/>
      <c r="AE14" s="53"/>
      <c r="AF14" s="22"/>
      <c r="AG14" s="22"/>
      <c r="AH14" s="53"/>
      <c r="AI14" s="171"/>
      <c r="AJ14" s="533"/>
      <c r="AK14" s="533"/>
      <c r="AL14" s="533"/>
      <c r="AM14" s="533"/>
      <c r="AN14" s="533"/>
      <c r="AO14" s="533"/>
      <c r="AP14" s="533"/>
      <c r="AQ14" s="533"/>
      <c r="AR14" s="533"/>
      <c r="AS14" s="533"/>
      <c r="AT14" s="533"/>
      <c r="AU14" s="533"/>
      <c r="AV14" s="533"/>
      <c r="AW14" s="533"/>
      <c r="AX14" s="533"/>
      <c r="AY14" s="533"/>
      <c r="AZ14" s="533"/>
      <c r="BA14" s="533"/>
      <c r="BB14" s="533"/>
      <c r="BC14" s="533"/>
      <c r="BD14" s="533"/>
      <c r="BE14" s="533"/>
      <c r="BF14" s="533"/>
      <c r="BG14" s="533"/>
      <c r="BH14" s="533"/>
      <c r="BI14" s="533"/>
      <c r="BJ14" s="533"/>
      <c r="BK14" s="533"/>
      <c r="BL14" s="533"/>
      <c r="BM14" s="330"/>
      <c r="BN14" s="330"/>
      <c r="BO14" s="330"/>
      <c r="BP14" s="330"/>
      <c r="BQ14" s="330"/>
      <c r="BR14" s="330"/>
      <c r="BS14" s="330"/>
      <c r="BT14" s="330"/>
      <c r="BU14" s="330"/>
      <c r="BV14" s="330"/>
      <c r="BW14" s="561"/>
      <c r="BX14" s="561"/>
      <c r="BY14" s="561"/>
      <c r="BZ14" s="561"/>
      <c r="CA14" s="561"/>
      <c r="CB14" s="561"/>
      <c r="CC14" s="561"/>
      <c r="CD14" s="561"/>
      <c r="CE14" s="561"/>
      <c r="CF14" s="561"/>
      <c r="CG14" s="561"/>
      <c r="CH14" s="561"/>
      <c r="CI14" s="561"/>
      <c r="CJ14" s="561"/>
      <c r="CK14" s="561"/>
      <c r="CL14" s="561"/>
      <c r="CM14" s="561"/>
      <c r="CN14" s="561"/>
      <c r="CO14" s="561"/>
      <c r="CP14" s="561"/>
      <c r="CQ14" s="561"/>
      <c r="CR14" s="561"/>
      <c r="CS14" s="561"/>
      <c r="CT14" s="561"/>
      <c r="CU14" s="532"/>
      <c r="CV14" s="532"/>
      <c r="CW14" s="532"/>
      <c r="CX14" s="532"/>
      <c r="CY14" s="532"/>
      <c r="CZ14" s="532"/>
      <c r="DA14" s="532"/>
      <c r="DB14" s="532"/>
      <c r="DC14" s="532"/>
      <c r="DD14" s="532"/>
      <c r="DE14" s="532"/>
      <c r="DF14" s="532"/>
      <c r="DG14" s="532"/>
      <c r="DH14" s="532"/>
      <c r="DI14" s="532"/>
      <c r="DJ14" s="532"/>
      <c r="DK14" s="532"/>
      <c r="DL14" s="532"/>
      <c r="DM14" s="532"/>
      <c r="DN14" s="53"/>
      <c r="DO14" s="53"/>
      <c r="DP14" s="271"/>
      <c r="DQ14" s="53"/>
      <c r="DR14" s="53"/>
      <c r="DS14" s="167"/>
      <c r="DT14" s="53"/>
      <c r="DU14" s="271"/>
      <c r="DV14" s="53"/>
      <c r="DW14" s="53"/>
      <c r="DX14" s="173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</row>
    <row r="15" spans="1:139" ht="4.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171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22"/>
      <c r="AA15" s="53"/>
      <c r="AB15" s="53"/>
      <c r="AC15" s="53"/>
      <c r="AD15" s="53"/>
      <c r="AE15" s="53"/>
      <c r="AF15" s="22"/>
      <c r="AG15" s="22"/>
      <c r="AH15" s="53"/>
      <c r="AI15" s="171"/>
      <c r="AJ15" s="533"/>
      <c r="AK15" s="533"/>
      <c r="AL15" s="533"/>
      <c r="AM15" s="533"/>
      <c r="AN15" s="533"/>
      <c r="AO15" s="533"/>
      <c r="AP15" s="533"/>
      <c r="AQ15" s="533"/>
      <c r="AR15" s="533"/>
      <c r="AS15" s="533"/>
      <c r="AT15" s="533"/>
      <c r="AU15" s="533"/>
      <c r="AV15" s="533"/>
      <c r="AW15" s="533"/>
      <c r="AX15" s="533"/>
      <c r="AY15" s="533"/>
      <c r="AZ15" s="533"/>
      <c r="BA15" s="533"/>
      <c r="BB15" s="533"/>
      <c r="BC15" s="533"/>
      <c r="BD15" s="533"/>
      <c r="BE15" s="533"/>
      <c r="BF15" s="533"/>
      <c r="BG15" s="533"/>
      <c r="BH15" s="533"/>
      <c r="BI15" s="533"/>
      <c r="BJ15" s="533"/>
      <c r="BK15" s="533"/>
      <c r="BL15" s="533"/>
      <c r="BM15" s="330"/>
      <c r="BN15" s="330"/>
      <c r="BO15" s="330"/>
      <c r="BP15" s="330"/>
      <c r="BQ15" s="330"/>
      <c r="BR15" s="330"/>
      <c r="BS15" s="330"/>
      <c r="BT15" s="330"/>
      <c r="BU15" s="330"/>
      <c r="BV15" s="330"/>
      <c r="BW15" s="561"/>
      <c r="BX15" s="561"/>
      <c r="BY15" s="561"/>
      <c r="BZ15" s="561"/>
      <c r="CA15" s="561"/>
      <c r="CB15" s="561"/>
      <c r="CC15" s="561"/>
      <c r="CD15" s="561"/>
      <c r="CE15" s="561"/>
      <c r="CF15" s="561"/>
      <c r="CG15" s="561"/>
      <c r="CH15" s="561"/>
      <c r="CI15" s="561"/>
      <c r="CJ15" s="561"/>
      <c r="CK15" s="561"/>
      <c r="CL15" s="561"/>
      <c r="CM15" s="561"/>
      <c r="CN15" s="561"/>
      <c r="CO15" s="561"/>
      <c r="CP15" s="561"/>
      <c r="CQ15" s="561"/>
      <c r="CR15" s="561"/>
      <c r="CS15" s="561"/>
      <c r="CT15" s="561"/>
      <c r="CU15" s="532"/>
      <c r="CV15" s="532"/>
      <c r="CW15" s="532"/>
      <c r="CX15" s="532"/>
      <c r="CY15" s="532"/>
      <c r="CZ15" s="532"/>
      <c r="DA15" s="532"/>
      <c r="DB15" s="532"/>
      <c r="DC15" s="532"/>
      <c r="DD15" s="532"/>
      <c r="DE15" s="532"/>
      <c r="DF15" s="532"/>
      <c r="DG15" s="532"/>
      <c r="DH15" s="532"/>
      <c r="DI15" s="532"/>
      <c r="DJ15" s="532"/>
      <c r="DK15" s="532"/>
      <c r="DL15" s="532"/>
      <c r="DM15" s="532"/>
      <c r="DN15" s="53"/>
      <c r="DO15" s="53"/>
      <c r="DP15" s="271"/>
      <c r="DQ15" s="53"/>
      <c r="DR15" s="53"/>
      <c r="DS15" s="167"/>
      <c r="DT15" s="53"/>
      <c r="DU15" s="271"/>
      <c r="DV15" s="53"/>
      <c r="DW15" s="53"/>
      <c r="DX15" s="173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</row>
    <row r="16" spans="1:139" ht="4.5" customHeight="1" x14ac:dyDescent="0.2">
      <c r="A16" s="28"/>
      <c r="B16" s="28"/>
      <c r="C16" s="29"/>
      <c r="D16" s="29"/>
      <c r="E16" s="29"/>
      <c r="F16" s="30"/>
      <c r="G16" s="30"/>
      <c r="H16" s="31"/>
      <c r="I16" s="31"/>
      <c r="J16" s="31"/>
      <c r="K16" s="10"/>
      <c r="L16" s="171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22"/>
      <c r="AA16" s="53"/>
      <c r="AB16" s="53"/>
      <c r="AC16" s="53"/>
      <c r="AD16" s="53"/>
      <c r="AE16" s="53"/>
      <c r="AF16" s="22"/>
      <c r="AG16" s="22"/>
      <c r="AH16" s="53"/>
      <c r="AI16" s="171"/>
      <c r="AJ16" s="533"/>
      <c r="AK16" s="533"/>
      <c r="AL16" s="533"/>
      <c r="AM16" s="533"/>
      <c r="AN16" s="533"/>
      <c r="AO16" s="533"/>
      <c r="AP16" s="533"/>
      <c r="AQ16" s="533"/>
      <c r="AR16" s="533"/>
      <c r="AS16" s="533"/>
      <c r="AT16" s="533"/>
      <c r="AU16" s="533"/>
      <c r="AV16" s="533"/>
      <c r="AW16" s="533"/>
      <c r="AX16" s="533"/>
      <c r="AY16" s="533"/>
      <c r="AZ16" s="533"/>
      <c r="BA16" s="533"/>
      <c r="BB16" s="533"/>
      <c r="BC16" s="533"/>
      <c r="BD16" s="533"/>
      <c r="BE16" s="533"/>
      <c r="BF16" s="533"/>
      <c r="BG16" s="533"/>
      <c r="BH16" s="533"/>
      <c r="BI16" s="533"/>
      <c r="BJ16" s="533"/>
      <c r="BK16" s="533"/>
      <c r="BL16" s="533"/>
      <c r="BM16" s="330"/>
      <c r="BN16" s="330"/>
      <c r="BO16" s="330"/>
      <c r="BP16" s="330"/>
      <c r="BQ16" s="330"/>
      <c r="BR16" s="330"/>
      <c r="BS16" s="330"/>
      <c r="BT16" s="330"/>
      <c r="BU16" s="330"/>
      <c r="BV16" s="330"/>
      <c r="BW16" s="561"/>
      <c r="BX16" s="561"/>
      <c r="BY16" s="561"/>
      <c r="BZ16" s="561"/>
      <c r="CA16" s="561"/>
      <c r="CB16" s="561"/>
      <c r="CC16" s="561"/>
      <c r="CD16" s="561"/>
      <c r="CE16" s="561"/>
      <c r="CF16" s="561"/>
      <c r="CG16" s="561"/>
      <c r="CH16" s="561"/>
      <c r="CI16" s="561"/>
      <c r="CJ16" s="561"/>
      <c r="CK16" s="561"/>
      <c r="CL16" s="561"/>
      <c r="CM16" s="561"/>
      <c r="CN16" s="561"/>
      <c r="CO16" s="561"/>
      <c r="CP16" s="561"/>
      <c r="CQ16" s="561"/>
      <c r="CR16" s="561"/>
      <c r="CS16" s="561"/>
      <c r="CT16" s="561"/>
      <c r="CU16" s="548" t="str">
        <f>+CF28</f>
        <v xml:space="preserve"> Schalung, SA-024-2-Wege</v>
      </c>
      <c r="CV16" s="548"/>
      <c r="CW16" s="548"/>
      <c r="CX16" s="548"/>
      <c r="CY16" s="548"/>
      <c r="CZ16" s="548"/>
      <c r="DA16" s="548"/>
      <c r="DB16" s="548"/>
      <c r="DC16" s="548"/>
      <c r="DD16" s="548"/>
      <c r="DE16" s="548"/>
      <c r="DF16" s="548"/>
      <c r="DG16" s="548"/>
      <c r="DH16" s="548"/>
      <c r="DI16" s="548"/>
      <c r="DJ16" s="548"/>
      <c r="DK16" s="548"/>
      <c r="DL16" s="548"/>
      <c r="DM16" s="548"/>
      <c r="DN16" s="53"/>
      <c r="DO16" s="53"/>
      <c r="DP16" s="271"/>
      <c r="DQ16" s="53"/>
      <c r="DR16" s="53"/>
      <c r="DS16" s="167"/>
      <c r="DT16" s="53"/>
      <c r="DU16" s="271"/>
      <c r="DV16" s="53"/>
      <c r="DW16" s="53"/>
      <c r="DX16" s="53"/>
      <c r="DY16" s="189"/>
      <c r="DZ16" s="2"/>
      <c r="EA16" s="2"/>
      <c r="EB16" s="2"/>
      <c r="EC16" s="2"/>
      <c r="ED16" s="2"/>
      <c r="EE16" s="2"/>
      <c r="EF16" s="2"/>
      <c r="EG16" s="2"/>
      <c r="EH16" s="2"/>
      <c r="EI16" s="2"/>
    </row>
    <row r="17" spans="1:139" ht="4.5" customHeight="1" x14ac:dyDescent="0.2">
      <c r="A17" s="28"/>
      <c r="B17" s="28"/>
      <c r="C17" s="29"/>
      <c r="D17" s="29"/>
      <c r="E17" s="29"/>
      <c r="F17" s="30"/>
      <c r="G17" s="30"/>
      <c r="H17" s="31"/>
      <c r="I17" s="31"/>
      <c r="J17" s="31"/>
      <c r="K17" s="10"/>
      <c r="L17" s="171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22"/>
      <c r="AA17" s="53"/>
      <c r="AB17" s="53"/>
      <c r="AC17" s="53"/>
      <c r="AD17" s="53"/>
      <c r="AE17" s="53"/>
      <c r="AF17" s="22"/>
      <c r="AG17" s="22"/>
      <c r="AH17" s="53"/>
      <c r="AI17" s="171"/>
      <c r="AJ17" s="533"/>
      <c r="AK17" s="533"/>
      <c r="AL17" s="533"/>
      <c r="AM17" s="533"/>
      <c r="AN17" s="533"/>
      <c r="AO17" s="533"/>
      <c r="AP17" s="533"/>
      <c r="AQ17" s="533"/>
      <c r="AR17" s="533"/>
      <c r="AS17" s="533"/>
      <c r="AT17" s="533"/>
      <c r="AU17" s="533"/>
      <c r="AV17" s="533"/>
      <c r="AW17" s="533"/>
      <c r="AX17" s="533"/>
      <c r="AY17" s="533"/>
      <c r="AZ17" s="533"/>
      <c r="BA17" s="533"/>
      <c r="BB17" s="533"/>
      <c r="BC17" s="533"/>
      <c r="BD17" s="533"/>
      <c r="BE17" s="533"/>
      <c r="BF17" s="533"/>
      <c r="BG17" s="533"/>
      <c r="BH17" s="533"/>
      <c r="BI17" s="533"/>
      <c r="BJ17" s="533"/>
      <c r="BK17" s="533"/>
      <c r="BL17" s="533"/>
      <c r="BM17" s="330"/>
      <c r="BN17" s="330"/>
      <c r="BO17" s="330"/>
      <c r="BP17" s="330"/>
      <c r="BQ17" s="330"/>
      <c r="BR17" s="330"/>
      <c r="BS17" s="330"/>
      <c r="BT17" s="330"/>
      <c r="BU17" s="330"/>
      <c r="BV17" s="330"/>
      <c r="BW17" s="561"/>
      <c r="BX17" s="561"/>
      <c r="BY17" s="561"/>
      <c r="BZ17" s="561"/>
      <c r="CA17" s="561"/>
      <c r="CB17" s="561"/>
      <c r="CC17" s="561"/>
      <c r="CD17" s="561"/>
      <c r="CE17" s="561"/>
      <c r="CF17" s="561"/>
      <c r="CG17" s="561"/>
      <c r="CH17" s="561"/>
      <c r="CI17" s="561"/>
      <c r="CJ17" s="561"/>
      <c r="CK17" s="561"/>
      <c r="CL17" s="561"/>
      <c r="CM17" s="561"/>
      <c r="CN17" s="561"/>
      <c r="CO17" s="561"/>
      <c r="CP17" s="561"/>
      <c r="CQ17" s="561"/>
      <c r="CR17" s="561"/>
      <c r="CS17" s="561"/>
      <c r="CT17" s="561"/>
      <c r="CU17" s="548"/>
      <c r="CV17" s="548"/>
      <c r="CW17" s="548"/>
      <c r="CX17" s="548"/>
      <c r="CY17" s="548"/>
      <c r="CZ17" s="548"/>
      <c r="DA17" s="548"/>
      <c r="DB17" s="548"/>
      <c r="DC17" s="548"/>
      <c r="DD17" s="548"/>
      <c r="DE17" s="548"/>
      <c r="DF17" s="548"/>
      <c r="DG17" s="548"/>
      <c r="DH17" s="548"/>
      <c r="DI17" s="548"/>
      <c r="DJ17" s="548"/>
      <c r="DK17" s="548"/>
      <c r="DL17" s="548"/>
      <c r="DM17" s="548"/>
      <c r="DN17" s="53"/>
      <c r="DO17" s="53"/>
      <c r="DP17" s="271"/>
      <c r="DQ17" s="53"/>
      <c r="DR17" s="53"/>
      <c r="DS17" s="167"/>
      <c r="DT17" s="53"/>
      <c r="DU17" s="271"/>
      <c r="DV17" s="53"/>
      <c r="DW17" s="53"/>
      <c r="DX17" s="53"/>
      <c r="DY17" s="189"/>
      <c r="DZ17" s="2"/>
      <c r="EA17" s="2"/>
      <c r="EB17" s="2"/>
      <c r="EC17" s="2"/>
      <c r="ED17" s="2"/>
      <c r="EE17" s="2"/>
      <c r="EF17" s="2"/>
      <c r="EG17" s="2"/>
      <c r="EH17" s="2"/>
      <c r="EI17" s="2"/>
    </row>
    <row r="18" spans="1:139" ht="4.5" customHeight="1" x14ac:dyDescent="0.2">
      <c r="A18" s="28"/>
      <c r="B18" s="28"/>
      <c r="C18" s="29"/>
      <c r="D18" s="29"/>
      <c r="E18" s="29"/>
      <c r="F18" s="30"/>
      <c r="G18" s="30"/>
      <c r="H18" s="31"/>
      <c r="I18" s="31"/>
      <c r="J18" s="31"/>
      <c r="K18" s="10"/>
      <c r="L18" s="171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22"/>
      <c r="AA18" s="53"/>
      <c r="AB18" s="53"/>
      <c r="AC18" s="53"/>
      <c r="AD18" s="53"/>
      <c r="AE18" s="53"/>
      <c r="AF18" s="22"/>
      <c r="AG18" s="22"/>
      <c r="AH18" s="53"/>
      <c r="AI18" s="171"/>
      <c r="AJ18" s="533"/>
      <c r="AK18" s="533"/>
      <c r="AL18" s="533"/>
      <c r="AM18" s="533"/>
      <c r="AN18" s="533"/>
      <c r="AO18" s="533"/>
      <c r="AP18" s="533"/>
      <c r="AQ18" s="533"/>
      <c r="AR18" s="533"/>
      <c r="AS18" s="533"/>
      <c r="AT18" s="533"/>
      <c r="AU18" s="533"/>
      <c r="AV18" s="533"/>
      <c r="AW18" s="533"/>
      <c r="AX18" s="533"/>
      <c r="AY18" s="533"/>
      <c r="AZ18" s="533"/>
      <c r="BA18" s="533"/>
      <c r="BB18" s="533"/>
      <c r="BC18" s="533"/>
      <c r="BD18" s="533"/>
      <c r="BE18" s="533"/>
      <c r="BF18" s="533"/>
      <c r="BG18" s="533"/>
      <c r="BH18" s="533"/>
      <c r="BI18" s="533"/>
      <c r="BJ18" s="533"/>
      <c r="BK18" s="533"/>
      <c r="BL18" s="533"/>
      <c r="BM18" s="330"/>
      <c r="BN18" s="330"/>
      <c r="BO18" s="330"/>
      <c r="BP18" s="330"/>
      <c r="BQ18" s="330"/>
      <c r="BR18" s="330"/>
      <c r="BS18" s="330"/>
      <c r="BT18" s="330"/>
      <c r="BU18" s="330"/>
      <c r="BV18" s="330"/>
      <c r="BW18" s="561"/>
      <c r="BX18" s="561"/>
      <c r="BY18" s="561"/>
      <c r="BZ18" s="561"/>
      <c r="CA18" s="561"/>
      <c r="CB18" s="561"/>
      <c r="CC18" s="561"/>
      <c r="CD18" s="561"/>
      <c r="CE18" s="561"/>
      <c r="CF18" s="561"/>
      <c r="CG18" s="561"/>
      <c r="CH18" s="561"/>
      <c r="CI18" s="561"/>
      <c r="CJ18" s="561"/>
      <c r="CK18" s="561"/>
      <c r="CL18" s="561"/>
      <c r="CM18" s="561"/>
      <c r="CN18" s="561"/>
      <c r="CO18" s="561"/>
      <c r="CP18" s="561"/>
      <c r="CQ18" s="561"/>
      <c r="CR18" s="561"/>
      <c r="CS18" s="561"/>
      <c r="CT18" s="561"/>
      <c r="CU18" s="548"/>
      <c r="CV18" s="548"/>
      <c r="CW18" s="548"/>
      <c r="CX18" s="548"/>
      <c r="CY18" s="548"/>
      <c r="CZ18" s="548"/>
      <c r="DA18" s="548"/>
      <c r="DB18" s="548"/>
      <c r="DC18" s="548"/>
      <c r="DD18" s="548"/>
      <c r="DE18" s="548"/>
      <c r="DF18" s="548"/>
      <c r="DG18" s="548"/>
      <c r="DH18" s="548"/>
      <c r="DI18" s="548"/>
      <c r="DJ18" s="548"/>
      <c r="DK18" s="548"/>
      <c r="DL18" s="548"/>
      <c r="DM18" s="548"/>
      <c r="DN18" s="53"/>
      <c r="DO18" s="53"/>
      <c r="DP18" s="271"/>
      <c r="DQ18" s="53"/>
      <c r="DR18" s="53"/>
      <c r="DS18" s="167"/>
      <c r="DT18" s="53"/>
      <c r="DU18" s="271"/>
      <c r="DV18" s="53"/>
      <c r="DW18" s="53"/>
      <c r="DX18" s="53"/>
      <c r="DY18" s="189"/>
      <c r="DZ18" s="2"/>
      <c r="EA18" s="2"/>
      <c r="EB18" s="2"/>
      <c r="EC18" s="2"/>
      <c r="ED18" s="2"/>
      <c r="EE18" s="2"/>
      <c r="EF18" s="2"/>
      <c r="EG18" s="2"/>
      <c r="EH18" s="2"/>
      <c r="EI18" s="2"/>
    </row>
    <row r="19" spans="1:139" ht="4.5" customHeight="1" x14ac:dyDescent="0.2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272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  <c r="Z19" s="131"/>
      <c r="AA19" s="273"/>
      <c r="AB19" s="273"/>
      <c r="AC19" s="273"/>
      <c r="AD19" s="274">
        <f>EVA_Input!B25</f>
        <v>0</v>
      </c>
      <c r="AE19" s="274"/>
      <c r="AF19" s="274"/>
      <c r="AG19" s="274"/>
      <c r="AH19" s="274"/>
      <c r="AI19" s="274"/>
      <c r="AJ19" s="274"/>
      <c r="AK19" s="274"/>
      <c r="AL19" s="273"/>
      <c r="AM19" s="273"/>
      <c r="AN19" s="273"/>
      <c r="AO19" s="273"/>
      <c r="AP19" s="273"/>
      <c r="AQ19" s="273"/>
      <c r="AR19" s="273"/>
      <c r="AS19" s="273"/>
      <c r="AT19" s="273"/>
      <c r="AU19" s="273"/>
      <c r="AV19" s="273"/>
      <c r="AW19" s="273"/>
      <c r="AX19" s="273"/>
      <c r="AY19" s="273"/>
      <c r="AZ19" s="131"/>
      <c r="BA19" s="273"/>
      <c r="BB19" s="273"/>
      <c r="BC19" s="273"/>
      <c r="BD19" s="273"/>
      <c r="BE19" s="273"/>
      <c r="BF19" s="273"/>
      <c r="BG19" s="273"/>
      <c r="BH19" s="273"/>
      <c r="BI19" s="273"/>
      <c r="BJ19" s="273"/>
      <c r="BK19" s="273"/>
      <c r="BL19" s="273"/>
      <c r="BM19" s="273"/>
      <c r="BN19" s="273"/>
      <c r="BO19" s="273"/>
      <c r="BP19" s="273"/>
      <c r="BQ19" s="273"/>
      <c r="BR19" s="273"/>
      <c r="BS19" s="273"/>
      <c r="BT19" s="273"/>
      <c r="BU19" s="273"/>
      <c r="BV19" s="273"/>
      <c r="BW19" s="273"/>
      <c r="BX19" s="273"/>
      <c r="BY19" s="273"/>
      <c r="BZ19" s="273"/>
      <c r="CA19" s="273"/>
      <c r="CB19" s="273"/>
      <c r="CC19" s="273"/>
      <c r="CD19" s="273"/>
      <c r="CE19" s="273"/>
      <c r="CF19" s="273"/>
      <c r="CG19" s="273"/>
      <c r="CH19" s="273"/>
      <c r="CI19" s="273"/>
      <c r="CJ19" s="273"/>
      <c r="CK19" s="273"/>
      <c r="CL19" s="273"/>
      <c r="CM19" s="273"/>
      <c r="CN19" s="273"/>
      <c r="CO19" s="273"/>
      <c r="CP19" s="273"/>
      <c r="CQ19" s="273"/>
      <c r="CR19" s="273"/>
      <c r="CS19" s="273"/>
      <c r="CT19" s="132"/>
      <c r="CU19" s="132"/>
      <c r="CV19" s="225"/>
      <c r="CW19" s="225"/>
      <c r="CX19" s="225"/>
      <c r="CY19" s="225"/>
      <c r="CZ19" s="225"/>
      <c r="DA19" s="225"/>
      <c r="DB19" s="225"/>
      <c r="DC19" s="225"/>
      <c r="DD19" s="225"/>
      <c r="DE19" s="225"/>
      <c r="DF19" s="225"/>
      <c r="DG19" s="225"/>
      <c r="DH19" s="225"/>
      <c r="DI19" s="225"/>
      <c r="DJ19" s="225"/>
      <c r="DK19" s="225"/>
      <c r="DL19" s="225"/>
      <c r="DM19" s="225"/>
      <c r="DN19" s="273"/>
      <c r="DO19" s="273"/>
      <c r="DP19" s="251"/>
      <c r="DQ19" s="273"/>
      <c r="DR19" s="273"/>
      <c r="DS19" s="225"/>
      <c r="DT19" s="273"/>
      <c r="DU19" s="251"/>
      <c r="DV19" s="273"/>
      <c r="DW19" s="273"/>
      <c r="DX19" s="273"/>
      <c r="DY19" s="189"/>
      <c r="DZ19" s="2"/>
      <c r="EA19" s="2"/>
      <c r="EB19" s="2"/>
      <c r="EC19" s="2"/>
      <c r="ED19" s="2"/>
      <c r="EE19" s="2"/>
      <c r="EF19" s="2"/>
      <c r="EG19" s="2"/>
      <c r="EH19" s="2"/>
      <c r="EI19" s="2"/>
    </row>
    <row r="20" spans="1:139" ht="4.5" customHeight="1" x14ac:dyDescent="0.2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61"/>
      <c r="M20" s="167"/>
      <c r="N20" s="167"/>
      <c r="O20" s="167"/>
      <c r="P20" s="167"/>
      <c r="Q20" s="167"/>
      <c r="R20" s="167"/>
      <c r="S20" s="167"/>
      <c r="T20" s="167"/>
      <c r="U20" s="167"/>
      <c r="V20" s="167"/>
      <c r="W20" s="167"/>
      <c r="X20" s="167"/>
      <c r="Y20" s="167"/>
      <c r="Z20" s="167"/>
      <c r="AA20" s="167"/>
      <c r="AB20" s="167"/>
      <c r="AC20" s="167"/>
      <c r="AD20" s="275"/>
      <c r="AE20" s="275"/>
      <c r="AF20" s="275"/>
      <c r="AG20" s="275"/>
      <c r="AH20" s="275"/>
      <c r="AI20" s="275"/>
      <c r="AJ20" s="275"/>
      <c r="AK20" s="275"/>
      <c r="AL20" s="167"/>
      <c r="AM20" s="167"/>
      <c r="AN20" s="167"/>
      <c r="AO20" s="167"/>
      <c r="AP20" s="167"/>
      <c r="AQ20" s="167"/>
      <c r="AR20" s="167"/>
      <c r="AS20" s="167"/>
      <c r="AT20" s="167"/>
      <c r="AU20" s="167"/>
      <c r="AV20" s="167"/>
      <c r="AW20" s="167"/>
      <c r="AX20" s="167"/>
      <c r="AY20" s="167"/>
      <c r="AZ20" s="167"/>
      <c r="BA20" s="167"/>
      <c r="BB20" s="167"/>
      <c r="BC20" s="167"/>
      <c r="BD20" s="167"/>
      <c r="BE20" s="167"/>
      <c r="BF20" s="167"/>
      <c r="BG20" s="167"/>
      <c r="BH20" s="167"/>
      <c r="BI20" s="167"/>
      <c r="BJ20" s="167"/>
      <c r="BK20" s="167"/>
      <c r="BL20" s="167"/>
      <c r="BM20" s="235"/>
      <c r="BN20" s="167"/>
      <c r="BO20" s="167"/>
      <c r="BP20" s="167"/>
      <c r="BQ20" s="167"/>
      <c r="BR20" s="167"/>
      <c r="BS20" s="167"/>
      <c r="BT20" s="167"/>
      <c r="BU20" s="167"/>
      <c r="BV20" s="167"/>
      <c r="BW20" s="167"/>
      <c r="BX20" s="167"/>
      <c r="BY20" s="167"/>
      <c r="BZ20" s="167"/>
      <c r="CA20" s="167"/>
      <c r="CB20" s="167"/>
      <c r="CC20" s="167"/>
      <c r="CD20" s="167"/>
      <c r="CE20" s="167"/>
      <c r="CF20" s="167"/>
      <c r="CG20" s="167"/>
      <c r="CH20" s="167"/>
      <c r="CI20" s="167"/>
      <c r="CJ20" s="167"/>
      <c r="CK20" s="167"/>
      <c r="CL20" s="167"/>
      <c r="CM20" s="167"/>
      <c r="CN20" s="167"/>
      <c r="CO20" s="167"/>
      <c r="CP20" s="167"/>
      <c r="CQ20" s="167"/>
      <c r="CR20" s="167"/>
      <c r="CS20" s="167"/>
      <c r="CT20" s="167"/>
      <c r="CU20" s="167"/>
      <c r="CV20" s="167"/>
      <c r="CW20" s="167"/>
      <c r="CX20" s="167"/>
      <c r="CY20" s="167"/>
      <c r="CZ20" s="167"/>
      <c r="DA20" s="167"/>
      <c r="DB20" s="167"/>
      <c r="DC20" s="167"/>
      <c r="DD20" s="167"/>
      <c r="DE20" s="167"/>
      <c r="DF20" s="167"/>
      <c r="DG20" s="167"/>
      <c r="DH20" s="167"/>
      <c r="DI20" s="167"/>
      <c r="DJ20" s="167"/>
      <c r="DK20" s="167"/>
      <c r="DL20" s="167"/>
      <c r="DM20" s="167"/>
      <c r="DN20" s="167"/>
      <c r="DO20" s="53"/>
      <c r="DP20" s="271"/>
      <c r="DQ20" s="53"/>
      <c r="DR20" s="53"/>
      <c r="DS20" s="167"/>
      <c r="DT20" s="53"/>
      <c r="DU20" s="53"/>
      <c r="DV20" s="53"/>
      <c r="DW20" s="167"/>
      <c r="DX20" s="167"/>
      <c r="DY20" s="189"/>
      <c r="DZ20" s="2"/>
      <c r="EA20" s="2"/>
      <c r="EB20" s="2"/>
      <c r="EC20" s="2"/>
      <c r="ED20" s="2"/>
      <c r="EE20" s="2"/>
      <c r="EF20" s="2"/>
      <c r="EG20" s="2"/>
      <c r="EH20" s="2"/>
      <c r="EI20" s="2"/>
    </row>
    <row r="21" spans="1:139" ht="4.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44" t="s">
        <v>9</v>
      </c>
      <c r="M21" s="508"/>
      <c r="N21" s="508"/>
      <c r="O21" s="508"/>
      <c r="P21" s="508"/>
      <c r="Q21" s="508"/>
      <c r="R21" s="508"/>
      <c r="S21" s="508"/>
      <c r="T21" s="508"/>
      <c r="U21" s="508"/>
      <c r="V21" s="508"/>
      <c r="W21" s="508"/>
      <c r="X21" s="508"/>
      <c r="Y21" s="508"/>
      <c r="Z21" s="508"/>
      <c r="AA21" s="508"/>
      <c r="AB21" s="508"/>
      <c r="AC21" s="166"/>
      <c r="AD21" s="545"/>
      <c r="AE21" s="545"/>
      <c r="AF21" s="545"/>
      <c r="AG21" s="545"/>
      <c r="AH21" s="545"/>
      <c r="AI21" s="545"/>
      <c r="AJ21" s="545"/>
      <c r="AK21" s="545"/>
      <c r="AL21" s="545"/>
      <c r="AM21" s="545"/>
      <c r="AN21" s="545"/>
      <c r="AO21" s="545"/>
      <c r="AP21" s="545"/>
      <c r="AQ21" s="545"/>
      <c r="AR21" s="545"/>
      <c r="AS21" s="545"/>
      <c r="AT21" s="545"/>
      <c r="AU21" s="545"/>
      <c r="AV21" s="545"/>
      <c r="AW21" s="545"/>
      <c r="AX21" s="545"/>
      <c r="AY21" s="545"/>
      <c r="AZ21" s="545"/>
      <c r="BA21" s="545"/>
      <c r="BB21" s="545"/>
      <c r="BC21" s="545"/>
      <c r="BD21" s="545"/>
      <c r="BE21" s="545"/>
      <c r="BF21" s="545"/>
      <c r="BG21" s="545"/>
      <c r="BH21" s="545"/>
      <c r="BI21" s="545"/>
      <c r="BJ21" s="545"/>
      <c r="BK21" s="545"/>
      <c r="BL21" s="53"/>
      <c r="BM21" s="171"/>
      <c r="BN21" s="508" t="s">
        <v>10</v>
      </c>
      <c r="BO21" s="508"/>
      <c r="BP21" s="508"/>
      <c r="BQ21" s="508"/>
      <c r="BR21" s="508"/>
      <c r="BS21" s="508"/>
      <c r="BT21" s="508"/>
      <c r="BU21" s="508"/>
      <c r="BV21" s="508"/>
      <c r="BW21" s="508"/>
      <c r="BX21" s="508"/>
      <c r="BY21" s="508"/>
      <c r="BZ21" s="508"/>
      <c r="CA21" s="508"/>
      <c r="CB21" s="508"/>
      <c r="CC21" s="508"/>
      <c r="CD21" s="508"/>
      <c r="CE21" s="53"/>
      <c r="CF21" s="547"/>
      <c r="CG21" s="545"/>
      <c r="CH21" s="545"/>
      <c r="CI21" s="545"/>
      <c r="CJ21" s="545"/>
      <c r="CK21" s="545"/>
      <c r="CL21" s="545"/>
      <c r="CM21" s="545"/>
      <c r="CN21" s="545"/>
      <c r="CO21" s="545"/>
      <c r="CP21" s="545"/>
      <c r="CQ21" s="545"/>
      <c r="CR21" s="545"/>
      <c r="CS21" s="545"/>
      <c r="CT21" s="545"/>
      <c r="CU21" s="545"/>
      <c r="CV21" s="545"/>
      <c r="CW21" s="545"/>
      <c r="CX21" s="545"/>
      <c r="CY21" s="545"/>
      <c r="CZ21" s="545"/>
      <c r="DA21" s="545"/>
      <c r="DB21" s="545"/>
      <c r="DC21" s="545"/>
      <c r="DD21" s="545"/>
      <c r="DE21" s="545"/>
      <c r="DF21" s="545"/>
      <c r="DG21" s="545"/>
      <c r="DH21" s="545"/>
      <c r="DI21" s="545"/>
      <c r="DJ21" s="545"/>
      <c r="DK21" s="545"/>
      <c r="DL21" s="545"/>
      <c r="DM21" s="545"/>
      <c r="DN21" s="167"/>
      <c r="DO21" s="53"/>
      <c r="DP21" s="271"/>
      <c r="DQ21" s="53"/>
      <c r="DR21" s="53"/>
      <c r="DS21" s="167"/>
      <c r="DT21" s="53"/>
      <c r="DU21" s="53"/>
      <c r="DV21" s="53"/>
      <c r="DW21" s="167"/>
      <c r="DX21" s="167"/>
      <c r="DY21" s="189"/>
      <c r="DZ21" s="2"/>
      <c r="EA21" s="2"/>
      <c r="EB21" s="2"/>
      <c r="EC21" s="2"/>
      <c r="ED21" s="2"/>
      <c r="EE21" s="2"/>
      <c r="EF21" s="2"/>
      <c r="EG21" s="2"/>
      <c r="EH21" s="2"/>
      <c r="EI21" s="2"/>
    </row>
    <row r="22" spans="1:139" ht="4.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544"/>
      <c r="M22" s="508"/>
      <c r="N22" s="508"/>
      <c r="O22" s="508"/>
      <c r="P22" s="508"/>
      <c r="Q22" s="508"/>
      <c r="R22" s="508"/>
      <c r="S22" s="508"/>
      <c r="T22" s="508"/>
      <c r="U22" s="508"/>
      <c r="V22" s="508"/>
      <c r="W22" s="508"/>
      <c r="X22" s="508"/>
      <c r="Y22" s="508"/>
      <c r="Z22" s="508"/>
      <c r="AA22" s="508"/>
      <c r="AB22" s="508"/>
      <c r="AC22" s="166"/>
      <c r="AD22" s="546"/>
      <c r="AE22" s="546"/>
      <c r="AF22" s="546"/>
      <c r="AG22" s="546"/>
      <c r="AH22" s="546"/>
      <c r="AI22" s="546"/>
      <c r="AJ22" s="546"/>
      <c r="AK22" s="546"/>
      <c r="AL22" s="546"/>
      <c r="AM22" s="546"/>
      <c r="AN22" s="546"/>
      <c r="AO22" s="546"/>
      <c r="AP22" s="546"/>
      <c r="AQ22" s="546"/>
      <c r="AR22" s="546"/>
      <c r="AS22" s="546"/>
      <c r="AT22" s="546"/>
      <c r="AU22" s="546"/>
      <c r="AV22" s="546"/>
      <c r="AW22" s="546"/>
      <c r="AX22" s="546"/>
      <c r="AY22" s="546"/>
      <c r="AZ22" s="546"/>
      <c r="BA22" s="546"/>
      <c r="BB22" s="546"/>
      <c r="BC22" s="546"/>
      <c r="BD22" s="546"/>
      <c r="BE22" s="546"/>
      <c r="BF22" s="546"/>
      <c r="BG22" s="546"/>
      <c r="BH22" s="546"/>
      <c r="BI22" s="546"/>
      <c r="BJ22" s="546"/>
      <c r="BK22" s="546"/>
      <c r="BL22" s="276"/>
      <c r="BM22" s="277"/>
      <c r="BN22" s="508"/>
      <c r="BO22" s="508"/>
      <c r="BP22" s="508"/>
      <c r="BQ22" s="508"/>
      <c r="BR22" s="508"/>
      <c r="BS22" s="508"/>
      <c r="BT22" s="508"/>
      <c r="BU22" s="508"/>
      <c r="BV22" s="508"/>
      <c r="BW22" s="508"/>
      <c r="BX22" s="508"/>
      <c r="BY22" s="508"/>
      <c r="BZ22" s="508"/>
      <c r="CA22" s="508"/>
      <c r="CB22" s="508"/>
      <c r="CC22" s="508"/>
      <c r="CD22" s="508"/>
      <c r="CE22" s="53"/>
      <c r="CF22" s="546"/>
      <c r="CG22" s="546"/>
      <c r="CH22" s="546"/>
      <c r="CI22" s="546"/>
      <c r="CJ22" s="546"/>
      <c r="CK22" s="546"/>
      <c r="CL22" s="546"/>
      <c r="CM22" s="546"/>
      <c r="CN22" s="546"/>
      <c r="CO22" s="546"/>
      <c r="CP22" s="546"/>
      <c r="CQ22" s="546"/>
      <c r="CR22" s="546"/>
      <c r="CS22" s="546"/>
      <c r="CT22" s="546"/>
      <c r="CU22" s="546"/>
      <c r="CV22" s="546"/>
      <c r="CW22" s="546"/>
      <c r="CX22" s="546"/>
      <c r="CY22" s="546"/>
      <c r="CZ22" s="546"/>
      <c r="DA22" s="546"/>
      <c r="DB22" s="546"/>
      <c r="DC22" s="546"/>
      <c r="DD22" s="546"/>
      <c r="DE22" s="546"/>
      <c r="DF22" s="546"/>
      <c r="DG22" s="546"/>
      <c r="DH22" s="546"/>
      <c r="DI22" s="546"/>
      <c r="DJ22" s="546"/>
      <c r="DK22" s="546"/>
      <c r="DL22" s="546"/>
      <c r="DM22" s="546"/>
      <c r="DN22" s="167"/>
      <c r="DO22" s="53"/>
      <c r="DP22" s="271"/>
      <c r="DQ22" s="53"/>
      <c r="DR22" s="53"/>
      <c r="DS22" s="167"/>
      <c r="DT22" s="53"/>
      <c r="DU22" s="53"/>
      <c r="DV22" s="53"/>
      <c r="DW22" s="167"/>
      <c r="DX22" s="167"/>
      <c r="DY22" s="189"/>
      <c r="DZ22" s="2"/>
      <c r="EA22" s="2"/>
      <c r="EB22" s="2"/>
      <c r="EC22" s="2"/>
      <c r="ED22" s="2"/>
      <c r="EE22" s="2"/>
      <c r="EF22" s="2"/>
      <c r="EG22" s="2"/>
      <c r="EH22" s="2"/>
      <c r="EI22" s="2"/>
    </row>
    <row r="23" spans="1:139" ht="4.5" customHeight="1" x14ac:dyDescent="0.25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521" t="s">
        <v>12</v>
      </c>
      <c r="M23" s="460"/>
      <c r="N23" s="460"/>
      <c r="O23" s="460"/>
      <c r="P23" s="460"/>
      <c r="Q23" s="460"/>
      <c r="R23" s="460"/>
      <c r="S23" s="460"/>
      <c r="T23" s="460"/>
      <c r="U23" s="460"/>
      <c r="V23" s="460"/>
      <c r="W23" s="460"/>
      <c r="X23" s="460"/>
      <c r="Y23" s="460"/>
      <c r="Z23" s="460"/>
      <c r="AA23" s="460"/>
      <c r="AB23" s="460"/>
      <c r="AC23" s="278"/>
      <c r="AD23" s="511"/>
      <c r="AE23" s="511"/>
      <c r="AF23" s="511"/>
      <c r="AG23" s="511"/>
      <c r="AH23" s="511"/>
      <c r="AI23" s="511"/>
      <c r="AJ23" s="511"/>
      <c r="AK23" s="511"/>
      <c r="AL23" s="511"/>
      <c r="AM23" s="511"/>
      <c r="AN23" s="511"/>
      <c r="AO23" s="511"/>
      <c r="AP23" s="511"/>
      <c r="AQ23" s="511"/>
      <c r="AR23" s="511"/>
      <c r="AS23" s="511"/>
      <c r="AT23" s="511"/>
      <c r="AU23" s="511"/>
      <c r="AV23" s="511"/>
      <c r="AW23" s="511"/>
      <c r="AX23" s="511"/>
      <c r="AY23" s="511"/>
      <c r="AZ23" s="511"/>
      <c r="BA23" s="511"/>
      <c r="BB23" s="511"/>
      <c r="BC23" s="511"/>
      <c r="BD23" s="511"/>
      <c r="BE23" s="511"/>
      <c r="BF23" s="511"/>
      <c r="BG23" s="511"/>
      <c r="BH23" s="511"/>
      <c r="BI23" s="511"/>
      <c r="BJ23" s="511"/>
      <c r="BK23" s="511"/>
      <c r="BL23" s="167"/>
      <c r="BM23" s="161"/>
      <c r="BN23" s="460" t="s">
        <v>13</v>
      </c>
      <c r="BO23" s="460"/>
      <c r="BP23" s="460"/>
      <c r="BQ23" s="460"/>
      <c r="BR23" s="460"/>
      <c r="BS23" s="460"/>
      <c r="BT23" s="460"/>
      <c r="BU23" s="460"/>
      <c r="BV23" s="460"/>
      <c r="BW23" s="460"/>
      <c r="BX23" s="460"/>
      <c r="BY23" s="460"/>
      <c r="BZ23" s="460"/>
      <c r="CA23" s="460"/>
      <c r="CB23" s="460"/>
      <c r="CC23" s="460"/>
      <c r="CD23" s="460"/>
      <c r="CE23" s="278"/>
      <c r="CF23" s="543" t="s">
        <v>428</v>
      </c>
      <c r="CG23" s="543"/>
      <c r="CH23" s="543"/>
      <c r="CI23" s="543"/>
      <c r="CJ23" s="543"/>
      <c r="CK23" s="543"/>
      <c r="CL23" s="543"/>
      <c r="CM23" s="543"/>
      <c r="CN23" s="543"/>
      <c r="CO23" s="543"/>
      <c r="CP23" s="543"/>
      <c r="CQ23" s="543"/>
      <c r="CR23" s="543"/>
      <c r="CS23" s="543"/>
      <c r="CT23" s="543"/>
      <c r="CU23" s="543"/>
      <c r="CV23" s="543"/>
      <c r="CW23" s="543"/>
      <c r="CX23" s="543"/>
      <c r="CY23" s="543"/>
      <c r="CZ23" s="543"/>
      <c r="DA23" s="543"/>
      <c r="DB23" s="543"/>
      <c r="DC23" s="543"/>
      <c r="DD23" s="543"/>
      <c r="DE23" s="543"/>
      <c r="DF23" s="543"/>
      <c r="DG23" s="543"/>
      <c r="DH23" s="543"/>
      <c r="DI23" s="543"/>
      <c r="DJ23" s="543"/>
      <c r="DK23" s="543"/>
      <c r="DL23" s="543"/>
      <c r="DM23" s="543"/>
      <c r="DN23" s="167"/>
      <c r="DO23" s="53"/>
      <c r="DP23" s="271"/>
      <c r="DQ23" s="167"/>
      <c r="DR23" s="167"/>
      <c r="DS23" s="167"/>
      <c r="DT23" s="53"/>
      <c r="DU23" s="53"/>
      <c r="DV23" s="53"/>
      <c r="DW23" s="167"/>
      <c r="DX23" s="167"/>
      <c r="DY23" s="189"/>
      <c r="DZ23" s="2"/>
      <c r="EA23" s="2"/>
      <c r="EB23" s="2"/>
      <c r="EC23" s="2"/>
      <c r="ED23" s="2"/>
      <c r="EE23" s="2"/>
      <c r="EF23" s="2"/>
      <c r="EG23" s="2"/>
      <c r="EH23" s="2"/>
      <c r="EI23" s="2"/>
    </row>
    <row r="24" spans="1:139" ht="4.5" customHeight="1" x14ac:dyDescent="0.25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521"/>
      <c r="M24" s="460"/>
      <c r="N24" s="460"/>
      <c r="O24" s="460"/>
      <c r="P24" s="460"/>
      <c r="Q24" s="460"/>
      <c r="R24" s="460"/>
      <c r="S24" s="460"/>
      <c r="T24" s="460"/>
      <c r="U24" s="460"/>
      <c r="V24" s="460"/>
      <c r="W24" s="460"/>
      <c r="X24" s="460"/>
      <c r="Y24" s="460"/>
      <c r="Z24" s="460"/>
      <c r="AA24" s="460"/>
      <c r="AB24" s="460"/>
      <c r="AC24" s="278"/>
      <c r="AD24" s="512"/>
      <c r="AE24" s="512"/>
      <c r="AF24" s="512"/>
      <c r="AG24" s="512"/>
      <c r="AH24" s="512"/>
      <c r="AI24" s="512"/>
      <c r="AJ24" s="512"/>
      <c r="AK24" s="512"/>
      <c r="AL24" s="512"/>
      <c r="AM24" s="512"/>
      <c r="AN24" s="512"/>
      <c r="AO24" s="512"/>
      <c r="AP24" s="512"/>
      <c r="AQ24" s="512"/>
      <c r="AR24" s="512"/>
      <c r="AS24" s="512"/>
      <c r="AT24" s="512"/>
      <c r="AU24" s="512"/>
      <c r="AV24" s="512"/>
      <c r="AW24" s="512"/>
      <c r="AX24" s="512"/>
      <c r="AY24" s="512"/>
      <c r="AZ24" s="512"/>
      <c r="BA24" s="512"/>
      <c r="BB24" s="512"/>
      <c r="BC24" s="512"/>
      <c r="BD24" s="512"/>
      <c r="BE24" s="512"/>
      <c r="BF24" s="512"/>
      <c r="BG24" s="512"/>
      <c r="BH24" s="512"/>
      <c r="BI24" s="512"/>
      <c r="BJ24" s="512"/>
      <c r="BK24" s="512"/>
      <c r="BL24" s="167"/>
      <c r="BM24" s="161"/>
      <c r="BN24" s="460"/>
      <c r="BO24" s="460"/>
      <c r="BP24" s="460"/>
      <c r="BQ24" s="460"/>
      <c r="BR24" s="460"/>
      <c r="BS24" s="460"/>
      <c r="BT24" s="460"/>
      <c r="BU24" s="460"/>
      <c r="BV24" s="460"/>
      <c r="BW24" s="460"/>
      <c r="BX24" s="460"/>
      <c r="BY24" s="460"/>
      <c r="BZ24" s="460"/>
      <c r="CA24" s="460"/>
      <c r="CB24" s="460"/>
      <c r="CC24" s="460"/>
      <c r="CD24" s="460"/>
      <c r="CE24" s="278"/>
      <c r="CF24" s="543"/>
      <c r="CG24" s="543"/>
      <c r="CH24" s="543"/>
      <c r="CI24" s="543"/>
      <c r="CJ24" s="543"/>
      <c r="CK24" s="543"/>
      <c r="CL24" s="543"/>
      <c r="CM24" s="543"/>
      <c r="CN24" s="543"/>
      <c r="CO24" s="543"/>
      <c r="CP24" s="543"/>
      <c r="CQ24" s="543"/>
      <c r="CR24" s="543"/>
      <c r="CS24" s="543"/>
      <c r="CT24" s="543"/>
      <c r="CU24" s="543"/>
      <c r="CV24" s="543"/>
      <c r="CW24" s="543"/>
      <c r="CX24" s="543"/>
      <c r="CY24" s="543"/>
      <c r="CZ24" s="543"/>
      <c r="DA24" s="543"/>
      <c r="DB24" s="543"/>
      <c r="DC24" s="543"/>
      <c r="DD24" s="543"/>
      <c r="DE24" s="543"/>
      <c r="DF24" s="543"/>
      <c r="DG24" s="543"/>
      <c r="DH24" s="543"/>
      <c r="DI24" s="543"/>
      <c r="DJ24" s="543"/>
      <c r="DK24" s="543"/>
      <c r="DL24" s="543"/>
      <c r="DM24" s="543"/>
      <c r="DN24" s="167"/>
      <c r="DO24" s="53"/>
      <c r="DP24" s="271"/>
      <c r="DQ24" s="167"/>
      <c r="DR24" s="167"/>
      <c r="DS24" s="167"/>
      <c r="DT24" s="167"/>
      <c r="DU24" s="167"/>
      <c r="DV24" s="167"/>
      <c r="DW24" s="167"/>
      <c r="DX24" s="167"/>
      <c r="DY24" s="189"/>
      <c r="DZ24" s="2"/>
      <c r="EA24" s="2"/>
      <c r="EB24" s="2"/>
      <c r="EC24" s="2"/>
      <c r="ED24" s="2"/>
      <c r="EE24" s="2"/>
      <c r="EF24" s="2"/>
      <c r="EG24" s="2"/>
      <c r="EH24" s="2"/>
      <c r="EI24" s="2"/>
    </row>
    <row r="25" spans="1:139" ht="4.5" customHeight="1" x14ac:dyDescent="0.25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521" t="s">
        <v>16</v>
      </c>
      <c r="M25" s="460"/>
      <c r="N25" s="460"/>
      <c r="O25" s="460"/>
      <c r="P25" s="460"/>
      <c r="Q25" s="460"/>
      <c r="R25" s="460"/>
      <c r="S25" s="460"/>
      <c r="T25" s="460"/>
      <c r="U25" s="460"/>
      <c r="V25" s="460"/>
      <c r="W25" s="460"/>
      <c r="X25" s="460"/>
      <c r="Y25" s="460"/>
      <c r="Z25" s="460"/>
      <c r="AA25" s="460"/>
      <c r="AB25" s="460"/>
      <c r="AC25" s="278"/>
      <c r="AD25" s="551" t="str">
        <f ca="1">MID(CELL("Dateiname"),SEARCH("[",CELL("Dateiname"))+1,SEARCH("]",CELL("Dateiname"))-SEARCH("[",CELL("Dateiname"))-1)</f>
        <v>!MASTER_SA-024-Schalung.xlsm</v>
      </c>
      <c r="AE25" s="551"/>
      <c r="AF25" s="551"/>
      <c r="AG25" s="551"/>
      <c r="AH25" s="551"/>
      <c r="AI25" s="551"/>
      <c r="AJ25" s="551"/>
      <c r="AK25" s="551"/>
      <c r="AL25" s="551"/>
      <c r="AM25" s="551"/>
      <c r="AN25" s="551"/>
      <c r="AO25" s="551"/>
      <c r="AP25" s="551"/>
      <c r="AQ25" s="551"/>
      <c r="AR25" s="551"/>
      <c r="AS25" s="551"/>
      <c r="AT25" s="551"/>
      <c r="AU25" s="551"/>
      <c r="AV25" s="551"/>
      <c r="AW25" s="551"/>
      <c r="AX25" s="551"/>
      <c r="AY25" s="551"/>
      <c r="AZ25" s="551"/>
      <c r="BA25" s="551"/>
      <c r="BB25" s="551"/>
      <c r="BC25" s="551"/>
      <c r="BD25" s="551"/>
      <c r="BE25" s="551"/>
      <c r="BF25" s="551"/>
      <c r="BG25" s="551"/>
      <c r="BH25" s="551"/>
      <c r="BI25" s="551"/>
      <c r="BJ25" s="551"/>
      <c r="BK25" s="551"/>
      <c r="BL25" s="167"/>
      <c r="BM25" s="161"/>
      <c r="BN25" s="460" t="s">
        <v>17</v>
      </c>
      <c r="BO25" s="460"/>
      <c r="BP25" s="460"/>
      <c r="BQ25" s="460"/>
      <c r="BR25" s="460"/>
      <c r="BS25" s="460"/>
      <c r="BT25" s="460"/>
      <c r="BU25" s="460"/>
      <c r="BV25" s="460"/>
      <c r="BW25" s="460"/>
      <c r="BX25" s="460"/>
      <c r="BY25" s="460"/>
      <c r="BZ25" s="460"/>
      <c r="CA25" s="460"/>
      <c r="CB25" s="460"/>
      <c r="CC25" s="460"/>
      <c r="CD25" s="460"/>
      <c r="CE25" s="278"/>
      <c r="CF25" s="511" t="s">
        <v>429</v>
      </c>
      <c r="CG25" s="511"/>
      <c r="CH25" s="511"/>
      <c r="CI25" s="511"/>
      <c r="CJ25" s="511"/>
      <c r="CK25" s="511"/>
      <c r="CL25" s="511"/>
      <c r="CM25" s="511"/>
      <c r="CN25" s="511"/>
      <c r="CO25" s="511"/>
      <c r="CP25" s="511"/>
      <c r="CQ25" s="511"/>
      <c r="CR25" s="511"/>
      <c r="CS25" s="511"/>
      <c r="CT25" s="511"/>
      <c r="CU25" s="511"/>
      <c r="CV25" s="511"/>
      <c r="CW25" s="511"/>
      <c r="CX25" s="511"/>
      <c r="CY25" s="511"/>
      <c r="CZ25" s="511"/>
      <c r="DA25" s="511"/>
      <c r="DB25" s="511"/>
      <c r="DC25" s="511"/>
      <c r="DD25" s="511"/>
      <c r="DE25" s="511"/>
      <c r="DF25" s="511"/>
      <c r="DG25" s="511"/>
      <c r="DH25" s="511"/>
      <c r="DI25" s="511"/>
      <c r="DJ25" s="511"/>
      <c r="DK25" s="511"/>
      <c r="DL25" s="511"/>
      <c r="DM25" s="511"/>
      <c r="DN25" s="167"/>
      <c r="DO25" s="53"/>
      <c r="DP25" s="271"/>
      <c r="DQ25" s="167"/>
      <c r="DR25" s="167"/>
      <c r="DS25" s="167"/>
      <c r="DT25" s="167"/>
      <c r="DU25" s="167"/>
      <c r="DV25" s="167"/>
      <c r="DW25" s="167"/>
      <c r="DX25" s="167"/>
      <c r="DY25" s="189"/>
      <c r="DZ25" s="2"/>
      <c r="EA25" s="2"/>
      <c r="EB25" s="2"/>
      <c r="EC25" s="2"/>
      <c r="ED25" s="2"/>
      <c r="EE25" s="2"/>
      <c r="EF25" s="2"/>
      <c r="EG25" s="2"/>
      <c r="EH25" s="2"/>
      <c r="EI25" s="2"/>
    </row>
    <row r="26" spans="1:139" ht="4.5" customHeight="1" x14ac:dyDescent="0.25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521"/>
      <c r="M26" s="460"/>
      <c r="N26" s="460"/>
      <c r="O26" s="460"/>
      <c r="P26" s="460"/>
      <c r="Q26" s="460"/>
      <c r="R26" s="460"/>
      <c r="S26" s="460"/>
      <c r="T26" s="460"/>
      <c r="U26" s="460"/>
      <c r="V26" s="460"/>
      <c r="W26" s="460"/>
      <c r="X26" s="460"/>
      <c r="Y26" s="460"/>
      <c r="Z26" s="460"/>
      <c r="AA26" s="460"/>
      <c r="AB26" s="460"/>
      <c r="AC26" s="278"/>
      <c r="AD26" s="551"/>
      <c r="AE26" s="551"/>
      <c r="AF26" s="551"/>
      <c r="AG26" s="551"/>
      <c r="AH26" s="551"/>
      <c r="AI26" s="551"/>
      <c r="AJ26" s="551"/>
      <c r="AK26" s="551"/>
      <c r="AL26" s="551"/>
      <c r="AM26" s="551"/>
      <c r="AN26" s="551"/>
      <c r="AO26" s="551"/>
      <c r="AP26" s="551"/>
      <c r="AQ26" s="551"/>
      <c r="AR26" s="551"/>
      <c r="AS26" s="551"/>
      <c r="AT26" s="551"/>
      <c r="AU26" s="551"/>
      <c r="AV26" s="551"/>
      <c r="AW26" s="551"/>
      <c r="AX26" s="551"/>
      <c r="AY26" s="551"/>
      <c r="AZ26" s="551"/>
      <c r="BA26" s="551"/>
      <c r="BB26" s="551"/>
      <c r="BC26" s="551"/>
      <c r="BD26" s="551"/>
      <c r="BE26" s="551"/>
      <c r="BF26" s="551"/>
      <c r="BG26" s="551"/>
      <c r="BH26" s="551"/>
      <c r="BI26" s="551"/>
      <c r="BJ26" s="551"/>
      <c r="BK26" s="551"/>
      <c r="BL26" s="167"/>
      <c r="BM26" s="161"/>
      <c r="BN26" s="460"/>
      <c r="BO26" s="460"/>
      <c r="BP26" s="460"/>
      <c r="BQ26" s="460"/>
      <c r="BR26" s="460"/>
      <c r="BS26" s="460"/>
      <c r="BT26" s="460"/>
      <c r="BU26" s="460"/>
      <c r="BV26" s="460"/>
      <c r="BW26" s="460"/>
      <c r="BX26" s="460"/>
      <c r="BY26" s="460"/>
      <c r="BZ26" s="460"/>
      <c r="CA26" s="460"/>
      <c r="CB26" s="460"/>
      <c r="CC26" s="460"/>
      <c r="CD26" s="460"/>
      <c r="CE26" s="278"/>
      <c r="CF26" s="512"/>
      <c r="CG26" s="512"/>
      <c r="CH26" s="512"/>
      <c r="CI26" s="512"/>
      <c r="CJ26" s="512"/>
      <c r="CK26" s="512"/>
      <c r="CL26" s="512"/>
      <c r="CM26" s="512"/>
      <c r="CN26" s="512"/>
      <c r="CO26" s="512"/>
      <c r="CP26" s="512"/>
      <c r="CQ26" s="512"/>
      <c r="CR26" s="512"/>
      <c r="CS26" s="512"/>
      <c r="CT26" s="512"/>
      <c r="CU26" s="512"/>
      <c r="CV26" s="512"/>
      <c r="CW26" s="512"/>
      <c r="CX26" s="512"/>
      <c r="CY26" s="512"/>
      <c r="CZ26" s="512"/>
      <c r="DA26" s="512"/>
      <c r="DB26" s="512"/>
      <c r="DC26" s="512"/>
      <c r="DD26" s="512"/>
      <c r="DE26" s="512"/>
      <c r="DF26" s="512"/>
      <c r="DG26" s="512"/>
      <c r="DH26" s="512"/>
      <c r="DI26" s="512"/>
      <c r="DJ26" s="512"/>
      <c r="DK26" s="512"/>
      <c r="DL26" s="512"/>
      <c r="DM26" s="512"/>
      <c r="DN26" s="167"/>
      <c r="DO26" s="53"/>
      <c r="DP26" s="271"/>
      <c r="DQ26" s="167"/>
      <c r="DR26" s="167"/>
      <c r="DS26" s="167"/>
      <c r="DT26" s="167"/>
      <c r="DU26" s="167"/>
      <c r="DV26" s="167"/>
      <c r="DW26" s="167"/>
      <c r="DX26" s="167"/>
      <c r="DY26" s="189"/>
      <c r="DZ26" s="2"/>
      <c r="EA26" s="2"/>
      <c r="EB26" s="2"/>
      <c r="EC26" s="2"/>
      <c r="ED26" s="2"/>
      <c r="EE26" s="2"/>
      <c r="EF26" s="2"/>
      <c r="EG26" s="2"/>
      <c r="EH26" s="2"/>
      <c r="EI26" s="2"/>
    </row>
    <row r="27" spans="1:139" ht="4.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279"/>
      <c r="M27" s="280"/>
      <c r="N27" s="280"/>
      <c r="O27" s="280"/>
      <c r="P27" s="280"/>
      <c r="Q27" s="280"/>
      <c r="R27" s="280"/>
      <c r="S27" s="280"/>
      <c r="T27" s="280"/>
      <c r="U27" s="280"/>
      <c r="V27" s="280"/>
      <c r="W27" s="280"/>
      <c r="X27" s="280"/>
      <c r="Y27" s="280"/>
      <c r="Z27" s="280"/>
      <c r="AA27" s="280"/>
      <c r="AB27" s="280"/>
      <c r="AC27" s="167"/>
      <c r="AD27" s="281"/>
      <c r="AE27" s="281"/>
      <c r="AF27" s="281"/>
      <c r="AG27" s="281"/>
      <c r="AH27" s="281"/>
      <c r="AI27" s="281"/>
      <c r="AJ27" s="281"/>
      <c r="AK27" s="281"/>
      <c r="AL27" s="281"/>
      <c r="AM27" s="281"/>
      <c r="AN27" s="281"/>
      <c r="AO27" s="281"/>
      <c r="AP27" s="281"/>
      <c r="AQ27" s="281"/>
      <c r="AR27" s="281"/>
      <c r="AS27" s="281"/>
      <c r="AT27" s="281"/>
      <c r="AU27" s="281"/>
      <c r="AV27" s="281"/>
      <c r="AW27" s="281"/>
      <c r="AX27" s="281"/>
      <c r="AY27" s="281"/>
      <c r="AZ27" s="281"/>
      <c r="BA27" s="281"/>
      <c r="BB27" s="281"/>
      <c r="BC27" s="281"/>
      <c r="BD27" s="281"/>
      <c r="BE27" s="281"/>
      <c r="BF27" s="281"/>
      <c r="BG27" s="281"/>
      <c r="BH27" s="281"/>
      <c r="BI27" s="281"/>
      <c r="BJ27" s="281"/>
      <c r="BK27" s="281"/>
      <c r="BL27" s="167"/>
      <c r="BM27" s="161"/>
      <c r="BN27" s="280"/>
      <c r="BO27" s="280"/>
      <c r="BP27" s="280"/>
      <c r="BQ27" s="280"/>
      <c r="BR27" s="280"/>
      <c r="BS27" s="280"/>
      <c r="BT27" s="280"/>
      <c r="BU27" s="280"/>
      <c r="BV27" s="280"/>
      <c r="BW27" s="280"/>
      <c r="BX27" s="280"/>
      <c r="BY27" s="280"/>
      <c r="BZ27" s="280"/>
      <c r="CA27" s="280"/>
      <c r="CB27" s="280"/>
      <c r="CC27" s="280"/>
      <c r="CD27" s="280"/>
      <c r="CE27" s="167"/>
      <c r="CF27" s="282"/>
      <c r="CG27" s="282"/>
      <c r="CH27" s="282"/>
      <c r="CI27" s="282"/>
      <c r="CJ27" s="282"/>
      <c r="CK27" s="282"/>
      <c r="CL27" s="282"/>
      <c r="CM27" s="282"/>
      <c r="CN27" s="282"/>
      <c r="CO27" s="282"/>
      <c r="CP27" s="282"/>
      <c r="CQ27" s="282"/>
      <c r="CR27" s="282"/>
      <c r="CS27" s="282"/>
      <c r="CT27" s="282"/>
      <c r="CU27" s="282"/>
      <c r="CV27" s="282"/>
      <c r="CW27" s="282"/>
      <c r="CX27" s="282"/>
      <c r="CY27" s="282"/>
      <c r="CZ27" s="282"/>
      <c r="DA27" s="282"/>
      <c r="DB27" s="282"/>
      <c r="DC27" s="282"/>
      <c r="DD27" s="282"/>
      <c r="DE27" s="282"/>
      <c r="DF27" s="282"/>
      <c r="DG27" s="282"/>
      <c r="DH27" s="282"/>
      <c r="DI27" s="282"/>
      <c r="DJ27" s="282"/>
      <c r="DK27" s="282"/>
      <c r="DL27" s="282"/>
      <c r="DM27" s="282"/>
      <c r="DN27" s="167"/>
      <c r="DO27" s="53"/>
      <c r="DP27" s="271"/>
      <c r="DQ27" s="53"/>
      <c r="DR27" s="53"/>
      <c r="DS27" s="53"/>
      <c r="DT27" s="167"/>
      <c r="DU27" s="167"/>
      <c r="DV27" s="167"/>
      <c r="DW27" s="167"/>
      <c r="DX27" s="167"/>
      <c r="DY27" s="189"/>
      <c r="DZ27" s="2"/>
      <c r="EA27" s="2"/>
      <c r="EB27" s="2"/>
      <c r="EC27" s="2"/>
      <c r="ED27" s="2"/>
      <c r="EE27" s="2"/>
      <c r="EF27" s="2"/>
      <c r="EG27" s="2"/>
      <c r="EH27" s="2"/>
      <c r="EI27" s="2"/>
    </row>
    <row r="28" spans="1:139" ht="4.5" customHeight="1" x14ac:dyDescent="0.25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521" t="s">
        <v>18</v>
      </c>
      <c r="M28" s="460"/>
      <c r="N28" s="460"/>
      <c r="O28" s="460"/>
      <c r="P28" s="460"/>
      <c r="Q28" s="460"/>
      <c r="R28" s="460"/>
      <c r="S28" s="460"/>
      <c r="T28" s="460"/>
      <c r="U28" s="460"/>
      <c r="V28" s="460"/>
      <c r="W28" s="460"/>
      <c r="X28" s="460"/>
      <c r="Y28" s="460"/>
      <c r="Z28" s="460"/>
      <c r="AA28" s="460"/>
      <c r="AB28" s="460"/>
      <c r="AC28" s="166"/>
      <c r="AD28" s="552" t="s">
        <v>425</v>
      </c>
      <c r="AE28" s="552"/>
      <c r="AF28" s="552"/>
      <c r="AG28" s="552"/>
      <c r="AH28" s="552"/>
      <c r="AI28" s="552"/>
      <c r="AJ28" s="552"/>
      <c r="AK28" s="552"/>
      <c r="AL28" s="552"/>
      <c r="AM28" s="552"/>
      <c r="AN28" s="552"/>
      <c r="AO28" s="552"/>
      <c r="AP28" s="552"/>
      <c r="AQ28" s="552"/>
      <c r="AR28" s="552"/>
      <c r="AS28" s="552"/>
      <c r="AT28" s="552"/>
      <c r="AU28" s="552"/>
      <c r="AV28" s="552"/>
      <c r="AW28" s="552"/>
      <c r="AX28" s="552"/>
      <c r="AY28" s="552"/>
      <c r="AZ28" s="552"/>
      <c r="BA28" s="552"/>
      <c r="BB28" s="552"/>
      <c r="BC28" s="552"/>
      <c r="BD28" s="552"/>
      <c r="BE28" s="552"/>
      <c r="BF28" s="552"/>
      <c r="BG28" s="552"/>
      <c r="BH28" s="552"/>
      <c r="BI28" s="552"/>
      <c r="BJ28" s="552"/>
      <c r="BK28" s="552"/>
      <c r="BL28" s="167"/>
      <c r="BM28" s="161"/>
      <c r="BN28" s="460" t="s">
        <v>19</v>
      </c>
      <c r="BO28" s="460"/>
      <c r="BP28" s="460"/>
      <c r="BQ28" s="460"/>
      <c r="BR28" s="460"/>
      <c r="BS28" s="460"/>
      <c r="BT28" s="460"/>
      <c r="BU28" s="460"/>
      <c r="BV28" s="460"/>
      <c r="BW28" s="460"/>
      <c r="BX28" s="460"/>
      <c r="BY28" s="460"/>
      <c r="BZ28" s="460"/>
      <c r="CA28" s="460"/>
      <c r="CB28" s="460"/>
      <c r="CC28" s="460"/>
      <c r="CD28" s="460"/>
      <c r="CE28" s="278"/>
      <c r="CF28" s="551" t="str">
        <f>" Schalung, SA-024-" &amp; BO_ART</f>
        <v xml:space="preserve"> Schalung, SA-024-2-Wege</v>
      </c>
      <c r="CG28" s="551"/>
      <c r="CH28" s="551"/>
      <c r="CI28" s="551"/>
      <c r="CJ28" s="551"/>
      <c r="CK28" s="551"/>
      <c r="CL28" s="551"/>
      <c r="CM28" s="551"/>
      <c r="CN28" s="551"/>
      <c r="CO28" s="551"/>
      <c r="CP28" s="551"/>
      <c r="CQ28" s="551"/>
      <c r="CR28" s="551"/>
      <c r="CS28" s="551"/>
      <c r="CT28" s="551"/>
      <c r="CU28" s="551"/>
      <c r="CV28" s="551"/>
      <c r="CW28" s="551"/>
      <c r="CX28" s="551"/>
      <c r="CY28" s="551"/>
      <c r="CZ28" s="551"/>
      <c r="DA28" s="551"/>
      <c r="DB28" s="551"/>
      <c r="DC28" s="551"/>
      <c r="DD28" s="551"/>
      <c r="DE28" s="551"/>
      <c r="DF28" s="551"/>
      <c r="DG28" s="551"/>
      <c r="DH28" s="551"/>
      <c r="DI28" s="551"/>
      <c r="DJ28" s="551"/>
      <c r="DK28" s="551"/>
      <c r="DL28" s="551"/>
      <c r="DM28" s="551"/>
      <c r="DN28" s="167"/>
      <c r="DO28" s="53"/>
      <c r="DP28" s="271"/>
      <c r="DQ28" s="53"/>
      <c r="DR28" s="53"/>
      <c r="DS28" s="53"/>
      <c r="DT28" s="167"/>
      <c r="DU28" s="167"/>
      <c r="DV28" s="167"/>
      <c r="DW28" s="167"/>
      <c r="DX28" s="167"/>
      <c r="DY28" s="189"/>
      <c r="DZ28" s="2"/>
      <c r="EA28" s="2"/>
      <c r="EB28" s="2"/>
      <c r="EC28" s="2"/>
      <c r="ED28" s="2"/>
      <c r="EE28" s="2"/>
      <c r="EF28" s="2"/>
      <c r="EG28" s="2"/>
      <c r="EH28" s="2"/>
      <c r="EI28" s="2"/>
    </row>
    <row r="29" spans="1:139" ht="4.5" customHeight="1" x14ac:dyDescent="0.25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521"/>
      <c r="M29" s="460"/>
      <c r="N29" s="460"/>
      <c r="O29" s="460"/>
      <c r="P29" s="460"/>
      <c r="Q29" s="460"/>
      <c r="R29" s="460"/>
      <c r="S29" s="460"/>
      <c r="T29" s="460"/>
      <c r="U29" s="460"/>
      <c r="V29" s="460"/>
      <c r="W29" s="460"/>
      <c r="X29" s="460"/>
      <c r="Y29" s="460"/>
      <c r="Z29" s="460"/>
      <c r="AA29" s="460"/>
      <c r="AB29" s="460"/>
      <c r="AC29" s="166"/>
      <c r="AD29" s="511"/>
      <c r="AE29" s="511"/>
      <c r="AF29" s="511"/>
      <c r="AG29" s="511"/>
      <c r="AH29" s="511"/>
      <c r="AI29" s="511"/>
      <c r="AJ29" s="511"/>
      <c r="AK29" s="511"/>
      <c r="AL29" s="511"/>
      <c r="AM29" s="511"/>
      <c r="AN29" s="511"/>
      <c r="AO29" s="511"/>
      <c r="AP29" s="511"/>
      <c r="AQ29" s="511"/>
      <c r="AR29" s="511"/>
      <c r="AS29" s="511"/>
      <c r="AT29" s="511"/>
      <c r="AU29" s="511"/>
      <c r="AV29" s="511"/>
      <c r="AW29" s="511"/>
      <c r="AX29" s="511"/>
      <c r="AY29" s="511"/>
      <c r="AZ29" s="511"/>
      <c r="BA29" s="511"/>
      <c r="BB29" s="511"/>
      <c r="BC29" s="511"/>
      <c r="BD29" s="511"/>
      <c r="BE29" s="511"/>
      <c r="BF29" s="511"/>
      <c r="BG29" s="511"/>
      <c r="BH29" s="511"/>
      <c r="BI29" s="511"/>
      <c r="BJ29" s="511"/>
      <c r="BK29" s="511"/>
      <c r="BL29" s="167"/>
      <c r="BM29" s="161"/>
      <c r="BN29" s="460"/>
      <c r="BO29" s="460"/>
      <c r="BP29" s="460"/>
      <c r="BQ29" s="460"/>
      <c r="BR29" s="460"/>
      <c r="BS29" s="460"/>
      <c r="BT29" s="460"/>
      <c r="BU29" s="460"/>
      <c r="BV29" s="460"/>
      <c r="BW29" s="460"/>
      <c r="BX29" s="460"/>
      <c r="BY29" s="460"/>
      <c r="BZ29" s="460"/>
      <c r="CA29" s="460"/>
      <c r="CB29" s="460"/>
      <c r="CC29" s="460"/>
      <c r="CD29" s="460"/>
      <c r="CE29" s="278"/>
      <c r="CF29" s="551"/>
      <c r="CG29" s="551"/>
      <c r="CH29" s="551"/>
      <c r="CI29" s="551"/>
      <c r="CJ29" s="551"/>
      <c r="CK29" s="551"/>
      <c r="CL29" s="551"/>
      <c r="CM29" s="551"/>
      <c r="CN29" s="551"/>
      <c r="CO29" s="551"/>
      <c r="CP29" s="551"/>
      <c r="CQ29" s="551"/>
      <c r="CR29" s="551"/>
      <c r="CS29" s="551"/>
      <c r="CT29" s="551"/>
      <c r="CU29" s="551"/>
      <c r="CV29" s="551"/>
      <c r="CW29" s="551"/>
      <c r="CX29" s="551"/>
      <c r="CY29" s="551"/>
      <c r="CZ29" s="551"/>
      <c r="DA29" s="551"/>
      <c r="DB29" s="551"/>
      <c r="DC29" s="551"/>
      <c r="DD29" s="551"/>
      <c r="DE29" s="551"/>
      <c r="DF29" s="551"/>
      <c r="DG29" s="551"/>
      <c r="DH29" s="551"/>
      <c r="DI29" s="551"/>
      <c r="DJ29" s="551"/>
      <c r="DK29" s="551"/>
      <c r="DL29" s="551"/>
      <c r="DM29" s="551"/>
      <c r="DN29" s="167"/>
      <c r="DO29" s="53"/>
      <c r="DP29" s="271"/>
      <c r="DQ29" s="53"/>
      <c r="DR29" s="53"/>
      <c r="DS29" s="53"/>
      <c r="DT29" s="167"/>
      <c r="DU29" s="167"/>
      <c r="DV29" s="167"/>
      <c r="DW29" s="167"/>
      <c r="DX29" s="167"/>
      <c r="DY29" s="189"/>
      <c r="DZ29" s="2"/>
      <c r="EA29" s="2"/>
      <c r="EB29" s="2"/>
      <c r="EC29" s="2"/>
      <c r="ED29" s="2"/>
      <c r="EE29" s="2"/>
      <c r="EF29" s="2"/>
      <c r="EG29" s="2"/>
      <c r="EH29" s="2"/>
      <c r="EI29" s="2"/>
    </row>
    <row r="30" spans="1:139" ht="4.5" customHeight="1" x14ac:dyDescent="0.2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521" t="s">
        <v>20</v>
      </c>
      <c r="M30" s="460"/>
      <c r="N30" s="460"/>
      <c r="O30" s="460"/>
      <c r="P30" s="460"/>
      <c r="Q30" s="460"/>
      <c r="R30" s="460"/>
      <c r="S30" s="460"/>
      <c r="T30" s="460"/>
      <c r="U30" s="460"/>
      <c r="V30" s="460"/>
      <c r="W30" s="460"/>
      <c r="X30" s="460"/>
      <c r="Y30" s="460"/>
      <c r="Z30" s="460"/>
      <c r="AA30" s="460"/>
      <c r="AB30" s="460"/>
      <c r="AC30" s="166"/>
      <c r="AD30" s="511" t="s">
        <v>426</v>
      </c>
      <c r="AE30" s="511"/>
      <c r="AF30" s="511"/>
      <c r="AG30" s="511"/>
      <c r="AH30" s="511"/>
      <c r="AI30" s="511"/>
      <c r="AJ30" s="511"/>
      <c r="AK30" s="511"/>
      <c r="AL30" s="511"/>
      <c r="AM30" s="511"/>
      <c r="AN30" s="511"/>
      <c r="AO30" s="511"/>
      <c r="AP30" s="511"/>
      <c r="AQ30" s="511"/>
      <c r="AR30" s="511"/>
      <c r="AS30" s="511"/>
      <c r="AT30" s="511"/>
      <c r="AU30" s="511"/>
      <c r="AV30" s="511"/>
      <c r="AW30" s="511"/>
      <c r="AX30" s="511"/>
      <c r="AY30" s="511"/>
      <c r="AZ30" s="511"/>
      <c r="BA30" s="511"/>
      <c r="BB30" s="511"/>
      <c r="BC30" s="511"/>
      <c r="BD30" s="511"/>
      <c r="BE30" s="511"/>
      <c r="BF30" s="511"/>
      <c r="BG30" s="511"/>
      <c r="BH30" s="511"/>
      <c r="BI30" s="511"/>
      <c r="BJ30" s="511"/>
      <c r="BK30" s="511"/>
      <c r="BL30" s="167"/>
      <c r="BM30" s="161"/>
      <c r="BN30" s="460" t="s">
        <v>21</v>
      </c>
      <c r="BO30" s="460"/>
      <c r="BP30" s="460"/>
      <c r="BQ30" s="460"/>
      <c r="BR30" s="460"/>
      <c r="BS30" s="460"/>
      <c r="BT30" s="460"/>
      <c r="BU30" s="460"/>
      <c r="BV30" s="460"/>
      <c r="BW30" s="460"/>
      <c r="BX30" s="460"/>
      <c r="BY30" s="460"/>
      <c r="BZ30" s="460"/>
      <c r="CA30" s="460"/>
      <c r="CB30" s="460"/>
      <c r="CC30" s="460"/>
      <c r="CD30" s="460"/>
      <c r="CE30" s="278"/>
      <c r="CF30" s="551"/>
      <c r="CG30" s="551"/>
      <c r="CH30" s="551"/>
      <c r="CI30" s="551"/>
      <c r="CJ30" s="551"/>
      <c r="CK30" s="551"/>
      <c r="CL30" s="551"/>
      <c r="CM30" s="551"/>
      <c r="CN30" s="551"/>
      <c r="CO30" s="551"/>
      <c r="CP30" s="551"/>
      <c r="CQ30" s="551"/>
      <c r="CR30" s="551"/>
      <c r="CS30" s="551"/>
      <c r="CT30" s="551"/>
      <c r="CU30" s="551"/>
      <c r="CV30" s="551"/>
      <c r="CW30" s="551"/>
      <c r="CX30" s="551"/>
      <c r="CY30" s="551"/>
      <c r="CZ30" s="551"/>
      <c r="DA30" s="551"/>
      <c r="DB30" s="551"/>
      <c r="DC30" s="551"/>
      <c r="DD30" s="551"/>
      <c r="DE30" s="551"/>
      <c r="DF30" s="551"/>
      <c r="DG30" s="551"/>
      <c r="DH30" s="551"/>
      <c r="DI30" s="551"/>
      <c r="DJ30" s="551"/>
      <c r="DK30" s="551"/>
      <c r="DL30" s="551"/>
      <c r="DM30" s="551"/>
      <c r="DN30" s="167"/>
      <c r="DO30" s="53"/>
      <c r="DP30" s="271"/>
      <c r="DQ30" s="53"/>
      <c r="DR30" s="53"/>
      <c r="DS30" s="53"/>
      <c r="DT30" s="167"/>
      <c r="DU30" s="167"/>
      <c r="DV30" s="167"/>
      <c r="DW30" s="167"/>
      <c r="DX30" s="167"/>
      <c r="DY30" s="189"/>
      <c r="DZ30" s="2"/>
      <c r="EA30" s="2"/>
      <c r="EB30" s="2"/>
      <c r="EC30" s="2"/>
      <c r="ED30" s="2"/>
      <c r="EE30" s="2"/>
      <c r="EF30" s="2"/>
      <c r="EG30" s="2"/>
      <c r="EH30" s="2"/>
      <c r="EI30" s="2"/>
    </row>
    <row r="31" spans="1:139" ht="4.5" customHeight="1" x14ac:dyDescent="0.25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521"/>
      <c r="M31" s="460"/>
      <c r="N31" s="460"/>
      <c r="O31" s="460"/>
      <c r="P31" s="460"/>
      <c r="Q31" s="460"/>
      <c r="R31" s="460"/>
      <c r="S31" s="460"/>
      <c r="T31" s="460"/>
      <c r="U31" s="460"/>
      <c r="V31" s="460"/>
      <c r="W31" s="460"/>
      <c r="X31" s="460"/>
      <c r="Y31" s="460"/>
      <c r="Z31" s="460"/>
      <c r="AA31" s="460"/>
      <c r="AB31" s="460"/>
      <c r="AC31" s="166"/>
      <c r="AD31" s="512"/>
      <c r="AE31" s="512"/>
      <c r="AF31" s="512"/>
      <c r="AG31" s="512"/>
      <c r="AH31" s="512"/>
      <c r="AI31" s="512"/>
      <c r="AJ31" s="512"/>
      <c r="AK31" s="512"/>
      <c r="AL31" s="512"/>
      <c r="AM31" s="512"/>
      <c r="AN31" s="512"/>
      <c r="AO31" s="512"/>
      <c r="AP31" s="512"/>
      <c r="AQ31" s="512"/>
      <c r="AR31" s="512"/>
      <c r="AS31" s="512"/>
      <c r="AT31" s="512"/>
      <c r="AU31" s="512"/>
      <c r="AV31" s="512"/>
      <c r="AW31" s="512"/>
      <c r="AX31" s="512"/>
      <c r="AY31" s="512"/>
      <c r="AZ31" s="512"/>
      <c r="BA31" s="512"/>
      <c r="BB31" s="512"/>
      <c r="BC31" s="512"/>
      <c r="BD31" s="512"/>
      <c r="BE31" s="512"/>
      <c r="BF31" s="512"/>
      <c r="BG31" s="512"/>
      <c r="BH31" s="512"/>
      <c r="BI31" s="512"/>
      <c r="BJ31" s="512"/>
      <c r="BK31" s="512"/>
      <c r="BL31" s="167"/>
      <c r="BM31" s="161"/>
      <c r="BN31" s="460"/>
      <c r="BO31" s="460"/>
      <c r="BP31" s="460"/>
      <c r="BQ31" s="460"/>
      <c r="BR31" s="460"/>
      <c r="BS31" s="460"/>
      <c r="BT31" s="460"/>
      <c r="BU31" s="460"/>
      <c r="BV31" s="460"/>
      <c r="BW31" s="460"/>
      <c r="BX31" s="460"/>
      <c r="BY31" s="460"/>
      <c r="BZ31" s="460"/>
      <c r="CA31" s="460"/>
      <c r="CB31" s="460"/>
      <c r="CC31" s="460"/>
      <c r="CD31" s="460"/>
      <c r="CE31" s="278"/>
      <c r="CF31" s="551"/>
      <c r="CG31" s="551"/>
      <c r="CH31" s="551"/>
      <c r="CI31" s="551"/>
      <c r="CJ31" s="551"/>
      <c r="CK31" s="551"/>
      <c r="CL31" s="551"/>
      <c r="CM31" s="551"/>
      <c r="CN31" s="551"/>
      <c r="CO31" s="551"/>
      <c r="CP31" s="551"/>
      <c r="CQ31" s="551"/>
      <c r="CR31" s="551"/>
      <c r="CS31" s="551"/>
      <c r="CT31" s="551"/>
      <c r="CU31" s="551"/>
      <c r="CV31" s="551"/>
      <c r="CW31" s="551"/>
      <c r="CX31" s="551"/>
      <c r="CY31" s="551"/>
      <c r="CZ31" s="551"/>
      <c r="DA31" s="551"/>
      <c r="DB31" s="551"/>
      <c r="DC31" s="551"/>
      <c r="DD31" s="551"/>
      <c r="DE31" s="551"/>
      <c r="DF31" s="551"/>
      <c r="DG31" s="551"/>
      <c r="DH31" s="551"/>
      <c r="DI31" s="551"/>
      <c r="DJ31" s="551"/>
      <c r="DK31" s="551"/>
      <c r="DL31" s="551"/>
      <c r="DM31" s="551"/>
      <c r="DN31" s="167"/>
      <c r="DO31" s="53"/>
      <c r="DP31" s="271"/>
      <c r="DQ31" s="53"/>
      <c r="DR31" s="53"/>
      <c r="DS31" s="53"/>
      <c r="DT31" s="167"/>
      <c r="DU31" s="167"/>
      <c r="DV31" s="167"/>
      <c r="DW31" s="167"/>
      <c r="DX31" s="167"/>
      <c r="DY31" s="189"/>
      <c r="DZ31" s="2"/>
      <c r="EA31" s="2"/>
      <c r="EB31" s="2"/>
      <c r="EC31" s="2"/>
      <c r="ED31" s="2"/>
      <c r="EE31" s="2"/>
      <c r="EF31" s="2"/>
      <c r="EG31" s="2"/>
      <c r="EH31" s="2"/>
      <c r="EI31" s="2"/>
    </row>
    <row r="32" spans="1:139" ht="4.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279"/>
      <c r="M32" s="280"/>
      <c r="N32" s="280"/>
      <c r="O32" s="280"/>
      <c r="P32" s="280"/>
      <c r="Q32" s="280"/>
      <c r="R32" s="280"/>
      <c r="S32" s="280"/>
      <c r="T32" s="280"/>
      <c r="U32" s="280"/>
      <c r="V32" s="280"/>
      <c r="W32" s="280"/>
      <c r="X32" s="280"/>
      <c r="Y32" s="280"/>
      <c r="Z32" s="280"/>
      <c r="AA32" s="280"/>
      <c r="AB32" s="280"/>
      <c r="AC32" s="283"/>
      <c r="AD32" s="283" t="s">
        <v>427</v>
      </c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167"/>
      <c r="BM32" s="161"/>
      <c r="BN32" s="280"/>
      <c r="BO32" s="280"/>
      <c r="BP32" s="280"/>
      <c r="BQ32" s="280"/>
      <c r="BR32" s="280"/>
      <c r="BS32" s="280"/>
      <c r="BT32" s="280"/>
      <c r="BU32" s="280"/>
      <c r="BV32" s="280"/>
      <c r="BW32" s="280"/>
      <c r="BX32" s="280"/>
      <c r="BY32" s="280"/>
      <c r="BZ32" s="280"/>
      <c r="CA32" s="280"/>
      <c r="CB32" s="280"/>
      <c r="CC32" s="280"/>
      <c r="CD32" s="280"/>
      <c r="CE32" s="167"/>
      <c r="CF32" s="282"/>
      <c r="CG32" s="282"/>
      <c r="CH32" s="282"/>
      <c r="CI32" s="282"/>
      <c r="CJ32" s="282"/>
      <c r="CK32" s="282"/>
      <c r="CL32" s="282"/>
      <c r="CM32" s="282"/>
      <c r="CN32" s="282"/>
      <c r="CO32" s="282"/>
      <c r="CP32" s="282"/>
      <c r="CQ32" s="282"/>
      <c r="CR32" s="282"/>
      <c r="CS32" s="282"/>
      <c r="CT32" s="282"/>
      <c r="CU32" s="282"/>
      <c r="CV32" s="282"/>
      <c r="CW32" s="282"/>
      <c r="CX32" s="282"/>
      <c r="CY32" s="282"/>
      <c r="CZ32" s="282"/>
      <c r="DA32" s="282"/>
      <c r="DB32" s="282"/>
      <c r="DC32" s="282"/>
      <c r="DD32" s="282"/>
      <c r="DE32" s="282"/>
      <c r="DF32" s="282"/>
      <c r="DG32" s="282"/>
      <c r="DH32" s="282"/>
      <c r="DI32" s="282"/>
      <c r="DJ32" s="282"/>
      <c r="DK32" s="282"/>
      <c r="DL32" s="282"/>
      <c r="DM32" s="282"/>
      <c r="DN32" s="167"/>
      <c r="DO32" s="53"/>
      <c r="DP32" s="271"/>
      <c r="DQ32" s="53"/>
      <c r="DR32" s="53"/>
      <c r="DS32" s="53"/>
      <c r="DT32" s="501" t="str">
        <f>IF(CF33="x",BEZ_LIEF_ART,IF(CT33="x",CV33,"nicht angegeben"))</f>
        <v>nicht angegeben</v>
      </c>
      <c r="DU32" s="501"/>
      <c r="DV32" s="501"/>
      <c r="DW32" s="501"/>
      <c r="DX32" s="284" t="str">
        <f>DT32</f>
        <v>nicht angegeben</v>
      </c>
      <c r="DY32" s="189"/>
      <c r="DZ32" s="2"/>
      <c r="EA32" s="2"/>
      <c r="EB32" s="2"/>
      <c r="EC32" s="2"/>
      <c r="ED32" s="2"/>
      <c r="EE32" s="2"/>
      <c r="EF32" s="2"/>
      <c r="EG32" s="2"/>
      <c r="EH32" s="2"/>
      <c r="EI32" s="2"/>
    </row>
    <row r="33" spans="1:139" ht="4.5" customHeight="1" x14ac:dyDescent="0.25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521" t="s">
        <v>172</v>
      </c>
      <c r="M33" s="460"/>
      <c r="N33" s="460"/>
      <c r="O33" s="460"/>
      <c r="P33" s="460"/>
      <c r="Q33" s="460"/>
      <c r="R33" s="460"/>
      <c r="S33" s="460"/>
      <c r="T33" s="460"/>
      <c r="U33" s="460"/>
      <c r="V33" s="460"/>
      <c r="W33" s="460"/>
      <c r="X33" s="460"/>
      <c r="Y33" s="460"/>
      <c r="Z33" s="460"/>
      <c r="AA33" s="460"/>
      <c r="AB33" s="460"/>
      <c r="AC33" s="166"/>
      <c r="AD33" s="552"/>
      <c r="AE33" s="552"/>
      <c r="AF33" s="552"/>
      <c r="AG33" s="552"/>
      <c r="AH33" s="552"/>
      <c r="AI33" s="552"/>
      <c r="AJ33" s="552"/>
      <c r="AK33" s="552"/>
      <c r="AL33" s="552"/>
      <c r="AM33" s="552"/>
      <c r="AN33" s="552"/>
      <c r="AO33" s="552"/>
      <c r="AP33" s="552"/>
      <c r="AQ33" s="552"/>
      <c r="AR33" s="552"/>
      <c r="AS33" s="552"/>
      <c r="AT33" s="552"/>
      <c r="AU33" s="552"/>
      <c r="AV33" s="552"/>
      <c r="AW33" s="552"/>
      <c r="AX33" s="552"/>
      <c r="AY33" s="552"/>
      <c r="AZ33" s="552"/>
      <c r="BA33" s="552"/>
      <c r="BB33" s="552"/>
      <c r="BC33" s="552"/>
      <c r="BD33" s="552"/>
      <c r="BE33" s="552"/>
      <c r="BF33" s="552"/>
      <c r="BG33" s="552"/>
      <c r="BH33" s="552"/>
      <c r="BI33" s="552"/>
      <c r="BJ33" s="552"/>
      <c r="BK33" s="552"/>
      <c r="BL33" s="167"/>
      <c r="BM33" s="161"/>
      <c r="BN33" s="460" t="s">
        <v>22</v>
      </c>
      <c r="BO33" s="460"/>
      <c r="BP33" s="460"/>
      <c r="BQ33" s="460"/>
      <c r="BR33" s="460"/>
      <c r="BS33" s="460"/>
      <c r="BT33" s="460"/>
      <c r="BU33" s="460"/>
      <c r="BV33" s="460"/>
      <c r="BW33" s="460"/>
      <c r="BX33" s="460"/>
      <c r="BY33" s="460"/>
      <c r="BZ33" s="460"/>
      <c r="CA33" s="460"/>
      <c r="CB33" s="460"/>
      <c r="CC33" s="460"/>
      <c r="CD33" s="460"/>
      <c r="CE33" s="278"/>
      <c r="CF33" s="504"/>
      <c r="CG33" s="504"/>
      <c r="CH33" s="507" t="s">
        <v>245</v>
      </c>
      <c r="CI33" s="507"/>
      <c r="CJ33" s="507"/>
      <c r="CK33" s="507"/>
      <c r="CL33" s="507"/>
      <c r="CM33" s="507"/>
      <c r="CN33" s="507"/>
      <c r="CO33" s="507"/>
      <c r="CP33" s="507"/>
      <c r="CQ33" s="507"/>
      <c r="CR33" s="507"/>
      <c r="CS33" s="507"/>
      <c r="CT33" s="507"/>
      <c r="CU33" s="507"/>
      <c r="CV33" s="507"/>
      <c r="CW33" s="507"/>
      <c r="CX33" s="507"/>
      <c r="CY33" s="507"/>
      <c r="CZ33" s="507"/>
      <c r="DA33" s="507"/>
      <c r="DB33" s="507"/>
      <c r="DC33" s="507"/>
      <c r="DD33" s="507"/>
      <c r="DE33" s="507"/>
      <c r="DF33" s="507"/>
      <c r="DG33" s="507"/>
      <c r="DH33" s="507"/>
      <c r="DI33" s="507"/>
      <c r="DJ33" s="507"/>
      <c r="DK33" s="507"/>
      <c r="DL33" s="507"/>
      <c r="DM33" s="507"/>
      <c r="DN33" s="138"/>
      <c r="DO33" s="138"/>
      <c r="DP33" s="138"/>
      <c r="DQ33" s="138"/>
      <c r="DR33" s="138"/>
      <c r="DS33" s="138"/>
      <c r="DT33" s="138"/>
      <c r="DU33" s="138"/>
      <c r="DV33" s="138"/>
      <c r="DW33" s="138"/>
      <c r="DX33" s="284"/>
      <c r="DY33" s="189"/>
      <c r="DZ33" s="2"/>
      <c r="EA33" s="2"/>
      <c r="EB33" s="2"/>
      <c r="EC33" s="2"/>
      <c r="ED33" s="2"/>
      <c r="EE33" s="2"/>
      <c r="EF33" s="2"/>
      <c r="EG33" s="2"/>
      <c r="EH33" s="2"/>
      <c r="EI33" s="2"/>
    </row>
    <row r="34" spans="1:139" ht="4.5" customHeight="1" x14ac:dyDescent="0.25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521"/>
      <c r="M34" s="460"/>
      <c r="N34" s="460"/>
      <c r="O34" s="460"/>
      <c r="P34" s="460"/>
      <c r="Q34" s="460"/>
      <c r="R34" s="460"/>
      <c r="S34" s="460"/>
      <c r="T34" s="460"/>
      <c r="U34" s="460"/>
      <c r="V34" s="460"/>
      <c r="W34" s="460"/>
      <c r="X34" s="460"/>
      <c r="Y34" s="460"/>
      <c r="Z34" s="460"/>
      <c r="AA34" s="460"/>
      <c r="AB34" s="460"/>
      <c r="AC34" s="166"/>
      <c r="AD34" s="511"/>
      <c r="AE34" s="511"/>
      <c r="AF34" s="511"/>
      <c r="AG34" s="511"/>
      <c r="AH34" s="511"/>
      <c r="AI34" s="511"/>
      <c r="AJ34" s="511"/>
      <c r="AK34" s="511"/>
      <c r="AL34" s="511"/>
      <c r="AM34" s="511"/>
      <c r="AN34" s="511"/>
      <c r="AO34" s="511"/>
      <c r="AP34" s="511"/>
      <c r="AQ34" s="511"/>
      <c r="AR34" s="511"/>
      <c r="AS34" s="511"/>
      <c r="AT34" s="511"/>
      <c r="AU34" s="511"/>
      <c r="AV34" s="511"/>
      <c r="AW34" s="511"/>
      <c r="AX34" s="511"/>
      <c r="AY34" s="511"/>
      <c r="AZ34" s="511"/>
      <c r="BA34" s="511"/>
      <c r="BB34" s="511"/>
      <c r="BC34" s="511"/>
      <c r="BD34" s="511"/>
      <c r="BE34" s="511"/>
      <c r="BF34" s="511"/>
      <c r="BG34" s="511"/>
      <c r="BH34" s="511"/>
      <c r="BI34" s="511"/>
      <c r="BJ34" s="511"/>
      <c r="BK34" s="511"/>
      <c r="BL34" s="167"/>
      <c r="BM34" s="161"/>
      <c r="BN34" s="460"/>
      <c r="BO34" s="460"/>
      <c r="BP34" s="460"/>
      <c r="BQ34" s="460"/>
      <c r="BR34" s="460"/>
      <c r="BS34" s="460"/>
      <c r="BT34" s="460"/>
      <c r="BU34" s="460"/>
      <c r="BV34" s="460"/>
      <c r="BW34" s="460"/>
      <c r="BX34" s="460"/>
      <c r="BY34" s="460"/>
      <c r="BZ34" s="460"/>
      <c r="CA34" s="460"/>
      <c r="CB34" s="460"/>
      <c r="CC34" s="460"/>
      <c r="CD34" s="460"/>
      <c r="CE34" s="278"/>
      <c r="CF34" s="504"/>
      <c r="CG34" s="504"/>
      <c r="CH34" s="507"/>
      <c r="CI34" s="507"/>
      <c r="CJ34" s="507"/>
      <c r="CK34" s="507"/>
      <c r="CL34" s="507"/>
      <c r="CM34" s="507"/>
      <c r="CN34" s="507"/>
      <c r="CO34" s="507"/>
      <c r="CP34" s="507"/>
      <c r="CQ34" s="507"/>
      <c r="CR34" s="507"/>
      <c r="CS34" s="507"/>
      <c r="CT34" s="507"/>
      <c r="CU34" s="507"/>
      <c r="CV34" s="507"/>
      <c r="CW34" s="507"/>
      <c r="CX34" s="507"/>
      <c r="CY34" s="507"/>
      <c r="CZ34" s="507"/>
      <c r="DA34" s="507"/>
      <c r="DB34" s="507"/>
      <c r="DC34" s="507"/>
      <c r="DD34" s="507"/>
      <c r="DE34" s="507"/>
      <c r="DF34" s="507"/>
      <c r="DG34" s="507"/>
      <c r="DH34" s="507"/>
      <c r="DI34" s="507"/>
      <c r="DJ34" s="507"/>
      <c r="DK34" s="507"/>
      <c r="DL34" s="507"/>
      <c r="DM34" s="507"/>
      <c r="DN34" s="138"/>
      <c r="DO34" s="138"/>
      <c r="DP34" s="138"/>
      <c r="DQ34" s="138"/>
      <c r="DR34" s="138"/>
      <c r="DS34" s="138"/>
      <c r="DT34" s="138"/>
      <c r="DU34" s="138"/>
      <c r="DV34" s="138"/>
      <c r="DW34" s="138"/>
      <c r="DX34" s="284"/>
      <c r="DY34" s="189"/>
      <c r="DZ34" s="2"/>
      <c r="EA34" s="2"/>
      <c r="EB34" s="2"/>
      <c r="EC34" s="2"/>
      <c r="ED34" s="2"/>
      <c r="EE34" s="2"/>
      <c r="EF34" s="2"/>
      <c r="EG34" s="2"/>
      <c r="EH34" s="2"/>
      <c r="EI34" s="2"/>
    </row>
    <row r="35" spans="1:139" ht="4.5" customHeight="1" x14ac:dyDescent="0.25">
      <c r="A35" s="2"/>
      <c r="B35" s="2"/>
      <c r="C35" s="2"/>
      <c r="D35" s="2"/>
      <c r="E35" s="2"/>
      <c r="F35" s="5"/>
      <c r="G35" s="6"/>
      <c r="H35" s="6"/>
      <c r="I35" s="6"/>
      <c r="J35" s="6"/>
      <c r="K35" s="10"/>
      <c r="L35" s="521" t="s">
        <v>23</v>
      </c>
      <c r="M35" s="460"/>
      <c r="N35" s="460"/>
      <c r="O35" s="460"/>
      <c r="P35" s="460"/>
      <c r="Q35" s="460"/>
      <c r="R35" s="460"/>
      <c r="S35" s="460"/>
      <c r="T35" s="460"/>
      <c r="U35" s="460"/>
      <c r="V35" s="460"/>
      <c r="W35" s="460"/>
      <c r="X35" s="460"/>
      <c r="Y35" s="460"/>
      <c r="Z35" s="460"/>
      <c r="AA35" s="460"/>
      <c r="AB35" s="460"/>
      <c r="AC35" s="166"/>
      <c r="AD35" s="511"/>
      <c r="AE35" s="511"/>
      <c r="AF35" s="511"/>
      <c r="AG35" s="511"/>
      <c r="AH35" s="511"/>
      <c r="AI35" s="511"/>
      <c r="AJ35" s="511"/>
      <c r="AK35" s="511"/>
      <c r="AL35" s="511"/>
      <c r="AM35" s="511"/>
      <c r="AN35" s="511"/>
      <c r="AO35" s="511"/>
      <c r="AP35" s="511"/>
      <c r="AQ35" s="511"/>
      <c r="AR35" s="511"/>
      <c r="AS35" s="511"/>
      <c r="AT35" s="511"/>
      <c r="AU35" s="511"/>
      <c r="AV35" s="511"/>
      <c r="AW35" s="511"/>
      <c r="AX35" s="511"/>
      <c r="AY35" s="511"/>
      <c r="AZ35" s="511"/>
      <c r="BA35" s="511"/>
      <c r="BB35" s="511"/>
      <c r="BC35" s="511"/>
      <c r="BD35" s="511"/>
      <c r="BE35" s="511"/>
      <c r="BF35" s="511"/>
      <c r="BG35" s="511"/>
      <c r="BH35" s="511"/>
      <c r="BI35" s="511"/>
      <c r="BJ35" s="511"/>
      <c r="BK35" s="511"/>
      <c r="BL35" s="167"/>
      <c r="BM35" s="161"/>
      <c r="BN35" s="460" t="s">
        <v>24</v>
      </c>
      <c r="BO35" s="460"/>
      <c r="BP35" s="460"/>
      <c r="BQ35" s="460"/>
      <c r="BR35" s="460"/>
      <c r="BS35" s="460"/>
      <c r="BT35" s="460"/>
      <c r="BU35" s="460"/>
      <c r="BV35" s="460"/>
      <c r="BW35" s="460"/>
      <c r="BX35" s="460"/>
      <c r="BY35" s="460"/>
      <c r="BZ35" s="460"/>
      <c r="CA35" s="460"/>
      <c r="CB35" s="460"/>
      <c r="CC35" s="460"/>
      <c r="CD35" s="460"/>
      <c r="CE35" s="278"/>
      <c r="CF35" s="488" t="str">
        <f>AD32</f>
        <v>Gutenbergstr. 1-3, 48691 Vreden</v>
      </c>
      <c r="CG35" s="488"/>
      <c r="CH35" s="488"/>
      <c r="CI35" s="488"/>
      <c r="CJ35" s="488"/>
      <c r="CK35" s="488"/>
      <c r="CL35" s="488"/>
      <c r="CM35" s="488"/>
      <c r="CN35" s="488"/>
      <c r="CO35" s="488"/>
      <c r="CP35" s="488"/>
      <c r="CQ35" s="488"/>
      <c r="CR35" s="488"/>
      <c r="CS35" s="488"/>
      <c r="CT35" s="488"/>
      <c r="CU35" s="488"/>
      <c r="CV35" s="488"/>
      <c r="CW35" s="488"/>
      <c r="CX35" s="488"/>
      <c r="CY35" s="488"/>
      <c r="CZ35" s="488"/>
      <c r="DA35" s="488"/>
      <c r="DB35" s="488"/>
      <c r="DC35" s="488"/>
      <c r="DD35" s="488"/>
      <c r="DE35" s="488"/>
      <c r="DF35" s="488"/>
      <c r="DG35" s="488"/>
      <c r="DH35" s="488"/>
      <c r="DI35" s="488"/>
      <c r="DJ35" s="488"/>
      <c r="DK35" s="488"/>
      <c r="DL35" s="488"/>
      <c r="DM35" s="488"/>
      <c r="DN35" s="167"/>
      <c r="DO35" s="53"/>
      <c r="DP35" s="271"/>
      <c r="DQ35" s="53"/>
      <c r="DR35" s="167"/>
      <c r="DS35" s="167"/>
      <c r="DT35" s="502"/>
      <c r="DU35" s="502"/>
      <c r="DV35" s="502"/>
      <c r="DW35" s="502"/>
      <c r="DX35" s="284" t="str">
        <f>CF35</f>
        <v>Gutenbergstr. 1-3, 48691 Vreden</v>
      </c>
      <c r="DY35" s="189"/>
      <c r="DZ35" s="2"/>
      <c r="EA35" s="2"/>
      <c r="EB35" s="2"/>
      <c r="EC35" s="2"/>
      <c r="ED35" s="2"/>
      <c r="EE35" s="2"/>
      <c r="EF35" s="2"/>
      <c r="EG35" s="2"/>
      <c r="EH35" s="2"/>
      <c r="EI35" s="2"/>
    </row>
    <row r="36" spans="1:139" ht="4.5" customHeight="1" x14ac:dyDescent="0.25">
      <c r="A36" s="2"/>
      <c r="B36" s="2"/>
      <c r="C36" s="2"/>
      <c r="D36" s="2"/>
      <c r="E36" s="2"/>
      <c r="F36" s="2"/>
      <c r="G36" s="7"/>
      <c r="H36" s="7"/>
      <c r="I36" s="7"/>
      <c r="J36" s="7"/>
      <c r="K36" s="10"/>
      <c r="L36" s="521"/>
      <c r="M36" s="460"/>
      <c r="N36" s="460"/>
      <c r="O36" s="460"/>
      <c r="P36" s="460"/>
      <c r="Q36" s="460"/>
      <c r="R36" s="460"/>
      <c r="S36" s="460"/>
      <c r="T36" s="460"/>
      <c r="U36" s="460"/>
      <c r="V36" s="460"/>
      <c r="W36" s="460"/>
      <c r="X36" s="460"/>
      <c r="Y36" s="460"/>
      <c r="Z36" s="460"/>
      <c r="AA36" s="460"/>
      <c r="AB36" s="460"/>
      <c r="AC36" s="166"/>
      <c r="AD36" s="511"/>
      <c r="AE36" s="511"/>
      <c r="AF36" s="511"/>
      <c r="AG36" s="511"/>
      <c r="AH36" s="511"/>
      <c r="AI36" s="511"/>
      <c r="AJ36" s="511"/>
      <c r="AK36" s="511"/>
      <c r="AL36" s="511"/>
      <c r="AM36" s="511"/>
      <c r="AN36" s="511"/>
      <c r="AO36" s="511"/>
      <c r="AP36" s="511"/>
      <c r="AQ36" s="511"/>
      <c r="AR36" s="511"/>
      <c r="AS36" s="511"/>
      <c r="AT36" s="511"/>
      <c r="AU36" s="511"/>
      <c r="AV36" s="511"/>
      <c r="AW36" s="511"/>
      <c r="AX36" s="511"/>
      <c r="AY36" s="511"/>
      <c r="AZ36" s="511"/>
      <c r="BA36" s="511"/>
      <c r="BB36" s="511"/>
      <c r="BC36" s="511"/>
      <c r="BD36" s="511"/>
      <c r="BE36" s="511"/>
      <c r="BF36" s="511"/>
      <c r="BG36" s="511"/>
      <c r="BH36" s="511"/>
      <c r="BI36" s="511"/>
      <c r="BJ36" s="511"/>
      <c r="BK36" s="511"/>
      <c r="BL36" s="167"/>
      <c r="BM36" s="161"/>
      <c r="BN36" s="460"/>
      <c r="BO36" s="460"/>
      <c r="BP36" s="460"/>
      <c r="BQ36" s="460"/>
      <c r="BR36" s="460"/>
      <c r="BS36" s="460"/>
      <c r="BT36" s="460"/>
      <c r="BU36" s="460"/>
      <c r="BV36" s="460"/>
      <c r="BW36" s="460"/>
      <c r="BX36" s="460"/>
      <c r="BY36" s="460"/>
      <c r="BZ36" s="460"/>
      <c r="CA36" s="460"/>
      <c r="CB36" s="460"/>
      <c r="CC36" s="460"/>
      <c r="CD36" s="460"/>
      <c r="CE36" s="278"/>
      <c r="CF36" s="488"/>
      <c r="CG36" s="488"/>
      <c r="CH36" s="488"/>
      <c r="CI36" s="488"/>
      <c r="CJ36" s="488"/>
      <c r="CK36" s="488"/>
      <c r="CL36" s="488"/>
      <c r="CM36" s="488"/>
      <c r="CN36" s="488"/>
      <c r="CO36" s="488"/>
      <c r="CP36" s="488"/>
      <c r="CQ36" s="488"/>
      <c r="CR36" s="488"/>
      <c r="CS36" s="488"/>
      <c r="CT36" s="488"/>
      <c r="CU36" s="488"/>
      <c r="CV36" s="488"/>
      <c r="CW36" s="488"/>
      <c r="CX36" s="488"/>
      <c r="CY36" s="488"/>
      <c r="CZ36" s="488"/>
      <c r="DA36" s="488"/>
      <c r="DB36" s="488"/>
      <c r="DC36" s="488"/>
      <c r="DD36" s="488"/>
      <c r="DE36" s="488"/>
      <c r="DF36" s="488"/>
      <c r="DG36" s="488"/>
      <c r="DH36" s="488"/>
      <c r="DI36" s="488"/>
      <c r="DJ36" s="488"/>
      <c r="DK36" s="488"/>
      <c r="DL36" s="488"/>
      <c r="DM36" s="488"/>
      <c r="DN36" s="167"/>
      <c r="DO36" s="53"/>
      <c r="DP36" s="271"/>
      <c r="DQ36" s="53"/>
      <c r="DR36" s="167"/>
      <c r="DS36" s="201"/>
      <c r="DT36" s="502"/>
      <c r="DU36" s="502"/>
      <c r="DV36" s="502"/>
      <c r="DW36" s="502"/>
      <c r="DX36" s="284"/>
      <c r="DY36" s="189"/>
      <c r="DZ36" s="2"/>
      <c r="EA36" s="2"/>
      <c r="EB36" s="2"/>
      <c r="EC36" s="2"/>
      <c r="ED36" s="2"/>
      <c r="EE36" s="2"/>
      <c r="EF36" s="2"/>
      <c r="EG36" s="2"/>
      <c r="EH36" s="2"/>
      <c r="EI36" s="2"/>
    </row>
    <row r="37" spans="1:139" ht="4.5" customHeight="1" x14ac:dyDescent="0.2">
      <c r="A37" s="2"/>
      <c r="B37" s="2"/>
      <c r="C37" s="2"/>
      <c r="D37" s="2"/>
      <c r="E37" s="2"/>
      <c r="F37" s="2"/>
      <c r="G37" s="7"/>
      <c r="H37" s="7"/>
      <c r="I37" s="7"/>
      <c r="J37" s="7"/>
      <c r="K37" s="10"/>
      <c r="L37" s="521" t="s">
        <v>25</v>
      </c>
      <c r="M37" s="460"/>
      <c r="N37" s="460"/>
      <c r="O37" s="460"/>
      <c r="P37" s="460"/>
      <c r="Q37" s="460"/>
      <c r="R37" s="460"/>
      <c r="S37" s="460"/>
      <c r="T37" s="460"/>
      <c r="U37" s="460"/>
      <c r="V37" s="460"/>
      <c r="W37" s="460"/>
      <c r="X37" s="460"/>
      <c r="Y37" s="460"/>
      <c r="Z37" s="460"/>
      <c r="AA37" s="460"/>
      <c r="AB37" s="460"/>
      <c r="AC37" s="166"/>
      <c r="AD37" s="511"/>
      <c r="AE37" s="511"/>
      <c r="AF37" s="511"/>
      <c r="AG37" s="511"/>
      <c r="AH37" s="511"/>
      <c r="AI37" s="511"/>
      <c r="AJ37" s="511"/>
      <c r="AK37" s="511"/>
      <c r="AL37" s="511"/>
      <c r="AM37" s="511"/>
      <c r="AN37" s="511"/>
      <c r="AO37" s="511"/>
      <c r="AP37" s="511"/>
      <c r="AQ37" s="511"/>
      <c r="AR37" s="511"/>
      <c r="AS37" s="511"/>
      <c r="AT37" s="511"/>
      <c r="AU37" s="511"/>
      <c r="AV37" s="511"/>
      <c r="AW37" s="511"/>
      <c r="AX37" s="511"/>
      <c r="AY37" s="511"/>
      <c r="AZ37" s="511"/>
      <c r="BA37" s="511"/>
      <c r="BB37" s="511"/>
      <c r="BC37" s="511"/>
      <c r="BD37" s="511"/>
      <c r="BE37" s="511"/>
      <c r="BF37" s="511"/>
      <c r="BG37" s="511"/>
      <c r="BH37" s="511"/>
      <c r="BI37" s="511"/>
      <c r="BJ37" s="511"/>
      <c r="BK37" s="511"/>
      <c r="BL37" s="167"/>
      <c r="BM37" s="161"/>
      <c r="BN37" s="460" t="s">
        <v>144</v>
      </c>
      <c r="BO37" s="460"/>
      <c r="BP37" s="460"/>
      <c r="BQ37" s="460"/>
      <c r="BR37" s="460"/>
      <c r="BS37" s="460"/>
      <c r="BT37" s="460"/>
      <c r="BU37" s="460"/>
      <c r="BV37" s="460"/>
      <c r="BW37" s="460"/>
      <c r="BX37" s="460"/>
      <c r="BY37" s="460"/>
      <c r="BZ37" s="460"/>
      <c r="CA37" s="460"/>
      <c r="CB37" s="460"/>
      <c r="CC37" s="460"/>
      <c r="CD37" s="460"/>
      <c r="CE37" s="167"/>
      <c r="CF37" s="505" t="s">
        <v>7</v>
      </c>
      <c r="CG37" s="505"/>
      <c r="CH37" s="507" t="s">
        <v>483</v>
      </c>
      <c r="CI37" s="507"/>
      <c r="CJ37" s="507"/>
      <c r="CK37" s="507"/>
      <c r="CL37" s="507"/>
      <c r="CM37" s="507"/>
      <c r="CN37" s="507"/>
      <c r="CO37" s="507"/>
      <c r="CP37" s="507"/>
      <c r="CQ37" s="507"/>
      <c r="CR37" s="507"/>
      <c r="CS37" s="507"/>
      <c r="CT37" s="507"/>
      <c r="CU37" s="507"/>
      <c r="CV37" s="507"/>
      <c r="CW37" s="507"/>
      <c r="CX37" s="507"/>
      <c r="CY37" s="507"/>
      <c r="CZ37" s="507"/>
      <c r="DA37" s="507"/>
      <c r="DB37" s="507"/>
      <c r="DC37" s="507"/>
      <c r="DD37" s="507"/>
      <c r="DE37" s="507"/>
      <c r="DF37" s="507"/>
      <c r="DG37" s="507"/>
      <c r="DH37" s="507"/>
      <c r="DI37" s="507"/>
      <c r="DJ37" s="507"/>
      <c r="DK37" s="507"/>
      <c r="DL37" s="507"/>
      <c r="DM37" s="507"/>
      <c r="DN37" s="130"/>
      <c r="DO37" s="130"/>
      <c r="DP37" s="130"/>
      <c r="DQ37" s="130"/>
      <c r="DR37" s="130"/>
      <c r="DS37" s="130"/>
      <c r="DT37" s="502" t="str">
        <f>CH37</f>
        <v>ohne Verpackungsarbeiten</v>
      </c>
      <c r="DU37" s="502"/>
      <c r="DV37" s="502"/>
      <c r="DW37" s="502"/>
      <c r="DX37" s="284" t="str">
        <f>DT37</f>
        <v>ohne Verpackungsarbeiten</v>
      </c>
      <c r="DY37" s="189"/>
      <c r="DZ37" s="2"/>
      <c r="EA37" s="2"/>
      <c r="EB37" s="2"/>
      <c r="EC37" s="2"/>
      <c r="ED37" s="2"/>
      <c r="EE37" s="2"/>
      <c r="EF37" s="2"/>
      <c r="EG37" s="2"/>
      <c r="EH37" s="2"/>
      <c r="EI37" s="2"/>
    </row>
    <row r="38" spans="1:139" ht="4.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521"/>
      <c r="M38" s="460"/>
      <c r="N38" s="460"/>
      <c r="O38" s="460"/>
      <c r="P38" s="460"/>
      <c r="Q38" s="460"/>
      <c r="R38" s="460"/>
      <c r="S38" s="460"/>
      <c r="T38" s="460"/>
      <c r="U38" s="460"/>
      <c r="V38" s="460"/>
      <c r="W38" s="460"/>
      <c r="X38" s="460"/>
      <c r="Y38" s="460"/>
      <c r="Z38" s="460"/>
      <c r="AA38" s="460"/>
      <c r="AB38" s="460"/>
      <c r="AC38" s="166"/>
      <c r="AD38" s="511"/>
      <c r="AE38" s="511"/>
      <c r="AF38" s="511"/>
      <c r="AG38" s="511"/>
      <c r="AH38" s="511"/>
      <c r="AI38" s="511"/>
      <c r="AJ38" s="511"/>
      <c r="AK38" s="511"/>
      <c r="AL38" s="511"/>
      <c r="AM38" s="511"/>
      <c r="AN38" s="511"/>
      <c r="AO38" s="511"/>
      <c r="AP38" s="511"/>
      <c r="AQ38" s="511"/>
      <c r="AR38" s="511"/>
      <c r="AS38" s="511"/>
      <c r="AT38" s="511"/>
      <c r="AU38" s="511"/>
      <c r="AV38" s="511"/>
      <c r="AW38" s="511"/>
      <c r="AX38" s="511"/>
      <c r="AY38" s="511"/>
      <c r="AZ38" s="511"/>
      <c r="BA38" s="511"/>
      <c r="BB38" s="511"/>
      <c r="BC38" s="511"/>
      <c r="BD38" s="511"/>
      <c r="BE38" s="511"/>
      <c r="BF38" s="511"/>
      <c r="BG38" s="511"/>
      <c r="BH38" s="511"/>
      <c r="BI38" s="511"/>
      <c r="BJ38" s="511"/>
      <c r="BK38" s="511"/>
      <c r="BL38" s="167"/>
      <c r="BM38" s="161"/>
      <c r="BN38" s="460"/>
      <c r="BO38" s="460"/>
      <c r="BP38" s="460"/>
      <c r="BQ38" s="460"/>
      <c r="BR38" s="460"/>
      <c r="BS38" s="460"/>
      <c r="BT38" s="460"/>
      <c r="BU38" s="460"/>
      <c r="BV38" s="460"/>
      <c r="BW38" s="460"/>
      <c r="BX38" s="460"/>
      <c r="BY38" s="460"/>
      <c r="BZ38" s="460"/>
      <c r="CA38" s="460"/>
      <c r="CB38" s="460"/>
      <c r="CC38" s="460"/>
      <c r="CD38" s="460"/>
      <c r="CE38" s="167"/>
      <c r="CF38" s="505"/>
      <c r="CG38" s="505"/>
      <c r="CH38" s="507"/>
      <c r="CI38" s="507"/>
      <c r="CJ38" s="507"/>
      <c r="CK38" s="507"/>
      <c r="CL38" s="507"/>
      <c r="CM38" s="507"/>
      <c r="CN38" s="507"/>
      <c r="CO38" s="507"/>
      <c r="CP38" s="507"/>
      <c r="CQ38" s="507"/>
      <c r="CR38" s="507"/>
      <c r="CS38" s="507"/>
      <c r="CT38" s="507"/>
      <c r="CU38" s="507"/>
      <c r="CV38" s="507"/>
      <c r="CW38" s="507"/>
      <c r="CX38" s="507"/>
      <c r="CY38" s="507"/>
      <c r="CZ38" s="507"/>
      <c r="DA38" s="507"/>
      <c r="DB38" s="507"/>
      <c r="DC38" s="507"/>
      <c r="DD38" s="507"/>
      <c r="DE38" s="507"/>
      <c r="DF38" s="507"/>
      <c r="DG38" s="507"/>
      <c r="DH38" s="507"/>
      <c r="DI38" s="507"/>
      <c r="DJ38" s="507"/>
      <c r="DK38" s="507"/>
      <c r="DL38" s="507"/>
      <c r="DM38" s="507"/>
      <c r="DN38" s="130"/>
      <c r="DO38" s="130"/>
      <c r="DP38" s="130"/>
      <c r="DQ38" s="130"/>
      <c r="DR38" s="130"/>
      <c r="DS38" s="130"/>
      <c r="DT38" s="502"/>
      <c r="DU38" s="502"/>
      <c r="DV38" s="502"/>
      <c r="DW38" s="502"/>
      <c r="DX38" s="139"/>
      <c r="DY38" s="189"/>
      <c r="DZ38" s="2"/>
      <c r="EA38" s="2"/>
      <c r="EB38" s="2"/>
      <c r="EC38" s="2"/>
      <c r="ED38" s="2"/>
      <c r="EE38" s="2"/>
      <c r="EF38" s="2"/>
      <c r="EG38" s="2"/>
      <c r="EH38" s="2"/>
      <c r="EI38" s="2"/>
    </row>
    <row r="39" spans="1:139" ht="4.5" customHeight="1" x14ac:dyDescent="0.25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521" t="s">
        <v>26</v>
      </c>
      <c r="M39" s="460"/>
      <c r="N39" s="460"/>
      <c r="O39" s="460"/>
      <c r="P39" s="460"/>
      <c r="Q39" s="460"/>
      <c r="R39" s="460"/>
      <c r="S39" s="460"/>
      <c r="T39" s="460"/>
      <c r="U39" s="460"/>
      <c r="V39" s="460"/>
      <c r="W39" s="460"/>
      <c r="X39" s="460"/>
      <c r="Y39" s="460"/>
      <c r="Z39" s="460"/>
      <c r="AA39" s="460"/>
      <c r="AB39" s="460"/>
      <c r="AC39" s="166"/>
      <c r="AD39" s="511"/>
      <c r="AE39" s="511"/>
      <c r="AF39" s="511"/>
      <c r="AG39" s="511"/>
      <c r="AH39" s="511"/>
      <c r="AI39" s="511"/>
      <c r="AJ39" s="511"/>
      <c r="AK39" s="511"/>
      <c r="AL39" s="511"/>
      <c r="AM39" s="511"/>
      <c r="AN39" s="511"/>
      <c r="AO39" s="511"/>
      <c r="AP39" s="511"/>
      <c r="AQ39" s="511"/>
      <c r="AR39" s="511"/>
      <c r="AS39" s="511"/>
      <c r="AT39" s="511"/>
      <c r="AU39" s="511"/>
      <c r="AV39" s="511"/>
      <c r="AW39" s="511"/>
      <c r="AX39" s="511"/>
      <c r="AY39" s="511"/>
      <c r="AZ39" s="511"/>
      <c r="BA39" s="511"/>
      <c r="BB39" s="511"/>
      <c r="BC39" s="511"/>
      <c r="BD39" s="511"/>
      <c r="BE39" s="511"/>
      <c r="BF39" s="511"/>
      <c r="BG39" s="511"/>
      <c r="BH39" s="511"/>
      <c r="BI39" s="511"/>
      <c r="BJ39" s="511"/>
      <c r="BK39" s="511"/>
      <c r="BL39" s="167"/>
      <c r="BM39" s="161"/>
      <c r="BN39" s="460" t="s">
        <v>27</v>
      </c>
      <c r="BO39" s="460"/>
      <c r="BP39" s="460"/>
      <c r="BQ39" s="460"/>
      <c r="BR39" s="460"/>
      <c r="BS39" s="460"/>
      <c r="BT39" s="460"/>
      <c r="BU39" s="460"/>
      <c r="BV39" s="460"/>
      <c r="BW39" s="460"/>
      <c r="BX39" s="460"/>
      <c r="BY39" s="460"/>
      <c r="BZ39" s="460"/>
      <c r="CA39" s="460"/>
      <c r="CB39" s="460"/>
      <c r="CC39" s="460"/>
      <c r="CD39" s="460"/>
      <c r="CE39" s="278"/>
      <c r="CF39" s="506"/>
      <c r="CG39" s="506"/>
      <c r="CH39" s="507" t="s">
        <v>6</v>
      </c>
      <c r="CI39" s="507"/>
      <c r="CJ39" s="507"/>
      <c r="CK39" s="507"/>
      <c r="CL39" s="507"/>
      <c r="CM39" s="507"/>
      <c r="CN39" s="507"/>
      <c r="CO39" s="507"/>
      <c r="CP39" s="507"/>
      <c r="CQ39" s="507"/>
      <c r="CR39" s="507"/>
      <c r="CS39" s="507"/>
      <c r="CT39" s="507"/>
      <c r="CU39" s="507"/>
      <c r="CV39" s="507"/>
      <c r="CW39" s="507"/>
      <c r="CX39" s="507"/>
      <c r="CY39" s="507"/>
      <c r="CZ39" s="507"/>
      <c r="DA39" s="507"/>
      <c r="DB39" s="507"/>
      <c r="DC39" s="507"/>
      <c r="DD39" s="507"/>
      <c r="DE39" s="507"/>
      <c r="DF39" s="507"/>
      <c r="DG39" s="507"/>
      <c r="DH39" s="507"/>
      <c r="DI39" s="507"/>
      <c r="DJ39" s="507"/>
      <c r="DK39" s="507"/>
      <c r="DL39" s="507"/>
      <c r="DM39" s="507"/>
      <c r="DN39" s="138"/>
      <c r="DO39" s="138"/>
      <c r="DP39" s="138"/>
      <c r="DQ39" s="138"/>
      <c r="DR39" s="138"/>
      <c r="DS39" s="138"/>
      <c r="DT39" s="503"/>
      <c r="DU39" s="503"/>
      <c r="DV39" s="503"/>
      <c r="DW39" s="503"/>
      <c r="DX39" s="284" t="str">
        <f>CH39</f>
        <v>-</v>
      </c>
      <c r="DY39" s="189"/>
      <c r="DZ39" s="2"/>
      <c r="EA39" s="2"/>
      <c r="EB39" s="2"/>
      <c r="EC39" s="2"/>
      <c r="ED39" s="2"/>
      <c r="EE39" s="2"/>
      <c r="EF39" s="2"/>
      <c r="EG39" s="2"/>
      <c r="EH39" s="2"/>
      <c r="EI39" s="2"/>
    </row>
    <row r="40" spans="1:139" ht="4.5" customHeight="1" x14ac:dyDescent="0.25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521"/>
      <c r="M40" s="460"/>
      <c r="N40" s="460"/>
      <c r="O40" s="460"/>
      <c r="P40" s="460"/>
      <c r="Q40" s="460"/>
      <c r="R40" s="460"/>
      <c r="S40" s="460"/>
      <c r="T40" s="460"/>
      <c r="U40" s="460"/>
      <c r="V40" s="460"/>
      <c r="W40" s="460"/>
      <c r="X40" s="460"/>
      <c r="Y40" s="460"/>
      <c r="Z40" s="460"/>
      <c r="AA40" s="460"/>
      <c r="AB40" s="460"/>
      <c r="AC40" s="166"/>
      <c r="AD40" s="511"/>
      <c r="AE40" s="511"/>
      <c r="AF40" s="511"/>
      <c r="AG40" s="511"/>
      <c r="AH40" s="511"/>
      <c r="AI40" s="511"/>
      <c r="AJ40" s="511"/>
      <c r="AK40" s="511"/>
      <c r="AL40" s="511"/>
      <c r="AM40" s="511"/>
      <c r="AN40" s="511"/>
      <c r="AO40" s="511"/>
      <c r="AP40" s="511"/>
      <c r="AQ40" s="511"/>
      <c r="AR40" s="511"/>
      <c r="AS40" s="511"/>
      <c r="AT40" s="511"/>
      <c r="AU40" s="511"/>
      <c r="AV40" s="511"/>
      <c r="AW40" s="511"/>
      <c r="AX40" s="511"/>
      <c r="AY40" s="511"/>
      <c r="AZ40" s="511"/>
      <c r="BA40" s="511"/>
      <c r="BB40" s="511"/>
      <c r="BC40" s="511"/>
      <c r="BD40" s="511"/>
      <c r="BE40" s="511"/>
      <c r="BF40" s="511"/>
      <c r="BG40" s="511"/>
      <c r="BH40" s="511"/>
      <c r="BI40" s="511"/>
      <c r="BJ40" s="511"/>
      <c r="BK40" s="511"/>
      <c r="BL40" s="167"/>
      <c r="BM40" s="161"/>
      <c r="BN40" s="460"/>
      <c r="BO40" s="460"/>
      <c r="BP40" s="460"/>
      <c r="BQ40" s="460"/>
      <c r="BR40" s="460"/>
      <c r="BS40" s="460"/>
      <c r="BT40" s="460"/>
      <c r="BU40" s="460"/>
      <c r="BV40" s="460"/>
      <c r="BW40" s="460"/>
      <c r="BX40" s="460"/>
      <c r="BY40" s="460"/>
      <c r="BZ40" s="460"/>
      <c r="CA40" s="460"/>
      <c r="CB40" s="460"/>
      <c r="CC40" s="460"/>
      <c r="CD40" s="460"/>
      <c r="CE40" s="278"/>
      <c r="CF40" s="506"/>
      <c r="CG40" s="506"/>
      <c r="CH40" s="507"/>
      <c r="CI40" s="507"/>
      <c r="CJ40" s="507"/>
      <c r="CK40" s="507"/>
      <c r="CL40" s="507"/>
      <c r="CM40" s="507"/>
      <c r="CN40" s="507"/>
      <c r="CO40" s="507"/>
      <c r="CP40" s="507"/>
      <c r="CQ40" s="507"/>
      <c r="CR40" s="507"/>
      <c r="CS40" s="507"/>
      <c r="CT40" s="507"/>
      <c r="CU40" s="507"/>
      <c r="CV40" s="507"/>
      <c r="CW40" s="507"/>
      <c r="CX40" s="507"/>
      <c r="CY40" s="507"/>
      <c r="CZ40" s="507"/>
      <c r="DA40" s="507"/>
      <c r="DB40" s="507"/>
      <c r="DC40" s="507"/>
      <c r="DD40" s="507"/>
      <c r="DE40" s="507"/>
      <c r="DF40" s="507"/>
      <c r="DG40" s="507"/>
      <c r="DH40" s="507"/>
      <c r="DI40" s="507"/>
      <c r="DJ40" s="507"/>
      <c r="DK40" s="507"/>
      <c r="DL40" s="507"/>
      <c r="DM40" s="507"/>
      <c r="DN40" s="138"/>
      <c r="DO40" s="138"/>
      <c r="DP40" s="138"/>
      <c r="DQ40" s="138"/>
      <c r="DR40" s="138"/>
      <c r="DS40" s="138"/>
      <c r="DT40" s="503"/>
      <c r="DU40" s="503"/>
      <c r="DV40" s="503"/>
      <c r="DW40" s="503"/>
      <c r="DX40" s="285"/>
      <c r="DY40" s="189"/>
      <c r="DZ40" s="2"/>
      <c r="EA40" s="2"/>
      <c r="EB40" s="2"/>
      <c r="EC40" s="2"/>
      <c r="ED40" s="2"/>
      <c r="EE40" s="2"/>
      <c r="EF40" s="2"/>
      <c r="EG40" s="2"/>
      <c r="EH40" s="2"/>
      <c r="EI40" s="2"/>
    </row>
    <row r="41" spans="1:139" ht="4.5" customHeight="1" x14ac:dyDescent="0.25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521" t="s">
        <v>28</v>
      </c>
      <c r="M41" s="460"/>
      <c r="N41" s="460"/>
      <c r="O41" s="460"/>
      <c r="P41" s="460"/>
      <c r="Q41" s="460"/>
      <c r="R41" s="460"/>
      <c r="S41" s="460"/>
      <c r="T41" s="460"/>
      <c r="U41" s="460"/>
      <c r="V41" s="460"/>
      <c r="W41" s="460"/>
      <c r="X41" s="460"/>
      <c r="Y41" s="460"/>
      <c r="Z41" s="460"/>
      <c r="AA41" s="460"/>
      <c r="AB41" s="460"/>
      <c r="AC41" s="166"/>
      <c r="AD41" s="488"/>
      <c r="AE41" s="488"/>
      <c r="AF41" s="488"/>
      <c r="AG41" s="488"/>
      <c r="AH41" s="488"/>
      <c r="AI41" s="488"/>
      <c r="AJ41" s="488"/>
      <c r="AK41" s="488"/>
      <c r="AL41" s="488"/>
      <c r="AM41" s="488"/>
      <c r="AN41" s="520" t="s">
        <v>29</v>
      </c>
      <c r="AO41" s="520"/>
      <c r="AP41" s="520"/>
      <c r="AQ41" s="520"/>
      <c r="AR41" s="520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167"/>
      <c r="BM41" s="161"/>
      <c r="BN41" s="460" t="s">
        <v>30</v>
      </c>
      <c r="BO41" s="460"/>
      <c r="BP41" s="460"/>
      <c r="BQ41" s="460"/>
      <c r="BR41" s="460"/>
      <c r="BS41" s="460"/>
      <c r="BT41" s="460"/>
      <c r="BU41" s="460"/>
      <c r="BV41" s="460"/>
      <c r="BW41" s="460"/>
      <c r="BX41" s="460"/>
      <c r="BY41" s="460"/>
      <c r="BZ41" s="460"/>
      <c r="CA41" s="460"/>
      <c r="CB41" s="460"/>
      <c r="CC41" s="460"/>
      <c r="CD41" s="460"/>
      <c r="CE41" s="278"/>
      <c r="CF41" s="494"/>
      <c r="CG41" s="495"/>
      <c r="CH41" s="495"/>
      <c r="CI41" s="495"/>
      <c r="CJ41" s="495"/>
      <c r="CK41" s="495"/>
      <c r="CL41" s="495"/>
      <c r="CM41" s="495"/>
      <c r="CN41" s="495"/>
      <c r="CO41" s="495"/>
      <c r="CP41" s="495"/>
      <c r="CQ41" s="495"/>
      <c r="CR41" s="495"/>
      <c r="CS41" s="495"/>
      <c r="CT41" s="495"/>
      <c r="CU41" s="495"/>
      <c r="CV41" s="495"/>
      <c r="CW41" s="495"/>
      <c r="CX41" s="495"/>
      <c r="CY41" s="495"/>
      <c r="CZ41" s="495"/>
      <c r="DA41" s="495"/>
      <c r="DB41" s="495"/>
      <c r="DC41" s="495"/>
      <c r="DD41" s="495"/>
      <c r="DE41" s="495"/>
      <c r="DF41" s="495"/>
      <c r="DG41" s="495"/>
      <c r="DH41" s="495"/>
      <c r="DI41" s="495"/>
      <c r="DJ41" s="495"/>
      <c r="DK41" s="495"/>
      <c r="DL41" s="495"/>
      <c r="DM41" s="495"/>
      <c r="DN41" s="167"/>
      <c r="DO41" s="53"/>
      <c r="DP41" s="271"/>
      <c r="DQ41" s="53"/>
      <c r="DR41" s="167"/>
      <c r="DS41" s="53"/>
      <c r="DT41" s="139"/>
      <c r="DU41" s="139"/>
      <c r="DV41" s="139"/>
      <c r="DW41" s="139"/>
      <c r="DX41" s="148"/>
      <c r="DY41" s="189"/>
      <c r="DZ41" s="2"/>
      <c r="EA41" s="2"/>
      <c r="EB41" s="2"/>
      <c r="EC41" s="2"/>
      <c r="ED41" s="2"/>
      <c r="EE41" s="2"/>
      <c r="EF41" s="2"/>
      <c r="EG41" s="2"/>
      <c r="EH41" s="2"/>
      <c r="EI41" s="2"/>
    </row>
    <row r="42" spans="1:139" ht="4.5" customHeight="1" x14ac:dyDescent="0.25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521"/>
      <c r="M42" s="460"/>
      <c r="N42" s="460"/>
      <c r="O42" s="460"/>
      <c r="P42" s="460"/>
      <c r="Q42" s="460"/>
      <c r="R42" s="460"/>
      <c r="S42" s="460"/>
      <c r="T42" s="460"/>
      <c r="U42" s="460"/>
      <c r="V42" s="460"/>
      <c r="W42" s="460"/>
      <c r="X42" s="460"/>
      <c r="Y42" s="460"/>
      <c r="Z42" s="460"/>
      <c r="AA42" s="460"/>
      <c r="AB42" s="460"/>
      <c r="AC42" s="166"/>
      <c r="AD42" s="488"/>
      <c r="AE42" s="488"/>
      <c r="AF42" s="488"/>
      <c r="AG42" s="488"/>
      <c r="AH42" s="488"/>
      <c r="AI42" s="488"/>
      <c r="AJ42" s="488"/>
      <c r="AK42" s="488"/>
      <c r="AL42" s="488"/>
      <c r="AM42" s="488"/>
      <c r="AN42" s="520"/>
      <c r="AO42" s="520"/>
      <c r="AP42" s="520"/>
      <c r="AQ42" s="520"/>
      <c r="AR42" s="520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L42" s="167"/>
      <c r="BM42" s="161"/>
      <c r="BN42" s="460"/>
      <c r="BO42" s="460"/>
      <c r="BP42" s="460"/>
      <c r="BQ42" s="460"/>
      <c r="BR42" s="460"/>
      <c r="BS42" s="460"/>
      <c r="BT42" s="460"/>
      <c r="BU42" s="460"/>
      <c r="BV42" s="460"/>
      <c r="BW42" s="460"/>
      <c r="BX42" s="460"/>
      <c r="BY42" s="460"/>
      <c r="BZ42" s="460"/>
      <c r="CA42" s="460"/>
      <c r="CB42" s="460"/>
      <c r="CC42" s="460"/>
      <c r="CD42" s="460"/>
      <c r="CE42" s="278"/>
      <c r="CF42" s="495"/>
      <c r="CG42" s="495"/>
      <c r="CH42" s="495"/>
      <c r="CI42" s="495"/>
      <c r="CJ42" s="495"/>
      <c r="CK42" s="495"/>
      <c r="CL42" s="495"/>
      <c r="CM42" s="495"/>
      <c r="CN42" s="495"/>
      <c r="CO42" s="495"/>
      <c r="CP42" s="495"/>
      <c r="CQ42" s="495"/>
      <c r="CR42" s="495"/>
      <c r="CS42" s="495"/>
      <c r="CT42" s="495"/>
      <c r="CU42" s="495"/>
      <c r="CV42" s="495"/>
      <c r="CW42" s="495"/>
      <c r="CX42" s="495"/>
      <c r="CY42" s="495"/>
      <c r="CZ42" s="495"/>
      <c r="DA42" s="495"/>
      <c r="DB42" s="495"/>
      <c r="DC42" s="495"/>
      <c r="DD42" s="495"/>
      <c r="DE42" s="495"/>
      <c r="DF42" s="495"/>
      <c r="DG42" s="495"/>
      <c r="DH42" s="495"/>
      <c r="DI42" s="495"/>
      <c r="DJ42" s="495"/>
      <c r="DK42" s="495"/>
      <c r="DL42" s="495"/>
      <c r="DM42" s="495"/>
      <c r="DN42" s="167"/>
      <c r="DO42" s="53"/>
      <c r="DP42" s="271"/>
      <c r="DQ42" s="53"/>
      <c r="DR42" s="167"/>
      <c r="DS42" s="53"/>
      <c r="DT42" s="140"/>
      <c r="DU42" s="140"/>
      <c r="DV42" s="140"/>
      <c r="DW42" s="140"/>
      <c r="DX42" s="167"/>
      <c r="DY42" s="189"/>
      <c r="DZ42" s="2"/>
      <c r="EA42" s="2"/>
      <c r="EB42" s="2"/>
      <c r="EC42" s="2"/>
      <c r="ED42" s="2"/>
      <c r="EE42" s="2"/>
      <c r="EF42" s="2"/>
      <c r="EG42" s="2"/>
      <c r="EH42" s="2"/>
      <c r="EI42" s="2"/>
    </row>
    <row r="43" spans="1:139" ht="10.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540" t="s">
        <v>242</v>
      </c>
      <c r="M43" s="541"/>
      <c r="N43" s="541"/>
      <c r="O43" s="541"/>
      <c r="P43" s="541"/>
      <c r="Q43" s="541"/>
      <c r="R43" s="541"/>
      <c r="S43" s="541"/>
      <c r="T43" s="541"/>
      <c r="U43" s="541"/>
      <c r="V43" s="541"/>
      <c r="W43" s="541"/>
      <c r="X43" s="541"/>
      <c r="Y43" s="541"/>
      <c r="Z43" s="541"/>
      <c r="AA43" s="541"/>
      <c r="AB43" s="541"/>
      <c r="AC43" s="167"/>
      <c r="AD43" s="542"/>
      <c r="AE43" s="542"/>
      <c r="AF43" s="542"/>
      <c r="AG43" s="542"/>
      <c r="AH43" s="542"/>
      <c r="AI43" s="542"/>
      <c r="AJ43" s="542"/>
      <c r="AK43" s="542"/>
      <c r="AL43" s="542"/>
      <c r="AM43" s="542"/>
      <c r="AN43" s="167"/>
      <c r="AO43" s="167"/>
      <c r="AP43" s="167"/>
      <c r="AQ43" s="167"/>
      <c r="AR43" s="167"/>
      <c r="AS43" s="167"/>
      <c r="AT43" s="167"/>
      <c r="AU43" s="167"/>
      <c r="AV43" s="167"/>
      <c r="AW43" s="167"/>
      <c r="AX43" s="167"/>
      <c r="AY43" s="167"/>
      <c r="AZ43" s="167"/>
      <c r="BA43" s="167"/>
      <c r="BB43" s="167"/>
      <c r="BC43" s="167"/>
      <c r="BD43" s="167"/>
      <c r="BE43" s="167"/>
      <c r="BF43" s="167"/>
      <c r="BG43" s="167"/>
      <c r="BH43" s="167"/>
      <c r="BI43" s="167"/>
      <c r="BJ43" s="167"/>
      <c r="BK43" s="167"/>
      <c r="BL43" s="167"/>
      <c r="BM43" s="167"/>
      <c r="BN43" s="167"/>
      <c r="BO43" s="167"/>
      <c r="BP43" s="225"/>
      <c r="BQ43" s="225"/>
      <c r="BR43" s="225"/>
      <c r="BS43" s="225"/>
      <c r="BT43" s="225"/>
      <c r="BU43" s="225"/>
      <c r="BV43" s="225"/>
      <c r="BW43" s="225"/>
      <c r="BX43" s="225"/>
      <c r="BY43" s="225"/>
      <c r="BZ43" s="225"/>
      <c r="CA43" s="225"/>
      <c r="CB43" s="225"/>
      <c r="CC43" s="225"/>
      <c r="CD43" s="225"/>
      <c r="CE43" s="225"/>
      <c r="CF43" s="225"/>
      <c r="CG43" s="225"/>
      <c r="CH43" s="225"/>
      <c r="CI43" s="225"/>
      <c r="CJ43" s="225"/>
      <c r="CK43" s="225"/>
      <c r="CL43" s="225"/>
      <c r="CM43" s="225"/>
      <c r="CN43" s="225"/>
      <c r="CO43" s="225"/>
      <c r="CP43" s="225"/>
      <c r="CQ43" s="225"/>
      <c r="CR43" s="225"/>
      <c r="CS43" s="225"/>
      <c r="CT43" s="225"/>
      <c r="CU43" s="225"/>
      <c r="CV43" s="225"/>
      <c r="CW43" s="225"/>
      <c r="CX43" s="225"/>
      <c r="CY43" s="225"/>
      <c r="CZ43" s="225"/>
      <c r="DA43" s="225"/>
      <c r="DB43" s="225"/>
      <c r="DC43" s="225"/>
      <c r="DD43" s="225"/>
      <c r="DE43" s="225"/>
      <c r="DF43" s="225"/>
      <c r="DG43" s="225"/>
      <c r="DH43" s="225"/>
      <c r="DI43" s="225"/>
      <c r="DJ43" s="225"/>
      <c r="DK43" s="225"/>
      <c r="DL43" s="225"/>
      <c r="DM43" s="225"/>
      <c r="DN43" s="225"/>
      <c r="DO43" s="273"/>
      <c r="DP43" s="251"/>
      <c r="DQ43" s="273"/>
      <c r="DR43" s="225"/>
      <c r="DS43" s="273"/>
      <c r="DT43" s="286"/>
      <c r="DU43" s="286"/>
      <c r="DV43" s="286"/>
      <c r="DW43" s="286"/>
      <c r="DX43" s="286"/>
      <c r="DY43" s="189"/>
      <c r="DZ43" s="2"/>
      <c r="EA43" s="2"/>
      <c r="EB43" s="2"/>
      <c r="EC43" s="2"/>
      <c r="ED43" s="2"/>
      <c r="EE43" s="2"/>
      <c r="EF43" s="2"/>
      <c r="EG43" s="2"/>
      <c r="EH43" s="2"/>
      <c r="EI43" s="2"/>
    </row>
    <row r="44" spans="1:139" ht="4.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287"/>
      <c r="M44" s="235"/>
      <c r="N44" s="235"/>
      <c r="O44" s="235"/>
      <c r="P44" s="235"/>
      <c r="Q44" s="235"/>
      <c r="R44" s="235"/>
      <c r="S44" s="235"/>
      <c r="T44" s="235"/>
      <c r="U44" s="235"/>
      <c r="V44" s="235"/>
      <c r="W44" s="235"/>
      <c r="X44" s="235"/>
      <c r="Y44" s="235"/>
      <c r="Z44" s="235"/>
      <c r="AA44" s="235"/>
      <c r="AB44" s="235"/>
      <c r="AC44" s="235"/>
      <c r="AD44" s="235"/>
      <c r="AE44" s="235"/>
      <c r="AF44" s="235"/>
      <c r="AG44" s="235"/>
      <c r="AH44" s="235"/>
      <c r="AI44" s="235"/>
      <c r="AJ44" s="235"/>
      <c r="AK44" s="235"/>
      <c r="AL44" s="235"/>
      <c r="AM44" s="235"/>
      <c r="AN44" s="235"/>
      <c r="AO44" s="235"/>
      <c r="AP44" s="235"/>
      <c r="AQ44" s="235"/>
      <c r="AR44" s="235"/>
      <c r="AS44" s="235"/>
      <c r="AT44" s="235"/>
      <c r="AU44" s="235"/>
      <c r="AV44" s="235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BJ44" s="235"/>
      <c r="BK44" s="235"/>
      <c r="BL44" s="235"/>
      <c r="BM44" s="235"/>
      <c r="BN44" s="235"/>
      <c r="BO44" s="235"/>
      <c r="BP44" s="235"/>
      <c r="BQ44" s="235"/>
      <c r="BR44" s="235"/>
      <c r="BS44" s="235"/>
      <c r="BT44" s="235"/>
      <c r="BU44" s="235"/>
      <c r="BV44" s="235"/>
      <c r="BW44" s="235"/>
      <c r="BX44" s="235"/>
      <c r="BY44" s="235"/>
      <c r="BZ44" s="235"/>
      <c r="CA44" s="235"/>
      <c r="CB44" s="235"/>
      <c r="CC44" s="235"/>
      <c r="CD44" s="235"/>
      <c r="CE44" s="235"/>
      <c r="CF44" s="235"/>
      <c r="CG44" s="235"/>
      <c r="CH44" s="235"/>
      <c r="CI44" s="235"/>
      <c r="CJ44" s="23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  <c r="CW44" s="235"/>
      <c r="CX44" s="235"/>
      <c r="CY44" s="235"/>
      <c r="CZ44" s="235"/>
      <c r="DA44" s="235"/>
      <c r="DB44" s="235"/>
      <c r="DC44" s="235"/>
      <c r="DD44" s="235"/>
      <c r="DE44" s="235"/>
      <c r="DF44" s="235"/>
      <c r="DG44" s="235"/>
      <c r="DH44" s="235"/>
      <c r="DI44" s="235"/>
      <c r="DJ44" s="235"/>
      <c r="DK44" s="235"/>
      <c r="DL44" s="235"/>
      <c r="DM44" s="235"/>
      <c r="DN44" s="235"/>
      <c r="DO44" s="234"/>
      <c r="DP44" s="238"/>
      <c r="DQ44" s="234"/>
      <c r="DR44" s="234"/>
      <c r="DS44" s="234"/>
      <c r="DT44" s="235"/>
      <c r="DU44" s="235"/>
      <c r="DV44" s="235"/>
      <c r="DW44" s="235"/>
      <c r="DX44" s="235"/>
      <c r="DY44" s="189"/>
      <c r="DZ44" s="2"/>
      <c r="EA44" s="2"/>
      <c r="EB44" s="2"/>
      <c r="EC44" s="2"/>
      <c r="ED44" s="2"/>
      <c r="EE44" s="2"/>
      <c r="EF44" s="2"/>
      <c r="EG44" s="2"/>
      <c r="EH44" s="2"/>
      <c r="EI44" s="2"/>
    </row>
    <row r="45" spans="1:139" ht="4.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537" t="s">
        <v>31</v>
      </c>
      <c r="M45" s="538"/>
      <c r="N45" s="538"/>
      <c r="O45" s="538"/>
      <c r="P45" s="538"/>
      <c r="Q45" s="538"/>
      <c r="R45" s="538"/>
      <c r="S45" s="538"/>
      <c r="T45" s="538"/>
      <c r="U45" s="538"/>
      <c r="V45" s="538"/>
      <c r="W45" s="538"/>
      <c r="X45" s="538"/>
      <c r="Y45" s="538"/>
      <c r="Z45" s="538"/>
      <c r="AA45" s="538"/>
      <c r="AB45" s="538"/>
      <c r="AC45" s="453"/>
      <c r="AD45" s="539" t="s">
        <v>32</v>
      </c>
      <c r="AE45" s="539"/>
      <c r="AF45" s="539"/>
      <c r="AG45" s="539"/>
      <c r="AH45" s="539"/>
      <c r="AI45" s="539"/>
      <c r="AJ45" s="539"/>
      <c r="AK45" s="539"/>
      <c r="AL45" s="539"/>
      <c r="AM45" s="539"/>
      <c r="AN45" s="539"/>
      <c r="AO45" s="539"/>
      <c r="AP45" s="539"/>
      <c r="AQ45" s="539"/>
      <c r="AR45" s="539"/>
      <c r="AS45" s="539"/>
      <c r="AT45" s="539"/>
      <c r="AU45" s="539"/>
      <c r="AV45" s="539"/>
      <c r="AW45" s="539"/>
      <c r="AX45" s="539"/>
      <c r="AY45" s="539"/>
      <c r="AZ45" s="539"/>
      <c r="BA45" s="539"/>
      <c r="BB45" s="539"/>
      <c r="BC45" s="539"/>
      <c r="BD45" s="539"/>
      <c r="BE45" s="539"/>
      <c r="BF45" s="539"/>
      <c r="BG45" s="539"/>
      <c r="BH45" s="539"/>
      <c r="BI45" s="539"/>
      <c r="BJ45" s="539"/>
      <c r="BK45" s="539"/>
      <c r="BL45" s="323"/>
      <c r="BM45" s="324"/>
      <c r="BN45" s="496" t="s">
        <v>33</v>
      </c>
      <c r="BO45" s="496"/>
      <c r="BP45" s="496"/>
      <c r="BQ45" s="496"/>
      <c r="BR45" s="496"/>
      <c r="BS45" s="496"/>
      <c r="BT45" s="496"/>
      <c r="BU45" s="496"/>
      <c r="BV45" s="496"/>
      <c r="BW45" s="496"/>
      <c r="BX45" s="496"/>
      <c r="BY45" s="496"/>
      <c r="BZ45" s="496"/>
      <c r="CA45" s="496"/>
      <c r="CB45" s="496"/>
      <c r="CC45" s="496"/>
      <c r="CD45" s="496"/>
      <c r="CE45" s="167"/>
      <c r="CF45" s="530" t="s">
        <v>34</v>
      </c>
      <c r="CG45" s="530"/>
      <c r="CH45" s="530"/>
      <c r="CI45" s="530"/>
      <c r="CJ45" s="530"/>
      <c r="CK45" s="530"/>
      <c r="CL45" s="530"/>
      <c r="CM45" s="530"/>
      <c r="CN45" s="530"/>
      <c r="CO45" s="530"/>
      <c r="CP45" s="530"/>
      <c r="CQ45" s="530"/>
      <c r="CR45" s="530"/>
      <c r="CS45" s="530"/>
      <c r="CT45" s="530"/>
      <c r="CU45" s="530"/>
      <c r="CV45" s="530"/>
      <c r="CW45" s="530"/>
      <c r="CX45" s="530"/>
      <c r="CY45" s="530"/>
      <c r="CZ45" s="530"/>
      <c r="DA45" s="530"/>
      <c r="DB45" s="530"/>
      <c r="DC45" s="530"/>
      <c r="DD45" s="530"/>
      <c r="DE45" s="530"/>
      <c r="DF45" s="530"/>
      <c r="DG45" s="530"/>
      <c r="DH45" s="530"/>
      <c r="DI45" s="530"/>
      <c r="DJ45" s="530"/>
      <c r="DK45" s="530"/>
      <c r="DL45" s="530"/>
      <c r="DM45" s="530"/>
      <c r="DN45" s="167"/>
      <c r="DO45" s="53"/>
      <c r="DP45" s="271"/>
      <c r="DQ45" s="53"/>
      <c r="DR45" s="53"/>
      <c r="DS45" s="53"/>
      <c r="DT45" s="167"/>
      <c r="DU45" s="167"/>
      <c r="DV45" s="167"/>
      <c r="DW45" s="167"/>
      <c r="DX45" s="167"/>
      <c r="DY45" s="189"/>
      <c r="DZ45" s="2"/>
      <c r="EA45" s="2"/>
      <c r="EB45" s="2"/>
      <c r="EC45" s="2"/>
      <c r="ED45" s="2"/>
      <c r="EE45" s="2"/>
      <c r="EF45" s="2"/>
      <c r="EG45" s="2"/>
      <c r="EH45" s="2"/>
      <c r="EI45" s="2"/>
    </row>
    <row r="46" spans="1:139" ht="4.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537"/>
      <c r="M46" s="538"/>
      <c r="N46" s="538"/>
      <c r="O46" s="538"/>
      <c r="P46" s="538"/>
      <c r="Q46" s="538"/>
      <c r="R46" s="538"/>
      <c r="S46" s="538"/>
      <c r="T46" s="538"/>
      <c r="U46" s="538"/>
      <c r="V46" s="538"/>
      <c r="W46" s="538"/>
      <c r="X46" s="538"/>
      <c r="Y46" s="538"/>
      <c r="Z46" s="538"/>
      <c r="AA46" s="538"/>
      <c r="AB46" s="538"/>
      <c r="AC46" s="453"/>
      <c r="AD46" s="539"/>
      <c r="AE46" s="539"/>
      <c r="AF46" s="539"/>
      <c r="AG46" s="539"/>
      <c r="AH46" s="539"/>
      <c r="AI46" s="539"/>
      <c r="AJ46" s="539"/>
      <c r="AK46" s="539"/>
      <c r="AL46" s="539"/>
      <c r="AM46" s="539"/>
      <c r="AN46" s="539"/>
      <c r="AO46" s="539"/>
      <c r="AP46" s="539"/>
      <c r="AQ46" s="539"/>
      <c r="AR46" s="539"/>
      <c r="AS46" s="539"/>
      <c r="AT46" s="539"/>
      <c r="AU46" s="539"/>
      <c r="AV46" s="539"/>
      <c r="AW46" s="539"/>
      <c r="AX46" s="539"/>
      <c r="AY46" s="539"/>
      <c r="AZ46" s="539"/>
      <c r="BA46" s="539"/>
      <c r="BB46" s="539"/>
      <c r="BC46" s="539"/>
      <c r="BD46" s="539"/>
      <c r="BE46" s="539"/>
      <c r="BF46" s="539"/>
      <c r="BG46" s="539"/>
      <c r="BH46" s="539"/>
      <c r="BI46" s="539"/>
      <c r="BJ46" s="539"/>
      <c r="BK46" s="539"/>
      <c r="BL46" s="323"/>
      <c r="BM46" s="324"/>
      <c r="BN46" s="496"/>
      <c r="BO46" s="496"/>
      <c r="BP46" s="496"/>
      <c r="BQ46" s="496"/>
      <c r="BR46" s="496"/>
      <c r="BS46" s="496"/>
      <c r="BT46" s="496"/>
      <c r="BU46" s="496"/>
      <c r="BV46" s="496"/>
      <c r="BW46" s="496"/>
      <c r="BX46" s="496"/>
      <c r="BY46" s="496"/>
      <c r="BZ46" s="496"/>
      <c r="CA46" s="496"/>
      <c r="CB46" s="496"/>
      <c r="CC46" s="496"/>
      <c r="CD46" s="496"/>
      <c r="CE46" s="167"/>
      <c r="CF46" s="530"/>
      <c r="CG46" s="530"/>
      <c r="CH46" s="530"/>
      <c r="CI46" s="530"/>
      <c r="CJ46" s="530"/>
      <c r="CK46" s="530"/>
      <c r="CL46" s="530"/>
      <c r="CM46" s="530"/>
      <c r="CN46" s="530"/>
      <c r="CO46" s="530"/>
      <c r="CP46" s="530"/>
      <c r="CQ46" s="530"/>
      <c r="CR46" s="530"/>
      <c r="CS46" s="530"/>
      <c r="CT46" s="530"/>
      <c r="CU46" s="530"/>
      <c r="CV46" s="530"/>
      <c r="CW46" s="530"/>
      <c r="CX46" s="530"/>
      <c r="CY46" s="530"/>
      <c r="CZ46" s="530"/>
      <c r="DA46" s="530"/>
      <c r="DB46" s="530"/>
      <c r="DC46" s="530"/>
      <c r="DD46" s="530"/>
      <c r="DE46" s="530"/>
      <c r="DF46" s="530"/>
      <c r="DG46" s="530"/>
      <c r="DH46" s="530"/>
      <c r="DI46" s="530"/>
      <c r="DJ46" s="530"/>
      <c r="DK46" s="530"/>
      <c r="DL46" s="530"/>
      <c r="DM46" s="530"/>
      <c r="DN46" s="167"/>
      <c r="DO46" s="53"/>
      <c r="DP46" s="271"/>
      <c r="DQ46" s="53"/>
      <c r="DR46" s="53"/>
      <c r="DS46" s="53"/>
      <c r="DT46" s="167"/>
      <c r="DU46" s="167"/>
      <c r="DV46" s="167"/>
      <c r="DW46" s="167"/>
      <c r="DX46" s="167"/>
      <c r="DY46" s="189"/>
      <c r="DZ46" s="2"/>
      <c r="EA46" s="2"/>
      <c r="EB46" s="2"/>
      <c r="EC46" s="2"/>
      <c r="ED46" s="2"/>
      <c r="EE46" s="2"/>
      <c r="EF46" s="2"/>
      <c r="EG46" s="2"/>
      <c r="EH46" s="2"/>
      <c r="EI46" s="2"/>
    </row>
    <row r="47" spans="1:139" ht="4.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455"/>
      <c r="M47" s="453"/>
      <c r="N47" s="528" t="s">
        <v>428</v>
      </c>
      <c r="O47" s="528"/>
      <c r="P47" s="528"/>
      <c r="Q47" s="528"/>
      <c r="R47" s="528"/>
      <c r="S47" s="528"/>
      <c r="T47" s="528"/>
      <c r="U47" s="528"/>
      <c r="V47" s="528"/>
      <c r="W47" s="528"/>
      <c r="X47" s="528"/>
      <c r="Y47" s="528"/>
      <c r="Z47" s="528"/>
      <c r="AA47" s="528"/>
      <c r="AB47" s="528"/>
      <c r="AC47" s="528"/>
      <c r="AD47" s="528"/>
      <c r="AE47" s="528"/>
      <c r="AF47" s="528"/>
      <c r="AG47" s="528"/>
      <c r="AH47" s="528"/>
      <c r="AI47" s="528"/>
      <c r="AJ47" s="528"/>
      <c r="AK47" s="528"/>
      <c r="AL47" s="528"/>
      <c r="AM47" s="528"/>
      <c r="AN47" s="528"/>
      <c r="AO47" s="528"/>
      <c r="AP47" s="528"/>
      <c r="AQ47" s="528"/>
      <c r="AR47" s="528"/>
      <c r="AS47" s="528"/>
      <c r="AT47" s="528"/>
      <c r="AU47" s="528"/>
      <c r="AV47" s="528"/>
      <c r="AW47" s="528"/>
      <c r="AX47" s="528"/>
      <c r="AY47" s="528"/>
      <c r="AZ47" s="528"/>
      <c r="BA47" s="528"/>
      <c r="BB47" s="528"/>
      <c r="BC47" s="528"/>
      <c r="BD47" s="528"/>
      <c r="BE47" s="528"/>
      <c r="BF47" s="528"/>
      <c r="BG47" s="528"/>
      <c r="BH47" s="528"/>
      <c r="BI47" s="528"/>
      <c r="BJ47" s="528"/>
      <c r="BK47" s="528"/>
      <c r="BL47" s="325"/>
      <c r="BM47" s="326"/>
      <c r="BN47" s="319"/>
      <c r="BO47" s="319"/>
      <c r="BP47" s="528" t="s">
        <v>417</v>
      </c>
      <c r="BQ47" s="528"/>
      <c r="BR47" s="528"/>
      <c r="BS47" s="528"/>
      <c r="BT47" s="528"/>
      <c r="BU47" s="528"/>
      <c r="BV47" s="528"/>
      <c r="BW47" s="528"/>
      <c r="BX47" s="528"/>
      <c r="BY47" s="528"/>
      <c r="BZ47" s="528"/>
      <c r="CA47" s="528"/>
      <c r="CB47" s="528"/>
      <c r="CC47" s="528"/>
      <c r="CD47" s="528"/>
      <c r="CE47" s="528"/>
      <c r="CF47" s="528"/>
      <c r="CG47" s="528"/>
      <c r="CH47" s="528"/>
      <c r="CI47" s="528"/>
      <c r="CJ47" s="528"/>
      <c r="CK47" s="528"/>
      <c r="CL47" s="528"/>
      <c r="CM47" s="528"/>
      <c r="CN47" s="528"/>
      <c r="CO47" s="528"/>
      <c r="CP47" s="528"/>
      <c r="CQ47" s="528"/>
      <c r="CR47" s="528"/>
      <c r="CS47" s="528"/>
      <c r="CT47" s="528"/>
      <c r="CU47" s="528"/>
      <c r="CV47" s="528"/>
      <c r="CW47" s="528"/>
      <c r="CX47" s="528"/>
      <c r="CY47" s="528"/>
      <c r="CZ47" s="528"/>
      <c r="DA47" s="528"/>
      <c r="DB47" s="528"/>
      <c r="DC47" s="528"/>
      <c r="DD47" s="528"/>
      <c r="DE47" s="528"/>
      <c r="DF47" s="528"/>
      <c r="DG47" s="528"/>
      <c r="DH47" s="528"/>
      <c r="DI47" s="528"/>
      <c r="DJ47" s="528"/>
      <c r="DK47" s="528"/>
      <c r="DL47" s="528"/>
      <c r="DM47" s="528"/>
      <c r="DN47" s="167"/>
      <c r="DO47" s="53"/>
      <c r="DP47" s="271"/>
      <c r="DQ47" s="53"/>
      <c r="DR47" s="53"/>
      <c r="DS47" s="53"/>
      <c r="DT47" s="167"/>
      <c r="DU47" s="167"/>
      <c r="DV47" s="167"/>
      <c r="DW47" s="167"/>
      <c r="DX47" s="167"/>
      <c r="DY47" s="189"/>
      <c r="DZ47" s="2"/>
      <c r="EA47" s="2"/>
      <c r="EB47" s="2"/>
      <c r="EC47" s="2"/>
      <c r="ED47" s="2"/>
      <c r="EE47" s="2"/>
      <c r="EF47" s="2"/>
      <c r="EG47" s="2"/>
      <c r="EH47" s="2"/>
      <c r="EI47" s="2"/>
    </row>
    <row r="48" spans="1:139" ht="4.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455"/>
      <c r="M48" s="453"/>
      <c r="N48" s="529"/>
      <c r="O48" s="529"/>
      <c r="P48" s="529"/>
      <c r="Q48" s="529"/>
      <c r="R48" s="529"/>
      <c r="S48" s="529"/>
      <c r="T48" s="529"/>
      <c r="U48" s="529"/>
      <c r="V48" s="529"/>
      <c r="W48" s="529"/>
      <c r="X48" s="529"/>
      <c r="Y48" s="529"/>
      <c r="Z48" s="529"/>
      <c r="AA48" s="529"/>
      <c r="AB48" s="529"/>
      <c r="AC48" s="529"/>
      <c r="AD48" s="529"/>
      <c r="AE48" s="529"/>
      <c r="AF48" s="529"/>
      <c r="AG48" s="529"/>
      <c r="AH48" s="529"/>
      <c r="AI48" s="529"/>
      <c r="AJ48" s="529"/>
      <c r="AK48" s="529"/>
      <c r="AL48" s="529"/>
      <c r="AM48" s="529"/>
      <c r="AN48" s="529"/>
      <c r="AO48" s="529"/>
      <c r="AP48" s="529"/>
      <c r="AQ48" s="529"/>
      <c r="AR48" s="529"/>
      <c r="AS48" s="529"/>
      <c r="AT48" s="529"/>
      <c r="AU48" s="529"/>
      <c r="AV48" s="529"/>
      <c r="AW48" s="529"/>
      <c r="AX48" s="529"/>
      <c r="AY48" s="529"/>
      <c r="AZ48" s="529"/>
      <c r="BA48" s="529"/>
      <c r="BB48" s="529"/>
      <c r="BC48" s="529"/>
      <c r="BD48" s="529"/>
      <c r="BE48" s="529"/>
      <c r="BF48" s="529"/>
      <c r="BG48" s="529"/>
      <c r="BH48" s="529"/>
      <c r="BI48" s="529"/>
      <c r="BJ48" s="529"/>
      <c r="BK48" s="529"/>
      <c r="BL48" s="325"/>
      <c r="BM48" s="326"/>
      <c r="BN48" s="320"/>
      <c r="BO48" s="320"/>
      <c r="BP48" s="529"/>
      <c r="BQ48" s="529"/>
      <c r="BR48" s="529"/>
      <c r="BS48" s="529"/>
      <c r="BT48" s="529"/>
      <c r="BU48" s="529"/>
      <c r="BV48" s="529"/>
      <c r="BW48" s="529"/>
      <c r="BX48" s="529"/>
      <c r="BY48" s="529"/>
      <c r="BZ48" s="529"/>
      <c r="CA48" s="529"/>
      <c r="CB48" s="529"/>
      <c r="CC48" s="529"/>
      <c r="CD48" s="529"/>
      <c r="CE48" s="529"/>
      <c r="CF48" s="529"/>
      <c r="CG48" s="529"/>
      <c r="CH48" s="529"/>
      <c r="CI48" s="529"/>
      <c r="CJ48" s="529"/>
      <c r="CK48" s="529"/>
      <c r="CL48" s="529"/>
      <c r="CM48" s="529"/>
      <c r="CN48" s="529"/>
      <c r="CO48" s="529"/>
      <c r="CP48" s="529"/>
      <c r="CQ48" s="529"/>
      <c r="CR48" s="529"/>
      <c r="CS48" s="529"/>
      <c r="CT48" s="529"/>
      <c r="CU48" s="529"/>
      <c r="CV48" s="529"/>
      <c r="CW48" s="529"/>
      <c r="CX48" s="529"/>
      <c r="CY48" s="529"/>
      <c r="CZ48" s="529"/>
      <c r="DA48" s="529"/>
      <c r="DB48" s="529"/>
      <c r="DC48" s="529"/>
      <c r="DD48" s="529"/>
      <c r="DE48" s="529"/>
      <c r="DF48" s="529"/>
      <c r="DG48" s="529"/>
      <c r="DH48" s="529"/>
      <c r="DI48" s="529"/>
      <c r="DJ48" s="529"/>
      <c r="DK48" s="529"/>
      <c r="DL48" s="529"/>
      <c r="DM48" s="529"/>
      <c r="DN48" s="167"/>
      <c r="DO48" s="53"/>
      <c r="DP48" s="271"/>
      <c r="DQ48" s="53"/>
      <c r="DR48" s="53"/>
      <c r="DS48" s="53"/>
      <c r="DT48" s="167"/>
      <c r="DU48" s="167"/>
      <c r="DV48" s="167"/>
      <c r="DW48" s="167"/>
      <c r="DX48" s="167"/>
      <c r="DY48" s="189"/>
      <c r="DZ48" s="2"/>
      <c r="EA48" s="2"/>
      <c r="EB48" s="2"/>
      <c r="EC48" s="2"/>
      <c r="ED48" s="2"/>
      <c r="EE48" s="2"/>
      <c r="EF48" s="2"/>
      <c r="EG48" s="2"/>
      <c r="EH48" s="2"/>
      <c r="EI48" s="2"/>
    </row>
    <row r="49" spans="1:139" ht="4.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455"/>
      <c r="M49" s="453"/>
      <c r="N49" s="531"/>
      <c r="O49" s="531"/>
      <c r="P49" s="531"/>
      <c r="Q49" s="531"/>
      <c r="R49" s="531"/>
      <c r="S49" s="531"/>
      <c r="T49" s="531"/>
      <c r="U49" s="531"/>
      <c r="V49" s="531"/>
      <c r="W49" s="531"/>
      <c r="X49" s="531"/>
      <c r="Y49" s="531"/>
      <c r="Z49" s="531"/>
      <c r="AA49" s="531"/>
      <c r="AB49" s="531"/>
      <c r="AC49" s="531"/>
      <c r="AD49" s="531"/>
      <c r="AE49" s="531"/>
      <c r="AF49" s="531"/>
      <c r="AG49" s="531"/>
      <c r="AH49" s="531"/>
      <c r="AI49" s="531"/>
      <c r="AJ49" s="531"/>
      <c r="AK49" s="531"/>
      <c r="AL49" s="531"/>
      <c r="AM49" s="531"/>
      <c r="AN49" s="531"/>
      <c r="AO49" s="531"/>
      <c r="AP49" s="531"/>
      <c r="AQ49" s="531"/>
      <c r="AR49" s="531"/>
      <c r="AS49" s="531"/>
      <c r="AT49" s="531"/>
      <c r="AU49" s="531"/>
      <c r="AV49" s="531"/>
      <c r="AW49" s="531"/>
      <c r="AX49" s="531"/>
      <c r="AY49" s="531"/>
      <c r="AZ49" s="531"/>
      <c r="BA49" s="531"/>
      <c r="BB49" s="531"/>
      <c r="BC49" s="531"/>
      <c r="BD49" s="531"/>
      <c r="BE49" s="531"/>
      <c r="BF49" s="531"/>
      <c r="BG49" s="531"/>
      <c r="BH49" s="531"/>
      <c r="BI49" s="531"/>
      <c r="BJ49" s="531"/>
      <c r="BK49" s="531"/>
      <c r="BL49" s="327"/>
      <c r="BM49" s="328"/>
      <c r="BN49" s="321"/>
      <c r="BO49" s="321"/>
      <c r="BP49" s="490" t="s">
        <v>416</v>
      </c>
      <c r="BQ49" s="490"/>
      <c r="BR49" s="490"/>
      <c r="BS49" s="490"/>
      <c r="BT49" s="490"/>
      <c r="BU49" s="490"/>
      <c r="BV49" s="490"/>
      <c r="BW49" s="490"/>
      <c r="BX49" s="490"/>
      <c r="BY49" s="490"/>
      <c r="BZ49" s="490"/>
      <c r="CA49" s="490"/>
      <c r="CB49" s="490"/>
      <c r="CC49" s="490"/>
      <c r="CD49" s="490"/>
      <c r="CE49" s="490"/>
      <c r="CF49" s="490"/>
      <c r="CG49" s="490"/>
      <c r="CH49" s="490"/>
      <c r="CI49" s="490"/>
      <c r="CJ49" s="490"/>
      <c r="CK49" s="490"/>
      <c r="CL49" s="490"/>
      <c r="CM49" s="490"/>
      <c r="CN49" s="490"/>
      <c r="CO49" s="490"/>
      <c r="CP49" s="490"/>
      <c r="CQ49" s="490"/>
      <c r="CR49" s="490"/>
      <c r="CS49" s="490"/>
      <c r="CT49" s="490"/>
      <c r="CU49" s="490"/>
      <c r="CV49" s="490"/>
      <c r="CW49" s="490"/>
      <c r="CX49" s="490"/>
      <c r="CY49" s="490"/>
      <c r="CZ49" s="490"/>
      <c r="DA49" s="490"/>
      <c r="DB49" s="490"/>
      <c r="DC49" s="490"/>
      <c r="DD49" s="490"/>
      <c r="DE49" s="490"/>
      <c r="DF49" s="490"/>
      <c r="DG49" s="490"/>
      <c r="DH49" s="490"/>
      <c r="DI49" s="490"/>
      <c r="DJ49" s="490"/>
      <c r="DK49" s="490"/>
      <c r="DL49" s="490"/>
      <c r="DM49" s="490"/>
      <c r="DN49" s="167"/>
      <c r="DO49" s="53"/>
      <c r="DP49" s="271"/>
      <c r="DQ49" s="53"/>
      <c r="DR49" s="53"/>
      <c r="DS49" s="53"/>
      <c r="DT49" s="167"/>
      <c r="DU49" s="167"/>
      <c r="DV49" s="167"/>
      <c r="DW49" s="167"/>
      <c r="DX49" s="167"/>
      <c r="DY49" s="189"/>
      <c r="DZ49" s="2"/>
      <c r="EA49" s="2"/>
      <c r="EB49" s="2"/>
      <c r="EC49" s="2"/>
      <c r="ED49" s="2"/>
      <c r="EE49" s="2"/>
      <c r="EF49" s="2"/>
      <c r="EG49" s="2"/>
      <c r="EH49" s="2"/>
      <c r="EI49" s="2"/>
    </row>
    <row r="50" spans="1:139" ht="4.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455"/>
      <c r="M50" s="453"/>
      <c r="N50" s="531"/>
      <c r="O50" s="531"/>
      <c r="P50" s="531"/>
      <c r="Q50" s="531"/>
      <c r="R50" s="531"/>
      <c r="S50" s="531"/>
      <c r="T50" s="531"/>
      <c r="U50" s="531"/>
      <c r="V50" s="531"/>
      <c r="W50" s="531"/>
      <c r="X50" s="531"/>
      <c r="Y50" s="531"/>
      <c r="Z50" s="531"/>
      <c r="AA50" s="531"/>
      <c r="AB50" s="531"/>
      <c r="AC50" s="531"/>
      <c r="AD50" s="531"/>
      <c r="AE50" s="531"/>
      <c r="AF50" s="531"/>
      <c r="AG50" s="531"/>
      <c r="AH50" s="531"/>
      <c r="AI50" s="531"/>
      <c r="AJ50" s="531"/>
      <c r="AK50" s="531"/>
      <c r="AL50" s="531"/>
      <c r="AM50" s="531"/>
      <c r="AN50" s="531"/>
      <c r="AO50" s="531"/>
      <c r="AP50" s="531"/>
      <c r="AQ50" s="531"/>
      <c r="AR50" s="531"/>
      <c r="AS50" s="531"/>
      <c r="AT50" s="531"/>
      <c r="AU50" s="531"/>
      <c r="AV50" s="531"/>
      <c r="AW50" s="531"/>
      <c r="AX50" s="531"/>
      <c r="AY50" s="531"/>
      <c r="AZ50" s="531"/>
      <c r="BA50" s="531"/>
      <c r="BB50" s="531"/>
      <c r="BC50" s="531"/>
      <c r="BD50" s="531"/>
      <c r="BE50" s="531"/>
      <c r="BF50" s="531"/>
      <c r="BG50" s="531"/>
      <c r="BH50" s="531"/>
      <c r="BI50" s="531"/>
      <c r="BJ50" s="531"/>
      <c r="BK50" s="531"/>
      <c r="BL50" s="327"/>
      <c r="BM50" s="328"/>
      <c r="BN50" s="321"/>
      <c r="BO50" s="321"/>
      <c r="BP50" s="490"/>
      <c r="BQ50" s="490"/>
      <c r="BR50" s="490"/>
      <c r="BS50" s="490"/>
      <c r="BT50" s="490"/>
      <c r="BU50" s="490"/>
      <c r="BV50" s="490"/>
      <c r="BW50" s="490"/>
      <c r="BX50" s="490"/>
      <c r="BY50" s="490"/>
      <c r="BZ50" s="490"/>
      <c r="CA50" s="490"/>
      <c r="CB50" s="490"/>
      <c r="CC50" s="490"/>
      <c r="CD50" s="490"/>
      <c r="CE50" s="490"/>
      <c r="CF50" s="490"/>
      <c r="CG50" s="490"/>
      <c r="CH50" s="490"/>
      <c r="CI50" s="490"/>
      <c r="CJ50" s="490"/>
      <c r="CK50" s="490"/>
      <c r="CL50" s="490"/>
      <c r="CM50" s="490"/>
      <c r="CN50" s="490"/>
      <c r="CO50" s="490"/>
      <c r="CP50" s="490"/>
      <c r="CQ50" s="490"/>
      <c r="CR50" s="490"/>
      <c r="CS50" s="490"/>
      <c r="CT50" s="490"/>
      <c r="CU50" s="490"/>
      <c r="CV50" s="490"/>
      <c r="CW50" s="490"/>
      <c r="CX50" s="490"/>
      <c r="CY50" s="490"/>
      <c r="CZ50" s="490"/>
      <c r="DA50" s="490"/>
      <c r="DB50" s="490"/>
      <c r="DC50" s="490"/>
      <c r="DD50" s="490"/>
      <c r="DE50" s="490"/>
      <c r="DF50" s="490"/>
      <c r="DG50" s="490"/>
      <c r="DH50" s="490"/>
      <c r="DI50" s="490"/>
      <c r="DJ50" s="490"/>
      <c r="DK50" s="490"/>
      <c r="DL50" s="490"/>
      <c r="DM50" s="490"/>
      <c r="DN50" s="167"/>
      <c r="DO50" s="53"/>
      <c r="DP50" s="271"/>
      <c r="DQ50" s="53"/>
      <c r="DR50" s="53"/>
      <c r="DS50" s="53"/>
      <c r="DT50" s="167"/>
      <c r="DU50" s="167"/>
      <c r="DV50" s="167"/>
      <c r="DW50" s="167"/>
      <c r="DX50" s="167"/>
      <c r="DY50" s="189"/>
      <c r="DZ50" s="2"/>
      <c r="EA50" s="2"/>
      <c r="EB50" s="2"/>
      <c r="EC50" s="2"/>
      <c r="ED50" s="2"/>
      <c r="EE50" s="2"/>
      <c r="EF50" s="2"/>
      <c r="EG50" s="2"/>
      <c r="EH50" s="2"/>
      <c r="EI50" s="2"/>
    </row>
    <row r="51" spans="1:139" ht="4.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455"/>
      <c r="M51" s="453"/>
      <c r="N51" s="531"/>
      <c r="O51" s="531"/>
      <c r="P51" s="531"/>
      <c r="Q51" s="531"/>
      <c r="R51" s="531"/>
      <c r="S51" s="531"/>
      <c r="T51" s="531"/>
      <c r="U51" s="531"/>
      <c r="V51" s="531"/>
      <c r="W51" s="531"/>
      <c r="X51" s="531"/>
      <c r="Y51" s="531"/>
      <c r="Z51" s="531"/>
      <c r="AA51" s="531"/>
      <c r="AB51" s="531"/>
      <c r="AC51" s="531"/>
      <c r="AD51" s="531"/>
      <c r="AE51" s="531"/>
      <c r="AF51" s="531"/>
      <c r="AG51" s="531"/>
      <c r="AH51" s="531"/>
      <c r="AI51" s="531"/>
      <c r="AJ51" s="531"/>
      <c r="AK51" s="531"/>
      <c r="AL51" s="531"/>
      <c r="AM51" s="531"/>
      <c r="AN51" s="531"/>
      <c r="AO51" s="531"/>
      <c r="AP51" s="531"/>
      <c r="AQ51" s="531"/>
      <c r="AR51" s="531"/>
      <c r="AS51" s="531"/>
      <c r="AT51" s="531"/>
      <c r="AU51" s="531"/>
      <c r="AV51" s="531"/>
      <c r="AW51" s="531"/>
      <c r="AX51" s="531"/>
      <c r="AY51" s="531"/>
      <c r="AZ51" s="531"/>
      <c r="BA51" s="531"/>
      <c r="BB51" s="531"/>
      <c r="BC51" s="531"/>
      <c r="BD51" s="531"/>
      <c r="BE51" s="531"/>
      <c r="BF51" s="531"/>
      <c r="BG51" s="531"/>
      <c r="BH51" s="531"/>
      <c r="BI51" s="531"/>
      <c r="BJ51" s="531"/>
      <c r="BK51" s="531"/>
      <c r="BL51" s="327"/>
      <c r="BM51" s="328"/>
      <c r="BN51" s="321"/>
      <c r="BO51" s="321"/>
      <c r="BP51" s="490" t="s">
        <v>424</v>
      </c>
      <c r="BQ51" s="490"/>
      <c r="BR51" s="490"/>
      <c r="BS51" s="490"/>
      <c r="BT51" s="490"/>
      <c r="BU51" s="490"/>
      <c r="BV51" s="490"/>
      <c r="BW51" s="490"/>
      <c r="BX51" s="490"/>
      <c r="BY51" s="490"/>
      <c r="BZ51" s="490"/>
      <c r="CA51" s="490"/>
      <c r="CB51" s="490"/>
      <c r="CC51" s="490"/>
      <c r="CD51" s="490"/>
      <c r="CE51" s="490"/>
      <c r="CF51" s="490"/>
      <c r="CG51" s="490"/>
      <c r="CH51" s="490"/>
      <c r="CI51" s="490"/>
      <c r="CJ51" s="490"/>
      <c r="CK51" s="490"/>
      <c r="CL51" s="490"/>
      <c r="CM51" s="490"/>
      <c r="CN51" s="490"/>
      <c r="CO51" s="490"/>
      <c r="CP51" s="490"/>
      <c r="CQ51" s="490"/>
      <c r="CR51" s="490"/>
      <c r="CS51" s="490"/>
      <c r="CT51" s="490"/>
      <c r="CU51" s="490"/>
      <c r="CV51" s="490"/>
      <c r="CW51" s="490"/>
      <c r="CX51" s="490"/>
      <c r="CY51" s="490"/>
      <c r="CZ51" s="490"/>
      <c r="DA51" s="490"/>
      <c r="DB51" s="490"/>
      <c r="DC51" s="490"/>
      <c r="DD51" s="490"/>
      <c r="DE51" s="490"/>
      <c r="DF51" s="490"/>
      <c r="DG51" s="490"/>
      <c r="DH51" s="490"/>
      <c r="DI51" s="490"/>
      <c r="DJ51" s="490"/>
      <c r="DK51" s="490"/>
      <c r="DL51" s="490"/>
      <c r="DM51" s="490"/>
      <c r="DN51" s="167"/>
      <c r="DO51" s="53"/>
      <c r="DP51" s="271"/>
      <c r="DQ51" s="53"/>
      <c r="DR51" s="53"/>
      <c r="DS51" s="53"/>
      <c r="DT51" s="167"/>
      <c r="DU51" s="167"/>
      <c r="DV51" s="167"/>
      <c r="DW51" s="167"/>
      <c r="DX51" s="167"/>
      <c r="DY51" s="189"/>
      <c r="DZ51" s="2"/>
      <c r="EA51" s="2"/>
      <c r="EB51" s="2"/>
      <c r="EC51" s="2"/>
      <c r="ED51" s="2"/>
      <c r="EE51" s="2"/>
      <c r="EF51" s="2"/>
      <c r="EG51" s="2"/>
      <c r="EH51" s="2"/>
      <c r="EI51" s="2"/>
    </row>
    <row r="52" spans="1:139" ht="4.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455"/>
      <c r="M52" s="453"/>
      <c r="N52" s="531"/>
      <c r="O52" s="531"/>
      <c r="P52" s="531"/>
      <c r="Q52" s="531"/>
      <c r="R52" s="531"/>
      <c r="S52" s="531"/>
      <c r="T52" s="531"/>
      <c r="U52" s="531"/>
      <c r="V52" s="531"/>
      <c r="W52" s="531"/>
      <c r="X52" s="531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1"/>
      <c r="BC52" s="531"/>
      <c r="BD52" s="531"/>
      <c r="BE52" s="531"/>
      <c r="BF52" s="531"/>
      <c r="BG52" s="531"/>
      <c r="BH52" s="531"/>
      <c r="BI52" s="531"/>
      <c r="BJ52" s="531"/>
      <c r="BK52" s="531"/>
      <c r="BL52" s="327"/>
      <c r="BM52" s="328"/>
      <c r="BN52" s="321"/>
      <c r="BO52" s="321"/>
      <c r="BP52" s="490"/>
      <c r="BQ52" s="490"/>
      <c r="BR52" s="490"/>
      <c r="BS52" s="490"/>
      <c r="BT52" s="490"/>
      <c r="BU52" s="490"/>
      <c r="BV52" s="490"/>
      <c r="BW52" s="490"/>
      <c r="BX52" s="490"/>
      <c r="BY52" s="490"/>
      <c r="BZ52" s="490"/>
      <c r="CA52" s="490"/>
      <c r="CB52" s="490"/>
      <c r="CC52" s="490"/>
      <c r="CD52" s="490"/>
      <c r="CE52" s="490"/>
      <c r="CF52" s="490"/>
      <c r="CG52" s="490"/>
      <c r="CH52" s="490"/>
      <c r="CI52" s="490"/>
      <c r="CJ52" s="490"/>
      <c r="CK52" s="490"/>
      <c r="CL52" s="490"/>
      <c r="CM52" s="490"/>
      <c r="CN52" s="490"/>
      <c r="CO52" s="490"/>
      <c r="CP52" s="490"/>
      <c r="CQ52" s="490"/>
      <c r="CR52" s="490"/>
      <c r="CS52" s="490"/>
      <c r="CT52" s="490"/>
      <c r="CU52" s="490"/>
      <c r="CV52" s="490"/>
      <c r="CW52" s="490"/>
      <c r="CX52" s="490"/>
      <c r="CY52" s="490"/>
      <c r="CZ52" s="490"/>
      <c r="DA52" s="490"/>
      <c r="DB52" s="490"/>
      <c r="DC52" s="490"/>
      <c r="DD52" s="490"/>
      <c r="DE52" s="490"/>
      <c r="DF52" s="490"/>
      <c r="DG52" s="490"/>
      <c r="DH52" s="490"/>
      <c r="DI52" s="490"/>
      <c r="DJ52" s="490"/>
      <c r="DK52" s="490"/>
      <c r="DL52" s="490"/>
      <c r="DM52" s="490"/>
      <c r="DN52" s="167"/>
      <c r="DO52" s="53"/>
      <c r="DP52" s="271"/>
      <c r="DQ52" s="53"/>
      <c r="DR52" s="53"/>
      <c r="DS52" s="53"/>
      <c r="DT52" s="167"/>
      <c r="DU52" s="167"/>
      <c r="DV52" s="167"/>
      <c r="DW52" s="167"/>
      <c r="DX52" s="167"/>
      <c r="DY52" s="189"/>
      <c r="DZ52" s="2"/>
      <c r="EA52" s="2"/>
      <c r="EB52" s="2"/>
      <c r="EC52" s="2"/>
      <c r="ED52" s="2"/>
      <c r="EE52" s="2"/>
      <c r="EF52" s="2"/>
      <c r="EG52" s="2"/>
      <c r="EH52" s="2"/>
      <c r="EI52" s="2"/>
    </row>
    <row r="53" spans="1:139" ht="4.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455"/>
      <c r="M53" s="453"/>
      <c r="N53" s="527"/>
      <c r="O53" s="527"/>
      <c r="P53" s="527"/>
      <c r="Q53" s="527"/>
      <c r="R53" s="527"/>
      <c r="S53" s="527"/>
      <c r="T53" s="527"/>
      <c r="U53" s="527"/>
      <c r="V53" s="527"/>
      <c r="W53" s="527"/>
      <c r="X53" s="527"/>
      <c r="Y53" s="527"/>
      <c r="Z53" s="527"/>
      <c r="AA53" s="527"/>
      <c r="AB53" s="527"/>
      <c r="AC53" s="527"/>
      <c r="AD53" s="527"/>
      <c r="AE53" s="527"/>
      <c r="AF53" s="527"/>
      <c r="AG53" s="527"/>
      <c r="AH53" s="527"/>
      <c r="AI53" s="527"/>
      <c r="AJ53" s="527"/>
      <c r="AK53" s="527"/>
      <c r="AL53" s="527"/>
      <c r="AM53" s="527"/>
      <c r="AN53" s="527"/>
      <c r="AO53" s="527"/>
      <c r="AP53" s="527"/>
      <c r="AQ53" s="527"/>
      <c r="AR53" s="527"/>
      <c r="AS53" s="527"/>
      <c r="AT53" s="527"/>
      <c r="AU53" s="527"/>
      <c r="AV53" s="527"/>
      <c r="AW53" s="527"/>
      <c r="AX53" s="527"/>
      <c r="AY53" s="527"/>
      <c r="AZ53" s="527"/>
      <c r="BA53" s="527"/>
      <c r="BB53" s="527"/>
      <c r="BC53" s="527"/>
      <c r="BD53" s="527"/>
      <c r="BE53" s="527"/>
      <c r="BF53" s="527"/>
      <c r="BG53" s="527"/>
      <c r="BH53" s="527"/>
      <c r="BI53" s="527"/>
      <c r="BJ53" s="527"/>
      <c r="BK53" s="527"/>
      <c r="BL53" s="327"/>
      <c r="BM53" s="328"/>
      <c r="BN53" s="321"/>
      <c r="BO53" s="321"/>
      <c r="BP53" s="490" t="s">
        <v>82</v>
      </c>
      <c r="BQ53" s="490"/>
      <c r="BR53" s="490"/>
      <c r="BS53" s="490"/>
      <c r="BT53" s="490"/>
      <c r="BU53" s="490"/>
      <c r="BV53" s="490"/>
      <c r="BW53" s="490"/>
      <c r="BX53" s="490"/>
      <c r="BY53" s="490"/>
      <c r="BZ53" s="490"/>
      <c r="CA53" s="490"/>
      <c r="CB53" s="490"/>
      <c r="CC53" s="490"/>
      <c r="CD53" s="490"/>
      <c r="CE53" s="490"/>
      <c r="CF53" s="490"/>
      <c r="CG53" s="490"/>
      <c r="CH53" s="490"/>
      <c r="CI53" s="490"/>
      <c r="CJ53" s="490"/>
      <c r="CK53" s="490"/>
      <c r="CL53" s="490"/>
      <c r="CM53" s="490"/>
      <c r="CN53" s="490"/>
      <c r="CO53" s="490"/>
      <c r="CP53" s="490"/>
      <c r="CQ53" s="490"/>
      <c r="CR53" s="490"/>
      <c r="CS53" s="490"/>
      <c r="CT53" s="490"/>
      <c r="CU53" s="490"/>
      <c r="CV53" s="490"/>
      <c r="CW53" s="490"/>
      <c r="CX53" s="490"/>
      <c r="CY53" s="490"/>
      <c r="CZ53" s="490"/>
      <c r="DA53" s="490"/>
      <c r="DB53" s="490"/>
      <c r="DC53" s="490"/>
      <c r="DD53" s="490"/>
      <c r="DE53" s="490"/>
      <c r="DF53" s="490"/>
      <c r="DG53" s="490"/>
      <c r="DH53" s="490"/>
      <c r="DI53" s="490"/>
      <c r="DJ53" s="490"/>
      <c r="DK53" s="490"/>
      <c r="DL53" s="490"/>
      <c r="DM53" s="490"/>
      <c r="DN53" s="167"/>
      <c r="DO53" s="53"/>
      <c r="DP53" s="271"/>
      <c r="DQ53" s="53"/>
      <c r="DR53" s="53"/>
      <c r="DS53" s="53"/>
      <c r="DT53" s="167"/>
      <c r="DU53" s="167"/>
      <c r="DV53" s="167"/>
      <c r="DW53" s="167"/>
      <c r="DX53" s="167"/>
      <c r="DY53" s="189"/>
      <c r="DZ53" s="2"/>
      <c r="EA53" s="2"/>
      <c r="EB53" s="2"/>
      <c r="EC53" s="2"/>
      <c r="ED53" s="2"/>
      <c r="EE53" s="2"/>
      <c r="EF53" s="2"/>
      <c r="EG53" s="2"/>
      <c r="EH53" s="2"/>
      <c r="EI53" s="2"/>
    </row>
    <row r="54" spans="1:139" ht="4.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455"/>
      <c r="M54" s="453"/>
      <c r="N54" s="527"/>
      <c r="O54" s="527"/>
      <c r="P54" s="527"/>
      <c r="Q54" s="527"/>
      <c r="R54" s="527"/>
      <c r="S54" s="527"/>
      <c r="T54" s="527"/>
      <c r="U54" s="527"/>
      <c r="V54" s="527"/>
      <c r="W54" s="527"/>
      <c r="X54" s="527"/>
      <c r="Y54" s="527"/>
      <c r="Z54" s="527"/>
      <c r="AA54" s="527"/>
      <c r="AB54" s="527"/>
      <c r="AC54" s="527"/>
      <c r="AD54" s="527"/>
      <c r="AE54" s="527"/>
      <c r="AF54" s="527"/>
      <c r="AG54" s="527"/>
      <c r="AH54" s="527"/>
      <c r="AI54" s="527"/>
      <c r="AJ54" s="527"/>
      <c r="AK54" s="527"/>
      <c r="AL54" s="527"/>
      <c r="AM54" s="527"/>
      <c r="AN54" s="527"/>
      <c r="AO54" s="527"/>
      <c r="AP54" s="527"/>
      <c r="AQ54" s="527"/>
      <c r="AR54" s="527"/>
      <c r="AS54" s="527"/>
      <c r="AT54" s="527"/>
      <c r="AU54" s="527"/>
      <c r="AV54" s="527"/>
      <c r="AW54" s="527"/>
      <c r="AX54" s="527"/>
      <c r="AY54" s="527"/>
      <c r="AZ54" s="527"/>
      <c r="BA54" s="527"/>
      <c r="BB54" s="527"/>
      <c r="BC54" s="527"/>
      <c r="BD54" s="527"/>
      <c r="BE54" s="527"/>
      <c r="BF54" s="527"/>
      <c r="BG54" s="527"/>
      <c r="BH54" s="527"/>
      <c r="BI54" s="527"/>
      <c r="BJ54" s="527"/>
      <c r="BK54" s="527"/>
      <c r="BL54" s="327"/>
      <c r="BM54" s="328"/>
      <c r="BN54" s="321"/>
      <c r="BO54" s="321"/>
      <c r="BP54" s="490"/>
      <c r="BQ54" s="490"/>
      <c r="BR54" s="490"/>
      <c r="BS54" s="490"/>
      <c r="BT54" s="490"/>
      <c r="BU54" s="490"/>
      <c r="BV54" s="490"/>
      <c r="BW54" s="490"/>
      <c r="BX54" s="490"/>
      <c r="BY54" s="490"/>
      <c r="BZ54" s="490"/>
      <c r="CA54" s="490"/>
      <c r="CB54" s="490"/>
      <c r="CC54" s="490"/>
      <c r="CD54" s="490"/>
      <c r="CE54" s="490"/>
      <c r="CF54" s="490"/>
      <c r="CG54" s="490"/>
      <c r="CH54" s="490"/>
      <c r="CI54" s="490"/>
      <c r="CJ54" s="490"/>
      <c r="CK54" s="490"/>
      <c r="CL54" s="490"/>
      <c r="CM54" s="490"/>
      <c r="CN54" s="490"/>
      <c r="CO54" s="490"/>
      <c r="CP54" s="490"/>
      <c r="CQ54" s="490"/>
      <c r="CR54" s="490"/>
      <c r="CS54" s="490"/>
      <c r="CT54" s="490"/>
      <c r="CU54" s="490"/>
      <c r="CV54" s="490"/>
      <c r="CW54" s="490"/>
      <c r="CX54" s="490"/>
      <c r="CY54" s="490"/>
      <c r="CZ54" s="490"/>
      <c r="DA54" s="490"/>
      <c r="DB54" s="490"/>
      <c r="DC54" s="490"/>
      <c r="DD54" s="490"/>
      <c r="DE54" s="490"/>
      <c r="DF54" s="490"/>
      <c r="DG54" s="490"/>
      <c r="DH54" s="490"/>
      <c r="DI54" s="490"/>
      <c r="DJ54" s="490"/>
      <c r="DK54" s="490"/>
      <c r="DL54" s="490"/>
      <c r="DM54" s="490"/>
      <c r="DN54" s="167"/>
      <c r="DO54" s="53"/>
      <c r="DP54" s="271"/>
      <c r="DQ54" s="53"/>
      <c r="DR54" s="53"/>
      <c r="DS54" s="53"/>
      <c r="DT54" s="167"/>
      <c r="DU54" s="167"/>
      <c r="DV54" s="167"/>
      <c r="DW54" s="167"/>
      <c r="DX54" s="167"/>
      <c r="DY54" s="189"/>
      <c r="DZ54" s="2"/>
      <c r="EA54" s="2"/>
      <c r="EB54" s="2"/>
      <c r="EC54" s="2"/>
      <c r="ED54" s="2"/>
      <c r="EE54" s="2"/>
      <c r="EF54" s="2"/>
      <c r="EG54" s="2"/>
      <c r="EH54" s="2"/>
      <c r="EI54" s="2"/>
    </row>
    <row r="55" spans="1:139" ht="4.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455"/>
      <c r="M55" s="453"/>
      <c r="N55" s="527"/>
      <c r="O55" s="527"/>
      <c r="P55" s="527"/>
      <c r="Q55" s="527"/>
      <c r="R55" s="527"/>
      <c r="S55" s="527"/>
      <c r="T55" s="527"/>
      <c r="U55" s="527"/>
      <c r="V55" s="527"/>
      <c r="W55" s="527"/>
      <c r="X55" s="527"/>
      <c r="Y55" s="527"/>
      <c r="Z55" s="527"/>
      <c r="AA55" s="527"/>
      <c r="AB55" s="527"/>
      <c r="AC55" s="527"/>
      <c r="AD55" s="527"/>
      <c r="AE55" s="527"/>
      <c r="AF55" s="527"/>
      <c r="AG55" s="527"/>
      <c r="AH55" s="527"/>
      <c r="AI55" s="527"/>
      <c r="AJ55" s="527"/>
      <c r="AK55" s="527"/>
      <c r="AL55" s="527"/>
      <c r="AM55" s="527"/>
      <c r="AN55" s="527"/>
      <c r="AO55" s="527"/>
      <c r="AP55" s="527"/>
      <c r="AQ55" s="527"/>
      <c r="AR55" s="527"/>
      <c r="AS55" s="527"/>
      <c r="AT55" s="527"/>
      <c r="AU55" s="527"/>
      <c r="AV55" s="527"/>
      <c r="AW55" s="527"/>
      <c r="AX55" s="527"/>
      <c r="AY55" s="527"/>
      <c r="AZ55" s="527"/>
      <c r="BA55" s="527"/>
      <c r="BB55" s="527"/>
      <c r="BC55" s="527"/>
      <c r="BD55" s="527"/>
      <c r="BE55" s="527"/>
      <c r="BF55" s="527"/>
      <c r="BG55" s="527"/>
      <c r="BH55" s="527"/>
      <c r="BI55" s="527"/>
      <c r="BJ55" s="527"/>
      <c r="BK55" s="527"/>
      <c r="BL55" s="327"/>
      <c r="BM55" s="328"/>
      <c r="BN55" s="321"/>
      <c r="BO55" s="321"/>
      <c r="BP55" s="490" t="s">
        <v>430</v>
      </c>
      <c r="BQ55" s="490"/>
      <c r="BR55" s="490"/>
      <c r="BS55" s="490"/>
      <c r="BT55" s="490"/>
      <c r="BU55" s="490"/>
      <c r="BV55" s="490"/>
      <c r="BW55" s="490"/>
      <c r="BX55" s="490"/>
      <c r="BY55" s="490"/>
      <c r="BZ55" s="490"/>
      <c r="CA55" s="490"/>
      <c r="CB55" s="490"/>
      <c r="CC55" s="490"/>
      <c r="CD55" s="490"/>
      <c r="CE55" s="490"/>
      <c r="CF55" s="490"/>
      <c r="CG55" s="490"/>
      <c r="CH55" s="490"/>
      <c r="CI55" s="490"/>
      <c r="CJ55" s="490"/>
      <c r="CK55" s="490"/>
      <c r="CL55" s="490"/>
      <c r="CM55" s="490"/>
      <c r="CN55" s="490"/>
      <c r="CO55" s="490"/>
      <c r="CP55" s="490"/>
      <c r="CQ55" s="490"/>
      <c r="CR55" s="490"/>
      <c r="CS55" s="490"/>
      <c r="CT55" s="490"/>
      <c r="CU55" s="490"/>
      <c r="CV55" s="490"/>
      <c r="CW55" s="490"/>
      <c r="CX55" s="490"/>
      <c r="CY55" s="490"/>
      <c r="CZ55" s="490"/>
      <c r="DA55" s="490"/>
      <c r="DB55" s="490"/>
      <c r="DC55" s="490"/>
      <c r="DD55" s="490"/>
      <c r="DE55" s="490"/>
      <c r="DF55" s="490"/>
      <c r="DG55" s="490"/>
      <c r="DH55" s="490"/>
      <c r="DI55" s="490"/>
      <c r="DJ55" s="490"/>
      <c r="DK55" s="490"/>
      <c r="DL55" s="490"/>
      <c r="DM55" s="490"/>
      <c r="DN55" s="53"/>
      <c r="DO55" s="53"/>
      <c r="DP55" s="271"/>
      <c r="DQ55" s="53"/>
      <c r="DR55" s="53"/>
      <c r="DS55" s="53"/>
      <c r="DT55" s="53"/>
      <c r="DU55" s="271"/>
      <c r="DV55" s="167"/>
      <c r="DW55" s="167"/>
      <c r="DX55" s="188"/>
      <c r="DY55" s="189"/>
      <c r="DZ55" s="2"/>
      <c r="EA55" s="2"/>
      <c r="EB55" s="2"/>
      <c r="EC55" s="2"/>
      <c r="ED55" s="2"/>
      <c r="EE55" s="2"/>
      <c r="EF55" s="2"/>
      <c r="EG55" s="2"/>
      <c r="EH55" s="2"/>
      <c r="EI55" s="2"/>
    </row>
    <row r="56" spans="1:139" ht="4.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455"/>
      <c r="M56" s="453"/>
      <c r="N56" s="527"/>
      <c r="O56" s="527"/>
      <c r="P56" s="527"/>
      <c r="Q56" s="527"/>
      <c r="R56" s="527"/>
      <c r="S56" s="527"/>
      <c r="T56" s="527"/>
      <c r="U56" s="527"/>
      <c r="V56" s="527"/>
      <c r="W56" s="527"/>
      <c r="X56" s="527"/>
      <c r="Y56" s="527"/>
      <c r="Z56" s="527"/>
      <c r="AA56" s="527"/>
      <c r="AB56" s="527"/>
      <c r="AC56" s="527"/>
      <c r="AD56" s="527"/>
      <c r="AE56" s="527"/>
      <c r="AF56" s="527"/>
      <c r="AG56" s="527"/>
      <c r="AH56" s="527"/>
      <c r="AI56" s="527"/>
      <c r="AJ56" s="527"/>
      <c r="AK56" s="527"/>
      <c r="AL56" s="527"/>
      <c r="AM56" s="527"/>
      <c r="AN56" s="527"/>
      <c r="AO56" s="527"/>
      <c r="AP56" s="527"/>
      <c r="AQ56" s="527"/>
      <c r="AR56" s="527"/>
      <c r="AS56" s="527"/>
      <c r="AT56" s="527"/>
      <c r="AU56" s="527"/>
      <c r="AV56" s="527"/>
      <c r="AW56" s="527"/>
      <c r="AX56" s="527"/>
      <c r="AY56" s="527"/>
      <c r="AZ56" s="527"/>
      <c r="BA56" s="527"/>
      <c r="BB56" s="527"/>
      <c r="BC56" s="527"/>
      <c r="BD56" s="527"/>
      <c r="BE56" s="527"/>
      <c r="BF56" s="527"/>
      <c r="BG56" s="527"/>
      <c r="BH56" s="527"/>
      <c r="BI56" s="527"/>
      <c r="BJ56" s="527"/>
      <c r="BK56" s="527"/>
      <c r="BL56" s="327"/>
      <c r="BM56" s="328"/>
      <c r="BN56" s="321"/>
      <c r="BO56" s="321"/>
      <c r="BP56" s="490"/>
      <c r="BQ56" s="490"/>
      <c r="BR56" s="490"/>
      <c r="BS56" s="490"/>
      <c r="BT56" s="490"/>
      <c r="BU56" s="490"/>
      <c r="BV56" s="490"/>
      <c r="BW56" s="490"/>
      <c r="BX56" s="490"/>
      <c r="BY56" s="490"/>
      <c r="BZ56" s="490"/>
      <c r="CA56" s="490"/>
      <c r="CB56" s="490"/>
      <c r="CC56" s="490"/>
      <c r="CD56" s="490"/>
      <c r="CE56" s="490"/>
      <c r="CF56" s="490"/>
      <c r="CG56" s="490"/>
      <c r="CH56" s="490"/>
      <c r="CI56" s="490"/>
      <c r="CJ56" s="490"/>
      <c r="CK56" s="490"/>
      <c r="CL56" s="490"/>
      <c r="CM56" s="490"/>
      <c r="CN56" s="490"/>
      <c r="CO56" s="490"/>
      <c r="CP56" s="490"/>
      <c r="CQ56" s="490"/>
      <c r="CR56" s="490"/>
      <c r="CS56" s="490"/>
      <c r="CT56" s="490"/>
      <c r="CU56" s="490"/>
      <c r="CV56" s="490"/>
      <c r="CW56" s="490"/>
      <c r="CX56" s="490"/>
      <c r="CY56" s="490"/>
      <c r="CZ56" s="490"/>
      <c r="DA56" s="490"/>
      <c r="DB56" s="490"/>
      <c r="DC56" s="490"/>
      <c r="DD56" s="490"/>
      <c r="DE56" s="490"/>
      <c r="DF56" s="490"/>
      <c r="DG56" s="490"/>
      <c r="DH56" s="490"/>
      <c r="DI56" s="490"/>
      <c r="DJ56" s="490"/>
      <c r="DK56" s="490"/>
      <c r="DL56" s="490"/>
      <c r="DM56" s="490"/>
      <c r="DN56" s="53"/>
      <c r="DO56" s="53"/>
      <c r="DP56" s="271"/>
      <c r="DQ56" s="53"/>
      <c r="DR56" s="53"/>
      <c r="DS56" s="53"/>
      <c r="DT56" s="53"/>
      <c r="DU56" s="271"/>
      <c r="DV56" s="167"/>
      <c r="DW56" s="167"/>
      <c r="DX56" s="188"/>
      <c r="DY56" s="189"/>
      <c r="DZ56" s="2"/>
      <c r="EA56" s="2"/>
      <c r="EB56" s="2"/>
      <c r="EC56" s="2"/>
      <c r="ED56" s="2"/>
      <c r="EE56" s="2"/>
      <c r="EF56" s="2"/>
      <c r="EG56" s="2"/>
      <c r="EH56" s="2"/>
      <c r="EI56" s="2"/>
    </row>
    <row r="57" spans="1:139" ht="4.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455"/>
      <c r="M57" s="453"/>
      <c r="N57" s="523"/>
      <c r="O57" s="490"/>
      <c r="P57" s="490"/>
      <c r="Q57" s="490"/>
      <c r="R57" s="490"/>
      <c r="S57" s="490"/>
      <c r="T57" s="490"/>
      <c r="U57" s="490"/>
      <c r="V57" s="490"/>
      <c r="W57" s="490"/>
      <c r="X57" s="490"/>
      <c r="Y57" s="490"/>
      <c r="Z57" s="490"/>
      <c r="AA57" s="490"/>
      <c r="AB57" s="490"/>
      <c r="AC57" s="490"/>
      <c r="AD57" s="490"/>
      <c r="AE57" s="490"/>
      <c r="AF57" s="490"/>
      <c r="AG57" s="490"/>
      <c r="AH57" s="490"/>
      <c r="AI57" s="490"/>
      <c r="AJ57" s="490"/>
      <c r="AK57" s="490"/>
      <c r="AL57" s="490"/>
      <c r="AM57" s="490"/>
      <c r="AN57" s="490"/>
      <c r="AO57" s="490"/>
      <c r="AP57" s="490"/>
      <c r="AQ57" s="490"/>
      <c r="AR57" s="490"/>
      <c r="AS57" s="490"/>
      <c r="AT57" s="490"/>
      <c r="AU57" s="490"/>
      <c r="AV57" s="490"/>
      <c r="AW57" s="490"/>
      <c r="AX57" s="490"/>
      <c r="AY57" s="490"/>
      <c r="AZ57" s="490"/>
      <c r="BA57" s="490"/>
      <c r="BB57" s="490"/>
      <c r="BC57" s="490"/>
      <c r="BD57" s="490"/>
      <c r="BE57" s="490"/>
      <c r="BF57" s="490"/>
      <c r="BG57" s="490"/>
      <c r="BH57" s="490"/>
      <c r="BI57" s="490"/>
      <c r="BJ57" s="490"/>
      <c r="BK57" s="490"/>
      <c r="BL57" s="327"/>
      <c r="BM57" s="328"/>
      <c r="BN57" s="321"/>
      <c r="BO57" s="321"/>
      <c r="BP57" s="490"/>
      <c r="BQ57" s="490"/>
      <c r="BR57" s="490"/>
      <c r="BS57" s="490"/>
      <c r="BT57" s="490"/>
      <c r="BU57" s="490"/>
      <c r="BV57" s="490"/>
      <c r="BW57" s="490"/>
      <c r="BX57" s="490"/>
      <c r="BY57" s="490"/>
      <c r="BZ57" s="490"/>
      <c r="CA57" s="490"/>
      <c r="CB57" s="490"/>
      <c r="CC57" s="490"/>
      <c r="CD57" s="490"/>
      <c r="CE57" s="490"/>
      <c r="CF57" s="490"/>
      <c r="CG57" s="490"/>
      <c r="CH57" s="490"/>
      <c r="CI57" s="490"/>
      <c r="CJ57" s="490"/>
      <c r="CK57" s="490"/>
      <c r="CL57" s="490"/>
      <c r="CM57" s="490"/>
      <c r="CN57" s="490"/>
      <c r="CO57" s="490"/>
      <c r="CP57" s="490"/>
      <c r="CQ57" s="490"/>
      <c r="CR57" s="490"/>
      <c r="CS57" s="490"/>
      <c r="CT57" s="490"/>
      <c r="CU57" s="490"/>
      <c r="CV57" s="490"/>
      <c r="CW57" s="490"/>
      <c r="CX57" s="490"/>
      <c r="CY57" s="490"/>
      <c r="CZ57" s="490"/>
      <c r="DA57" s="490"/>
      <c r="DB57" s="490"/>
      <c r="DC57" s="490"/>
      <c r="DD57" s="490"/>
      <c r="DE57" s="490"/>
      <c r="DF57" s="490"/>
      <c r="DG57" s="490"/>
      <c r="DH57" s="490"/>
      <c r="DI57" s="490"/>
      <c r="DJ57" s="490"/>
      <c r="DK57" s="490"/>
      <c r="DL57" s="490"/>
      <c r="DM57" s="490"/>
      <c r="DN57" s="53"/>
      <c r="DO57" s="53"/>
      <c r="DP57" s="271"/>
      <c r="DQ57" s="53"/>
      <c r="DR57" s="53"/>
      <c r="DS57" s="53"/>
      <c r="DT57" s="53"/>
      <c r="DU57" s="271"/>
      <c r="DV57" s="167"/>
      <c r="DW57" s="167"/>
      <c r="DX57" s="188"/>
      <c r="DY57" s="189"/>
      <c r="DZ57" s="2"/>
      <c r="EA57" s="2"/>
      <c r="EB57" s="2"/>
      <c r="EC57" s="2"/>
      <c r="ED57" s="2"/>
      <c r="EE57" s="2"/>
      <c r="EF57" s="2"/>
      <c r="EG57" s="2"/>
      <c r="EH57" s="2"/>
      <c r="EI57" s="2"/>
    </row>
    <row r="58" spans="1:139" ht="4.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455"/>
      <c r="M58" s="453"/>
      <c r="N58" s="522"/>
      <c r="O58" s="522"/>
      <c r="P58" s="522"/>
      <c r="Q58" s="522"/>
      <c r="R58" s="522"/>
      <c r="S58" s="522"/>
      <c r="T58" s="522"/>
      <c r="U58" s="522"/>
      <c r="V58" s="522"/>
      <c r="W58" s="522"/>
      <c r="X58" s="522"/>
      <c r="Y58" s="522"/>
      <c r="Z58" s="522"/>
      <c r="AA58" s="522"/>
      <c r="AB58" s="522"/>
      <c r="AC58" s="522"/>
      <c r="AD58" s="522"/>
      <c r="AE58" s="522"/>
      <c r="AF58" s="522"/>
      <c r="AG58" s="522"/>
      <c r="AH58" s="522"/>
      <c r="AI58" s="522"/>
      <c r="AJ58" s="522"/>
      <c r="AK58" s="522"/>
      <c r="AL58" s="522"/>
      <c r="AM58" s="522"/>
      <c r="AN58" s="522"/>
      <c r="AO58" s="522"/>
      <c r="AP58" s="522"/>
      <c r="AQ58" s="522"/>
      <c r="AR58" s="522"/>
      <c r="AS58" s="522"/>
      <c r="AT58" s="522"/>
      <c r="AU58" s="522"/>
      <c r="AV58" s="522"/>
      <c r="AW58" s="522"/>
      <c r="AX58" s="522"/>
      <c r="AY58" s="522"/>
      <c r="AZ58" s="522"/>
      <c r="BA58" s="522"/>
      <c r="BB58" s="522"/>
      <c r="BC58" s="522"/>
      <c r="BD58" s="522"/>
      <c r="BE58" s="522"/>
      <c r="BF58" s="522"/>
      <c r="BG58" s="522"/>
      <c r="BH58" s="522"/>
      <c r="BI58" s="522"/>
      <c r="BJ58" s="522"/>
      <c r="BK58" s="522"/>
      <c r="BL58" s="327"/>
      <c r="BM58" s="328"/>
      <c r="BN58" s="322"/>
      <c r="BO58" s="322"/>
      <c r="BP58" s="522"/>
      <c r="BQ58" s="522"/>
      <c r="BR58" s="522"/>
      <c r="BS58" s="522"/>
      <c r="BT58" s="522"/>
      <c r="BU58" s="522"/>
      <c r="BV58" s="522"/>
      <c r="BW58" s="522"/>
      <c r="BX58" s="522"/>
      <c r="BY58" s="522"/>
      <c r="BZ58" s="522"/>
      <c r="CA58" s="522"/>
      <c r="CB58" s="522"/>
      <c r="CC58" s="522"/>
      <c r="CD58" s="522"/>
      <c r="CE58" s="522"/>
      <c r="CF58" s="522"/>
      <c r="CG58" s="522"/>
      <c r="CH58" s="522"/>
      <c r="CI58" s="522"/>
      <c r="CJ58" s="522"/>
      <c r="CK58" s="522"/>
      <c r="CL58" s="522"/>
      <c r="CM58" s="522"/>
      <c r="CN58" s="522"/>
      <c r="CO58" s="522"/>
      <c r="CP58" s="522"/>
      <c r="CQ58" s="522"/>
      <c r="CR58" s="522"/>
      <c r="CS58" s="522"/>
      <c r="CT58" s="522"/>
      <c r="CU58" s="522"/>
      <c r="CV58" s="522"/>
      <c r="CW58" s="522"/>
      <c r="CX58" s="522"/>
      <c r="CY58" s="522"/>
      <c r="CZ58" s="522"/>
      <c r="DA58" s="522"/>
      <c r="DB58" s="522"/>
      <c r="DC58" s="522"/>
      <c r="DD58" s="522"/>
      <c r="DE58" s="522"/>
      <c r="DF58" s="522"/>
      <c r="DG58" s="522"/>
      <c r="DH58" s="522"/>
      <c r="DI58" s="522"/>
      <c r="DJ58" s="522"/>
      <c r="DK58" s="522"/>
      <c r="DL58" s="522"/>
      <c r="DM58" s="522"/>
      <c r="DN58" s="53"/>
      <c r="DO58" s="53"/>
      <c r="DP58" s="271"/>
      <c r="DQ58" s="53"/>
      <c r="DR58" s="53"/>
      <c r="DS58" s="53"/>
      <c r="DT58" s="53"/>
      <c r="DU58" s="271"/>
      <c r="DV58" s="167"/>
      <c r="DW58" s="167"/>
      <c r="DX58" s="188"/>
      <c r="DY58" s="189"/>
      <c r="DZ58" s="2"/>
      <c r="EA58" s="2"/>
      <c r="EB58" s="2"/>
      <c r="EC58" s="2"/>
      <c r="ED58" s="2"/>
      <c r="EE58" s="2"/>
      <c r="EF58" s="2"/>
      <c r="EG58" s="2"/>
      <c r="EH58" s="2"/>
      <c r="EI58" s="2"/>
    </row>
    <row r="59" spans="1:139" ht="4.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61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  <c r="AM59" s="167"/>
      <c r="AN59" s="167"/>
      <c r="AO59" s="167"/>
      <c r="AP59" s="167"/>
      <c r="AQ59" s="167"/>
      <c r="AR59" s="167"/>
      <c r="AS59" s="167"/>
      <c r="AT59" s="167"/>
      <c r="AU59" s="167"/>
      <c r="AV59" s="167"/>
      <c r="AW59" s="167"/>
      <c r="AX59" s="167"/>
      <c r="AY59" s="167"/>
      <c r="AZ59" s="167"/>
      <c r="BA59" s="167"/>
      <c r="BB59" s="167"/>
      <c r="BC59" s="167"/>
      <c r="BD59" s="167"/>
      <c r="BE59" s="167"/>
      <c r="BF59" s="167"/>
      <c r="BG59" s="167"/>
      <c r="BH59" s="167"/>
      <c r="BI59" s="167"/>
      <c r="BJ59" s="167"/>
      <c r="BK59" s="167"/>
      <c r="BL59" s="167"/>
      <c r="BM59" s="167"/>
      <c r="BN59" s="167"/>
      <c r="BO59" s="167"/>
      <c r="BP59" s="167"/>
      <c r="BQ59" s="167"/>
      <c r="BR59" s="167"/>
      <c r="BS59" s="167"/>
      <c r="BT59" s="167"/>
      <c r="BU59" s="167"/>
      <c r="BV59" s="167"/>
      <c r="BW59" s="167"/>
      <c r="BX59" s="167"/>
      <c r="BY59" s="167"/>
      <c r="BZ59" s="167"/>
      <c r="CA59" s="167"/>
      <c r="CB59" s="167"/>
      <c r="CC59" s="167"/>
      <c r="CD59" s="167"/>
      <c r="CE59" s="167"/>
      <c r="CF59" s="167"/>
      <c r="CG59" s="167"/>
      <c r="CH59" s="167"/>
      <c r="CI59" s="167"/>
      <c r="CJ59" s="167"/>
      <c r="CK59" s="167"/>
      <c r="CL59" s="167"/>
      <c r="CM59" s="167"/>
      <c r="CN59" s="167"/>
      <c r="CO59" s="167"/>
      <c r="CP59" s="167"/>
      <c r="CQ59" s="167"/>
      <c r="CR59" s="167"/>
      <c r="CS59" s="167"/>
      <c r="CT59" s="167"/>
      <c r="CU59" s="167"/>
      <c r="CV59" s="167"/>
      <c r="CW59" s="167"/>
      <c r="CX59" s="167"/>
      <c r="CY59" s="167"/>
      <c r="CZ59" s="167"/>
      <c r="DA59" s="167"/>
      <c r="DB59" s="167"/>
      <c r="DC59" s="167"/>
      <c r="DD59" s="167"/>
      <c r="DE59" s="167"/>
      <c r="DF59" s="167"/>
      <c r="DG59" s="167"/>
      <c r="DH59" s="167"/>
      <c r="DI59" s="167"/>
      <c r="DJ59" s="167"/>
      <c r="DK59" s="167"/>
      <c r="DL59" s="167"/>
      <c r="DM59" s="167"/>
      <c r="DN59" s="53"/>
      <c r="DO59" s="53"/>
      <c r="DP59" s="271"/>
      <c r="DQ59" s="53"/>
      <c r="DR59" s="53"/>
      <c r="DS59" s="53"/>
      <c r="DT59" s="53"/>
      <c r="DU59" s="271"/>
      <c r="DV59" s="167"/>
      <c r="DW59" s="167"/>
      <c r="DX59" s="188"/>
      <c r="DY59" s="189"/>
      <c r="DZ59" s="2"/>
      <c r="EA59" s="2"/>
      <c r="EB59" s="2"/>
      <c r="EC59" s="2"/>
      <c r="ED59" s="2"/>
      <c r="EE59" s="2"/>
      <c r="EF59" s="2"/>
      <c r="EG59" s="2"/>
      <c r="EH59" s="2"/>
      <c r="EI59" s="2"/>
    </row>
    <row r="60" spans="1:139" ht="4.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288"/>
      <c r="M60" s="234"/>
      <c r="N60" s="235"/>
      <c r="O60" s="235"/>
      <c r="P60" s="235"/>
      <c r="Q60" s="235"/>
      <c r="R60" s="235"/>
      <c r="S60" s="235"/>
      <c r="T60" s="235"/>
      <c r="U60" s="235"/>
      <c r="V60" s="235"/>
      <c r="W60" s="235"/>
      <c r="X60" s="235"/>
      <c r="Y60" s="235"/>
      <c r="Z60" s="235"/>
      <c r="AA60" s="235"/>
      <c r="AB60" s="235"/>
      <c r="AC60" s="235"/>
      <c r="AD60" s="235"/>
      <c r="AE60" s="235"/>
      <c r="AF60" s="235"/>
      <c r="AG60" s="235"/>
      <c r="AH60" s="235"/>
      <c r="AI60" s="235"/>
      <c r="AJ60" s="235"/>
      <c r="AK60" s="235"/>
      <c r="AL60" s="235"/>
      <c r="AM60" s="235"/>
      <c r="AN60" s="235"/>
      <c r="AO60" s="235"/>
      <c r="AP60" s="235"/>
      <c r="AQ60" s="235"/>
      <c r="AR60" s="235"/>
      <c r="AS60" s="235"/>
      <c r="AT60" s="235"/>
      <c r="AU60" s="235"/>
      <c r="AV60" s="235"/>
      <c r="AW60" s="235"/>
      <c r="AX60" s="235"/>
      <c r="AY60" s="235"/>
      <c r="AZ60" s="235"/>
      <c r="BA60" s="235"/>
      <c r="BB60" s="235"/>
      <c r="BC60" s="235"/>
      <c r="BD60" s="235"/>
      <c r="BE60" s="235"/>
      <c r="BF60" s="235"/>
      <c r="BG60" s="235"/>
      <c r="BH60" s="235"/>
      <c r="BI60" s="235"/>
      <c r="BJ60" s="235"/>
      <c r="BK60" s="235"/>
      <c r="BL60" s="289"/>
      <c r="BM60" s="289"/>
      <c r="BN60" s="289"/>
      <c r="BO60" s="289"/>
      <c r="BP60" s="235"/>
      <c r="BQ60" s="235"/>
      <c r="BR60" s="235"/>
      <c r="BS60" s="235"/>
      <c r="BT60" s="235"/>
      <c r="BU60" s="235"/>
      <c r="BV60" s="235"/>
      <c r="BW60" s="235"/>
      <c r="BX60" s="235"/>
      <c r="BY60" s="235"/>
      <c r="BZ60" s="235"/>
      <c r="CA60" s="235"/>
      <c r="CB60" s="235"/>
      <c r="CC60" s="235"/>
      <c r="CD60" s="235"/>
      <c r="CE60" s="235"/>
      <c r="CF60" s="235"/>
      <c r="CG60" s="235"/>
      <c r="CH60" s="235"/>
      <c r="CI60" s="235"/>
      <c r="CJ60" s="235"/>
      <c r="CK60" s="235"/>
      <c r="CL60" s="235"/>
      <c r="CM60" s="235"/>
      <c r="CN60" s="235"/>
      <c r="CO60" s="235"/>
      <c r="CP60" s="235"/>
      <c r="CQ60" s="235"/>
      <c r="CR60" s="235"/>
      <c r="CS60" s="235"/>
      <c r="CT60" s="235"/>
      <c r="CU60" s="235"/>
      <c r="CV60" s="235"/>
      <c r="CW60" s="235"/>
      <c r="CX60" s="235"/>
      <c r="CY60" s="235"/>
      <c r="CZ60" s="235"/>
      <c r="DA60" s="235"/>
      <c r="DB60" s="235"/>
      <c r="DC60" s="235"/>
      <c r="DD60" s="235"/>
      <c r="DE60" s="235"/>
      <c r="DF60" s="235"/>
      <c r="DG60" s="235"/>
      <c r="DH60" s="235"/>
      <c r="DI60" s="235"/>
      <c r="DJ60" s="235"/>
      <c r="DK60" s="235"/>
      <c r="DL60" s="235"/>
      <c r="DM60" s="235"/>
      <c r="DN60" s="234"/>
      <c r="DO60" s="234"/>
      <c r="DP60" s="238"/>
      <c r="DQ60" s="234"/>
      <c r="DR60" s="234"/>
      <c r="DS60" s="234"/>
      <c r="DT60" s="235"/>
      <c r="DU60" s="238"/>
      <c r="DV60" s="234"/>
      <c r="DW60" s="234"/>
      <c r="DX60" s="235"/>
      <c r="DY60" s="189"/>
      <c r="DZ60" s="2"/>
      <c r="EA60" s="2"/>
      <c r="EB60" s="2"/>
      <c r="EC60" s="2"/>
      <c r="ED60" s="2"/>
      <c r="EE60" s="2"/>
      <c r="EF60" s="2"/>
      <c r="EG60" s="2"/>
      <c r="EH60" s="2"/>
      <c r="EI60" s="2"/>
    </row>
    <row r="61" spans="1:139" ht="4.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71"/>
      <c r="M61" s="53"/>
      <c r="N61" s="460" t="s">
        <v>35</v>
      </c>
      <c r="O61" s="460"/>
      <c r="P61" s="460"/>
      <c r="Q61" s="460"/>
      <c r="R61" s="460"/>
      <c r="S61" s="460"/>
      <c r="T61" s="460"/>
      <c r="U61" s="567">
        <v>1</v>
      </c>
      <c r="V61" s="567"/>
      <c r="W61" s="567"/>
      <c r="X61" s="567"/>
      <c r="Y61" s="567"/>
      <c r="Z61" s="567"/>
      <c r="AA61" s="567"/>
      <c r="AB61" s="567"/>
      <c r="AC61" s="468" t="s">
        <v>36</v>
      </c>
      <c r="AD61" s="468"/>
      <c r="AE61" s="468"/>
      <c r="AF61" s="468"/>
      <c r="AG61" s="468"/>
      <c r="AH61" s="167"/>
      <c r="AI61" s="290"/>
      <c r="AJ61" s="460" t="s">
        <v>37</v>
      </c>
      <c r="AK61" s="460"/>
      <c r="AL61" s="460"/>
      <c r="AM61" s="460"/>
      <c r="AN61" s="460"/>
      <c r="AO61" s="460"/>
      <c r="AP61" s="460"/>
      <c r="AQ61" s="460"/>
      <c r="AR61" s="460"/>
      <c r="AS61" s="460"/>
      <c r="AT61" s="166"/>
      <c r="AU61" s="468" t="s">
        <v>38</v>
      </c>
      <c r="AV61" s="468"/>
      <c r="AW61" s="468"/>
      <c r="AX61" s="468"/>
      <c r="AY61" s="468"/>
      <c r="AZ61" s="468"/>
      <c r="BA61" s="468"/>
      <c r="BB61" s="346"/>
      <c r="BC61" s="489" t="s">
        <v>39</v>
      </c>
      <c r="BD61" s="489"/>
      <c r="BE61" s="489"/>
      <c r="BF61" s="489"/>
      <c r="BG61" s="489"/>
      <c r="BH61" s="489"/>
      <c r="BI61" s="489"/>
      <c r="BJ61" s="166"/>
      <c r="BK61" s="166"/>
      <c r="BL61" s="563" t="s">
        <v>40</v>
      </c>
      <c r="BM61" s="563"/>
      <c r="BN61" s="563"/>
      <c r="BO61" s="563"/>
      <c r="BP61" s="563"/>
      <c r="BQ61" s="563"/>
      <c r="BR61" s="563"/>
      <c r="BS61" s="166"/>
      <c r="BT61" s="291"/>
      <c r="BU61" s="166"/>
      <c r="BV61" s="166"/>
      <c r="BW61" s="165"/>
      <c r="BX61" s="489" t="s">
        <v>41</v>
      </c>
      <c r="BY61" s="489"/>
      <c r="BZ61" s="489"/>
      <c r="CA61" s="489"/>
      <c r="CB61" s="489"/>
      <c r="CC61" s="489"/>
      <c r="CD61" s="489"/>
      <c r="CE61" s="489"/>
      <c r="CF61" s="489"/>
      <c r="CG61" s="489"/>
      <c r="CH61" s="489"/>
      <c r="CI61" s="489"/>
      <c r="CJ61" s="489"/>
      <c r="CK61" s="489"/>
      <c r="CL61" s="489"/>
      <c r="CM61" s="489"/>
      <c r="CN61" s="489"/>
      <c r="CO61" s="489"/>
      <c r="CP61" s="489"/>
      <c r="CQ61" s="166"/>
      <c r="CR61" s="521" t="s">
        <v>50</v>
      </c>
      <c r="CS61" s="460"/>
      <c r="CT61" s="460"/>
      <c r="CU61" s="460"/>
      <c r="CV61" s="460"/>
      <c r="CW61" s="460"/>
      <c r="CX61" s="460"/>
      <c r="CY61" s="460"/>
      <c r="CZ61" s="460"/>
      <c r="DA61" s="460"/>
      <c r="DB61" s="460"/>
      <c r="DC61" s="553">
        <f>AD41</f>
        <v>0</v>
      </c>
      <c r="DD61" s="553"/>
      <c r="DE61" s="553"/>
      <c r="DF61" s="553"/>
      <c r="DG61" s="553"/>
      <c r="DH61" s="553"/>
      <c r="DI61" s="553"/>
      <c r="DJ61" s="553"/>
      <c r="DK61" s="489" t="s">
        <v>42</v>
      </c>
      <c r="DL61" s="489"/>
      <c r="DM61" s="489"/>
      <c r="DN61" s="53"/>
      <c r="DO61" s="53"/>
      <c r="DP61" s="271"/>
      <c r="DQ61" s="53"/>
      <c r="DR61" s="53"/>
      <c r="DS61" s="53"/>
      <c r="DT61" s="167"/>
      <c r="DU61" s="271"/>
      <c r="DV61" s="53"/>
      <c r="DW61" s="53"/>
      <c r="DX61" s="188"/>
      <c r="DY61" s="189"/>
      <c r="DZ61" s="2"/>
      <c r="EA61" s="2"/>
      <c r="EB61" s="2"/>
      <c r="EC61" s="2"/>
      <c r="ED61" s="2"/>
      <c r="EE61" s="2"/>
      <c r="EF61" s="2"/>
      <c r="EG61" s="2"/>
      <c r="EH61" s="2"/>
      <c r="EI61" s="2"/>
    </row>
    <row r="62" spans="1:139" ht="4.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71"/>
      <c r="M62" s="53"/>
      <c r="N62" s="460"/>
      <c r="O62" s="460"/>
      <c r="P62" s="460"/>
      <c r="Q62" s="460"/>
      <c r="R62" s="460"/>
      <c r="S62" s="460"/>
      <c r="T62" s="460"/>
      <c r="U62" s="567"/>
      <c r="V62" s="567"/>
      <c r="W62" s="567"/>
      <c r="X62" s="567"/>
      <c r="Y62" s="567"/>
      <c r="Z62" s="567"/>
      <c r="AA62" s="567"/>
      <c r="AB62" s="567"/>
      <c r="AC62" s="468"/>
      <c r="AD62" s="468"/>
      <c r="AE62" s="468"/>
      <c r="AF62" s="468"/>
      <c r="AG62" s="468"/>
      <c r="AH62" s="167"/>
      <c r="AI62" s="290"/>
      <c r="AJ62" s="460"/>
      <c r="AK62" s="460"/>
      <c r="AL62" s="460"/>
      <c r="AM62" s="460"/>
      <c r="AN62" s="460"/>
      <c r="AO62" s="460"/>
      <c r="AP62" s="460"/>
      <c r="AQ62" s="460"/>
      <c r="AR62" s="460"/>
      <c r="AS62" s="460"/>
      <c r="AT62" s="166"/>
      <c r="AU62" s="468"/>
      <c r="AV62" s="468"/>
      <c r="AW62" s="468"/>
      <c r="AX62" s="468"/>
      <c r="AY62" s="468"/>
      <c r="AZ62" s="468"/>
      <c r="BA62" s="468"/>
      <c r="BB62" s="346"/>
      <c r="BC62" s="489"/>
      <c r="BD62" s="489"/>
      <c r="BE62" s="489"/>
      <c r="BF62" s="489"/>
      <c r="BG62" s="489"/>
      <c r="BH62" s="489"/>
      <c r="BI62" s="489"/>
      <c r="BJ62" s="166"/>
      <c r="BK62" s="166"/>
      <c r="BL62" s="563"/>
      <c r="BM62" s="563"/>
      <c r="BN62" s="563"/>
      <c r="BO62" s="563"/>
      <c r="BP62" s="563"/>
      <c r="BQ62" s="563"/>
      <c r="BR62" s="563"/>
      <c r="BS62" s="166"/>
      <c r="BT62" s="166"/>
      <c r="BU62" s="166"/>
      <c r="BV62" s="166"/>
      <c r="BW62" s="165"/>
      <c r="BX62" s="489"/>
      <c r="BY62" s="489"/>
      <c r="BZ62" s="489"/>
      <c r="CA62" s="489"/>
      <c r="CB62" s="489"/>
      <c r="CC62" s="489"/>
      <c r="CD62" s="489"/>
      <c r="CE62" s="489"/>
      <c r="CF62" s="489"/>
      <c r="CG62" s="489"/>
      <c r="CH62" s="489"/>
      <c r="CI62" s="489"/>
      <c r="CJ62" s="489"/>
      <c r="CK62" s="489"/>
      <c r="CL62" s="489"/>
      <c r="CM62" s="489"/>
      <c r="CN62" s="489"/>
      <c r="CO62" s="489"/>
      <c r="CP62" s="489"/>
      <c r="CQ62" s="166"/>
      <c r="CR62" s="521"/>
      <c r="CS62" s="460"/>
      <c r="CT62" s="460"/>
      <c r="CU62" s="460"/>
      <c r="CV62" s="460"/>
      <c r="CW62" s="460"/>
      <c r="CX62" s="460"/>
      <c r="CY62" s="460"/>
      <c r="CZ62" s="460"/>
      <c r="DA62" s="460"/>
      <c r="DB62" s="460"/>
      <c r="DC62" s="553"/>
      <c r="DD62" s="553"/>
      <c r="DE62" s="553"/>
      <c r="DF62" s="553"/>
      <c r="DG62" s="553"/>
      <c r="DH62" s="553"/>
      <c r="DI62" s="553"/>
      <c r="DJ62" s="553"/>
      <c r="DK62" s="489"/>
      <c r="DL62" s="489"/>
      <c r="DM62" s="489"/>
      <c r="DN62" s="167"/>
      <c r="DO62" s="167"/>
      <c r="DP62" s="39"/>
      <c r="DQ62" s="53"/>
      <c r="DR62" s="53"/>
      <c r="DS62" s="53"/>
      <c r="DT62" s="167"/>
      <c r="DU62" s="271"/>
      <c r="DV62" s="53"/>
      <c r="DW62" s="53"/>
      <c r="DX62" s="188"/>
      <c r="DY62" s="189"/>
      <c r="DZ62" s="2"/>
      <c r="EA62" s="2"/>
      <c r="EB62" s="2"/>
      <c r="EC62" s="2"/>
      <c r="ED62" s="2"/>
      <c r="EE62" s="2"/>
      <c r="EF62" s="2"/>
      <c r="EG62" s="2"/>
      <c r="EH62" s="2"/>
      <c r="EI62" s="2"/>
    </row>
    <row r="63" spans="1:139" ht="4.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71"/>
      <c r="M63" s="53"/>
      <c r="N63" s="566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566"/>
      <c r="P63" s="566"/>
      <c r="Q63" s="566"/>
      <c r="R63" s="566"/>
      <c r="S63" s="566"/>
      <c r="T63" s="566"/>
      <c r="U63" s="566"/>
      <c r="V63" s="566"/>
      <c r="W63" s="566"/>
      <c r="X63" s="566"/>
      <c r="Y63" s="566"/>
      <c r="Z63" s="566"/>
      <c r="AA63" s="566"/>
      <c r="AB63" s="566"/>
      <c r="AC63" s="566"/>
      <c r="AD63" s="566"/>
      <c r="AE63" s="566"/>
      <c r="AF63" s="566"/>
      <c r="AG63" s="566"/>
      <c r="AH63" s="166"/>
      <c r="AI63" s="165"/>
      <c r="AJ63" s="460" t="s">
        <v>43</v>
      </c>
      <c r="AK63" s="460"/>
      <c r="AL63" s="460"/>
      <c r="AM63" s="460"/>
      <c r="AN63" s="460"/>
      <c r="AO63" s="460"/>
      <c r="AP63" s="460"/>
      <c r="AQ63" s="460"/>
      <c r="AR63" s="460"/>
      <c r="AS63" s="460"/>
      <c r="AT63" s="491">
        <v>1540</v>
      </c>
      <c r="AU63" s="491"/>
      <c r="AV63" s="491"/>
      <c r="AW63" s="491"/>
      <c r="AX63" s="491"/>
      <c r="AY63" s="491"/>
      <c r="AZ63" s="491"/>
      <c r="BA63" s="517" t="s">
        <v>7</v>
      </c>
      <c r="BB63" s="517"/>
      <c r="BC63" s="518">
        <f>AUSSEN_RECH_L</f>
        <v>1632</v>
      </c>
      <c r="BD63" s="518"/>
      <c r="BE63" s="518"/>
      <c r="BF63" s="518"/>
      <c r="BG63" s="518"/>
      <c r="BH63" s="518"/>
      <c r="BI63" s="518"/>
      <c r="BJ63" s="517" t="s">
        <v>7</v>
      </c>
      <c r="BK63" s="517"/>
      <c r="BL63" s="516">
        <f>TRUNC(AUSSEN_RECH_L/10+1)*10</f>
        <v>1640</v>
      </c>
      <c r="BM63" s="516"/>
      <c r="BN63" s="516"/>
      <c r="BO63" s="516"/>
      <c r="BP63" s="516"/>
      <c r="BQ63" s="516"/>
      <c r="BR63" s="516"/>
      <c r="BS63" s="489" t="s">
        <v>44</v>
      </c>
      <c r="BT63" s="489"/>
      <c r="BU63" s="489"/>
      <c r="BV63" s="166"/>
      <c r="BW63" s="165"/>
      <c r="BX63" s="460" t="s">
        <v>45</v>
      </c>
      <c r="BY63" s="460"/>
      <c r="BZ63" s="460"/>
      <c r="CA63" s="460"/>
      <c r="CB63" s="460"/>
      <c r="CC63" s="460"/>
      <c r="CD63" s="460"/>
      <c r="CE63" s="460"/>
      <c r="CF63" s="491"/>
      <c r="CG63" s="491"/>
      <c r="CH63" s="491"/>
      <c r="CI63" s="491"/>
      <c r="CJ63" s="491"/>
      <c r="CK63" s="468" t="s">
        <v>36</v>
      </c>
      <c r="CL63" s="468"/>
      <c r="CM63" s="468"/>
      <c r="CN63" s="468"/>
      <c r="CO63" s="468"/>
      <c r="CP63" s="468"/>
      <c r="CQ63" s="166"/>
      <c r="CR63" s="521" t="s">
        <v>331</v>
      </c>
      <c r="CS63" s="460"/>
      <c r="CT63" s="460"/>
      <c r="CU63" s="460"/>
      <c r="CV63" s="460"/>
      <c r="CW63" s="460"/>
      <c r="CX63" s="460"/>
      <c r="CY63" s="460"/>
      <c r="CZ63" s="460"/>
      <c r="DA63" s="460"/>
      <c r="DB63" s="460"/>
      <c r="DC63" s="553">
        <f>Dimensionsware!EJ31</f>
        <v>69</v>
      </c>
      <c r="DD63" s="553"/>
      <c r="DE63" s="553"/>
      <c r="DF63" s="553"/>
      <c r="DG63" s="553"/>
      <c r="DH63" s="553"/>
      <c r="DI63" s="553"/>
      <c r="DJ63" s="553"/>
      <c r="DK63" s="489" t="s">
        <v>42</v>
      </c>
      <c r="DL63" s="489"/>
      <c r="DM63" s="489"/>
      <c r="DN63" s="167"/>
      <c r="DO63" s="167"/>
      <c r="DP63" s="39"/>
      <c r="DQ63" s="53"/>
      <c r="DR63" s="53"/>
      <c r="DS63" s="167"/>
      <c r="DT63" s="167"/>
      <c r="DU63" s="271"/>
      <c r="DV63" s="53"/>
      <c r="DW63" s="53"/>
      <c r="DX63" s="348"/>
      <c r="DY63" s="189"/>
      <c r="DZ63" s="2"/>
      <c r="EA63" s="2"/>
      <c r="EB63" s="2"/>
      <c r="EC63" s="2"/>
      <c r="ED63" s="2"/>
      <c r="EE63" s="2"/>
      <c r="EF63" s="2"/>
      <c r="EG63" s="2"/>
      <c r="EH63" s="2"/>
      <c r="EI63" s="2"/>
    </row>
    <row r="64" spans="1:139" ht="4.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71"/>
      <c r="M64" s="53"/>
      <c r="N64" s="566"/>
      <c r="O64" s="566"/>
      <c r="P64" s="566"/>
      <c r="Q64" s="566"/>
      <c r="R64" s="566"/>
      <c r="S64" s="566"/>
      <c r="T64" s="566"/>
      <c r="U64" s="566"/>
      <c r="V64" s="566"/>
      <c r="W64" s="566"/>
      <c r="X64" s="566"/>
      <c r="Y64" s="566"/>
      <c r="Z64" s="566"/>
      <c r="AA64" s="566"/>
      <c r="AB64" s="566"/>
      <c r="AC64" s="566"/>
      <c r="AD64" s="566"/>
      <c r="AE64" s="566"/>
      <c r="AF64" s="566"/>
      <c r="AG64" s="566"/>
      <c r="AH64" s="167"/>
      <c r="AI64" s="161"/>
      <c r="AJ64" s="460"/>
      <c r="AK64" s="460"/>
      <c r="AL64" s="460"/>
      <c r="AM64" s="460"/>
      <c r="AN64" s="460"/>
      <c r="AO64" s="460"/>
      <c r="AP64" s="460"/>
      <c r="AQ64" s="460"/>
      <c r="AR64" s="460"/>
      <c r="AS64" s="460"/>
      <c r="AT64" s="491"/>
      <c r="AU64" s="491"/>
      <c r="AV64" s="491"/>
      <c r="AW64" s="491"/>
      <c r="AX64" s="491"/>
      <c r="AY64" s="491"/>
      <c r="AZ64" s="491"/>
      <c r="BA64" s="517"/>
      <c r="BB64" s="517"/>
      <c r="BC64" s="518"/>
      <c r="BD64" s="518"/>
      <c r="BE64" s="518"/>
      <c r="BF64" s="518"/>
      <c r="BG64" s="518"/>
      <c r="BH64" s="518"/>
      <c r="BI64" s="518"/>
      <c r="BJ64" s="517"/>
      <c r="BK64" s="517"/>
      <c r="BL64" s="516"/>
      <c r="BM64" s="516"/>
      <c r="BN64" s="516"/>
      <c r="BO64" s="516"/>
      <c r="BP64" s="516"/>
      <c r="BQ64" s="516"/>
      <c r="BR64" s="516"/>
      <c r="BS64" s="489"/>
      <c r="BT64" s="489"/>
      <c r="BU64" s="489"/>
      <c r="BV64" s="166"/>
      <c r="BW64" s="165"/>
      <c r="BX64" s="460"/>
      <c r="BY64" s="460"/>
      <c r="BZ64" s="460"/>
      <c r="CA64" s="460"/>
      <c r="CB64" s="460"/>
      <c r="CC64" s="460"/>
      <c r="CD64" s="460"/>
      <c r="CE64" s="460"/>
      <c r="CF64" s="491"/>
      <c r="CG64" s="491"/>
      <c r="CH64" s="491"/>
      <c r="CI64" s="491"/>
      <c r="CJ64" s="491"/>
      <c r="CK64" s="468"/>
      <c r="CL64" s="468"/>
      <c r="CM64" s="468"/>
      <c r="CN64" s="468"/>
      <c r="CO64" s="468"/>
      <c r="CP64" s="468"/>
      <c r="CQ64" s="166"/>
      <c r="CR64" s="521"/>
      <c r="CS64" s="460"/>
      <c r="CT64" s="460"/>
      <c r="CU64" s="460"/>
      <c r="CV64" s="460"/>
      <c r="CW64" s="460"/>
      <c r="CX64" s="460"/>
      <c r="CY64" s="460"/>
      <c r="CZ64" s="460"/>
      <c r="DA64" s="460"/>
      <c r="DB64" s="460"/>
      <c r="DC64" s="553"/>
      <c r="DD64" s="553"/>
      <c r="DE64" s="553"/>
      <c r="DF64" s="553"/>
      <c r="DG64" s="553"/>
      <c r="DH64" s="553"/>
      <c r="DI64" s="553"/>
      <c r="DJ64" s="553"/>
      <c r="DK64" s="489"/>
      <c r="DL64" s="489"/>
      <c r="DM64" s="489"/>
      <c r="DN64" s="346"/>
      <c r="DO64" s="346"/>
      <c r="DP64" s="41"/>
      <c r="DQ64" s="53"/>
      <c r="DR64" s="53"/>
      <c r="DS64" s="167"/>
      <c r="DT64" s="167"/>
      <c r="DU64" s="271"/>
      <c r="DV64" s="53"/>
      <c r="DW64" s="53"/>
      <c r="DX64" s="167"/>
      <c r="DY64" s="189"/>
      <c r="DZ64" s="2"/>
      <c r="EA64" s="2"/>
      <c r="EB64" s="2"/>
      <c r="EC64" s="2"/>
      <c r="ED64" s="2"/>
      <c r="EE64" s="2"/>
      <c r="EF64" s="2"/>
      <c r="EG64" s="2"/>
      <c r="EH64" s="2"/>
      <c r="EI64" s="2"/>
    </row>
    <row r="65" spans="1:139" ht="4.5" customHeight="1" x14ac:dyDescent="0.2">
      <c r="A65" s="42"/>
      <c r="B65" s="42"/>
      <c r="C65" s="42"/>
      <c r="D65" s="42"/>
      <c r="E65" s="42"/>
      <c r="F65" s="42"/>
      <c r="G65" s="43"/>
      <c r="H65" s="43"/>
      <c r="I65" s="43"/>
      <c r="J65" s="43"/>
      <c r="K65" s="44"/>
      <c r="L65" s="161"/>
      <c r="M65" s="167"/>
      <c r="N65" s="568" t="str">
        <f>IF(N63=TRUE,"ACHTUNG Überbreite!","")</f>
        <v/>
      </c>
      <c r="O65" s="568"/>
      <c r="P65" s="568"/>
      <c r="Q65" s="568"/>
      <c r="R65" s="568"/>
      <c r="S65" s="568"/>
      <c r="T65" s="568"/>
      <c r="U65" s="568"/>
      <c r="V65" s="568"/>
      <c r="W65" s="568"/>
      <c r="X65" s="568"/>
      <c r="Y65" s="568"/>
      <c r="Z65" s="568"/>
      <c r="AA65" s="568"/>
      <c r="AB65" s="568"/>
      <c r="AC65" s="568"/>
      <c r="AD65" s="568"/>
      <c r="AE65" s="568"/>
      <c r="AF65" s="568"/>
      <c r="AG65" s="568"/>
      <c r="AH65" s="167"/>
      <c r="AI65" s="161"/>
      <c r="AJ65" s="166"/>
      <c r="AK65" s="166"/>
      <c r="AL65" s="166"/>
      <c r="AM65" s="166"/>
      <c r="AN65" s="166"/>
      <c r="AO65" s="166"/>
      <c r="AP65" s="166"/>
      <c r="AQ65" s="166"/>
      <c r="AR65" s="166"/>
      <c r="AS65" s="166"/>
      <c r="AT65" s="491"/>
      <c r="AU65" s="491"/>
      <c r="AV65" s="491"/>
      <c r="AW65" s="491"/>
      <c r="AX65" s="491"/>
      <c r="AY65" s="491"/>
      <c r="AZ65" s="491"/>
      <c r="BA65" s="166"/>
      <c r="BB65" s="166"/>
      <c r="BC65" s="46"/>
      <c r="BD65" s="46"/>
      <c r="BE65" s="46"/>
      <c r="BF65" s="46"/>
      <c r="BG65" s="46"/>
      <c r="BH65" s="46"/>
      <c r="BI65" s="46"/>
      <c r="BJ65" s="166"/>
      <c r="BK65" s="166"/>
      <c r="BL65" s="292"/>
      <c r="BM65" s="292"/>
      <c r="BN65" s="292"/>
      <c r="BO65" s="292"/>
      <c r="BP65" s="292"/>
      <c r="BQ65" s="292"/>
      <c r="BR65" s="292"/>
      <c r="BS65" s="166"/>
      <c r="BT65" s="166"/>
      <c r="BU65" s="166"/>
      <c r="BV65" s="166"/>
      <c r="BW65" s="165"/>
      <c r="BX65" s="460" t="s">
        <v>46</v>
      </c>
      <c r="BY65" s="460"/>
      <c r="BZ65" s="460"/>
      <c r="CA65" s="460"/>
      <c r="CB65" s="460"/>
      <c r="CC65" s="460"/>
      <c r="CD65" s="460"/>
      <c r="CE65" s="460"/>
      <c r="CF65" s="491"/>
      <c r="CG65" s="491"/>
      <c r="CH65" s="491"/>
      <c r="CI65" s="491"/>
      <c r="CJ65" s="491"/>
      <c r="CK65" s="468" t="s">
        <v>36</v>
      </c>
      <c r="CL65" s="468"/>
      <c r="CM65" s="468"/>
      <c r="CN65" s="468"/>
      <c r="CO65" s="468"/>
      <c r="CP65" s="468"/>
      <c r="CQ65" s="166"/>
      <c r="CR65" s="544" t="s">
        <v>329</v>
      </c>
      <c r="CS65" s="508"/>
      <c r="CT65" s="508"/>
      <c r="CU65" s="508"/>
      <c r="CV65" s="508"/>
      <c r="CW65" s="508"/>
      <c r="CX65" s="508"/>
      <c r="CY65" s="508"/>
      <c r="CZ65" s="508"/>
      <c r="DA65" s="508"/>
      <c r="DB65" s="508"/>
      <c r="DC65" s="553">
        <f>Hilfsstoffe!FW29</f>
        <v>1</v>
      </c>
      <c r="DD65" s="553"/>
      <c r="DE65" s="553"/>
      <c r="DF65" s="553"/>
      <c r="DG65" s="553"/>
      <c r="DH65" s="553"/>
      <c r="DI65" s="553"/>
      <c r="DJ65" s="553"/>
      <c r="DK65" s="498" t="s">
        <v>42</v>
      </c>
      <c r="DL65" s="498"/>
      <c r="DM65" s="498"/>
      <c r="DN65" s="346"/>
      <c r="DO65" s="346"/>
      <c r="DP65" s="41"/>
      <c r="DQ65" s="53"/>
      <c r="DR65" s="53"/>
      <c r="DS65" s="167"/>
      <c r="DT65" s="167"/>
      <c r="DU65" s="271"/>
      <c r="DV65" s="167"/>
      <c r="DW65" s="167"/>
      <c r="DX65" s="167"/>
      <c r="DY65" s="189"/>
      <c r="DZ65" s="2"/>
      <c r="EA65" s="2"/>
      <c r="EB65" s="2"/>
      <c r="EC65" s="2"/>
      <c r="ED65" s="2"/>
      <c r="EE65" s="2"/>
      <c r="EF65" s="2"/>
      <c r="EG65" s="2"/>
      <c r="EH65" s="2"/>
      <c r="EI65" s="2"/>
    </row>
    <row r="66" spans="1:139" ht="4.5" customHeight="1" x14ac:dyDescent="0.2">
      <c r="A66" s="42"/>
      <c r="B66" s="42"/>
      <c r="C66" s="42"/>
      <c r="D66" s="42"/>
      <c r="E66" s="42"/>
      <c r="F66" s="42"/>
      <c r="G66" s="43"/>
      <c r="H66" s="43"/>
      <c r="I66" s="43"/>
      <c r="J66" s="43"/>
      <c r="K66" s="44"/>
      <c r="L66" s="161"/>
      <c r="M66" s="167"/>
      <c r="N66" s="568"/>
      <c r="O66" s="568"/>
      <c r="P66" s="568"/>
      <c r="Q66" s="568"/>
      <c r="R66" s="568"/>
      <c r="S66" s="568"/>
      <c r="T66" s="568"/>
      <c r="U66" s="568"/>
      <c r="V66" s="568"/>
      <c r="W66" s="568"/>
      <c r="X66" s="568"/>
      <c r="Y66" s="568"/>
      <c r="Z66" s="568"/>
      <c r="AA66" s="568"/>
      <c r="AB66" s="568"/>
      <c r="AC66" s="568"/>
      <c r="AD66" s="568"/>
      <c r="AE66" s="568"/>
      <c r="AF66" s="568"/>
      <c r="AG66" s="568"/>
      <c r="AH66" s="167"/>
      <c r="AI66" s="161"/>
      <c r="AJ66" s="460" t="s">
        <v>47</v>
      </c>
      <c r="AK66" s="460"/>
      <c r="AL66" s="460"/>
      <c r="AM66" s="460"/>
      <c r="AN66" s="460"/>
      <c r="AO66" s="460"/>
      <c r="AP66" s="460"/>
      <c r="AQ66" s="460"/>
      <c r="AR66" s="460"/>
      <c r="AS66" s="460"/>
      <c r="AT66" s="491">
        <v>500</v>
      </c>
      <c r="AU66" s="491"/>
      <c r="AV66" s="491"/>
      <c r="AW66" s="491"/>
      <c r="AX66" s="491"/>
      <c r="AY66" s="491"/>
      <c r="AZ66" s="491"/>
      <c r="BA66" s="517" t="s">
        <v>7</v>
      </c>
      <c r="BB66" s="517"/>
      <c r="BC66" s="518">
        <f>AUSSEN_RECH_B</f>
        <v>592</v>
      </c>
      <c r="BD66" s="518"/>
      <c r="BE66" s="518"/>
      <c r="BF66" s="518"/>
      <c r="BG66" s="518"/>
      <c r="BH66" s="518"/>
      <c r="BI66" s="518"/>
      <c r="BJ66" s="517" t="s">
        <v>7</v>
      </c>
      <c r="BK66" s="517"/>
      <c r="BL66" s="516">
        <f>TRUNC(AUSSEN_RECH_B/10+1)*10</f>
        <v>600</v>
      </c>
      <c r="BM66" s="516"/>
      <c r="BN66" s="516"/>
      <c r="BO66" s="516"/>
      <c r="BP66" s="516"/>
      <c r="BQ66" s="516"/>
      <c r="BR66" s="516"/>
      <c r="BS66" s="489" t="s">
        <v>44</v>
      </c>
      <c r="BT66" s="489"/>
      <c r="BU66" s="489"/>
      <c r="BV66" s="166"/>
      <c r="BW66" s="165"/>
      <c r="BX66" s="460"/>
      <c r="BY66" s="460"/>
      <c r="BZ66" s="460"/>
      <c r="CA66" s="460"/>
      <c r="CB66" s="460"/>
      <c r="CC66" s="460"/>
      <c r="CD66" s="460"/>
      <c r="CE66" s="460"/>
      <c r="CF66" s="491"/>
      <c r="CG66" s="491"/>
      <c r="CH66" s="491"/>
      <c r="CI66" s="491"/>
      <c r="CJ66" s="491"/>
      <c r="CK66" s="468"/>
      <c r="CL66" s="468"/>
      <c r="CM66" s="468"/>
      <c r="CN66" s="468"/>
      <c r="CO66" s="468"/>
      <c r="CP66" s="468"/>
      <c r="CQ66" s="166"/>
      <c r="CR66" s="544"/>
      <c r="CS66" s="508"/>
      <c r="CT66" s="508"/>
      <c r="CU66" s="508"/>
      <c r="CV66" s="508"/>
      <c r="CW66" s="508"/>
      <c r="CX66" s="508"/>
      <c r="CY66" s="508"/>
      <c r="CZ66" s="508"/>
      <c r="DA66" s="508"/>
      <c r="DB66" s="508"/>
      <c r="DC66" s="553"/>
      <c r="DD66" s="553"/>
      <c r="DE66" s="553"/>
      <c r="DF66" s="553"/>
      <c r="DG66" s="553"/>
      <c r="DH66" s="553"/>
      <c r="DI66" s="553"/>
      <c r="DJ66" s="553"/>
      <c r="DK66" s="498"/>
      <c r="DL66" s="498"/>
      <c r="DM66" s="498"/>
      <c r="DN66" s="190"/>
      <c r="DO66" s="190"/>
      <c r="DP66" s="37"/>
      <c r="DQ66" s="53"/>
      <c r="DR66" s="53"/>
      <c r="DS66" s="167"/>
      <c r="DT66" s="167"/>
      <c r="DU66" s="271"/>
      <c r="DV66" s="167"/>
      <c r="DW66" s="167"/>
      <c r="DX66" s="167"/>
      <c r="DY66" s="189"/>
      <c r="DZ66" s="2"/>
      <c r="EA66" s="2"/>
      <c r="EB66" s="2"/>
      <c r="EC66" s="2"/>
      <c r="ED66" s="2"/>
      <c r="EE66" s="2"/>
      <c r="EF66" s="2"/>
      <c r="EG66" s="2"/>
      <c r="EH66" s="2"/>
      <c r="EI66" s="2"/>
    </row>
    <row r="67" spans="1:139" ht="4.5" customHeight="1" x14ac:dyDescent="0.2">
      <c r="A67" s="2"/>
      <c r="B67" s="2"/>
      <c r="C67" s="2"/>
      <c r="D67" s="2"/>
      <c r="E67" s="2"/>
      <c r="F67" s="2"/>
      <c r="G67" s="7"/>
      <c r="H67" s="7"/>
      <c r="I67" s="7"/>
      <c r="J67" s="7"/>
      <c r="K67" s="10"/>
      <c r="L67" s="161"/>
      <c r="M67" s="167"/>
      <c r="N67" s="568"/>
      <c r="O67" s="568"/>
      <c r="P67" s="568"/>
      <c r="Q67" s="568"/>
      <c r="R67" s="568"/>
      <c r="S67" s="568"/>
      <c r="T67" s="568"/>
      <c r="U67" s="568"/>
      <c r="V67" s="568"/>
      <c r="W67" s="568"/>
      <c r="X67" s="568"/>
      <c r="Y67" s="568"/>
      <c r="Z67" s="568"/>
      <c r="AA67" s="568"/>
      <c r="AB67" s="568"/>
      <c r="AC67" s="568"/>
      <c r="AD67" s="568"/>
      <c r="AE67" s="568"/>
      <c r="AF67" s="568"/>
      <c r="AG67" s="568"/>
      <c r="AH67" s="167"/>
      <c r="AI67" s="161"/>
      <c r="AJ67" s="460"/>
      <c r="AK67" s="460"/>
      <c r="AL67" s="460"/>
      <c r="AM67" s="460"/>
      <c r="AN67" s="460"/>
      <c r="AO67" s="460"/>
      <c r="AP67" s="460"/>
      <c r="AQ67" s="460"/>
      <c r="AR67" s="460"/>
      <c r="AS67" s="460"/>
      <c r="AT67" s="491"/>
      <c r="AU67" s="491"/>
      <c r="AV67" s="491"/>
      <c r="AW67" s="491"/>
      <c r="AX67" s="491"/>
      <c r="AY67" s="491"/>
      <c r="AZ67" s="491"/>
      <c r="BA67" s="517"/>
      <c r="BB67" s="517"/>
      <c r="BC67" s="518"/>
      <c r="BD67" s="518"/>
      <c r="BE67" s="518"/>
      <c r="BF67" s="518"/>
      <c r="BG67" s="518"/>
      <c r="BH67" s="518"/>
      <c r="BI67" s="518"/>
      <c r="BJ67" s="517"/>
      <c r="BK67" s="517"/>
      <c r="BL67" s="516"/>
      <c r="BM67" s="516"/>
      <c r="BN67" s="516"/>
      <c r="BO67" s="516"/>
      <c r="BP67" s="516"/>
      <c r="BQ67" s="516"/>
      <c r="BR67" s="516"/>
      <c r="BS67" s="489"/>
      <c r="BT67" s="489"/>
      <c r="BU67" s="489"/>
      <c r="BV67" s="166"/>
      <c r="BW67" s="165"/>
      <c r="BX67" s="460" t="s">
        <v>48</v>
      </c>
      <c r="BY67" s="460"/>
      <c r="BZ67" s="460"/>
      <c r="CA67" s="460"/>
      <c r="CB67" s="460"/>
      <c r="CC67" s="460"/>
      <c r="CD67" s="460"/>
      <c r="CE67" s="460"/>
      <c r="CF67" s="491"/>
      <c r="CG67" s="491"/>
      <c r="CH67" s="491"/>
      <c r="CI67" s="491"/>
      <c r="CJ67" s="491"/>
      <c r="CK67" s="468" t="s">
        <v>49</v>
      </c>
      <c r="CL67" s="468"/>
      <c r="CM67" s="468"/>
      <c r="CN67" s="468"/>
      <c r="CO67" s="468"/>
      <c r="CP67" s="468"/>
      <c r="CQ67" s="166"/>
      <c r="CR67" s="562" t="s">
        <v>330</v>
      </c>
      <c r="CS67" s="563"/>
      <c r="CT67" s="563"/>
      <c r="CU67" s="563"/>
      <c r="CV67" s="563"/>
      <c r="CW67" s="563"/>
      <c r="CX67" s="563"/>
      <c r="CY67" s="563"/>
      <c r="CZ67" s="563"/>
      <c r="DA67" s="563"/>
      <c r="DB67" s="563"/>
      <c r="DC67" s="492">
        <f>+DC65+DC63</f>
        <v>70</v>
      </c>
      <c r="DD67" s="492"/>
      <c r="DE67" s="492"/>
      <c r="DF67" s="492"/>
      <c r="DG67" s="492"/>
      <c r="DH67" s="492"/>
      <c r="DI67" s="492"/>
      <c r="DJ67" s="492"/>
      <c r="DK67" s="493" t="s">
        <v>42</v>
      </c>
      <c r="DL67" s="493"/>
      <c r="DM67" s="493"/>
      <c r="DN67" s="190"/>
      <c r="DO67" s="190"/>
      <c r="DP67" s="37"/>
      <c r="DQ67" s="53"/>
      <c r="DR67" s="53"/>
      <c r="DS67" s="167"/>
      <c r="DT67" s="167"/>
      <c r="DU67" s="271"/>
      <c r="DV67" s="167"/>
      <c r="DW67" s="167"/>
      <c r="DX67" s="167"/>
      <c r="DY67" s="189"/>
      <c r="DZ67" s="2"/>
      <c r="EA67" s="2"/>
      <c r="EB67" s="2"/>
      <c r="EC67" s="2"/>
      <c r="ED67" s="2"/>
      <c r="EE67" s="2"/>
      <c r="EF67" s="2"/>
      <c r="EG67" s="2"/>
      <c r="EH67" s="2"/>
      <c r="EI67" s="2"/>
    </row>
    <row r="68" spans="1:139" ht="4.5" customHeight="1" x14ac:dyDescent="0.2">
      <c r="A68" s="2"/>
      <c r="B68" s="2"/>
      <c r="C68" s="2"/>
      <c r="D68" s="2"/>
      <c r="E68" s="2"/>
      <c r="F68" s="2"/>
      <c r="G68" s="7"/>
      <c r="H68" s="7"/>
      <c r="I68" s="7"/>
      <c r="J68" s="7"/>
      <c r="K68" s="10"/>
      <c r="L68" s="161"/>
      <c r="M68" s="167"/>
      <c r="N68" s="519" t="str">
        <f>IF(N63=TRUE,"2 Seiten sind 3 m öder länger","")</f>
        <v/>
      </c>
      <c r="O68" s="519"/>
      <c r="P68" s="519"/>
      <c r="Q68" s="519"/>
      <c r="R68" s="519"/>
      <c r="S68" s="519"/>
      <c r="T68" s="519"/>
      <c r="U68" s="519"/>
      <c r="V68" s="519"/>
      <c r="W68" s="519"/>
      <c r="X68" s="519"/>
      <c r="Y68" s="519"/>
      <c r="Z68" s="519"/>
      <c r="AA68" s="519"/>
      <c r="AB68" s="519"/>
      <c r="AC68" s="519"/>
      <c r="AD68" s="519"/>
      <c r="AE68" s="519"/>
      <c r="AF68" s="519"/>
      <c r="AG68" s="519"/>
      <c r="AH68" s="167"/>
      <c r="AI68" s="161"/>
      <c r="AJ68" s="166"/>
      <c r="AK68" s="166"/>
      <c r="AL68" s="166"/>
      <c r="AM68" s="166"/>
      <c r="AN68" s="166"/>
      <c r="AO68" s="166"/>
      <c r="AP68" s="166"/>
      <c r="AQ68" s="166"/>
      <c r="AR68" s="166"/>
      <c r="AS68" s="166"/>
      <c r="AT68" s="491"/>
      <c r="AU68" s="491"/>
      <c r="AV68" s="491"/>
      <c r="AW68" s="491"/>
      <c r="AX68" s="491"/>
      <c r="AY68" s="491"/>
      <c r="AZ68" s="491"/>
      <c r="BA68" s="166"/>
      <c r="BB68" s="166"/>
      <c r="BC68" s="46"/>
      <c r="BD68" s="46"/>
      <c r="BE68" s="46"/>
      <c r="BF68" s="46"/>
      <c r="BG68" s="46"/>
      <c r="BH68" s="46"/>
      <c r="BI68" s="46"/>
      <c r="BJ68" s="166"/>
      <c r="BK68" s="166"/>
      <c r="BL68" s="292"/>
      <c r="BM68" s="292"/>
      <c r="BN68" s="292"/>
      <c r="BO68" s="292"/>
      <c r="BP68" s="292"/>
      <c r="BQ68" s="292"/>
      <c r="BR68" s="292"/>
      <c r="BS68" s="166"/>
      <c r="BT68" s="166"/>
      <c r="BU68" s="166"/>
      <c r="BV68" s="166"/>
      <c r="BW68" s="165"/>
      <c r="BX68" s="460"/>
      <c r="BY68" s="460"/>
      <c r="BZ68" s="460"/>
      <c r="CA68" s="460"/>
      <c r="CB68" s="460"/>
      <c r="CC68" s="460"/>
      <c r="CD68" s="460"/>
      <c r="CE68" s="460"/>
      <c r="CF68" s="491"/>
      <c r="CG68" s="491"/>
      <c r="CH68" s="491"/>
      <c r="CI68" s="491"/>
      <c r="CJ68" s="491"/>
      <c r="CK68" s="468"/>
      <c r="CL68" s="468"/>
      <c r="CM68" s="468"/>
      <c r="CN68" s="468"/>
      <c r="CO68" s="468"/>
      <c r="CP68" s="468"/>
      <c r="CQ68" s="166"/>
      <c r="CR68" s="562"/>
      <c r="CS68" s="563"/>
      <c r="CT68" s="563"/>
      <c r="CU68" s="563"/>
      <c r="CV68" s="563"/>
      <c r="CW68" s="563"/>
      <c r="CX68" s="563"/>
      <c r="CY68" s="563"/>
      <c r="CZ68" s="563"/>
      <c r="DA68" s="563"/>
      <c r="DB68" s="563"/>
      <c r="DC68" s="492"/>
      <c r="DD68" s="492"/>
      <c r="DE68" s="492"/>
      <c r="DF68" s="492"/>
      <c r="DG68" s="492"/>
      <c r="DH68" s="492"/>
      <c r="DI68" s="492"/>
      <c r="DJ68" s="492"/>
      <c r="DK68" s="493"/>
      <c r="DL68" s="493"/>
      <c r="DM68" s="493"/>
      <c r="DN68" s="167"/>
      <c r="DO68" s="167"/>
      <c r="DP68" s="167"/>
      <c r="DQ68" s="53"/>
      <c r="DR68" s="53"/>
      <c r="DS68" s="167"/>
      <c r="DT68" s="167"/>
      <c r="DU68" s="271"/>
      <c r="DV68" s="167"/>
      <c r="DW68" s="167"/>
      <c r="DX68" s="167"/>
      <c r="DY68" s="189"/>
      <c r="DZ68" s="2"/>
      <c r="EA68" s="2"/>
      <c r="EB68" s="2"/>
      <c r="EC68" s="2"/>
      <c r="ED68" s="2"/>
      <c r="EE68" s="2"/>
      <c r="EF68" s="2"/>
      <c r="EG68" s="2"/>
      <c r="EH68" s="2"/>
      <c r="EI68" s="2"/>
    </row>
    <row r="69" spans="1:139" ht="4.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61"/>
      <c r="M69" s="167"/>
      <c r="N69" s="519"/>
      <c r="O69" s="519"/>
      <c r="P69" s="519"/>
      <c r="Q69" s="519"/>
      <c r="R69" s="519"/>
      <c r="S69" s="519"/>
      <c r="T69" s="519"/>
      <c r="U69" s="519"/>
      <c r="V69" s="519"/>
      <c r="W69" s="519"/>
      <c r="X69" s="519"/>
      <c r="Y69" s="519"/>
      <c r="Z69" s="519"/>
      <c r="AA69" s="519"/>
      <c r="AB69" s="519"/>
      <c r="AC69" s="519"/>
      <c r="AD69" s="519"/>
      <c r="AE69" s="519"/>
      <c r="AF69" s="519"/>
      <c r="AG69" s="519"/>
      <c r="AH69" s="167"/>
      <c r="AI69" s="161"/>
      <c r="AJ69" s="460" t="s">
        <v>51</v>
      </c>
      <c r="AK69" s="460"/>
      <c r="AL69" s="460"/>
      <c r="AM69" s="460"/>
      <c r="AN69" s="460"/>
      <c r="AO69" s="460"/>
      <c r="AP69" s="460"/>
      <c r="AQ69" s="460"/>
      <c r="AR69" s="460"/>
      <c r="AS69" s="460"/>
      <c r="AT69" s="491">
        <v>500</v>
      </c>
      <c r="AU69" s="491"/>
      <c r="AV69" s="491"/>
      <c r="AW69" s="491"/>
      <c r="AX69" s="491"/>
      <c r="AY69" s="491"/>
      <c r="AZ69" s="491"/>
      <c r="BA69" s="517" t="s">
        <v>7</v>
      </c>
      <c r="BB69" s="517"/>
      <c r="BC69" s="518">
        <f>AUSSEN_RECH_H</f>
        <v>689</v>
      </c>
      <c r="BD69" s="518"/>
      <c r="BE69" s="518"/>
      <c r="BF69" s="518"/>
      <c r="BG69" s="518"/>
      <c r="BH69" s="518"/>
      <c r="BI69" s="518"/>
      <c r="BJ69" s="517" t="s">
        <v>7</v>
      </c>
      <c r="BK69" s="517"/>
      <c r="BL69" s="516">
        <f>TRUNC(AUSSEN_RECH_H/10+1)*10</f>
        <v>690</v>
      </c>
      <c r="BM69" s="516"/>
      <c r="BN69" s="516"/>
      <c r="BO69" s="516"/>
      <c r="BP69" s="516"/>
      <c r="BQ69" s="516"/>
      <c r="BR69" s="516"/>
      <c r="BS69" s="489" t="s">
        <v>44</v>
      </c>
      <c r="BT69" s="489"/>
      <c r="BU69" s="489"/>
      <c r="BV69" s="166"/>
      <c r="BW69" s="165"/>
      <c r="BX69" s="460" t="s">
        <v>52</v>
      </c>
      <c r="BY69" s="460"/>
      <c r="BZ69" s="460"/>
      <c r="CA69" s="460"/>
      <c r="CB69" s="460"/>
      <c r="CC69" s="460"/>
      <c r="CD69" s="460"/>
      <c r="CE69" s="460"/>
      <c r="CF69" s="491">
        <v>0</v>
      </c>
      <c r="CG69" s="491"/>
      <c r="CH69" s="491"/>
      <c r="CI69" s="491"/>
      <c r="CJ69" s="491"/>
      <c r="CK69" s="468" t="s">
        <v>0</v>
      </c>
      <c r="CL69" s="468"/>
      <c r="CM69" s="468"/>
      <c r="CN69" s="468"/>
      <c r="CO69" s="468"/>
      <c r="CP69" s="468"/>
      <c r="CQ69" s="166"/>
      <c r="CR69" s="521" t="s">
        <v>53</v>
      </c>
      <c r="CS69" s="460"/>
      <c r="CT69" s="460"/>
      <c r="CU69" s="460"/>
      <c r="CV69" s="460"/>
      <c r="CW69" s="460"/>
      <c r="CX69" s="460"/>
      <c r="CY69" s="460"/>
      <c r="CZ69" s="460"/>
      <c r="DA69" s="460"/>
      <c r="DB69" s="460"/>
      <c r="DC69" s="553">
        <f>KG_Netto+KG_Tara_Gesamt</f>
        <v>70</v>
      </c>
      <c r="DD69" s="553"/>
      <c r="DE69" s="553"/>
      <c r="DF69" s="553"/>
      <c r="DG69" s="553"/>
      <c r="DH69" s="553"/>
      <c r="DI69" s="553"/>
      <c r="DJ69" s="553"/>
      <c r="DK69" s="489" t="s">
        <v>42</v>
      </c>
      <c r="DL69" s="489"/>
      <c r="DM69" s="489"/>
      <c r="DN69" s="167"/>
      <c r="DO69" s="167"/>
      <c r="DP69" s="37"/>
      <c r="DQ69" s="53"/>
      <c r="DR69" s="53"/>
      <c r="DS69" s="167"/>
      <c r="DT69" s="167"/>
      <c r="DU69" s="271"/>
      <c r="DV69" s="167"/>
      <c r="DW69" s="167"/>
      <c r="DX69" s="167"/>
      <c r="DY69" s="189"/>
      <c r="DZ69" s="2"/>
      <c r="EA69" s="2"/>
      <c r="EB69" s="2"/>
      <c r="EC69" s="2"/>
      <c r="ED69" s="2"/>
      <c r="EE69" s="2"/>
      <c r="EF69" s="2"/>
      <c r="EG69" s="2"/>
      <c r="EH69" s="2"/>
      <c r="EI69" s="2"/>
    </row>
    <row r="70" spans="1:139" ht="4.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61"/>
      <c r="M70" s="167"/>
      <c r="N70" s="519"/>
      <c r="O70" s="519"/>
      <c r="P70" s="519"/>
      <c r="Q70" s="519"/>
      <c r="R70" s="519"/>
      <c r="S70" s="519"/>
      <c r="T70" s="519"/>
      <c r="U70" s="519"/>
      <c r="V70" s="519"/>
      <c r="W70" s="519"/>
      <c r="X70" s="519"/>
      <c r="Y70" s="519"/>
      <c r="Z70" s="519"/>
      <c r="AA70" s="519"/>
      <c r="AB70" s="519"/>
      <c r="AC70" s="519"/>
      <c r="AD70" s="519"/>
      <c r="AE70" s="519"/>
      <c r="AF70" s="519"/>
      <c r="AG70" s="519"/>
      <c r="AH70" s="190"/>
      <c r="AI70" s="129"/>
      <c r="AJ70" s="460"/>
      <c r="AK70" s="460"/>
      <c r="AL70" s="460"/>
      <c r="AM70" s="460"/>
      <c r="AN70" s="460"/>
      <c r="AO70" s="460"/>
      <c r="AP70" s="460"/>
      <c r="AQ70" s="460"/>
      <c r="AR70" s="460"/>
      <c r="AS70" s="460"/>
      <c r="AT70" s="491"/>
      <c r="AU70" s="491"/>
      <c r="AV70" s="491"/>
      <c r="AW70" s="491"/>
      <c r="AX70" s="491"/>
      <c r="AY70" s="491"/>
      <c r="AZ70" s="491"/>
      <c r="BA70" s="517"/>
      <c r="BB70" s="517"/>
      <c r="BC70" s="518"/>
      <c r="BD70" s="518"/>
      <c r="BE70" s="518"/>
      <c r="BF70" s="518"/>
      <c r="BG70" s="518"/>
      <c r="BH70" s="518"/>
      <c r="BI70" s="518"/>
      <c r="BJ70" s="517"/>
      <c r="BK70" s="517"/>
      <c r="BL70" s="516"/>
      <c r="BM70" s="516"/>
      <c r="BN70" s="516"/>
      <c r="BO70" s="516"/>
      <c r="BP70" s="516"/>
      <c r="BQ70" s="516"/>
      <c r="BR70" s="516"/>
      <c r="BS70" s="489"/>
      <c r="BT70" s="489"/>
      <c r="BU70" s="489"/>
      <c r="BV70" s="166"/>
      <c r="BW70" s="165"/>
      <c r="BX70" s="460"/>
      <c r="BY70" s="460"/>
      <c r="BZ70" s="460"/>
      <c r="CA70" s="460"/>
      <c r="CB70" s="460"/>
      <c r="CC70" s="460"/>
      <c r="CD70" s="460"/>
      <c r="CE70" s="460"/>
      <c r="CF70" s="491"/>
      <c r="CG70" s="491"/>
      <c r="CH70" s="491"/>
      <c r="CI70" s="491"/>
      <c r="CJ70" s="491"/>
      <c r="CK70" s="468"/>
      <c r="CL70" s="468"/>
      <c r="CM70" s="468"/>
      <c r="CN70" s="468"/>
      <c r="CO70" s="468"/>
      <c r="CP70" s="468"/>
      <c r="CQ70" s="166"/>
      <c r="CR70" s="521"/>
      <c r="CS70" s="460"/>
      <c r="CT70" s="460"/>
      <c r="CU70" s="460"/>
      <c r="CV70" s="460"/>
      <c r="CW70" s="460"/>
      <c r="CX70" s="460"/>
      <c r="CY70" s="460"/>
      <c r="CZ70" s="460"/>
      <c r="DA70" s="460"/>
      <c r="DB70" s="460"/>
      <c r="DC70" s="553"/>
      <c r="DD70" s="553"/>
      <c r="DE70" s="553"/>
      <c r="DF70" s="553"/>
      <c r="DG70" s="553"/>
      <c r="DH70" s="553"/>
      <c r="DI70" s="553"/>
      <c r="DJ70" s="553"/>
      <c r="DK70" s="489"/>
      <c r="DL70" s="489"/>
      <c r="DM70" s="489"/>
      <c r="DN70" s="167"/>
      <c r="DO70" s="167"/>
      <c r="DP70" s="37"/>
      <c r="DQ70" s="53"/>
      <c r="DR70" s="53"/>
      <c r="DS70" s="167"/>
      <c r="DT70" s="167"/>
      <c r="DU70" s="271"/>
      <c r="DV70" s="167"/>
      <c r="DW70" s="167"/>
      <c r="DX70" s="167"/>
      <c r="DY70" s="189"/>
      <c r="DZ70" s="2"/>
      <c r="EA70" s="2"/>
      <c r="EB70" s="2"/>
      <c r="EC70" s="2"/>
      <c r="ED70" s="2"/>
      <c r="EE70" s="2"/>
      <c r="EF70" s="2"/>
      <c r="EG70" s="2"/>
      <c r="EH70" s="2"/>
      <c r="EI70" s="2"/>
    </row>
    <row r="71" spans="1:139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61"/>
      <c r="M71" s="167"/>
      <c r="N71" s="167"/>
      <c r="O71" s="167"/>
      <c r="P71" s="167"/>
      <c r="Q71" s="167"/>
      <c r="R71" s="167"/>
      <c r="S71" s="167"/>
      <c r="T71" s="167"/>
      <c r="U71" s="167"/>
      <c r="V71" s="167"/>
      <c r="W71" s="167"/>
      <c r="X71" s="167"/>
      <c r="Y71" s="167"/>
      <c r="Z71" s="167"/>
      <c r="AA71" s="167"/>
      <c r="AB71" s="167"/>
      <c r="AC71" s="167"/>
      <c r="AD71" s="167"/>
      <c r="AE71" s="167"/>
      <c r="AF71" s="167"/>
      <c r="AG71" s="167"/>
      <c r="AH71" s="167"/>
      <c r="AI71" s="167"/>
      <c r="AJ71" s="167"/>
      <c r="AK71" s="167"/>
      <c r="AL71" s="167"/>
      <c r="AM71" s="167"/>
      <c r="AN71" s="167"/>
      <c r="AO71" s="167"/>
      <c r="AP71" s="167"/>
      <c r="AQ71" s="167"/>
      <c r="AR71" s="167"/>
      <c r="AS71" s="167"/>
      <c r="AT71" s="509"/>
      <c r="AU71" s="509"/>
      <c r="AV71" s="509"/>
      <c r="AW71" s="509"/>
      <c r="AX71" s="509"/>
      <c r="AY71" s="509"/>
      <c r="AZ71" s="509"/>
      <c r="BA71" s="167"/>
      <c r="BB71" s="167"/>
      <c r="BC71" s="167"/>
      <c r="BD71" s="167"/>
      <c r="BE71" s="167"/>
      <c r="BF71" s="167"/>
      <c r="BG71" s="167"/>
      <c r="BH71" s="167"/>
      <c r="BI71" s="167"/>
      <c r="BJ71" s="167"/>
      <c r="BK71" s="167"/>
      <c r="BL71" s="293"/>
      <c r="BM71" s="293"/>
      <c r="BN71" s="293"/>
      <c r="BO71" s="293"/>
      <c r="BP71" s="293"/>
      <c r="BQ71" s="293"/>
      <c r="BR71" s="293"/>
      <c r="BS71" s="167"/>
      <c r="BT71" s="167"/>
      <c r="BU71" s="167"/>
      <c r="BV71" s="167"/>
      <c r="BW71" s="167"/>
      <c r="BX71" s="167"/>
      <c r="BY71" s="167"/>
      <c r="BZ71" s="167"/>
      <c r="CA71" s="167"/>
      <c r="CB71" s="167"/>
      <c r="CC71" s="167"/>
      <c r="CD71" s="167"/>
      <c r="CE71" s="167"/>
      <c r="CF71" s="457">
        <f>KS_TME32_N</f>
        <v>0</v>
      </c>
      <c r="CG71" s="457"/>
      <c r="CH71" s="457"/>
      <c r="CI71" s="457"/>
      <c r="CJ71" s="457"/>
      <c r="CK71" s="167"/>
      <c r="CL71" s="167"/>
      <c r="CM71" s="167"/>
      <c r="CN71" s="167"/>
      <c r="CO71" s="167"/>
      <c r="CP71" s="167"/>
      <c r="CQ71" s="167"/>
      <c r="CR71" s="167"/>
      <c r="CS71" s="167"/>
      <c r="CT71" s="167"/>
      <c r="CU71" s="167"/>
      <c r="CV71" s="167"/>
      <c r="CW71" s="167"/>
      <c r="CX71" s="167"/>
      <c r="CY71" s="167"/>
      <c r="CZ71" s="167"/>
      <c r="DA71" s="167"/>
      <c r="DB71" s="167"/>
      <c r="DC71" s="167"/>
      <c r="DD71" s="167"/>
      <c r="DE71" s="167"/>
      <c r="DF71" s="167"/>
      <c r="DG71" s="167"/>
      <c r="DH71" s="167"/>
      <c r="DI71" s="167"/>
      <c r="DJ71" s="167"/>
      <c r="DK71" s="167"/>
      <c r="DL71" s="167"/>
      <c r="DM71" s="167"/>
      <c r="DN71" s="167"/>
      <c r="DO71" s="167"/>
      <c r="DP71" s="37"/>
      <c r="DQ71" s="53"/>
      <c r="DR71" s="53"/>
      <c r="DS71" s="167"/>
      <c r="DT71" s="167"/>
      <c r="DU71" s="271"/>
      <c r="DV71" s="167"/>
      <c r="DW71" s="167"/>
      <c r="DX71" s="216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</row>
    <row r="72" spans="1:139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294"/>
      <c r="M72" s="234"/>
      <c r="N72" s="235"/>
      <c r="O72" s="235"/>
      <c r="P72" s="235"/>
      <c r="Q72" s="235"/>
      <c r="R72" s="235"/>
      <c r="S72" s="235"/>
      <c r="T72" s="235"/>
      <c r="U72" s="235"/>
      <c r="V72" s="235"/>
      <c r="W72" s="235"/>
      <c r="X72" s="235"/>
      <c r="Y72" s="235"/>
      <c r="Z72" s="235"/>
      <c r="AA72" s="235"/>
      <c r="AB72" s="235"/>
      <c r="AC72" s="235"/>
      <c r="AD72" s="235"/>
      <c r="AE72" s="235"/>
      <c r="AF72" s="235"/>
      <c r="AG72" s="235"/>
      <c r="AH72" s="235"/>
      <c r="AI72" s="235"/>
      <c r="AJ72" s="235"/>
      <c r="AK72" s="235"/>
      <c r="AL72" s="235"/>
      <c r="AM72" s="235"/>
      <c r="AN72" s="235"/>
      <c r="AO72" s="235"/>
      <c r="AP72" s="235"/>
      <c r="AQ72" s="235"/>
      <c r="AR72" s="235"/>
      <c r="AS72" s="235"/>
      <c r="AT72" s="235"/>
      <c r="AU72" s="235"/>
      <c r="AV72" s="235"/>
      <c r="AW72" s="235"/>
      <c r="AX72" s="235"/>
      <c r="AY72" s="235"/>
      <c r="AZ72" s="235"/>
      <c r="BA72" s="235"/>
      <c r="BB72" s="235"/>
      <c r="BC72" s="235"/>
      <c r="BD72" s="235"/>
      <c r="BE72" s="235"/>
      <c r="BF72" s="235"/>
      <c r="BG72" s="235"/>
      <c r="BH72" s="235"/>
      <c r="BI72" s="235"/>
      <c r="BJ72" s="235"/>
      <c r="BK72" s="235"/>
      <c r="BL72" s="235"/>
      <c r="BM72" s="235"/>
      <c r="BN72" s="235"/>
      <c r="BO72" s="235"/>
      <c r="BP72" s="235"/>
      <c r="BQ72" s="235"/>
      <c r="BR72" s="235"/>
      <c r="BS72" s="235"/>
      <c r="BT72" s="235"/>
      <c r="BU72" s="235"/>
      <c r="BV72" s="235"/>
      <c r="BW72" s="235"/>
      <c r="BX72" s="235"/>
      <c r="BY72" s="235"/>
      <c r="BZ72" s="235"/>
      <c r="CA72" s="235"/>
      <c r="CB72" s="235"/>
      <c r="CC72" s="235">
        <v>0</v>
      </c>
      <c r="CD72" s="235"/>
      <c r="CE72" s="235"/>
      <c r="CF72" s="235"/>
      <c r="CG72" s="235"/>
      <c r="CH72" s="235"/>
      <c r="CI72" s="235"/>
      <c r="CJ72" s="235"/>
      <c r="CK72" s="235"/>
      <c r="CL72" s="235"/>
      <c r="CM72" s="235"/>
      <c r="CN72" s="235"/>
      <c r="CO72" s="235"/>
      <c r="CP72" s="235"/>
      <c r="CQ72" s="235"/>
      <c r="CR72" s="295"/>
      <c r="CS72" s="235"/>
      <c r="CT72" s="235"/>
      <c r="CU72" s="235"/>
      <c r="CV72" s="235"/>
      <c r="CW72" s="235"/>
      <c r="CX72" s="235"/>
      <c r="CY72" s="235"/>
      <c r="CZ72" s="235"/>
      <c r="DA72" s="235"/>
      <c r="DB72" s="235"/>
      <c r="DC72" s="235"/>
      <c r="DD72" s="235"/>
      <c r="DE72" s="235"/>
      <c r="DF72" s="235"/>
      <c r="DG72" s="235"/>
      <c r="DH72" s="235"/>
      <c r="DI72" s="235"/>
      <c r="DJ72" s="235"/>
      <c r="DK72" s="235"/>
      <c r="DL72" s="235"/>
      <c r="DM72" s="235"/>
      <c r="DN72" s="235"/>
      <c r="DO72" s="235"/>
      <c r="DP72" s="127"/>
      <c r="DQ72" s="234"/>
      <c r="DR72" s="234"/>
      <c r="DS72" s="235"/>
      <c r="DT72" s="235"/>
      <c r="DU72" s="238"/>
      <c r="DV72" s="234"/>
      <c r="DW72" s="234"/>
      <c r="DX72" s="296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</row>
    <row r="73" spans="1:139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71"/>
      <c r="M73" s="53"/>
      <c r="N73" s="167"/>
      <c r="O73" s="271"/>
      <c r="P73" s="280"/>
      <c r="Q73" s="280"/>
      <c r="R73" s="280"/>
      <c r="S73" s="280"/>
      <c r="T73" s="280"/>
      <c r="U73" s="280"/>
      <c r="V73" s="280"/>
      <c r="W73" s="280"/>
      <c r="X73" s="280"/>
      <c r="Y73" s="280"/>
      <c r="Z73" s="280"/>
      <c r="AA73" s="280"/>
      <c r="AB73" s="280"/>
      <c r="AC73" s="280"/>
      <c r="AD73" s="280"/>
      <c r="AE73" s="280"/>
      <c r="AF73" s="280"/>
      <c r="AG73" s="167"/>
      <c r="AH73" s="167"/>
      <c r="AI73" s="167"/>
      <c r="AJ73" s="167"/>
      <c r="AK73" s="167"/>
      <c r="AL73" s="167"/>
      <c r="AM73" s="167"/>
      <c r="AN73" s="167"/>
      <c r="AO73" s="167"/>
      <c r="AP73" s="167"/>
      <c r="AQ73" s="167"/>
      <c r="AR73" s="167"/>
      <c r="AS73" s="167"/>
      <c r="AT73" s="167"/>
      <c r="AU73" s="167"/>
      <c r="AV73" s="167"/>
      <c r="AW73" s="167"/>
      <c r="AX73" s="161"/>
      <c r="AY73" s="167"/>
      <c r="AZ73" s="167"/>
      <c r="BA73" s="346"/>
      <c r="BB73" s="346"/>
      <c r="BC73" s="346"/>
      <c r="BD73" s="346"/>
      <c r="BE73" s="248"/>
      <c r="BF73" s="248"/>
      <c r="BG73" s="248"/>
      <c r="BH73" s="248"/>
      <c r="BI73" s="248"/>
      <c r="BJ73" s="248"/>
      <c r="BK73" s="248"/>
      <c r="BL73" s="248"/>
      <c r="BM73" s="248"/>
      <c r="BN73" s="248"/>
      <c r="BO73" s="248"/>
      <c r="BP73" s="248"/>
      <c r="BQ73" s="248"/>
      <c r="BR73" s="248"/>
      <c r="BS73" s="248"/>
      <c r="BT73" s="248"/>
      <c r="BU73" s="341"/>
      <c r="BV73" s="341"/>
      <c r="BW73" s="341"/>
      <c r="BX73" s="341"/>
      <c r="BY73" s="341"/>
      <c r="BZ73" s="341"/>
      <c r="CA73" s="341"/>
      <c r="CB73" s="341"/>
      <c r="CC73" s="167"/>
      <c r="CD73" s="167"/>
      <c r="CE73" s="167"/>
      <c r="CF73" s="167"/>
      <c r="CG73" s="167"/>
      <c r="CH73" s="167"/>
      <c r="CI73" s="167"/>
      <c r="CJ73" s="167"/>
      <c r="CK73" s="167"/>
      <c r="CL73" s="161"/>
      <c r="CM73" s="167"/>
      <c r="CN73" s="167"/>
      <c r="CO73" s="167"/>
      <c r="CP73" s="167"/>
      <c r="CQ73" s="167"/>
      <c r="CR73" s="167"/>
      <c r="CS73" s="167"/>
      <c r="CT73" s="167"/>
      <c r="CU73" s="167"/>
      <c r="CV73" s="167"/>
      <c r="CW73" s="167"/>
      <c r="CX73" s="167"/>
      <c r="CY73" s="167"/>
      <c r="CZ73" s="167"/>
      <c r="DA73" s="167"/>
      <c r="DB73" s="167"/>
      <c r="DC73" s="167"/>
      <c r="DD73" s="167"/>
      <c r="DE73" s="167"/>
      <c r="DF73" s="167"/>
      <c r="DG73" s="167"/>
      <c r="DH73" s="167"/>
      <c r="DI73" s="167"/>
      <c r="DJ73" s="167"/>
      <c r="DK73" s="167"/>
      <c r="DL73" s="167"/>
      <c r="DM73" s="167"/>
      <c r="DN73" s="167"/>
      <c r="DO73" s="167"/>
      <c r="DP73" s="167"/>
      <c r="DQ73" s="53"/>
      <c r="DR73" s="53"/>
      <c r="DS73" s="53"/>
      <c r="DT73" s="167"/>
      <c r="DU73" s="271"/>
      <c r="DV73" s="53"/>
      <c r="DW73" s="53"/>
      <c r="DX73" s="216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</row>
    <row r="74" spans="1:139" ht="4.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36"/>
      <c r="N74" s="167"/>
      <c r="O74" s="476" t="s">
        <v>368</v>
      </c>
      <c r="P74" s="476"/>
      <c r="Q74" s="476"/>
      <c r="R74" s="476"/>
      <c r="S74" s="476"/>
      <c r="T74" s="476"/>
      <c r="U74" s="476"/>
      <c r="V74" s="476"/>
      <c r="W74" s="476"/>
      <c r="X74" s="476"/>
      <c r="Y74" s="476"/>
      <c r="Z74" s="476"/>
      <c r="AA74" s="476"/>
      <c r="AB74" s="476"/>
      <c r="AC74" s="476"/>
      <c r="AD74" s="476"/>
      <c r="AE74" s="476"/>
      <c r="AF74" s="476"/>
      <c r="AG74" s="476"/>
      <c r="AH74" s="477"/>
      <c r="AI74" s="476"/>
      <c r="AJ74" s="476"/>
      <c r="AK74" s="515">
        <v>23</v>
      </c>
      <c r="AL74" s="515"/>
      <c r="AM74" s="515"/>
      <c r="AN74" s="515"/>
      <c r="AO74" s="515"/>
      <c r="AP74" s="515"/>
      <c r="AQ74" s="515"/>
      <c r="AR74" s="515"/>
      <c r="AS74" s="167"/>
      <c r="AT74" s="483" t="s">
        <v>44</v>
      </c>
      <c r="AU74" s="483"/>
      <c r="AV74" s="483"/>
      <c r="AW74" s="342"/>
      <c r="AX74" s="161"/>
      <c r="AY74" s="468" t="s">
        <v>360</v>
      </c>
      <c r="AZ74" s="468"/>
      <c r="BA74" s="468"/>
      <c r="BB74" s="468"/>
      <c r="BC74" s="468"/>
      <c r="BD74" s="468"/>
      <c r="BE74" s="565" t="s">
        <v>357</v>
      </c>
      <c r="BF74" s="565"/>
      <c r="BG74" s="565"/>
      <c r="BH74" s="565"/>
      <c r="BI74" s="565"/>
      <c r="BJ74" s="565"/>
      <c r="BK74" s="565"/>
      <c r="BL74" s="565"/>
      <c r="BM74" s="565"/>
      <c r="BN74" s="565"/>
      <c r="BO74" s="565"/>
      <c r="BP74" s="565"/>
      <c r="BQ74" s="565"/>
      <c r="BR74" s="565"/>
      <c r="BS74" s="565"/>
      <c r="BT74" s="565"/>
      <c r="BU74" s="497" t="s">
        <v>431</v>
      </c>
      <c r="BV74" s="497"/>
      <c r="BW74" s="497"/>
      <c r="BX74" s="497"/>
      <c r="BY74" s="497"/>
      <c r="BZ74" s="497"/>
      <c r="CA74" s="497"/>
      <c r="CB74" s="497"/>
      <c r="CC74" s="497"/>
      <c r="CD74" s="497"/>
      <c r="CE74" s="280"/>
      <c r="CF74" s="280"/>
      <c r="CG74" s="280"/>
      <c r="CH74" s="280"/>
      <c r="CI74" s="280"/>
      <c r="CJ74" s="167"/>
      <c r="CK74" s="167"/>
      <c r="CL74" s="161"/>
      <c r="CM74" s="167"/>
      <c r="CN74" s="459" t="s">
        <v>135</v>
      </c>
      <c r="CO74" s="459"/>
      <c r="CP74" s="459"/>
      <c r="CQ74" s="459"/>
      <c r="CR74" s="496" t="s">
        <v>136</v>
      </c>
      <c r="CS74" s="496"/>
      <c r="CT74" s="496"/>
      <c r="CU74" s="496"/>
      <c r="CV74" s="496"/>
      <c r="CW74" s="496"/>
      <c r="CX74" s="496"/>
      <c r="CY74" s="496"/>
      <c r="CZ74" s="496"/>
      <c r="DA74" s="496"/>
      <c r="DB74" s="496"/>
      <c r="DC74" s="496"/>
      <c r="DD74" s="496"/>
      <c r="DE74" s="496"/>
      <c r="DF74" s="496"/>
      <c r="DG74" s="496"/>
      <c r="DH74" s="496"/>
      <c r="DI74" s="487">
        <v>2</v>
      </c>
      <c r="DJ74" s="487"/>
      <c r="DK74" s="487"/>
      <c r="DL74" s="487"/>
      <c r="DM74" s="487"/>
      <c r="DN74" s="487"/>
      <c r="DO74" s="487"/>
      <c r="DP74" s="487"/>
      <c r="DQ74" s="167"/>
      <c r="DR74" s="468" t="s">
        <v>137</v>
      </c>
      <c r="DS74" s="468"/>
      <c r="DT74" s="468"/>
      <c r="DU74" s="468"/>
      <c r="DV74" s="468"/>
      <c r="DW74" s="468"/>
      <c r="DX74" s="216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</row>
    <row r="75" spans="1:139" ht="4.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N75" s="167"/>
      <c r="O75" s="476"/>
      <c r="P75" s="476"/>
      <c r="Q75" s="476"/>
      <c r="R75" s="476"/>
      <c r="S75" s="476"/>
      <c r="T75" s="476"/>
      <c r="U75" s="476"/>
      <c r="V75" s="476"/>
      <c r="W75" s="476"/>
      <c r="X75" s="476"/>
      <c r="Y75" s="476"/>
      <c r="Z75" s="476"/>
      <c r="AA75" s="476"/>
      <c r="AB75" s="476"/>
      <c r="AC75" s="476"/>
      <c r="AD75" s="476"/>
      <c r="AE75" s="476"/>
      <c r="AF75" s="476"/>
      <c r="AG75" s="476"/>
      <c r="AH75" s="476"/>
      <c r="AI75" s="476"/>
      <c r="AJ75" s="476"/>
      <c r="AK75" s="515"/>
      <c r="AL75" s="515"/>
      <c r="AM75" s="515"/>
      <c r="AN75" s="515"/>
      <c r="AO75" s="515"/>
      <c r="AP75" s="515"/>
      <c r="AQ75" s="515"/>
      <c r="AR75" s="515"/>
      <c r="AS75" s="167"/>
      <c r="AT75" s="483"/>
      <c r="AU75" s="483"/>
      <c r="AV75" s="483"/>
      <c r="AW75" s="342"/>
      <c r="AX75" s="161"/>
      <c r="AY75" s="468"/>
      <c r="AZ75" s="468"/>
      <c r="BA75" s="468"/>
      <c r="BB75" s="468"/>
      <c r="BC75" s="468"/>
      <c r="BD75" s="468"/>
      <c r="BE75" s="565"/>
      <c r="BF75" s="565"/>
      <c r="BG75" s="565"/>
      <c r="BH75" s="565"/>
      <c r="BI75" s="565"/>
      <c r="BJ75" s="565"/>
      <c r="BK75" s="565"/>
      <c r="BL75" s="565"/>
      <c r="BM75" s="565"/>
      <c r="BN75" s="565"/>
      <c r="BO75" s="565"/>
      <c r="BP75" s="565"/>
      <c r="BQ75" s="565"/>
      <c r="BR75" s="565"/>
      <c r="BS75" s="565"/>
      <c r="BT75" s="565"/>
      <c r="BU75" s="497"/>
      <c r="BV75" s="497"/>
      <c r="BW75" s="497"/>
      <c r="BX75" s="497"/>
      <c r="BY75" s="497"/>
      <c r="BZ75" s="497"/>
      <c r="CA75" s="497"/>
      <c r="CB75" s="497"/>
      <c r="CC75" s="497"/>
      <c r="CD75" s="497"/>
      <c r="CE75" s="167"/>
      <c r="CF75" s="167"/>
      <c r="CG75" s="167"/>
      <c r="CH75" s="167"/>
      <c r="CI75" s="167"/>
      <c r="CJ75" s="167"/>
      <c r="CK75" s="167"/>
      <c r="CL75" s="161"/>
      <c r="CM75" s="167"/>
      <c r="CN75" s="459"/>
      <c r="CO75" s="459"/>
      <c r="CP75" s="459"/>
      <c r="CQ75" s="459"/>
      <c r="CR75" s="496"/>
      <c r="CS75" s="496"/>
      <c r="CT75" s="496"/>
      <c r="CU75" s="496"/>
      <c r="CV75" s="496"/>
      <c r="CW75" s="496"/>
      <c r="CX75" s="496"/>
      <c r="CY75" s="496"/>
      <c r="CZ75" s="496"/>
      <c r="DA75" s="496"/>
      <c r="DB75" s="496"/>
      <c r="DC75" s="496"/>
      <c r="DD75" s="496"/>
      <c r="DE75" s="496"/>
      <c r="DF75" s="496"/>
      <c r="DG75" s="496"/>
      <c r="DH75" s="496"/>
      <c r="DI75" s="487"/>
      <c r="DJ75" s="487"/>
      <c r="DK75" s="487"/>
      <c r="DL75" s="487"/>
      <c r="DM75" s="487"/>
      <c r="DN75" s="487"/>
      <c r="DO75" s="487"/>
      <c r="DP75" s="487"/>
      <c r="DQ75" s="167"/>
      <c r="DR75" s="468"/>
      <c r="DS75" s="468"/>
      <c r="DT75" s="468"/>
      <c r="DU75" s="468"/>
      <c r="DV75" s="468"/>
      <c r="DW75" s="468"/>
      <c r="DX75" s="216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</row>
    <row r="76" spans="1:139" ht="4.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36"/>
      <c r="N76" s="167"/>
      <c r="O76" s="167"/>
      <c r="P76" s="167"/>
      <c r="Q76" s="167"/>
      <c r="R76" s="167"/>
      <c r="S76" s="298"/>
      <c r="T76" s="298"/>
      <c r="U76" s="298"/>
      <c r="V76" s="298"/>
      <c r="W76" s="298"/>
      <c r="X76" s="298"/>
      <c r="Y76" s="298"/>
      <c r="Z76" s="298"/>
      <c r="AA76" s="298"/>
      <c r="AB76" s="298"/>
      <c r="AC76" s="298"/>
      <c r="AD76" s="298"/>
      <c r="AE76" s="298"/>
      <c r="AF76" s="298"/>
      <c r="AG76" s="299" t="s">
        <v>129</v>
      </c>
      <c r="AH76" s="298"/>
      <c r="AI76" s="298"/>
      <c r="AJ76" s="298"/>
      <c r="AK76" s="344"/>
      <c r="AL76" s="344"/>
      <c r="AM76" s="344"/>
      <c r="AN76" s="344"/>
      <c r="AO76" s="344"/>
      <c r="AP76" s="344"/>
      <c r="AQ76" s="344"/>
      <c r="AR76" s="344"/>
      <c r="AS76" s="167"/>
      <c r="AT76" s="167"/>
      <c r="AU76" s="167"/>
      <c r="AV76" s="167"/>
      <c r="AW76" s="167"/>
      <c r="AX76" s="161"/>
      <c r="AY76" s="167"/>
      <c r="AZ76" s="300"/>
      <c r="BA76" s="300"/>
      <c r="BB76" s="300"/>
      <c r="BC76" s="300"/>
      <c r="BD76" s="300"/>
      <c r="BE76" s="167"/>
      <c r="BF76" s="167"/>
      <c r="BG76" s="167"/>
      <c r="BH76" s="167"/>
      <c r="BI76" s="167"/>
      <c r="BJ76" s="167"/>
      <c r="BK76" s="167"/>
      <c r="BL76" s="167"/>
      <c r="BM76" s="167"/>
      <c r="BN76" s="167"/>
      <c r="BO76" s="167"/>
      <c r="BP76" s="167"/>
      <c r="BQ76" s="167"/>
      <c r="BR76" s="167"/>
      <c r="BS76" s="167"/>
      <c r="BT76" s="167"/>
      <c r="BU76" s="167"/>
      <c r="BV76" s="167"/>
      <c r="BW76" s="167"/>
      <c r="BX76" s="167"/>
      <c r="BY76" s="167"/>
      <c r="BZ76" s="167"/>
      <c r="CA76" s="167"/>
      <c r="CB76" s="167"/>
      <c r="CC76" s="167"/>
      <c r="CD76" s="167"/>
      <c r="CE76" s="167"/>
      <c r="CF76" s="167"/>
      <c r="CG76" s="167"/>
      <c r="CH76" s="167"/>
      <c r="CI76" s="167"/>
      <c r="CJ76" s="167"/>
      <c r="CK76" s="167"/>
      <c r="CL76" s="161"/>
      <c r="CM76" s="167"/>
      <c r="CN76" s="167"/>
      <c r="CO76" s="167"/>
      <c r="CP76" s="301"/>
      <c r="CQ76" s="301"/>
      <c r="CR76" s="167"/>
      <c r="CS76" s="460" t="s">
        <v>139</v>
      </c>
      <c r="CT76" s="460"/>
      <c r="CU76" s="460"/>
      <c r="CV76" s="460"/>
      <c r="CW76" s="460"/>
      <c r="CX76" s="460"/>
      <c r="CY76" s="460"/>
      <c r="CZ76" s="460"/>
      <c r="DA76" s="460"/>
      <c r="DB76" s="460"/>
      <c r="DC76" s="460"/>
      <c r="DD76" s="460"/>
      <c r="DE76" s="460"/>
      <c r="DF76" s="460"/>
      <c r="DG76" s="460"/>
      <c r="DH76" s="460"/>
      <c r="DI76" s="487">
        <v>23</v>
      </c>
      <c r="DJ76" s="487"/>
      <c r="DK76" s="487"/>
      <c r="DL76" s="487"/>
      <c r="DM76" s="487"/>
      <c r="DN76" s="487"/>
      <c r="DO76" s="487"/>
      <c r="DP76" s="487"/>
      <c r="DQ76" s="167"/>
      <c r="DR76" s="468" t="s">
        <v>44</v>
      </c>
      <c r="DS76" s="468"/>
      <c r="DT76" s="468"/>
      <c r="DU76" s="468"/>
      <c r="DV76" s="468"/>
      <c r="DW76" s="468"/>
      <c r="DX76" s="216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</row>
    <row r="77" spans="1:139" ht="4.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36"/>
      <c r="N77" s="167"/>
      <c r="O77" s="466" t="s">
        <v>56</v>
      </c>
      <c r="P77" s="466"/>
      <c r="Q77" s="466"/>
      <c r="R77" s="466"/>
      <c r="S77" s="167"/>
      <c r="T77" s="167"/>
      <c r="U77" s="465" t="s">
        <v>365</v>
      </c>
      <c r="V77" s="465"/>
      <c r="W77" s="465"/>
      <c r="X77" s="465"/>
      <c r="Y77" s="465"/>
      <c r="Z77" s="465"/>
      <c r="AA77" s="465"/>
      <c r="AB77" s="465"/>
      <c r="AC77" s="465"/>
      <c r="AD77" s="465"/>
      <c r="AE77" s="465"/>
      <c r="AF77" s="465"/>
      <c r="AG77" s="465"/>
      <c r="AH77" s="465"/>
      <c r="AI77" s="465"/>
      <c r="AJ77" s="465"/>
      <c r="AK77" s="462">
        <v>23</v>
      </c>
      <c r="AL77" s="463"/>
      <c r="AM77" s="463"/>
      <c r="AN77" s="463"/>
      <c r="AO77" s="463"/>
      <c r="AP77" s="463"/>
      <c r="AQ77" s="463"/>
      <c r="AR77" s="463"/>
      <c r="AS77" s="167"/>
      <c r="AT77" s="464" t="s">
        <v>44</v>
      </c>
      <c r="AU77" s="464"/>
      <c r="AV77" s="464"/>
      <c r="AW77" s="347"/>
      <c r="AX77" s="161"/>
      <c r="AY77" s="468" t="s">
        <v>360</v>
      </c>
      <c r="AZ77" s="468"/>
      <c r="BA77" s="468"/>
      <c r="BB77" s="468"/>
      <c r="BC77" s="468"/>
      <c r="BD77" s="468"/>
      <c r="BE77" s="508" t="s">
        <v>63</v>
      </c>
      <c r="BF77" s="508"/>
      <c r="BG77" s="508"/>
      <c r="BH77" s="508"/>
      <c r="BI77" s="508"/>
      <c r="BJ77" s="508"/>
      <c r="BK77" s="508"/>
      <c r="BL77" s="508"/>
      <c r="BM77" s="508"/>
      <c r="BN77" s="508"/>
      <c r="BO77" s="508"/>
      <c r="BP77" s="508"/>
      <c r="BQ77" s="508"/>
      <c r="BR77" s="508"/>
      <c r="BS77" s="508"/>
      <c r="BT77" s="508"/>
      <c r="BU77" s="473">
        <v>1</v>
      </c>
      <c r="BV77" s="473"/>
      <c r="BW77" s="473"/>
      <c r="BX77" s="473"/>
      <c r="BY77" s="473"/>
      <c r="BZ77" s="473"/>
      <c r="CA77" s="473"/>
      <c r="CB77" s="473"/>
      <c r="CC77" s="473"/>
      <c r="CD77" s="473"/>
      <c r="CE77" s="500" t="s">
        <v>58</v>
      </c>
      <c r="CF77" s="500"/>
      <c r="CG77" s="500"/>
      <c r="CH77" s="500"/>
      <c r="CI77" s="500"/>
      <c r="CJ77" s="167"/>
      <c r="CK77" s="167"/>
      <c r="CL77" s="161"/>
      <c r="CM77" s="167"/>
      <c r="CN77" s="167"/>
      <c r="CO77" s="167"/>
      <c r="CP77" s="301"/>
      <c r="CQ77" s="301"/>
      <c r="CR77" s="167"/>
      <c r="CS77" s="460"/>
      <c r="CT77" s="460"/>
      <c r="CU77" s="460"/>
      <c r="CV77" s="460"/>
      <c r="CW77" s="460"/>
      <c r="CX77" s="460"/>
      <c r="CY77" s="460"/>
      <c r="CZ77" s="460"/>
      <c r="DA77" s="460"/>
      <c r="DB77" s="460"/>
      <c r="DC77" s="460"/>
      <c r="DD77" s="460"/>
      <c r="DE77" s="460"/>
      <c r="DF77" s="460"/>
      <c r="DG77" s="460"/>
      <c r="DH77" s="460"/>
      <c r="DI77" s="487"/>
      <c r="DJ77" s="487"/>
      <c r="DK77" s="487"/>
      <c r="DL77" s="487"/>
      <c r="DM77" s="487"/>
      <c r="DN77" s="487"/>
      <c r="DO77" s="487"/>
      <c r="DP77" s="487"/>
      <c r="DQ77" s="167"/>
      <c r="DR77" s="468"/>
      <c r="DS77" s="468"/>
      <c r="DT77" s="468"/>
      <c r="DU77" s="468"/>
      <c r="DV77" s="468"/>
      <c r="DW77" s="468"/>
      <c r="DX77" s="216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</row>
    <row r="78" spans="1:139" ht="4.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36"/>
      <c r="N78" s="167"/>
      <c r="O78" s="466"/>
      <c r="P78" s="466"/>
      <c r="Q78" s="466"/>
      <c r="R78" s="466"/>
      <c r="S78" s="167"/>
      <c r="T78" s="167"/>
      <c r="U78" s="465"/>
      <c r="V78" s="465"/>
      <c r="W78" s="465"/>
      <c r="X78" s="465"/>
      <c r="Y78" s="465"/>
      <c r="Z78" s="465"/>
      <c r="AA78" s="465"/>
      <c r="AB78" s="465"/>
      <c r="AC78" s="465"/>
      <c r="AD78" s="465"/>
      <c r="AE78" s="465"/>
      <c r="AF78" s="465"/>
      <c r="AG78" s="465"/>
      <c r="AH78" s="465"/>
      <c r="AI78" s="465"/>
      <c r="AJ78" s="465"/>
      <c r="AK78" s="463"/>
      <c r="AL78" s="463"/>
      <c r="AM78" s="463"/>
      <c r="AN78" s="463"/>
      <c r="AO78" s="463"/>
      <c r="AP78" s="463"/>
      <c r="AQ78" s="463"/>
      <c r="AR78" s="463"/>
      <c r="AS78" s="167"/>
      <c r="AT78" s="464"/>
      <c r="AU78" s="464"/>
      <c r="AV78" s="464"/>
      <c r="AW78" s="347"/>
      <c r="AX78" s="161"/>
      <c r="AY78" s="468"/>
      <c r="AZ78" s="468"/>
      <c r="BA78" s="468"/>
      <c r="BB78" s="468"/>
      <c r="BC78" s="468"/>
      <c r="BD78" s="468"/>
      <c r="BE78" s="508"/>
      <c r="BF78" s="508"/>
      <c r="BG78" s="508"/>
      <c r="BH78" s="508"/>
      <c r="BI78" s="508"/>
      <c r="BJ78" s="508"/>
      <c r="BK78" s="508"/>
      <c r="BL78" s="508"/>
      <c r="BM78" s="508"/>
      <c r="BN78" s="508"/>
      <c r="BO78" s="508"/>
      <c r="BP78" s="508"/>
      <c r="BQ78" s="508"/>
      <c r="BR78" s="508"/>
      <c r="BS78" s="508"/>
      <c r="BT78" s="508"/>
      <c r="BU78" s="470"/>
      <c r="BV78" s="470"/>
      <c r="BW78" s="470"/>
      <c r="BX78" s="470"/>
      <c r="BY78" s="470"/>
      <c r="BZ78" s="470"/>
      <c r="CA78" s="470"/>
      <c r="CB78" s="470"/>
      <c r="CC78" s="470"/>
      <c r="CD78" s="470"/>
      <c r="CE78" s="500"/>
      <c r="CF78" s="500"/>
      <c r="CG78" s="500"/>
      <c r="CH78" s="500"/>
      <c r="CI78" s="500"/>
      <c r="CJ78" s="167"/>
      <c r="CK78" s="167"/>
      <c r="CL78" s="161"/>
      <c r="CM78" s="167"/>
      <c r="CN78" s="167"/>
      <c r="CO78" s="167"/>
      <c r="CP78" s="167"/>
      <c r="CQ78" s="167"/>
      <c r="CR78" s="167"/>
      <c r="CS78" s="460" t="s">
        <v>138</v>
      </c>
      <c r="CT78" s="460"/>
      <c r="CU78" s="460"/>
      <c r="CV78" s="460"/>
      <c r="CW78" s="460"/>
      <c r="CX78" s="460"/>
      <c r="CY78" s="460"/>
      <c r="CZ78" s="460"/>
      <c r="DA78" s="460"/>
      <c r="DB78" s="460"/>
      <c r="DC78" s="460"/>
      <c r="DD78" s="460"/>
      <c r="DE78" s="460"/>
      <c r="DF78" s="460"/>
      <c r="DG78" s="460"/>
      <c r="DH78" s="460"/>
      <c r="DI78" s="487">
        <v>100</v>
      </c>
      <c r="DJ78" s="487"/>
      <c r="DK78" s="487"/>
      <c r="DL78" s="487"/>
      <c r="DM78" s="487"/>
      <c r="DN78" s="487"/>
      <c r="DO78" s="487"/>
      <c r="DP78" s="487"/>
      <c r="DQ78" s="167"/>
      <c r="DR78" s="468" t="s">
        <v>44</v>
      </c>
      <c r="DS78" s="468"/>
      <c r="DT78" s="468"/>
      <c r="DU78" s="468"/>
      <c r="DV78" s="468"/>
      <c r="DW78" s="468"/>
      <c r="DX78" s="30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</row>
    <row r="79" spans="1:139" ht="4.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36"/>
      <c r="N79" s="167"/>
      <c r="O79" s="466" t="s">
        <v>57</v>
      </c>
      <c r="P79" s="466"/>
      <c r="Q79" s="466"/>
      <c r="R79" s="466"/>
      <c r="S79" s="167"/>
      <c r="T79" s="167"/>
      <c r="U79" s="465" t="s">
        <v>366</v>
      </c>
      <c r="V79" s="465"/>
      <c r="W79" s="465"/>
      <c r="X79" s="465"/>
      <c r="Y79" s="465"/>
      <c r="Z79" s="465"/>
      <c r="AA79" s="465"/>
      <c r="AB79" s="465"/>
      <c r="AC79" s="465"/>
      <c r="AD79" s="465"/>
      <c r="AE79" s="465"/>
      <c r="AF79" s="465"/>
      <c r="AG79" s="465"/>
      <c r="AH79" s="465"/>
      <c r="AI79" s="465"/>
      <c r="AJ79" s="465"/>
      <c r="AK79" s="462">
        <v>23</v>
      </c>
      <c r="AL79" s="463"/>
      <c r="AM79" s="463"/>
      <c r="AN79" s="463"/>
      <c r="AO79" s="463"/>
      <c r="AP79" s="463"/>
      <c r="AQ79" s="463"/>
      <c r="AR79" s="463"/>
      <c r="AS79" s="167"/>
      <c r="AT79" s="464" t="s">
        <v>44</v>
      </c>
      <c r="AU79" s="464"/>
      <c r="AV79" s="464"/>
      <c r="AW79" s="347"/>
      <c r="AX79" s="161"/>
      <c r="AY79" s="167"/>
      <c r="AZ79" s="167"/>
      <c r="BA79" s="345" t="s">
        <v>0</v>
      </c>
      <c r="BB79" s="345"/>
      <c r="BC79" s="345"/>
      <c r="BD79" s="345"/>
      <c r="BE79" s="510" t="s">
        <v>328</v>
      </c>
      <c r="BF79" s="510"/>
      <c r="BG79" s="510"/>
      <c r="BH79" s="510"/>
      <c r="BI79" s="510"/>
      <c r="BJ79" s="510"/>
      <c r="BK79" s="510"/>
      <c r="BL79" s="510"/>
      <c r="BM79" s="510"/>
      <c r="BN79" s="510"/>
      <c r="BO79" s="510"/>
      <c r="BP79" s="510"/>
      <c r="BQ79" s="510"/>
      <c r="BR79" s="510"/>
      <c r="BS79" s="510"/>
      <c r="BT79" s="510"/>
      <c r="BU79" s="473">
        <v>23</v>
      </c>
      <c r="BV79" s="473"/>
      <c r="BW79" s="473"/>
      <c r="BX79" s="473"/>
      <c r="BY79" s="473"/>
      <c r="BZ79" s="473"/>
      <c r="CA79" s="473"/>
      <c r="CB79" s="473"/>
      <c r="CC79" s="473"/>
      <c r="CD79" s="473"/>
      <c r="CE79" s="499" t="s">
        <v>44</v>
      </c>
      <c r="CF79" s="499"/>
      <c r="CG79" s="499"/>
      <c r="CH79" s="499"/>
      <c r="CI79" s="499"/>
      <c r="CJ79" s="167"/>
      <c r="CK79" s="167"/>
      <c r="CL79" s="161"/>
      <c r="CM79" s="167"/>
      <c r="CN79" s="167"/>
      <c r="CO79" s="167"/>
      <c r="CP79" s="167"/>
      <c r="CQ79" s="167"/>
      <c r="CR79" s="167"/>
      <c r="CS79" s="460"/>
      <c r="CT79" s="460"/>
      <c r="CU79" s="460"/>
      <c r="CV79" s="460"/>
      <c r="CW79" s="460"/>
      <c r="CX79" s="460"/>
      <c r="CY79" s="460"/>
      <c r="CZ79" s="460"/>
      <c r="DA79" s="460"/>
      <c r="DB79" s="460"/>
      <c r="DC79" s="460"/>
      <c r="DD79" s="460"/>
      <c r="DE79" s="460"/>
      <c r="DF79" s="460"/>
      <c r="DG79" s="460"/>
      <c r="DH79" s="460"/>
      <c r="DI79" s="487"/>
      <c r="DJ79" s="487"/>
      <c r="DK79" s="487"/>
      <c r="DL79" s="487"/>
      <c r="DM79" s="487"/>
      <c r="DN79" s="487"/>
      <c r="DO79" s="487"/>
      <c r="DP79" s="487"/>
      <c r="DQ79" s="167"/>
      <c r="DR79" s="468"/>
      <c r="DS79" s="468"/>
      <c r="DT79" s="468"/>
      <c r="DU79" s="468"/>
      <c r="DV79" s="468"/>
      <c r="DW79" s="468"/>
      <c r="DX79" s="30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</row>
    <row r="80" spans="1:139" ht="4.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N80" s="167"/>
      <c r="O80" s="466"/>
      <c r="P80" s="466"/>
      <c r="Q80" s="466"/>
      <c r="R80" s="466"/>
      <c r="S80" s="167"/>
      <c r="T80" s="167"/>
      <c r="U80" s="465"/>
      <c r="V80" s="465"/>
      <c r="W80" s="465"/>
      <c r="X80" s="465"/>
      <c r="Y80" s="465"/>
      <c r="Z80" s="465"/>
      <c r="AA80" s="465"/>
      <c r="AB80" s="465"/>
      <c r="AC80" s="465"/>
      <c r="AD80" s="465"/>
      <c r="AE80" s="465"/>
      <c r="AF80" s="465"/>
      <c r="AG80" s="465"/>
      <c r="AH80" s="465"/>
      <c r="AI80" s="465"/>
      <c r="AJ80" s="465"/>
      <c r="AK80" s="463"/>
      <c r="AL80" s="463"/>
      <c r="AM80" s="463"/>
      <c r="AN80" s="463"/>
      <c r="AO80" s="463"/>
      <c r="AP80" s="463"/>
      <c r="AQ80" s="463"/>
      <c r="AR80" s="463"/>
      <c r="AS80" s="167"/>
      <c r="AT80" s="464"/>
      <c r="AU80" s="464"/>
      <c r="AV80" s="464"/>
      <c r="AW80" s="347"/>
      <c r="AX80" s="161"/>
      <c r="AY80" s="167"/>
      <c r="AZ80" s="167"/>
      <c r="BA80" s="345"/>
      <c r="BB80" s="345"/>
      <c r="BC80" s="345"/>
      <c r="BD80" s="345"/>
      <c r="BE80" s="510"/>
      <c r="BF80" s="510"/>
      <c r="BG80" s="510"/>
      <c r="BH80" s="510"/>
      <c r="BI80" s="510"/>
      <c r="BJ80" s="510"/>
      <c r="BK80" s="510"/>
      <c r="BL80" s="510"/>
      <c r="BM80" s="510"/>
      <c r="BN80" s="510"/>
      <c r="BO80" s="510"/>
      <c r="BP80" s="510"/>
      <c r="BQ80" s="510"/>
      <c r="BR80" s="510"/>
      <c r="BS80" s="510"/>
      <c r="BT80" s="510"/>
      <c r="BU80" s="470"/>
      <c r="BV80" s="470"/>
      <c r="BW80" s="470"/>
      <c r="BX80" s="470"/>
      <c r="BY80" s="470"/>
      <c r="BZ80" s="470"/>
      <c r="CA80" s="470"/>
      <c r="CB80" s="470"/>
      <c r="CC80" s="470"/>
      <c r="CD80" s="470"/>
      <c r="CE80" s="499"/>
      <c r="CF80" s="499"/>
      <c r="CG80" s="499"/>
      <c r="CH80" s="499"/>
      <c r="CI80" s="499"/>
      <c r="CJ80" s="167"/>
      <c r="CK80" s="167"/>
      <c r="CL80" s="161"/>
      <c r="CM80" s="167"/>
      <c r="CN80" s="167"/>
      <c r="CO80" s="167"/>
      <c r="CP80" s="167"/>
      <c r="CQ80" s="167"/>
      <c r="CR80" s="457">
        <v>204</v>
      </c>
      <c r="CS80" s="457"/>
      <c r="CT80" s="457"/>
      <c r="CU80" s="474" t="s">
        <v>404</v>
      </c>
      <c r="CV80" s="474"/>
      <c r="CW80" s="474"/>
      <c r="CX80" s="474"/>
      <c r="CY80" s="474"/>
      <c r="CZ80" s="474"/>
      <c r="DA80" s="474"/>
      <c r="DB80" s="474"/>
      <c r="DC80" s="474"/>
      <c r="DD80" s="474"/>
      <c r="DE80" s="474"/>
      <c r="DF80" s="474"/>
      <c r="DG80" s="474"/>
      <c r="DH80" s="474"/>
      <c r="DI80" s="474"/>
      <c r="DJ80" s="474"/>
      <c r="DK80" s="474"/>
      <c r="DL80" s="474"/>
      <c r="DM80" s="474"/>
      <c r="DN80" s="474"/>
      <c r="DO80" s="474"/>
      <c r="DP80" s="474"/>
      <c r="DQ80" s="167"/>
      <c r="DR80" s="167"/>
      <c r="DS80" s="167"/>
      <c r="DT80" s="167"/>
      <c r="DU80" s="167"/>
      <c r="DV80" s="167"/>
      <c r="DW80" s="167"/>
      <c r="DX80" s="30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</row>
    <row r="81" spans="1:139" ht="5.2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36"/>
      <c r="N81" s="167"/>
      <c r="O81" s="466" t="s">
        <v>55</v>
      </c>
      <c r="P81" s="466"/>
      <c r="Q81" s="466"/>
      <c r="R81" s="466"/>
      <c r="S81" s="167"/>
      <c r="T81" s="167"/>
      <c r="U81" s="465" t="s">
        <v>367</v>
      </c>
      <c r="V81" s="465"/>
      <c r="W81" s="465"/>
      <c r="X81" s="465"/>
      <c r="Y81" s="465"/>
      <c r="Z81" s="465"/>
      <c r="AA81" s="465"/>
      <c r="AB81" s="465"/>
      <c r="AC81" s="465"/>
      <c r="AD81" s="465"/>
      <c r="AE81" s="465"/>
      <c r="AF81" s="465"/>
      <c r="AG81" s="465"/>
      <c r="AH81" s="465"/>
      <c r="AI81" s="465"/>
      <c r="AJ81" s="465"/>
      <c r="AK81" s="462">
        <v>23</v>
      </c>
      <c r="AL81" s="463"/>
      <c r="AM81" s="463"/>
      <c r="AN81" s="463"/>
      <c r="AO81" s="463"/>
      <c r="AP81" s="463"/>
      <c r="AQ81" s="463"/>
      <c r="AR81" s="463"/>
      <c r="AS81" s="167"/>
      <c r="AT81" s="464" t="s">
        <v>44</v>
      </c>
      <c r="AU81" s="464"/>
      <c r="AV81" s="464"/>
      <c r="AW81" s="347"/>
      <c r="AX81" s="161"/>
      <c r="AY81" s="167"/>
      <c r="AZ81" s="457">
        <v>204</v>
      </c>
      <c r="BA81" s="457"/>
      <c r="BB81" s="457"/>
      <c r="BC81" s="457"/>
      <c r="BD81" s="457"/>
      <c r="BE81" s="474" t="s">
        <v>404</v>
      </c>
      <c r="BF81" s="474"/>
      <c r="BG81" s="474"/>
      <c r="BH81" s="474"/>
      <c r="BI81" s="474"/>
      <c r="BJ81" s="474"/>
      <c r="BK81" s="474"/>
      <c r="BL81" s="474"/>
      <c r="BM81" s="474"/>
      <c r="BN81" s="474"/>
      <c r="BO81" s="474"/>
      <c r="BP81" s="474"/>
      <c r="BQ81" s="474"/>
      <c r="BR81" s="474"/>
      <c r="BS81" s="474"/>
      <c r="BT81" s="474"/>
      <c r="BU81" s="474"/>
      <c r="BV81" s="474"/>
      <c r="BW81" s="474"/>
      <c r="BX81" s="474"/>
      <c r="BY81" s="474"/>
      <c r="BZ81" s="474"/>
      <c r="CA81" s="474"/>
      <c r="CB81" s="474"/>
      <c r="CC81" s="474"/>
      <c r="CD81" s="474"/>
      <c r="CE81" s="350"/>
      <c r="CF81" s="350"/>
      <c r="CG81" s="350"/>
      <c r="CH81" s="350"/>
      <c r="CI81" s="350"/>
      <c r="CJ81" s="167"/>
      <c r="CK81" s="167"/>
      <c r="CL81" s="161"/>
      <c r="CM81" s="167"/>
      <c r="CN81" s="167"/>
      <c r="CO81" s="167"/>
      <c r="CP81" s="167"/>
      <c r="CQ81" s="167"/>
      <c r="CR81" s="457"/>
      <c r="CS81" s="457"/>
      <c r="CT81" s="457"/>
      <c r="CU81" s="474"/>
      <c r="CV81" s="474"/>
      <c r="CW81" s="474"/>
      <c r="CX81" s="474"/>
      <c r="CY81" s="474"/>
      <c r="CZ81" s="474"/>
      <c r="DA81" s="474"/>
      <c r="DB81" s="474"/>
      <c r="DC81" s="474"/>
      <c r="DD81" s="474"/>
      <c r="DE81" s="474"/>
      <c r="DF81" s="474"/>
      <c r="DG81" s="474"/>
      <c r="DH81" s="474"/>
      <c r="DI81" s="474"/>
      <c r="DJ81" s="474"/>
      <c r="DK81" s="474"/>
      <c r="DL81" s="474"/>
      <c r="DM81" s="474"/>
      <c r="DN81" s="474"/>
      <c r="DO81" s="474"/>
      <c r="DP81" s="474"/>
      <c r="DQ81" s="167"/>
      <c r="DR81" s="167"/>
      <c r="DS81" s="167"/>
      <c r="DT81" s="167"/>
      <c r="DU81" s="167"/>
      <c r="DV81" s="167"/>
      <c r="DW81" s="167"/>
      <c r="DX81" s="216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</row>
    <row r="82" spans="1:139" ht="5.2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36"/>
      <c r="N82" s="167"/>
      <c r="O82" s="466"/>
      <c r="P82" s="466"/>
      <c r="Q82" s="466"/>
      <c r="R82" s="466"/>
      <c r="S82" s="167"/>
      <c r="T82" s="167"/>
      <c r="U82" s="465"/>
      <c r="V82" s="465"/>
      <c r="W82" s="465"/>
      <c r="X82" s="465"/>
      <c r="Y82" s="465"/>
      <c r="Z82" s="465"/>
      <c r="AA82" s="465"/>
      <c r="AB82" s="465"/>
      <c r="AC82" s="465"/>
      <c r="AD82" s="465"/>
      <c r="AE82" s="465"/>
      <c r="AF82" s="465"/>
      <c r="AG82" s="465"/>
      <c r="AH82" s="465"/>
      <c r="AI82" s="465"/>
      <c r="AJ82" s="465"/>
      <c r="AK82" s="463"/>
      <c r="AL82" s="463"/>
      <c r="AM82" s="463"/>
      <c r="AN82" s="463"/>
      <c r="AO82" s="463"/>
      <c r="AP82" s="463"/>
      <c r="AQ82" s="463"/>
      <c r="AR82" s="463"/>
      <c r="AS82" s="167"/>
      <c r="AT82" s="464"/>
      <c r="AU82" s="464"/>
      <c r="AV82" s="464"/>
      <c r="AW82" s="347"/>
      <c r="AX82" s="161"/>
      <c r="AY82" s="167"/>
      <c r="AZ82" s="457"/>
      <c r="BA82" s="457"/>
      <c r="BB82" s="457"/>
      <c r="BC82" s="457"/>
      <c r="BD82" s="457"/>
      <c r="BE82" s="474"/>
      <c r="BF82" s="474"/>
      <c r="BG82" s="474"/>
      <c r="BH82" s="474"/>
      <c r="BI82" s="474"/>
      <c r="BJ82" s="474"/>
      <c r="BK82" s="474"/>
      <c r="BL82" s="474"/>
      <c r="BM82" s="474"/>
      <c r="BN82" s="474"/>
      <c r="BO82" s="474"/>
      <c r="BP82" s="474"/>
      <c r="BQ82" s="474"/>
      <c r="BR82" s="474"/>
      <c r="BS82" s="474"/>
      <c r="BT82" s="474"/>
      <c r="BU82" s="474"/>
      <c r="BV82" s="474"/>
      <c r="BW82" s="474"/>
      <c r="BX82" s="474"/>
      <c r="BY82" s="474"/>
      <c r="BZ82" s="474"/>
      <c r="CA82" s="474"/>
      <c r="CB82" s="474"/>
      <c r="CC82" s="474"/>
      <c r="CD82" s="474"/>
      <c r="CE82" s="350"/>
      <c r="CF82" s="350"/>
      <c r="CG82" s="350"/>
      <c r="CH82" s="350"/>
      <c r="CI82" s="350"/>
      <c r="CJ82" s="167"/>
      <c r="CK82" s="167"/>
      <c r="CL82" s="161"/>
      <c r="CM82" s="167"/>
      <c r="CN82" s="468" t="s">
        <v>372</v>
      </c>
      <c r="CO82" s="468"/>
      <c r="CP82" s="468"/>
      <c r="CQ82" s="468"/>
      <c r="CR82" s="468"/>
      <c r="CS82" s="460" t="s">
        <v>140</v>
      </c>
      <c r="CT82" s="460"/>
      <c r="CU82" s="460"/>
      <c r="CV82" s="460"/>
      <c r="CW82" s="460"/>
      <c r="CX82" s="460"/>
      <c r="CY82" s="460"/>
      <c r="CZ82" s="460"/>
      <c r="DA82" s="460"/>
      <c r="DB82" s="460"/>
      <c r="DC82" s="460"/>
      <c r="DD82" s="460"/>
      <c r="DE82" s="460"/>
      <c r="DF82" s="460"/>
      <c r="DG82" s="460"/>
      <c r="DH82" s="460"/>
      <c r="DI82" s="458">
        <v>50</v>
      </c>
      <c r="DJ82" s="458"/>
      <c r="DK82" s="458"/>
      <c r="DL82" s="458"/>
      <c r="DM82" s="458"/>
      <c r="DN82" s="458"/>
      <c r="DO82" s="458"/>
      <c r="DP82" s="458"/>
      <c r="DQ82" s="167"/>
      <c r="DR82" s="468" t="s">
        <v>44</v>
      </c>
      <c r="DS82" s="468"/>
      <c r="DT82" s="468"/>
      <c r="DU82" s="468"/>
      <c r="DV82" s="468"/>
      <c r="DW82" s="468"/>
      <c r="DX82" s="216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</row>
    <row r="83" spans="1:139" ht="5.2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36"/>
      <c r="N83" s="167"/>
      <c r="O83" s="457">
        <v>204</v>
      </c>
      <c r="P83" s="457"/>
      <c r="Q83" s="457"/>
      <c r="R83" s="457"/>
      <c r="S83" s="457"/>
      <c r="T83" s="457"/>
      <c r="U83" s="457"/>
      <c r="V83" s="457"/>
      <c r="W83" s="474" t="s">
        <v>404</v>
      </c>
      <c r="X83" s="474"/>
      <c r="Y83" s="474"/>
      <c r="Z83" s="474"/>
      <c r="AA83" s="474"/>
      <c r="AB83" s="474"/>
      <c r="AC83" s="474"/>
      <c r="AD83" s="474"/>
      <c r="AE83" s="474"/>
      <c r="AF83" s="474"/>
      <c r="AG83" s="474"/>
      <c r="AH83" s="474"/>
      <c r="AI83" s="474"/>
      <c r="AJ83" s="474"/>
      <c r="AK83" s="474"/>
      <c r="AL83" s="474"/>
      <c r="AM83" s="474"/>
      <c r="AN83" s="474"/>
      <c r="AO83" s="474"/>
      <c r="AP83" s="474"/>
      <c r="AQ83" s="474"/>
      <c r="AR83" s="474"/>
      <c r="AS83" s="167"/>
      <c r="AT83" s="125"/>
      <c r="AU83" s="125"/>
      <c r="AV83" s="167"/>
      <c r="AW83" s="167"/>
      <c r="AX83" s="161"/>
      <c r="AY83" s="167"/>
      <c r="AZ83" s="167"/>
      <c r="BA83" s="167"/>
      <c r="BB83" s="167"/>
      <c r="BC83" s="167"/>
      <c r="BD83" s="167"/>
      <c r="BE83" s="167"/>
      <c r="BF83" s="167"/>
      <c r="BG83" s="167"/>
      <c r="BH83" s="167"/>
      <c r="BI83" s="167"/>
      <c r="BJ83" s="167"/>
      <c r="BK83" s="167"/>
      <c r="BL83" s="167"/>
      <c r="BM83" s="167"/>
      <c r="BN83" s="167"/>
      <c r="BO83" s="167"/>
      <c r="BP83" s="167"/>
      <c r="BQ83" s="167"/>
      <c r="BR83" s="167"/>
      <c r="BS83" s="167"/>
      <c r="BT83" s="167"/>
      <c r="BU83" s="167"/>
      <c r="BV83" s="167"/>
      <c r="BW83" s="167"/>
      <c r="BX83" s="167"/>
      <c r="BY83" s="167"/>
      <c r="BZ83" s="167"/>
      <c r="CA83" s="167"/>
      <c r="CB83" s="167"/>
      <c r="CC83" s="167"/>
      <c r="CD83" s="167"/>
      <c r="CE83" s="167"/>
      <c r="CF83" s="167"/>
      <c r="CG83" s="167"/>
      <c r="CH83" s="167"/>
      <c r="CI83" s="167"/>
      <c r="CJ83" s="167"/>
      <c r="CK83" s="167"/>
      <c r="CL83" s="161"/>
      <c r="CM83" s="167"/>
      <c r="CN83" s="468"/>
      <c r="CO83" s="468"/>
      <c r="CP83" s="468"/>
      <c r="CQ83" s="468"/>
      <c r="CR83" s="468"/>
      <c r="CS83" s="460"/>
      <c r="CT83" s="460"/>
      <c r="CU83" s="460"/>
      <c r="CV83" s="460"/>
      <c r="CW83" s="460"/>
      <c r="CX83" s="460"/>
      <c r="CY83" s="460"/>
      <c r="CZ83" s="460"/>
      <c r="DA83" s="460"/>
      <c r="DB83" s="460"/>
      <c r="DC83" s="460"/>
      <c r="DD83" s="460"/>
      <c r="DE83" s="460"/>
      <c r="DF83" s="460"/>
      <c r="DG83" s="460"/>
      <c r="DH83" s="460"/>
      <c r="DI83" s="458"/>
      <c r="DJ83" s="458"/>
      <c r="DK83" s="458"/>
      <c r="DL83" s="458"/>
      <c r="DM83" s="458"/>
      <c r="DN83" s="458"/>
      <c r="DO83" s="458"/>
      <c r="DP83" s="458"/>
      <c r="DQ83" s="167"/>
      <c r="DR83" s="468"/>
      <c r="DS83" s="468"/>
      <c r="DT83" s="468"/>
      <c r="DU83" s="468"/>
      <c r="DV83" s="468"/>
      <c r="DW83" s="468"/>
      <c r="DX83" s="216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</row>
    <row r="84" spans="1:139" ht="5.2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36"/>
      <c r="N84" s="167"/>
      <c r="O84" s="457"/>
      <c r="P84" s="457"/>
      <c r="Q84" s="457"/>
      <c r="R84" s="457"/>
      <c r="S84" s="457"/>
      <c r="T84" s="457"/>
      <c r="U84" s="457"/>
      <c r="V84" s="457"/>
      <c r="W84" s="474"/>
      <c r="X84" s="474"/>
      <c r="Y84" s="474"/>
      <c r="Z84" s="474"/>
      <c r="AA84" s="474"/>
      <c r="AB84" s="474"/>
      <c r="AC84" s="474"/>
      <c r="AD84" s="474"/>
      <c r="AE84" s="474"/>
      <c r="AF84" s="474"/>
      <c r="AG84" s="474"/>
      <c r="AH84" s="570"/>
      <c r="AI84" s="474"/>
      <c r="AJ84" s="474"/>
      <c r="AK84" s="474"/>
      <c r="AL84" s="474"/>
      <c r="AM84" s="474"/>
      <c r="AN84" s="474"/>
      <c r="AO84" s="474"/>
      <c r="AP84" s="474"/>
      <c r="AQ84" s="474"/>
      <c r="AR84" s="474"/>
      <c r="AS84" s="167"/>
      <c r="AT84" s="167"/>
      <c r="AU84" s="167"/>
      <c r="AV84" s="167"/>
      <c r="AW84" s="342"/>
      <c r="AX84" s="161"/>
      <c r="AY84" s="489" t="s">
        <v>361</v>
      </c>
      <c r="AZ84" s="489"/>
      <c r="BA84" s="489"/>
      <c r="BB84" s="489"/>
      <c r="BC84" s="489"/>
      <c r="BD84" s="167"/>
      <c r="BE84" s="478" t="s">
        <v>364</v>
      </c>
      <c r="BF84" s="479"/>
      <c r="BG84" s="479"/>
      <c r="BH84" s="479"/>
      <c r="BI84" s="479"/>
      <c r="BJ84" s="479"/>
      <c r="BK84" s="479"/>
      <c r="BL84" s="479"/>
      <c r="BM84" s="479"/>
      <c r="BN84" s="479"/>
      <c r="BO84" s="479"/>
      <c r="BP84" s="479"/>
      <c r="BQ84" s="479"/>
      <c r="BR84" s="479"/>
      <c r="BS84" s="479"/>
      <c r="BT84" s="479"/>
      <c r="BU84" s="472"/>
      <c r="BV84" s="473"/>
      <c r="BW84" s="473"/>
      <c r="BX84" s="473"/>
      <c r="BY84" s="473"/>
      <c r="BZ84" s="473"/>
      <c r="CA84" s="473"/>
      <c r="CB84" s="473"/>
      <c r="CC84" s="473"/>
      <c r="CD84" s="473"/>
      <c r="CE84" s="480" t="s">
        <v>36</v>
      </c>
      <c r="CF84" s="481"/>
      <c r="CG84" s="481"/>
      <c r="CH84" s="481"/>
      <c r="CI84" s="481"/>
      <c r="CJ84" s="457">
        <v>0</v>
      </c>
      <c r="CK84" s="457"/>
      <c r="CL84" s="161"/>
      <c r="CM84" s="167"/>
      <c r="CN84" s="167"/>
      <c r="CO84" s="167"/>
      <c r="CP84" s="167"/>
      <c r="CQ84" s="167"/>
      <c r="CR84" s="457">
        <v>210</v>
      </c>
      <c r="CS84" s="457"/>
      <c r="CT84" s="457"/>
      <c r="CU84" s="474" t="s">
        <v>406</v>
      </c>
      <c r="CV84" s="474"/>
      <c r="CW84" s="474"/>
      <c r="CX84" s="474"/>
      <c r="CY84" s="474"/>
      <c r="CZ84" s="474"/>
      <c r="DA84" s="474"/>
      <c r="DB84" s="474"/>
      <c r="DC84" s="474"/>
      <c r="DD84" s="474"/>
      <c r="DE84" s="474"/>
      <c r="DF84" s="474"/>
      <c r="DG84" s="474"/>
      <c r="DH84" s="474"/>
      <c r="DI84" s="474"/>
      <c r="DJ84" s="474"/>
      <c r="DK84" s="474"/>
      <c r="DL84" s="474"/>
      <c r="DM84" s="474"/>
      <c r="DN84" s="474"/>
      <c r="DO84" s="474"/>
      <c r="DP84" s="474"/>
      <c r="DQ84" s="167"/>
      <c r="DR84" s="167"/>
      <c r="DS84" s="167"/>
      <c r="DT84" s="167"/>
      <c r="DU84" s="167"/>
      <c r="DV84" s="167"/>
      <c r="DW84" s="167"/>
      <c r="DX84" s="216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</row>
    <row r="85" spans="1:139" ht="5.2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36"/>
      <c r="N85" s="167"/>
      <c r="O85" s="167"/>
      <c r="P85" s="167"/>
      <c r="Q85" s="167"/>
      <c r="R85" s="167"/>
      <c r="S85" s="167"/>
      <c r="T85" s="167"/>
      <c r="U85" s="167"/>
      <c r="V85" s="167"/>
      <c r="W85" s="167"/>
      <c r="X85" s="167"/>
      <c r="Y85" s="167"/>
      <c r="Z85" s="167"/>
      <c r="AA85" s="167"/>
      <c r="AB85" s="167"/>
      <c r="AC85" s="167"/>
      <c r="AD85" s="167"/>
      <c r="AE85" s="167"/>
      <c r="AF85" s="167"/>
      <c r="AG85" s="167"/>
      <c r="AH85" s="167"/>
      <c r="AI85" s="167"/>
      <c r="AJ85" s="167"/>
      <c r="AK85" s="167"/>
      <c r="AL85" s="167"/>
      <c r="AM85" s="167"/>
      <c r="AN85" s="167"/>
      <c r="AO85" s="167"/>
      <c r="AP85" s="167"/>
      <c r="AQ85" s="167"/>
      <c r="AR85" s="167"/>
      <c r="AS85" s="167"/>
      <c r="AT85" s="167"/>
      <c r="AU85" s="167"/>
      <c r="AV85" s="167"/>
      <c r="AW85" s="342"/>
      <c r="AX85" s="161"/>
      <c r="AY85" s="489"/>
      <c r="AZ85" s="489"/>
      <c r="BA85" s="489"/>
      <c r="BB85" s="489"/>
      <c r="BC85" s="489"/>
      <c r="BD85" s="167"/>
      <c r="BE85" s="479"/>
      <c r="BF85" s="479"/>
      <c r="BG85" s="479"/>
      <c r="BH85" s="479"/>
      <c r="BI85" s="479"/>
      <c r="BJ85" s="479"/>
      <c r="BK85" s="479"/>
      <c r="BL85" s="479"/>
      <c r="BM85" s="479"/>
      <c r="BN85" s="479"/>
      <c r="BO85" s="479"/>
      <c r="BP85" s="479"/>
      <c r="BQ85" s="479"/>
      <c r="BR85" s="479"/>
      <c r="BS85" s="479"/>
      <c r="BT85" s="479"/>
      <c r="BU85" s="470"/>
      <c r="BV85" s="470"/>
      <c r="BW85" s="470"/>
      <c r="BX85" s="470"/>
      <c r="BY85" s="470"/>
      <c r="BZ85" s="470"/>
      <c r="CA85" s="470"/>
      <c r="CB85" s="470"/>
      <c r="CC85" s="470"/>
      <c r="CD85" s="470"/>
      <c r="CE85" s="481"/>
      <c r="CF85" s="481"/>
      <c r="CG85" s="481"/>
      <c r="CH85" s="481"/>
      <c r="CI85" s="481"/>
      <c r="CJ85" s="457"/>
      <c r="CK85" s="457"/>
      <c r="CL85" s="161"/>
      <c r="CM85" s="167"/>
      <c r="CN85" s="167"/>
      <c r="CO85" s="167"/>
      <c r="CP85" s="167"/>
      <c r="CQ85" s="167"/>
      <c r="CR85" s="457"/>
      <c r="CS85" s="457"/>
      <c r="CT85" s="457"/>
      <c r="CU85" s="474"/>
      <c r="CV85" s="474"/>
      <c r="CW85" s="474"/>
      <c r="CX85" s="474"/>
      <c r="CY85" s="474"/>
      <c r="CZ85" s="474"/>
      <c r="DA85" s="474"/>
      <c r="DB85" s="474"/>
      <c r="DC85" s="474"/>
      <c r="DD85" s="474"/>
      <c r="DE85" s="474"/>
      <c r="DF85" s="474"/>
      <c r="DG85" s="474"/>
      <c r="DH85" s="474"/>
      <c r="DI85" s="474"/>
      <c r="DJ85" s="474"/>
      <c r="DK85" s="474"/>
      <c r="DL85" s="474"/>
      <c r="DM85" s="474"/>
      <c r="DN85" s="474"/>
      <c r="DO85" s="474"/>
      <c r="DP85" s="474"/>
      <c r="DQ85" s="167"/>
      <c r="DR85" s="167"/>
      <c r="DS85" s="167"/>
      <c r="DT85" s="167"/>
      <c r="DU85" s="167"/>
      <c r="DV85" s="167"/>
      <c r="DW85" s="167"/>
      <c r="DX85" s="216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</row>
    <row r="86" spans="1:139" ht="5.2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36"/>
      <c r="N86" s="167"/>
      <c r="O86" s="476" t="s">
        <v>333</v>
      </c>
      <c r="P86" s="476"/>
      <c r="Q86" s="476"/>
      <c r="R86" s="476"/>
      <c r="S86" s="476"/>
      <c r="T86" s="476"/>
      <c r="U86" s="476"/>
      <c r="V86" s="476"/>
      <c r="W86" s="476"/>
      <c r="X86" s="476"/>
      <c r="Y86" s="476"/>
      <c r="Z86" s="476"/>
      <c r="AA86" s="476"/>
      <c r="AB86" s="476"/>
      <c r="AC86" s="476"/>
      <c r="AD86" s="476"/>
      <c r="AE86" s="476"/>
      <c r="AF86" s="476"/>
      <c r="AG86" s="476"/>
      <c r="AH86" s="477"/>
      <c r="AI86" s="476"/>
      <c r="AJ86" s="476"/>
      <c r="AK86" s="458">
        <v>23</v>
      </c>
      <c r="AL86" s="458"/>
      <c r="AM86" s="458"/>
      <c r="AN86" s="458"/>
      <c r="AO86" s="458"/>
      <c r="AP86" s="458"/>
      <c r="AQ86" s="458"/>
      <c r="AR86" s="458"/>
      <c r="AS86" s="167"/>
      <c r="AT86" s="483" t="s">
        <v>44</v>
      </c>
      <c r="AU86" s="483"/>
      <c r="AV86" s="483"/>
      <c r="AW86" s="342"/>
      <c r="AX86" s="161"/>
      <c r="AY86" s="300"/>
      <c r="AZ86" s="300"/>
      <c r="BA86" s="300"/>
      <c r="BB86" s="300"/>
      <c r="BC86" s="167"/>
      <c r="BD86" s="167"/>
      <c r="BE86" s="478" t="s">
        <v>323</v>
      </c>
      <c r="BF86" s="479"/>
      <c r="BG86" s="479"/>
      <c r="BH86" s="479"/>
      <c r="BI86" s="479"/>
      <c r="BJ86" s="479"/>
      <c r="BK86" s="479"/>
      <c r="BL86" s="479"/>
      <c r="BM86" s="479"/>
      <c r="BN86" s="479"/>
      <c r="BO86" s="479"/>
      <c r="BP86" s="479"/>
      <c r="BQ86" s="479"/>
      <c r="BR86" s="479"/>
      <c r="BS86" s="479"/>
      <c r="BT86" s="479"/>
      <c r="BU86" s="469"/>
      <c r="BV86" s="470"/>
      <c r="BW86" s="470"/>
      <c r="BX86" s="470"/>
      <c r="BY86" s="470"/>
      <c r="BZ86" s="470"/>
      <c r="CA86" s="470"/>
      <c r="CB86" s="470"/>
      <c r="CC86" s="470"/>
      <c r="CD86" s="470"/>
      <c r="CE86" s="467" t="s">
        <v>44</v>
      </c>
      <c r="CF86" s="468"/>
      <c r="CG86" s="468"/>
      <c r="CH86" s="468"/>
      <c r="CI86" s="468"/>
      <c r="CJ86" s="167"/>
      <c r="CK86" s="167"/>
      <c r="CL86" s="161"/>
      <c r="CM86" s="167"/>
      <c r="CN86" s="167"/>
      <c r="CO86" s="167"/>
      <c r="CP86" s="167"/>
      <c r="CQ86" s="167"/>
      <c r="CR86" s="167"/>
      <c r="CS86" s="167"/>
      <c r="CT86" s="167"/>
      <c r="CU86" s="167"/>
      <c r="CV86" s="167"/>
      <c r="CW86" s="167"/>
      <c r="CX86" s="167"/>
      <c r="CY86" s="167"/>
      <c r="CZ86" s="167"/>
      <c r="DA86" s="167"/>
      <c r="DB86" s="167"/>
      <c r="DC86" s="167"/>
      <c r="DD86" s="167"/>
      <c r="DE86" s="167"/>
      <c r="DF86" s="167"/>
      <c r="DG86" s="167"/>
      <c r="DH86" s="167"/>
      <c r="DI86" s="167"/>
      <c r="DJ86" s="167"/>
      <c r="DK86" s="167"/>
      <c r="DL86" s="167"/>
      <c r="DM86" s="167"/>
      <c r="DN86" s="167"/>
      <c r="DO86" s="167"/>
      <c r="DP86" s="167"/>
      <c r="DQ86" s="167"/>
      <c r="DR86" s="167"/>
      <c r="DS86" s="167"/>
      <c r="DT86" s="167"/>
      <c r="DU86" s="167"/>
      <c r="DV86" s="167"/>
      <c r="DW86" s="167"/>
      <c r="DX86" s="5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</row>
    <row r="87" spans="1:139" ht="5.2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36"/>
      <c r="N87" s="167"/>
      <c r="O87" s="476"/>
      <c r="P87" s="476"/>
      <c r="Q87" s="476"/>
      <c r="R87" s="476"/>
      <c r="S87" s="476"/>
      <c r="T87" s="476"/>
      <c r="U87" s="476"/>
      <c r="V87" s="476"/>
      <c r="W87" s="476"/>
      <c r="X87" s="476"/>
      <c r="Y87" s="476"/>
      <c r="Z87" s="476"/>
      <c r="AA87" s="476"/>
      <c r="AB87" s="476"/>
      <c r="AC87" s="476"/>
      <c r="AD87" s="476"/>
      <c r="AE87" s="476"/>
      <c r="AF87" s="476"/>
      <c r="AG87" s="476"/>
      <c r="AH87" s="476"/>
      <c r="AI87" s="476"/>
      <c r="AJ87" s="476"/>
      <c r="AK87" s="458"/>
      <c r="AL87" s="458"/>
      <c r="AM87" s="458"/>
      <c r="AN87" s="458"/>
      <c r="AO87" s="458"/>
      <c r="AP87" s="458"/>
      <c r="AQ87" s="458"/>
      <c r="AR87" s="458"/>
      <c r="AS87" s="167"/>
      <c r="AT87" s="483"/>
      <c r="AU87" s="483"/>
      <c r="AV87" s="483"/>
      <c r="AW87" s="342"/>
      <c r="AX87" s="161"/>
      <c r="AY87" s="300"/>
      <c r="AZ87" s="300"/>
      <c r="BA87" s="300"/>
      <c r="BB87" s="300"/>
      <c r="BC87" s="167"/>
      <c r="BD87" s="167"/>
      <c r="BE87" s="479"/>
      <c r="BF87" s="479"/>
      <c r="BG87" s="479"/>
      <c r="BH87" s="479"/>
      <c r="BI87" s="479"/>
      <c r="BJ87" s="479"/>
      <c r="BK87" s="479"/>
      <c r="BL87" s="479"/>
      <c r="BM87" s="479"/>
      <c r="BN87" s="479"/>
      <c r="BO87" s="479"/>
      <c r="BP87" s="479"/>
      <c r="BQ87" s="479"/>
      <c r="BR87" s="479"/>
      <c r="BS87" s="479"/>
      <c r="BT87" s="479"/>
      <c r="BU87" s="470"/>
      <c r="BV87" s="470"/>
      <c r="BW87" s="470"/>
      <c r="BX87" s="470"/>
      <c r="BY87" s="470"/>
      <c r="BZ87" s="470"/>
      <c r="CA87" s="470"/>
      <c r="CB87" s="470"/>
      <c r="CC87" s="470"/>
      <c r="CD87" s="470"/>
      <c r="CE87" s="468"/>
      <c r="CF87" s="468"/>
      <c r="CG87" s="468"/>
      <c r="CH87" s="468"/>
      <c r="CI87" s="468"/>
      <c r="CJ87" s="167"/>
      <c r="CK87" s="167"/>
      <c r="CL87" s="161"/>
      <c r="CM87" s="167"/>
      <c r="CN87" s="459" t="s">
        <v>55</v>
      </c>
      <c r="CO87" s="459"/>
      <c r="CP87" s="459"/>
      <c r="CQ87" s="459"/>
      <c r="CR87" s="167"/>
      <c r="CS87" s="460" t="s">
        <v>134</v>
      </c>
      <c r="CT87" s="460"/>
      <c r="CU87" s="460"/>
      <c r="CV87" s="460"/>
      <c r="CW87" s="460"/>
      <c r="CX87" s="460"/>
      <c r="CY87" s="460"/>
      <c r="CZ87" s="460"/>
      <c r="DA87" s="460"/>
      <c r="DB87" s="460"/>
      <c r="DC87" s="460"/>
      <c r="DD87" s="460"/>
      <c r="DE87" s="460"/>
      <c r="DF87" s="460"/>
      <c r="DG87" s="460"/>
      <c r="DH87" s="460"/>
      <c r="DI87" s="470">
        <v>23</v>
      </c>
      <c r="DJ87" s="470"/>
      <c r="DK87" s="470"/>
      <c r="DL87" s="470"/>
      <c r="DM87" s="470"/>
      <c r="DN87" s="470"/>
      <c r="DO87" s="470"/>
      <c r="DP87" s="470"/>
      <c r="DQ87" s="126"/>
      <c r="DR87" s="481" t="s">
        <v>44</v>
      </c>
      <c r="DS87" s="481"/>
      <c r="DT87" s="481"/>
      <c r="DU87" s="481"/>
      <c r="DV87" s="481"/>
      <c r="DW87" s="481"/>
      <c r="DX87" s="5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</row>
    <row r="88" spans="1:139" ht="5.2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36"/>
      <c r="N88" s="167"/>
      <c r="O88" s="476" t="s">
        <v>332</v>
      </c>
      <c r="P88" s="476"/>
      <c r="Q88" s="476"/>
      <c r="R88" s="476"/>
      <c r="S88" s="476"/>
      <c r="T88" s="476"/>
      <c r="U88" s="476"/>
      <c r="V88" s="476"/>
      <c r="W88" s="476"/>
      <c r="X88" s="476"/>
      <c r="Y88" s="476"/>
      <c r="Z88" s="476"/>
      <c r="AA88" s="476"/>
      <c r="AB88" s="476"/>
      <c r="AC88" s="476"/>
      <c r="AD88" s="476"/>
      <c r="AE88" s="476"/>
      <c r="AF88" s="476"/>
      <c r="AG88" s="476"/>
      <c r="AH88" s="476"/>
      <c r="AI88" s="476"/>
      <c r="AJ88" s="476"/>
      <c r="AK88" s="458">
        <v>100</v>
      </c>
      <c r="AL88" s="458"/>
      <c r="AM88" s="458"/>
      <c r="AN88" s="458"/>
      <c r="AO88" s="458"/>
      <c r="AP88" s="458"/>
      <c r="AQ88" s="458"/>
      <c r="AR88" s="458"/>
      <c r="AS88" s="167"/>
      <c r="AT88" s="483" t="s">
        <v>44</v>
      </c>
      <c r="AU88" s="483"/>
      <c r="AV88" s="483"/>
      <c r="AW88" s="167"/>
      <c r="AX88" s="161"/>
      <c r="AY88" s="300"/>
      <c r="AZ88" s="300"/>
      <c r="BA88" s="300"/>
      <c r="BB88" s="300"/>
      <c r="BC88" s="167"/>
      <c r="BD88" s="167"/>
      <c r="BE88" s="478" t="s">
        <v>324</v>
      </c>
      <c r="BF88" s="479"/>
      <c r="BG88" s="479"/>
      <c r="BH88" s="479"/>
      <c r="BI88" s="479"/>
      <c r="BJ88" s="479"/>
      <c r="BK88" s="479"/>
      <c r="BL88" s="479"/>
      <c r="BM88" s="479"/>
      <c r="BN88" s="479"/>
      <c r="BO88" s="479"/>
      <c r="BP88" s="479"/>
      <c r="BQ88" s="479"/>
      <c r="BR88" s="479"/>
      <c r="BS88" s="479"/>
      <c r="BT88" s="479"/>
      <c r="BU88" s="469"/>
      <c r="BV88" s="470"/>
      <c r="BW88" s="470"/>
      <c r="BX88" s="470"/>
      <c r="BY88" s="470"/>
      <c r="BZ88" s="470"/>
      <c r="CA88" s="470"/>
      <c r="CB88" s="470"/>
      <c r="CC88" s="470"/>
      <c r="CD88" s="470"/>
      <c r="CE88" s="467" t="s">
        <v>44</v>
      </c>
      <c r="CF88" s="468"/>
      <c r="CG88" s="468"/>
      <c r="CH88" s="468"/>
      <c r="CI88" s="468"/>
      <c r="CJ88" s="167"/>
      <c r="CK88" s="167"/>
      <c r="CL88" s="161"/>
      <c r="CM88" s="167"/>
      <c r="CN88" s="459"/>
      <c r="CO88" s="459"/>
      <c r="CP88" s="459"/>
      <c r="CQ88" s="459"/>
      <c r="CR88" s="167"/>
      <c r="CS88" s="460"/>
      <c r="CT88" s="460"/>
      <c r="CU88" s="460"/>
      <c r="CV88" s="460"/>
      <c r="CW88" s="460"/>
      <c r="CX88" s="460"/>
      <c r="CY88" s="460"/>
      <c r="CZ88" s="460"/>
      <c r="DA88" s="460"/>
      <c r="DB88" s="460"/>
      <c r="DC88" s="460"/>
      <c r="DD88" s="460"/>
      <c r="DE88" s="460"/>
      <c r="DF88" s="460"/>
      <c r="DG88" s="460"/>
      <c r="DH88" s="460"/>
      <c r="DI88" s="470"/>
      <c r="DJ88" s="470"/>
      <c r="DK88" s="470"/>
      <c r="DL88" s="470"/>
      <c r="DM88" s="470"/>
      <c r="DN88" s="470"/>
      <c r="DO88" s="470"/>
      <c r="DP88" s="470"/>
      <c r="DQ88" s="126"/>
      <c r="DR88" s="481"/>
      <c r="DS88" s="481"/>
      <c r="DT88" s="481"/>
      <c r="DU88" s="481"/>
      <c r="DV88" s="481"/>
      <c r="DW88" s="481"/>
      <c r="DX88" s="216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</row>
    <row r="89" spans="1:139" ht="5.2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36"/>
      <c r="N89" s="167"/>
      <c r="O89" s="476"/>
      <c r="P89" s="476"/>
      <c r="Q89" s="476"/>
      <c r="R89" s="476"/>
      <c r="S89" s="476"/>
      <c r="T89" s="476"/>
      <c r="U89" s="476"/>
      <c r="V89" s="476"/>
      <c r="W89" s="476"/>
      <c r="X89" s="476"/>
      <c r="Y89" s="476"/>
      <c r="Z89" s="476"/>
      <c r="AA89" s="476"/>
      <c r="AB89" s="476"/>
      <c r="AC89" s="476"/>
      <c r="AD89" s="476"/>
      <c r="AE89" s="476"/>
      <c r="AF89" s="476"/>
      <c r="AG89" s="476"/>
      <c r="AH89" s="476"/>
      <c r="AI89" s="476"/>
      <c r="AJ89" s="476"/>
      <c r="AK89" s="458"/>
      <c r="AL89" s="458"/>
      <c r="AM89" s="458"/>
      <c r="AN89" s="458"/>
      <c r="AO89" s="458"/>
      <c r="AP89" s="458"/>
      <c r="AQ89" s="458"/>
      <c r="AR89" s="458"/>
      <c r="AS89" s="167"/>
      <c r="AT89" s="483"/>
      <c r="AU89" s="483"/>
      <c r="AV89" s="483"/>
      <c r="AW89" s="347"/>
      <c r="AX89" s="161"/>
      <c r="AY89" s="300"/>
      <c r="AZ89" s="300"/>
      <c r="BA89" s="300"/>
      <c r="BB89" s="300"/>
      <c r="BC89" s="285"/>
      <c r="BD89" s="167"/>
      <c r="BE89" s="479"/>
      <c r="BF89" s="479"/>
      <c r="BG89" s="479"/>
      <c r="BH89" s="479"/>
      <c r="BI89" s="479"/>
      <c r="BJ89" s="479"/>
      <c r="BK89" s="479"/>
      <c r="BL89" s="479"/>
      <c r="BM89" s="479"/>
      <c r="BN89" s="479"/>
      <c r="BO89" s="479"/>
      <c r="BP89" s="479"/>
      <c r="BQ89" s="479"/>
      <c r="BR89" s="479"/>
      <c r="BS89" s="479"/>
      <c r="BT89" s="479"/>
      <c r="BU89" s="471"/>
      <c r="BV89" s="471"/>
      <c r="BW89" s="471"/>
      <c r="BX89" s="471"/>
      <c r="BY89" s="471"/>
      <c r="BZ89" s="471"/>
      <c r="CA89" s="471"/>
      <c r="CB89" s="471"/>
      <c r="CC89" s="471"/>
      <c r="CD89" s="471"/>
      <c r="CE89" s="468"/>
      <c r="CF89" s="468"/>
      <c r="CG89" s="468"/>
      <c r="CH89" s="468"/>
      <c r="CI89" s="468"/>
      <c r="CJ89" s="167"/>
      <c r="CK89" s="167"/>
      <c r="CL89" s="161"/>
      <c r="CM89" s="167"/>
      <c r="CN89" s="167"/>
      <c r="CO89" s="167"/>
      <c r="CP89" s="167"/>
      <c r="CQ89" s="167"/>
      <c r="CR89" s="167"/>
      <c r="CS89" s="479"/>
      <c r="CT89" s="479"/>
      <c r="CU89" s="479"/>
      <c r="CV89" s="479"/>
      <c r="CW89" s="479"/>
      <c r="CX89" s="479"/>
      <c r="CY89" s="479"/>
      <c r="CZ89" s="479"/>
      <c r="DA89" s="479"/>
      <c r="DB89" s="479"/>
      <c r="DC89" s="479"/>
      <c r="DD89" s="479"/>
      <c r="DE89" s="479"/>
      <c r="DF89" s="479"/>
      <c r="DG89" s="479"/>
      <c r="DH89" s="479"/>
      <c r="DI89" s="470">
        <v>100</v>
      </c>
      <c r="DJ89" s="470"/>
      <c r="DK89" s="470"/>
      <c r="DL89" s="470"/>
      <c r="DM89" s="470"/>
      <c r="DN89" s="470"/>
      <c r="DO89" s="470"/>
      <c r="DP89" s="470"/>
      <c r="DQ89" s="126"/>
      <c r="DR89" s="468" t="s">
        <v>44</v>
      </c>
      <c r="DS89" s="468"/>
      <c r="DT89" s="468"/>
      <c r="DU89" s="468"/>
      <c r="DV89" s="468"/>
      <c r="DW89" s="468"/>
      <c r="DX89" s="216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</row>
    <row r="90" spans="1:139" ht="5.2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36"/>
      <c r="N90" s="167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167"/>
      <c r="AT90" s="167"/>
      <c r="AU90" s="167"/>
      <c r="AV90" s="167"/>
      <c r="AW90" s="167"/>
      <c r="AX90" s="161"/>
      <c r="AY90" s="167"/>
      <c r="AZ90" s="457">
        <v>235</v>
      </c>
      <c r="BA90" s="457"/>
      <c r="BB90" s="457"/>
      <c r="BC90" s="457"/>
      <c r="BD90" s="457"/>
      <c r="BE90" s="474" t="s">
        <v>393</v>
      </c>
      <c r="BF90" s="474"/>
      <c r="BG90" s="474"/>
      <c r="BH90" s="474"/>
      <c r="BI90" s="474"/>
      <c r="BJ90" s="474"/>
      <c r="BK90" s="474"/>
      <c r="BL90" s="474"/>
      <c r="BM90" s="474"/>
      <c r="BN90" s="474"/>
      <c r="BO90" s="474"/>
      <c r="BP90" s="474"/>
      <c r="BQ90" s="474"/>
      <c r="BR90" s="474"/>
      <c r="BS90" s="474"/>
      <c r="BT90" s="474"/>
      <c r="BU90" s="474"/>
      <c r="BV90" s="474"/>
      <c r="BW90" s="474"/>
      <c r="BX90" s="474"/>
      <c r="BY90" s="474"/>
      <c r="BZ90" s="474"/>
      <c r="CA90" s="474"/>
      <c r="CB90" s="474"/>
      <c r="CC90" s="474"/>
      <c r="CD90" s="474"/>
      <c r="CE90" s="167"/>
      <c r="CF90" s="167"/>
      <c r="CG90" s="167"/>
      <c r="CH90" s="167"/>
      <c r="CI90" s="167"/>
      <c r="CJ90" s="167"/>
      <c r="CK90" s="167"/>
      <c r="CL90" s="161"/>
      <c r="CM90" s="167"/>
      <c r="CN90" s="167"/>
      <c r="CO90" s="167"/>
      <c r="CP90" s="167"/>
      <c r="CQ90" s="167"/>
      <c r="CR90" s="167"/>
      <c r="CS90" s="479"/>
      <c r="CT90" s="479"/>
      <c r="CU90" s="479"/>
      <c r="CV90" s="479"/>
      <c r="CW90" s="479"/>
      <c r="CX90" s="479"/>
      <c r="CY90" s="479"/>
      <c r="CZ90" s="479"/>
      <c r="DA90" s="479"/>
      <c r="DB90" s="479"/>
      <c r="DC90" s="479"/>
      <c r="DD90" s="479"/>
      <c r="DE90" s="479"/>
      <c r="DF90" s="479"/>
      <c r="DG90" s="479"/>
      <c r="DH90" s="479"/>
      <c r="DI90" s="470"/>
      <c r="DJ90" s="470"/>
      <c r="DK90" s="470"/>
      <c r="DL90" s="470"/>
      <c r="DM90" s="470"/>
      <c r="DN90" s="470"/>
      <c r="DO90" s="470"/>
      <c r="DP90" s="470"/>
      <c r="DQ90" s="126"/>
      <c r="DR90" s="468"/>
      <c r="DS90" s="468"/>
      <c r="DT90" s="468"/>
      <c r="DU90" s="468"/>
      <c r="DV90" s="468"/>
      <c r="DW90" s="468"/>
      <c r="DX90" s="305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</row>
    <row r="91" spans="1:139" ht="5.2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36"/>
      <c r="N91" s="167"/>
      <c r="O91" s="467" t="s">
        <v>56</v>
      </c>
      <c r="P91" s="467"/>
      <c r="Q91" s="467"/>
      <c r="R91" s="467"/>
      <c r="S91" s="167"/>
      <c r="T91" s="465" t="s">
        <v>59</v>
      </c>
      <c r="U91" s="465"/>
      <c r="V91" s="465"/>
      <c r="W91" s="465"/>
      <c r="X91" s="465"/>
      <c r="Y91" s="465"/>
      <c r="Z91" s="465"/>
      <c r="AA91" s="465"/>
      <c r="AB91" s="465"/>
      <c r="AC91" s="465"/>
      <c r="AD91" s="465"/>
      <c r="AE91" s="465"/>
      <c r="AF91" s="465"/>
      <c r="AG91" s="465"/>
      <c r="AH91" s="465"/>
      <c r="AI91" s="465"/>
      <c r="AJ91" s="465"/>
      <c r="AK91" s="462">
        <v>23</v>
      </c>
      <c r="AL91" s="463"/>
      <c r="AM91" s="463"/>
      <c r="AN91" s="463"/>
      <c r="AO91" s="463"/>
      <c r="AP91" s="463"/>
      <c r="AQ91" s="463"/>
      <c r="AR91" s="463"/>
      <c r="AS91" s="167"/>
      <c r="AT91" s="464" t="s">
        <v>44</v>
      </c>
      <c r="AU91" s="464"/>
      <c r="AV91" s="464"/>
      <c r="AW91" s="167"/>
      <c r="AX91" s="161"/>
      <c r="AY91" s="167"/>
      <c r="AZ91" s="457"/>
      <c r="BA91" s="457"/>
      <c r="BB91" s="457"/>
      <c r="BC91" s="457"/>
      <c r="BD91" s="457"/>
      <c r="BE91" s="474"/>
      <c r="BF91" s="474"/>
      <c r="BG91" s="474"/>
      <c r="BH91" s="474"/>
      <c r="BI91" s="474"/>
      <c r="BJ91" s="474"/>
      <c r="BK91" s="474"/>
      <c r="BL91" s="474"/>
      <c r="BM91" s="474"/>
      <c r="BN91" s="474"/>
      <c r="BO91" s="474"/>
      <c r="BP91" s="474"/>
      <c r="BQ91" s="474"/>
      <c r="BR91" s="474"/>
      <c r="BS91" s="474"/>
      <c r="BT91" s="474"/>
      <c r="BU91" s="474"/>
      <c r="BV91" s="474"/>
      <c r="BW91" s="474"/>
      <c r="BX91" s="474"/>
      <c r="BY91" s="474"/>
      <c r="BZ91" s="474"/>
      <c r="CA91" s="474"/>
      <c r="CB91" s="474"/>
      <c r="CC91" s="474"/>
      <c r="CD91" s="474"/>
      <c r="CE91" s="167"/>
      <c r="CF91" s="167"/>
      <c r="CG91" s="167"/>
      <c r="CH91" s="167"/>
      <c r="CI91" s="167"/>
      <c r="CJ91" s="167"/>
      <c r="CK91" s="167"/>
      <c r="CL91" s="161"/>
      <c r="CM91" s="167"/>
      <c r="CN91" s="167"/>
      <c r="CO91" s="167"/>
      <c r="CP91" s="167"/>
      <c r="CQ91" s="167"/>
      <c r="CR91" s="457">
        <v>204</v>
      </c>
      <c r="CS91" s="457"/>
      <c r="CT91" s="457"/>
      <c r="CU91" s="474" t="s">
        <v>392</v>
      </c>
      <c r="CV91" s="474"/>
      <c r="CW91" s="474"/>
      <c r="CX91" s="474"/>
      <c r="CY91" s="474"/>
      <c r="CZ91" s="474"/>
      <c r="DA91" s="474"/>
      <c r="DB91" s="474"/>
      <c r="DC91" s="474"/>
      <c r="DD91" s="474"/>
      <c r="DE91" s="474"/>
      <c r="DF91" s="474"/>
      <c r="DG91" s="474"/>
      <c r="DH91" s="474"/>
      <c r="DI91" s="474"/>
      <c r="DJ91" s="474"/>
      <c r="DK91" s="474"/>
      <c r="DL91" s="474"/>
      <c r="DM91" s="474"/>
      <c r="DN91" s="474"/>
      <c r="DO91" s="474"/>
      <c r="DP91" s="474"/>
      <c r="DQ91" s="167"/>
      <c r="DR91" s="167"/>
      <c r="DS91" s="167"/>
      <c r="DT91" s="167"/>
      <c r="DU91" s="167"/>
      <c r="DV91" s="167"/>
      <c r="DW91" s="304"/>
      <c r="DX91" s="305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</row>
    <row r="92" spans="1:139" ht="5.2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36"/>
      <c r="N92" s="167"/>
      <c r="O92" s="467"/>
      <c r="P92" s="467"/>
      <c r="Q92" s="467"/>
      <c r="R92" s="467"/>
      <c r="S92" s="167"/>
      <c r="T92" s="465"/>
      <c r="U92" s="465"/>
      <c r="V92" s="465"/>
      <c r="W92" s="465"/>
      <c r="X92" s="465"/>
      <c r="Y92" s="465"/>
      <c r="Z92" s="465"/>
      <c r="AA92" s="465"/>
      <c r="AB92" s="465"/>
      <c r="AC92" s="465"/>
      <c r="AD92" s="465"/>
      <c r="AE92" s="465"/>
      <c r="AF92" s="465"/>
      <c r="AG92" s="465"/>
      <c r="AH92" s="465"/>
      <c r="AI92" s="465"/>
      <c r="AJ92" s="465"/>
      <c r="AK92" s="463"/>
      <c r="AL92" s="463"/>
      <c r="AM92" s="463"/>
      <c r="AN92" s="463"/>
      <c r="AO92" s="463"/>
      <c r="AP92" s="463"/>
      <c r="AQ92" s="463"/>
      <c r="AR92" s="463"/>
      <c r="AS92" s="167"/>
      <c r="AT92" s="464"/>
      <c r="AU92" s="464"/>
      <c r="AV92" s="464"/>
      <c r="AW92" s="167"/>
      <c r="AX92" s="161"/>
      <c r="AY92" s="167"/>
      <c r="AZ92" s="167"/>
      <c r="BA92" s="167"/>
      <c r="BB92" s="167"/>
      <c r="BC92" s="167"/>
      <c r="BD92" s="167"/>
      <c r="BE92" s="167"/>
      <c r="BF92" s="167"/>
      <c r="BG92" s="167"/>
      <c r="BH92" s="167"/>
      <c r="BI92" s="167"/>
      <c r="BJ92" s="167"/>
      <c r="BK92" s="167"/>
      <c r="BL92" s="167"/>
      <c r="BM92" s="167"/>
      <c r="BN92" s="167"/>
      <c r="BO92" s="167"/>
      <c r="BP92" s="167"/>
      <c r="BQ92" s="167"/>
      <c r="BR92" s="167"/>
      <c r="BS92" s="167"/>
      <c r="BT92" s="167"/>
      <c r="BU92" s="167"/>
      <c r="BV92" s="167"/>
      <c r="BW92" s="167"/>
      <c r="BX92" s="167"/>
      <c r="BY92" s="167"/>
      <c r="BZ92" s="167"/>
      <c r="CA92" s="167"/>
      <c r="CB92" s="167"/>
      <c r="CC92" s="167"/>
      <c r="CD92" s="167"/>
      <c r="CE92" s="167"/>
      <c r="CF92" s="167"/>
      <c r="CG92" s="167"/>
      <c r="CH92" s="167"/>
      <c r="CI92" s="167"/>
      <c r="CJ92" s="167"/>
      <c r="CK92" s="167"/>
      <c r="CL92" s="161"/>
      <c r="CM92" s="167"/>
      <c r="CN92" s="167"/>
      <c r="CO92" s="167"/>
      <c r="CP92" s="167"/>
      <c r="CQ92" s="167"/>
      <c r="CR92" s="571"/>
      <c r="CS92" s="457"/>
      <c r="CT92" s="457"/>
      <c r="CU92" s="474"/>
      <c r="CV92" s="474"/>
      <c r="CW92" s="474"/>
      <c r="CX92" s="474"/>
      <c r="CY92" s="474"/>
      <c r="CZ92" s="474"/>
      <c r="DA92" s="474"/>
      <c r="DB92" s="474"/>
      <c r="DC92" s="474"/>
      <c r="DD92" s="474"/>
      <c r="DE92" s="474"/>
      <c r="DF92" s="474"/>
      <c r="DG92" s="474"/>
      <c r="DH92" s="474"/>
      <c r="DI92" s="475"/>
      <c r="DJ92" s="474"/>
      <c r="DK92" s="474"/>
      <c r="DL92" s="474"/>
      <c r="DM92" s="474"/>
      <c r="DN92" s="474"/>
      <c r="DO92" s="474"/>
      <c r="DP92" s="474"/>
      <c r="DQ92" s="167"/>
      <c r="DR92" s="297"/>
      <c r="DS92" s="167"/>
      <c r="DT92" s="167"/>
      <c r="DU92" s="167"/>
      <c r="DV92" s="167"/>
      <c r="DW92" s="304"/>
      <c r="DX92" s="216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</row>
    <row r="93" spans="1:139" ht="5.25" customHeight="1" x14ac:dyDescent="0.2">
      <c r="A93" s="2"/>
      <c r="B93" s="2"/>
      <c r="C93" s="133"/>
      <c r="D93" s="2"/>
      <c r="E93" s="2"/>
      <c r="F93" s="2"/>
      <c r="G93" s="2"/>
      <c r="H93" s="2"/>
      <c r="I93" s="2"/>
      <c r="J93" s="2"/>
      <c r="K93" s="10"/>
      <c r="L93" s="36"/>
      <c r="N93" s="167"/>
      <c r="O93" s="467" t="s">
        <v>56</v>
      </c>
      <c r="P93" s="467"/>
      <c r="Q93" s="467"/>
      <c r="R93" s="467"/>
      <c r="S93" s="167"/>
      <c r="T93" s="465" t="s">
        <v>60</v>
      </c>
      <c r="U93" s="465"/>
      <c r="V93" s="465"/>
      <c r="W93" s="465"/>
      <c r="X93" s="465"/>
      <c r="Y93" s="465"/>
      <c r="Z93" s="465"/>
      <c r="AA93" s="465"/>
      <c r="AB93" s="465"/>
      <c r="AC93" s="465"/>
      <c r="AD93" s="465"/>
      <c r="AE93" s="465"/>
      <c r="AF93" s="465"/>
      <c r="AG93" s="465"/>
      <c r="AH93" s="465"/>
      <c r="AI93" s="465"/>
      <c r="AJ93" s="465"/>
      <c r="AK93" s="462">
        <v>100</v>
      </c>
      <c r="AL93" s="463"/>
      <c r="AM93" s="463"/>
      <c r="AN93" s="463"/>
      <c r="AO93" s="463"/>
      <c r="AP93" s="463"/>
      <c r="AQ93" s="463"/>
      <c r="AR93" s="463"/>
      <c r="AS93" s="167"/>
      <c r="AT93" s="464" t="s">
        <v>44</v>
      </c>
      <c r="AU93" s="464"/>
      <c r="AV93" s="464"/>
      <c r="AW93" s="167"/>
      <c r="AX93" s="161"/>
      <c r="AY93" s="489" t="s">
        <v>360</v>
      </c>
      <c r="AZ93" s="489"/>
      <c r="BA93" s="489"/>
      <c r="BB93" s="489"/>
      <c r="BC93" s="489"/>
      <c r="BD93" s="167"/>
      <c r="BE93" s="479" t="s">
        <v>362</v>
      </c>
      <c r="BF93" s="479"/>
      <c r="BG93" s="479"/>
      <c r="BH93" s="479"/>
      <c r="BI93" s="479"/>
      <c r="BJ93" s="479"/>
      <c r="BK93" s="479"/>
      <c r="BL93" s="479"/>
      <c r="BM93" s="479"/>
      <c r="BN93" s="479"/>
      <c r="BO93" s="479"/>
      <c r="BP93" s="479"/>
      <c r="BQ93" s="479"/>
      <c r="BR93" s="479"/>
      <c r="BS93" s="479"/>
      <c r="BT93" s="479"/>
      <c r="BU93" s="473">
        <v>2</v>
      </c>
      <c r="BV93" s="473"/>
      <c r="BW93" s="473"/>
      <c r="BX93" s="473"/>
      <c r="BY93" s="473"/>
      <c r="BZ93" s="473"/>
      <c r="CA93" s="473"/>
      <c r="CB93" s="473"/>
      <c r="CC93" s="473"/>
      <c r="CD93" s="473"/>
      <c r="CE93" s="481" t="s">
        <v>36</v>
      </c>
      <c r="CF93" s="481"/>
      <c r="CG93" s="481"/>
      <c r="CH93" s="481"/>
      <c r="CI93" s="481"/>
      <c r="CJ93" s="167"/>
      <c r="CK93" s="167"/>
      <c r="CL93" s="161"/>
      <c r="CM93" s="167"/>
      <c r="CN93" s="167"/>
      <c r="CO93" s="167"/>
      <c r="CP93" s="167"/>
      <c r="CQ93" s="167"/>
      <c r="CR93" s="167"/>
      <c r="CS93" s="167"/>
      <c r="CT93" s="167"/>
      <c r="CU93" s="167"/>
      <c r="CV93" s="167"/>
      <c r="CW93" s="167"/>
      <c r="CX93" s="167"/>
      <c r="CY93" s="167"/>
      <c r="CZ93" s="167"/>
      <c r="DA93" s="167"/>
      <c r="DB93" s="167"/>
      <c r="DC93" s="167"/>
      <c r="DD93" s="167"/>
      <c r="DE93" s="167"/>
      <c r="DF93" s="167"/>
      <c r="DG93" s="167"/>
      <c r="DH93" s="167"/>
      <c r="DI93" s="167"/>
      <c r="DJ93" s="167"/>
      <c r="DK93" s="167"/>
      <c r="DL93" s="167"/>
      <c r="DM93" s="167"/>
      <c r="DN93" s="167"/>
      <c r="DO93" s="167"/>
      <c r="DP93" s="167"/>
      <c r="DQ93" s="167"/>
      <c r="DR93" s="167"/>
      <c r="DS93" s="167"/>
      <c r="DT93" s="167"/>
      <c r="DU93" s="167"/>
      <c r="DV93" s="167"/>
      <c r="DW93" s="167"/>
      <c r="DX93" s="216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</row>
    <row r="94" spans="1:139" ht="5.2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36"/>
      <c r="N94" s="167"/>
      <c r="O94" s="467"/>
      <c r="P94" s="467"/>
      <c r="Q94" s="467"/>
      <c r="R94" s="467"/>
      <c r="S94" s="167"/>
      <c r="T94" s="465"/>
      <c r="U94" s="465"/>
      <c r="V94" s="465"/>
      <c r="W94" s="465"/>
      <c r="X94" s="465"/>
      <c r="Y94" s="465"/>
      <c r="Z94" s="465"/>
      <c r="AA94" s="465"/>
      <c r="AB94" s="465"/>
      <c r="AC94" s="465"/>
      <c r="AD94" s="465"/>
      <c r="AE94" s="465"/>
      <c r="AF94" s="465"/>
      <c r="AG94" s="465"/>
      <c r="AH94" s="465"/>
      <c r="AI94" s="465"/>
      <c r="AJ94" s="465"/>
      <c r="AK94" s="463"/>
      <c r="AL94" s="463"/>
      <c r="AM94" s="463"/>
      <c r="AN94" s="463"/>
      <c r="AO94" s="463"/>
      <c r="AP94" s="463"/>
      <c r="AQ94" s="463"/>
      <c r="AR94" s="463"/>
      <c r="AS94" s="167"/>
      <c r="AT94" s="464"/>
      <c r="AU94" s="464"/>
      <c r="AV94" s="464"/>
      <c r="AW94" s="167"/>
      <c r="AX94" s="161"/>
      <c r="AY94" s="489"/>
      <c r="AZ94" s="489"/>
      <c r="BA94" s="489"/>
      <c r="BB94" s="489"/>
      <c r="BC94" s="489"/>
      <c r="BD94" s="167"/>
      <c r="BE94" s="479"/>
      <c r="BF94" s="479"/>
      <c r="BG94" s="479"/>
      <c r="BH94" s="479"/>
      <c r="BI94" s="479"/>
      <c r="BJ94" s="479"/>
      <c r="BK94" s="479"/>
      <c r="BL94" s="479"/>
      <c r="BM94" s="479"/>
      <c r="BN94" s="479"/>
      <c r="BO94" s="479"/>
      <c r="BP94" s="479"/>
      <c r="BQ94" s="479"/>
      <c r="BR94" s="479"/>
      <c r="BS94" s="479"/>
      <c r="BT94" s="479"/>
      <c r="BU94" s="470"/>
      <c r="BV94" s="470"/>
      <c r="BW94" s="470"/>
      <c r="BX94" s="470"/>
      <c r="BY94" s="470"/>
      <c r="BZ94" s="470"/>
      <c r="CA94" s="470"/>
      <c r="CB94" s="470"/>
      <c r="CC94" s="470"/>
      <c r="CD94" s="470"/>
      <c r="CE94" s="481"/>
      <c r="CF94" s="481"/>
      <c r="CG94" s="481"/>
      <c r="CH94" s="481"/>
      <c r="CI94" s="481"/>
      <c r="CJ94" s="167"/>
      <c r="CK94" s="167"/>
      <c r="CL94" s="161"/>
      <c r="CM94" s="167"/>
      <c r="CN94" s="489" t="s">
        <v>146</v>
      </c>
      <c r="CO94" s="489"/>
      <c r="CP94" s="489"/>
      <c r="CQ94" s="489"/>
      <c r="CR94" s="535" t="s">
        <v>408</v>
      </c>
      <c r="CS94" s="536"/>
      <c r="CT94" s="535"/>
      <c r="CU94" s="536"/>
      <c r="CV94" s="536"/>
      <c r="CW94" s="536"/>
      <c r="CX94" s="536"/>
      <c r="CY94" s="536"/>
      <c r="CZ94" s="536"/>
      <c r="DA94" s="536"/>
      <c r="DB94" s="536"/>
      <c r="DC94" s="536"/>
      <c r="DD94" s="536"/>
      <c r="DE94" s="536"/>
      <c r="DF94" s="536"/>
      <c r="DG94" s="536"/>
      <c r="DH94" s="536"/>
      <c r="DI94" s="534"/>
      <c r="DJ94" s="458"/>
      <c r="DK94" s="458"/>
      <c r="DL94" s="458"/>
      <c r="DM94" s="458"/>
      <c r="DN94" s="458"/>
      <c r="DO94" s="458"/>
      <c r="DP94" s="458"/>
      <c r="DQ94" s="297"/>
      <c r="DR94" s="467" t="s">
        <v>36</v>
      </c>
      <c r="DS94" s="468"/>
      <c r="DT94" s="468"/>
      <c r="DU94" s="468"/>
      <c r="DV94" s="468"/>
      <c r="DW94" s="468"/>
      <c r="DX94" s="216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</row>
    <row r="95" spans="1:139" ht="5.2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36"/>
      <c r="N95" s="167"/>
      <c r="O95" s="466" t="s">
        <v>57</v>
      </c>
      <c r="P95" s="466"/>
      <c r="Q95" s="466"/>
      <c r="R95" s="466"/>
      <c r="S95" s="167"/>
      <c r="T95" s="465" t="s">
        <v>61</v>
      </c>
      <c r="U95" s="465"/>
      <c r="V95" s="465"/>
      <c r="W95" s="465"/>
      <c r="X95" s="465"/>
      <c r="Y95" s="465"/>
      <c r="Z95" s="465"/>
      <c r="AA95" s="465"/>
      <c r="AB95" s="465"/>
      <c r="AC95" s="465"/>
      <c r="AD95" s="465"/>
      <c r="AE95" s="465"/>
      <c r="AF95" s="465"/>
      <c r="AG95" s="465"/>
      <c r="AH95" s="465"/>
      <c r="AI95" s="465"/>
      <c r="AJ95" s="465"/>
      <c r="AK95" s="462">
        <v>23</v>
      </c>
      <c r="AL95" s="463"/>
      <c r="AM95" s="463"/>
      <c r="AN95" s="463"/>
      <c r="AO95" s="463"/>
      <c r="AP95" s="463"/>
      <c r="AQ95" s="463"/>
      <c r="AR95" s="463"/>
      <c r="AS95" s="167"/>
      <c r="AT95" s="464" t="s">
        <v>44</v>
      </c>
      <c r="AU95" s="464"/>
      <c r="AV95" s="464"/>
      <c r="AW95" s="167"/>
      <c r="AX95" s="161"/>
      <c r="AY95" s="300"/>
      <c r="AZ95" s="300"/>
      <c r="BA95" s="300"/>
      <c r="BB95" s="300"/>
      <c r="BC95" s="167"/>
      <c r="BD95" s="167"/>
      <c r="BE95" s="479" t="s">
        <v>323</v>
      </c>
      <c r="BF95" s="479"/>
      <c r="BG95" s="479"/>
      <c r="BH95" s="479"/>
      <c r="BI95" s="479"/>
      <c r="BJ95" s="479"/>
      <c r="BK95" s="479"/>
      <c r="BL95" s="479"/>
      <c r="BM95" s="479"/>
      <c r="BN95" s="479"/>
      <c r="BO95" s="479"/>
      <c r="BP95" s="479"/>
      <c r="BQ95" s="479"/>
      <c r="BR95" s="479"/>
      <c r="BS95" s="479"/>
      <c r="BT95" s="479"/>
      <c r="BU95" s="470">
        <v>120</v>
      </c>
      <c r="BV95" s="470"/>
      <c r="BW95" s="470"/>
      <c r="BX95" s="470"/>
      <c r="BY95" s="470"/>
      <c r="BZ95" s="470"/>
      <c r="CA95" s="470"/>
      <c r="CB95" s="470"/>
      <c r="CC95" s="470"/>
      <c r="CD95" s="470"/>
      <c r="CE95" s="468" t="s">
        <v>44</v>
      </c>
      <c r="CF95" s="468"/>
      <c r="CG95" s="468"/>
      <c r="CH95" s="468"/>
      <c r="CI95" s="468"/>
      <c r="CJ95" s="167"/>
      <c r="CK95" s="167"/>
      <c r="CL95" s="161"/>
      <c r="CM95" s="167"/>
      <c r="CN95" s="489"/>
      <c r="CO95" s="489"/>
      <c r="CP95" s="489"/>
      <c r="CQ95" s="489"/>
      <c r="CR95" s="536"/>
      <c r="CS95" s="536"/>
      <c r="CT95" s="536"/>
      <c r="CU95" s="536"/>
      <c r="CV95" s="536"/>
      <c r="CW95" s="536"/>
      <c r="CX95" s="536"/>
      <c r="CY95" s="536"/>
      <c r="CZ95" s="536"/>
      <c r="DA95" s="536"/>
      <c r="DB95" s="536"/>
      <c r="DC95" s="536"/>
      <c r="DD95" s="536"/>
      <c r="DE95" s="536"/>
      <c r="DF95" s="536"/>
      <c r="DG95" s="536"/>
      <c r="DH95" s="536"/>
      <c r="DI95" s="458"/>
      <c r="DJ95" s="458"/>
      <c r="DK95" s="458"/>
      <c r="DL95" s="458"/>
      <c r="DM95" s="458"/>
      <c r="DN95" s="458"/>
      <c r="DO95" s="458"/>
      <c r="DP95" s="458"/>
      <c r="DQ95" s="167"/>
      <c r="DR95" s="468"/>
      <c r="DS95" s="468"/>
      <c r="DT95" s="468"/>
      <c r="DU95" s="468"/>
      <c r="DV95" s="468"/>
      <c r="DW95" s="468"/>
      <c r="DX95" s="216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</row>
    <row r="96" spans="1:139" ht="5.2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36"/>
      <c r="N96" s="167"/>
      <c r="O96" s="466"/>
      <c r="P96" s="466"/>
      <c r="Q96" s="466"/>
      <c r="R96" s="466"/>
      <c r="S96" s="167"/>
      <c r="T96" s="465"/>
      <c r="U96" s="465"/>
      <c r="V96" s="465"/>
      <c r="W96" s="465"/>
      <c r="X96" s="465"/>
      <c r="Y96" s="465"/>
      <c r="Z96" s="465"/>
      <c r="AA96" s="465"/>
      <c r="AB96" s="465"/>
      <c r="AC96" s="465"/>
      <c r="AD96" s="465"/>
      <c r="AE96" s="465"/>
      <c r="AF96" s="465"/>
      <c r="AG96" s="465"/>
      <c r="AH96" s="465"/>
      <c r="AI96" s="465"/>
      <c r="AJ96" s="465"/>
      <c r="AK96" s="463"/>
      <c r="AL96" s="463"/>
      <c r="AM96" s="463"/>
      <c r="AN96" s="463"/>
      <c r="AO96" s="463"/>
      <c r="AP96" s="463"/>
      <c r="AQ96" s="463"/>
      <c r="AR96" s="463"/>
      <c r="AS96" s="167"/>
      <c r="AT96" s="464"/>
      <c r="AU96" s="464"/>
      <c r="AV96" s="464"/>
      <c r="AW96" s="167"/>
      <c r="AX96" s="161"/>
      <c r="AY96" s="300"/>
      <c r="AZ96" s="300"/>
      <c r="BA96" s="300"/>
      <c r="BB96" s="300"/>
      <c r="BC96" s="167"/>
      <c r="BD96" s="167"/>
      <c r="BE96" s="479"/>
      <c r="BF96" s="479"/>
      <c r="BG96" s="479"/>
      <c r="BH96" s="479"/>
      <c r="BI96" s="479"/>
      <c r="BJ96" s="479"/>
      <c r="BK96" s="479"/>
      <c r="BL96" s="479"/>
      <c r="BM96" s="479"/>
      <c r="BN96" s="479"/>
      <c r="BO96" s="479"/>
      <c r="BP96" s="479"/>
      <c r="BQ96" s="479"/>
      <c r="BR96" s="479"/>
      <c r="BS96" s="479"/>
      <c r="BT96" s="479"/>
      <c r="BU96" s="470"/>
      <c r="BV96" s="470"/>
      <c r="BW96" s="470"/>
      <c r="BX96" s="470"/>
      <c r="BY96" s="470"/>
      <c r="BZ96" s="470"/>
      <c r="CA96" s="470"/>
      <c r="CB96" s="470"/>
      <c r="CC96" s="470"/>
      <c r="CD96" s="470"/>
      <c r="CE96" s="468"/>
      <c r="CF96" s="468"/>
      <c r="CG96" s="468"/>
      <c r="CH96" s="468"/>
      <c r="CI96" s="468"/>
      <c r="CJ96" s="167"/>
      <c r="CK96" s="167"/>
      <c r="CL96" s="161"/>
      <c r="CM96" s="167"/>
      <c r="CN96" s="167"/>
      <c r="CO96" s="167"/>
      <c r="CP96" s="167"/>
      <c r="CQ96" s="167"/>
      <c r="CR96" s="297"/>
      <c r="CS96" s="167"/>
      <c r="CT96" s="465" t="s">
        <v>383</v>
      </c>
      <c r="CU96" s="460"/>
      <c r="CV96" s="460"/>
      <c r="CW96" s="460"/>
      <c r="CX96" s="460"/>
      <c r="CY96" s="460"/>
      <c r="CZ96" s="460"/>
      <c r="DA96" s="460"/>
      <c r="DB96" s="460"/>
      <c r="DC96" s="460"/>
      <c r="DD96" s="460"/>
      <c r="DE96" s="460"/>
      <c r="DF96" s="460"/>
      <c r="DG96" s="460"/>
      <c r="DH96" s="460"/>
      <c r="DI96" s="534"/>
      <c r="DJ96" s="458"/>
      <c r="DK96" s="458"/>
      <c r="DL96" s="458"/>
      <c r="DM96" s="458"/>
      <c r="DN96" s="458"/>
      <c r="DO96" s="458"/>
      <c r="DP96" s="458"/>
      <c r="DQ96" s="297">
        <v>0</v>
      </c>
      <c r="DR96" s="467" t="s">
        <v>44</v>
      </c>
      <c r="DS96" s="468"/>
      <c r="DT96" s="468"/>
      <c r="DU96" s="468"/>
      <c r="DV96" s="468"/>
      <c r="DW96" s="468"/>
      <c r="DX96" s="216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</row>
    <row r="97" spans="1:139" ht="5.2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61"/>
      <c r="N97" s="167"/>
      <c r="O97" s="466" t="s">
        <v>57</v>
      </c>
      <c r="P97" s="466"/>
      <c r="Q97" s="466"/>
      <c r="R97" s="466"/>
      <c r="S97" s="167"/>
      <c r="T97" s="465" t="s">
        <v>62</v>
      </c>
      <c r="U97" s="465"/>
      <c r="V97" s="465"/>
      <c r="W97" s="465"/>
      <c r="X97" s="465"/>
      <c r="Y97" s="465"/>
      <c r="Z97" s="465"/>
      <c r="AA97" s="465"/>
      <c r="AB97" s="465"/>
      <c r="AC97" s="465"/>
      <c r="AD97" s="465"/>
      <c r="AE97" s="465"/>
      <c r="AF97" s="465"/>
      <c r="AG97" s="465"/>
      <c r="AH97" s="465"/>
      <c r="AI97" s="465"/>
      <c r="AJ97" s="465"/>
      <c r="AK97" s="462">
        <v>100</v>
      </c>
      <c r="AL97" s="463"/>
      <c r="AM97" s="463"/>
      <c r="AN97" s="463"/>
      <c r="AO97" s="463"/>
      <c r="AP97" s="463"/>
      <c r="AQ97" s="463"/>
      <c r="AR97" s="463"/>
      <c r="AS97" s="167"/>
      <c r="AT97" s="464" t="s">
        <v>44</v>
      </c>
      <c r="AU97" s="464"/>
      <c r="AV97" s="464"/>
      <c r="AW97" s="167"/>
      <c r="AX97" s="161"/>
      <c r="AY97" s="300"/>
      <c r="AZ97" s="300"/>
      <c r="BA97" s="300"/>
      <c r="BB97" s="300"/>
      <c r="BC97" s="167"/>
      <c r="BD97" s="167"/>
      <c r="BE97" s="479" t="s">
        <v>324</v>
      </c>
      <c r="BF97" s="479"/>
      <c r="BG97" s="479"/>
      <c r="BH97" s="479"/>
      <c r="BI97" s="479"/>
      <c r="BJ97" s="479"/>
      <c r="BK97" s="479"/>
      <c r="BL97" s="479"/>
      <c r="BM97" s="479"/>
      <c r="BN97" s="479"/>
      <c r="BO97" s="479"/>
      <c r="BP97" s="479"/>
      <c r="BQ97" s="479"/>
      <c r="BR97" s="479"/>
      <c r="BS97" s="479"/>
      <c r="BT97" s="479"/>
      <c r="BU97" s="470">
        <v>100</v>
      </c>
      <c r="BV97" s="470"/>
      <c r="BW97" s="470"/>
      <c r="BX97" s="470"/>
      <c r="BY97" s="470"/>
      <c r="BZ97" s="470"/>
      <c r="CA97" s="470"/>
      <c r="CB97" s="470"/>
      <c r="CC97" s="470"/>
      <c r="CD97" s="470"/>
      <c r="CE97" s="468" t="s">
        <v>44</v>
      </c>
      <c r="CF97" s="468"/>
      <c r="CG97" s="468"/>
      <c r="CH97" s="468"/>
      <c r="CI97" s="468"/>
      <c r="CJ97" s="167"/>
      <c r="CK97" s="167"/>
      <c r="CL97" s="161"/>
      <c r="CM97" s="167"/>
      <c r="CN97" s="167"/>
      <c r="CO97" s="167"/>
      <c r="CP97" s="167"/>
      <c r="CQ97" s="167"/>
      <c r="CR97" s="167"/>
      <c r="CS97" s="167"/>
      <c r="CT97" s="460"/>
      <c r="CU97" s="460"/>
      <c r="CV97" s="460"/>
      <c r="CW97" s="460"/>
      <c r="CX97" s="460"/>
      <c r="CY97" s="460"/>
      <c r="CZ97" s="460"/>
      <c r="DA97" s="460"/>
      <c r="DB97" s="460"/>
      <c r="DC97" s="460"/>
      <c r="DD97" s="460"/>
      <c r="DE97" s="460"/>
      <c r="DF97" s="460"/>
      <c r="DG97" s="460"/>
      <c r="DH97" s="460"/>
      <c r="DI97" s="458"/>
      <c r="DJ97" s="458"/>
      <c r="DK97" s="458"/>
      <c r="DL97" s="458"/>
      <c r="DM97" s="458"/>
      <c r="DN97" s="458"/>
      <c r="DO97" s="458"/>
      <c r="DP97" s="458"/>
      <c r="DQ97" s="167"/>
      <c r="DR97" s="468"/>
      <c r="DS97" s="468"/>
      <c r="DT97" s="468"/>
      <c r="DU97" s="468"/>
      <c r="DV97" s="468"/>
      <c r="DW97" s="468"/>
      <c r="DX97" s="30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</row>
    <row r="98" spans="1:139" ht="5.2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61"/>
      <c r="M98" s="167"/>
      <c r="N98" s="167"/>
      <c r="O98" s="466"/>
      <c r="P98" s="466"/>
      <c r="Q98" s="466"/>
      <c r="R98" s="466"/>
      <c r="S98" s="167"/>
      <c r="T98" s="465"/>
      <c r="U98" s="465"/>
      <c r="V98" s="465"/>
      <c r="W98" s="465"/>
      <c r="X98" s="465"/>
      <c r="Y98" s="465"/>
      <c r="Z98" s="465"/>
      <c r="AA98" s="465"/>
      <c r="AB98" s="465"/>
      <c r="AC98" s="465"/>
      <c r="AD98" s="465"/>
      <c r="AE98" s="465"/>
      <c r="AF98" s="465"/>
      <c r="AG98" s="465"/>
      <c r="AH98" s="465"/>
      <c r="AI98" s="465"/>
      <c r="AJ98" s="465"/>
      <c r="AK98" s="463"/>
      <c r="AL98" s="463"/>
      <c r="AM98" s="463"/>
      <c r="AN98" s="463"/>
      <c r="AO98" s="463"/>
      <c r="AP98" s="463"/>
      <c r="AQ98" s="463"/>
      <c r="AR98" s="463"/>
      <c r="AS98" s="167"/>
      <c r="AT98" s="464"/>
      <c r="AU98" s="464"/>
      <c r="AV98" s="464"/>
      <c r="AW98" s="167"/>
      <c r="AX98" s="161"/>
      <c r="AY98" s="300"/>
      <c r="AZ98" s="300"/>
      <c r="BA98" s="300"/>
      <c r="BB98" s="300"/>
      <c r="BC98" s="167"/>
      <c r="BD98" s="167"/>
      <c r="BE98" s="479"/>
      <c r="BF98" s="479"/>
      <c r="BG98" s="479"/>
      <c r="BH98" s="479"/>
      <c r="BI98" s="479"/>
      <c r="BJ98" s="479"/>
      <c r="BK98" s="479"/>
      <c r="BL98" s="479"/>
      <c r="BM98" s="479"/>
      <c r="BN98" s="479"/>
      <c r="BO98" s="479"/>
      <c r="BP98" s="479"/>
      <c r="BQ98" s="479"/>
      <c r="BR98" s="479"/>
      <c r="BS98" s="479"/>
      <c r="BT98" s="479"/>
      <c r="BU98" s="471"/>
      <c r="BV98" s="471"/>
      <c r="BW98" s="471"/>
      <c r="BX98" s="471"/>
      <c r="BY98" s="471"/>
      <c r="BZ98" s="471"/>
      <c r="CA98" s="471"/>
      <c r="CB98" s="471"/>
      <c r="CC98" s="471"/>
      <c r="CD98" s="471"/>
      <c r="CE98" s="468"/>
      <c r="CF98" s="468"/>
      <c r="CG98" s="468"/>
      <c r="CH98" s="468"/>
      <c r="CI98" s="468"/>
      <c r="CJ98" s="167"/>
      <c r="CK98" s="167"/>
      <c r="CL98" s="161"/>
      <c r="CM98" s="167"/>
      <c r="CN98" s="167"/>
      <c r="CO98" s="167"/>
      <c r="CP98" s="167"/>
      <c r="CQ98" s="167"/>
      <c r="CR98" s="457">
        <v>250</v>
      </c>
      <c r="CS98" s="457"/>
      <c r="CT98" s="457"/>
      <c r="CU98" s="474" t="s">
        <v>405</v>
      </c>
      <c r="CV98" s="474"/>
      <c r="CW98" s="474"/>
      <c r="CX98" s="474"/>
      <c r="CY98" s="474"/>
      <c r="CZ98" s="474"/>
      <c r="DA98" s="474"/>
      <c r="DB98" s="474"/>
      <c r="DC98" s="474"/>
      <c r="DD98" s="474"/>
      <c r="DE98" s="474"/>
      <c r="DF98" s="474"/>
      <c r="DG98" s="474"/>
      <c r="DH98" s="474"/>
      <c r="DI98" s="474"/>
      <c r="DJ98" s="474"/>
      <c r="DK98" s="474"/>
      <c r="DL98" s="474"/>
      <c r="DM98" s="474"/>
      <c r="DN98" s="474"/>
      <c r="DO98" s="474"/>
      <c r="DP98" s="474"/>
      <c r="DQ98" s="457">
        <v>0</v>
      </c>
      <c r="DR98" s="457"/>
      <c r="DS98" s="457"/>
      <c r="DT98" s="457"/>
      <c r="DU98" s="167"/>
      <c r="DV98" s="167"/>
      <c r="DW98" s="304"/>
      <c r="DX98" s="30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</row>
    <row r="99" spans="1:139" ht="5.2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0"/>
      <c r="L99" s="161"/>
      <c r="M99" s="167"/>
      <c r="N99" s="167"/>
      <c r="O99" s="457"/>
      <c r="P99" s="457"/>
      <c r="Q99" s="457"/>
      <c r="R99" s="457"/>
      <c r="S99" s="457"/>
      <c r="T99" s="457"/>
      <c r="U99" s="457"/>
      <c r="V99" s="457"/>
      <c r="W99" s="474" t="s">
        <v>392</v>
      </c>
      <c r="X99" s="474"/>
      <c r="Y99" s="474"/>
      <c r="Z99" s="474"/>
      <c r="AA99" s="474"/>
      <c r="AB99" s="474"/>
      <c r="AC99" s="474"/>
      <c r="AD99" s="474"/>
      <c r="AE99" s="474"/>
      <c r="AF99" s="474"/>
      <c r="AG99" s="474"/>
      <c r="AH99" s="474"/>
      <c r="AI99" s="474"/>
      <c r="AJ99" s="474"/>
      <c r="AK99" s="474"/>
      <c r="AL99" s="474"/>
      <c r="AM99" s="474"/>
      <c r="AN99" s="474"/>
      <c r="AO99" s="474"/>
      <c r="AP99" s="474"/>
      <c r="AQ99" s="474"/>
      <c r="AR99" s="474"/>
      <c r="AS99" s="167"/>
      <c r="AT99" s="167"/>
      <c r="AU99" s="167"/>
      <c r="AV99" s="167"/>
      <c r="AW99" s="167"/>
      <c r="AX99" s="161"/>
      <c r="AY99" s="167"/>
      <c r="AZ99" s="457">
        <v>235</v>
      </c>
      <c r="BA99" s="457"/>
      <c r="BB99" s="457"/>
      <c r="BC99" s="457"/>
      <c r="BD99" s="457"/>
      <c r="BE99" s="474" t="s">
        <v>405</v>
      </c>
      <c r="BF99" s="474"/>
      <c r="BG99" s="474"/>
      <c r="BH99" s="474"/>
      <c r="BI99" s="474"/>
      <c r="BJ99" s="474"/>
      <c r="BK99" s="474"/>
      <c r="BL99" s="474"/>
      <c r="BM99" s="474"/>
      <c r="BN99" s="474"/>
      <c r="BO99" s="474"/>
      <c r="BP99" s="474"/>
      <c r="BQ99" s="474"/>
      <c r="BR99" s="474"/>
      <c r="BS99" s="474"/>
      <c r="BT99" s="474"/>
      <c r="BU99" s="474"/>
      <c r="BV99" s="474"/>
      <c r="BW99" s="474"/>
      <c r="BX99" s="474"/>
      <c r="BY99" s="474"/>
      <c r="BZ99" s="474"/>
      <c r="CA99" s="474"/>
      <c r="CB99" s="474"/>
      <c r="CC99" s="474"/>
      <c r="CD99" s="474"/>
      <c r="CE99" s="167"/>
      <c r="CF99" s="167"/>
      <c r="CG99" s="167"/>
      <c r="CH99" s="167"/>
      <c r="CI99" s="167"/>
      <c r="CJ99" s="167"/>
      <c r="CK99" s="167"/>
      <c r="CL99" s="161"/>
      <c r="CM99" s="167"/>
      <c r="CN99" s="167"/>
      <c r="CO99" s="167"/>
      <c r="CP99" s="167"/>
      <c r="CQ99" s="167"/>
      <c r="CR99" s="457"/>
      <c r="CS99" s="457"/>
      <c r="CT99" s="457"/>
      <c r="CU99" s="474"/>
      <c r="CV99" s="474"/>
      <c r="CW99" s="474"/>
      <c r="CX99" s="558"/>
      <c r="CY99" s="474"/>
      <c r="CZ99" s="474"/>
      <c r="DA99" s="474"/>
      <c r="DB99" s="474"/>
      <c r="DC99" s="474"/>
      <c r="DD99" s="474"/>
      <c r="DE99" s="474"/>
      <c r="DF99" s="474"/>
      <c r="DG99" s="474"/>
      <c r="DH99" s="474"/>
      <c r="DI99" s="559"/>
      <c r="DJ99" s="474"/>
      <c r="DK99" s="474"/>
      <c r="DL99" s="474"/>
      <c r="DM99" s="474"/>
      <c r="DN99" s="474"/>
      <c r="DO99" s="474"/>
      <c r="DP99" s="474"/>
      <c r="DQ99" s="457"/>
      <c r="DR99" s="569"/>
      <c r="DS99" s="457"/>
      <c r="DT99" s="457"/>
      <c r="DU99" s="167"/>
      <c r="DV99" s="167"/>
      <c r="DW99" s="304"/>
      <c r="DX99" s="216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</row>
    <row r="100" spans="1:139" ht="5.2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10"/>
      <c r="L100" s="36"/>
      <c r="N100" s="167"/>
      <c r="O100" s="457"/>
      <c r="P100" s="457"/>
      <c r="Q100" s="457"/>
      <c r="R100" s="457"/>
      <c r="S100" s="457"/>
      <c r="T100" s="457"/>
      <c r="U100" s="457"/>
      <c r="V100" s="457"/>
      <c r="W100" s="474"/>
      <c r="X100" s="474"/>
      <c r="Y100" s="474"/>
      <c r="Z100" s="474"/>
      <c r="AA100" s="474"/>
      <c r="AB100" s="474"/>
      <c r="AC100" s="474"/>
      <c r="AD100" s="474"/>
      <c r="AE100" s="474"/>
      <c r="AF100" s="474"/>
      <c r="AG100" s="474"/>
      <c r="AH100" s="474"/>
      <c r="AI100" s="474"/>
      <c r="AJ100" s="474"/>
      <c r="AK100" s="474"/>
      <c r="AL100" s="474"/>
      <c r="AM100" s="474"/>
      <c r="AN100" s="474"/>
      <c r="AO100" s="474"/>
      <c r="AP100" s="474"/>
      <c r="AQ100" s="474"/>
      <c r="AR100" s="474"/>
      <c r="AS100" s="167"/>
      <c r="AT100" s="167"/>
      <c r="AU100" s="167"/>
      <c r="AV100" s="167"/>
      <c r="AW100" s="167"/>
      <c r="AX100" s="161"/>
      <c r="AY100" s="167"/>
      <c r="AZ100" s="457"/>
      <c r="BA100" s="457"/>
      <c r="BB100" s="457"/>
      <c r="BC100" s="457"/>
      <c r="BD100" s="457"/>
      <c r="BE100" s="474"/>
      <c r="BF100" s="474"/>
      <c r="BG100" s="474"/>
      <c r="BH100" s="474"/>
      <c r="BI100" s="474"/>
      <c r="BJ100" s="474"/>
      <c r="BK100" s="474"/>
      <c r="BL100" s="474"/>
      <c r="BM100" s="474"/>
      <c r="BN100" s="474"/>
      <c r="BO100" s="474"/>
      <c r="BP100" s="474"/>
      <c r="BQ100" s="474"/>
      <c r="BR100" s="474"/>
      <c r="BS100" s="474"/>
      <c r="BT100" s="474"/>
      <c r="BU100" s="474"/>
      <c r="BV100" s="474"/>
      <c r="BW100" s="474"/>
      <c r="BX100" s="474"/>
      <c r="BY100" s="474"/>
      <c r="BZ100" s="474"/>
      <c r="CA100" s="474"/>
      <c r="CB100" s="474"/>
      <c r="CC100" s="474"/>
      <c r="CD100" s="474"/>
      <c r="CE100" s="167"/>
      <c r="CF100" s="167"/>
      <c r="CG100" s="167"/>
      <c r="CH100" s="167"/>
      <c r="CI100" s="167"/>
      <c r="CJ100" s="167"/>
      <c r="CK100" s="167"/>
      <c r="CL100" s="161"/>
      <c r="CM100" s="167"/>
      <c r="CN100" s="167"/>
      <c r="CO100" s="167"/>
      <c r="CP100" s="167"/>
      <c r="CQ100" s="167"/>
      <c r="CR100" s="167"/>
      <c r="CS100" s="167"/>
      <c r="CT100" s="167"/>
      <c r="CU100" s="167"/>
      <c r="CV100" s="167"/>
      <c r="CW100" s="167"/>
      <c r="CX100" s="167"/>
      <c r="CY100" s="167"/>
      <c r="CZ100" s="167"/>
      <c r="DA100" s="167"/>
      <c r="DB100" s="167"/>
      <c r="DC100" s="167"/>
      <c r="DD100" s="167"/>
      <c r="DE100" s="167"/>
      <c r="DF100" s="167"/>
      <c r="DG100" s="167"/>
      <c r="DH100" s="167"/>
      <c r="DI100" s="58"/>
      <c r="DJ100" s="58"/>
      <c r="DK100" s="167"/>
      <c r="DL100" s="167"/>
      <c r="DM100" s="167"/>
      <c r="DN100" s="167"/>
      <c r="DO100" s="167"/>
      <c r="DP100" s="53"/>
      <c r="DQ100" s="53"/>
      <c r="DR100" s="53"/>
      <c r="DS100" s="53"/>
      <c r="DT100" s="53"/>
      <c r="DU100" s="53"/>
      <c r="DV100" s="53"/>
      <c r="DW100" s="53"/>
      <c r="DX100" s="216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</row>
    <row r="101" spans="1:139" ht="5.2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10"/>
      <c r="L101" s="36"/>
      <c r="N101" s="167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167"/>
      <c r="AT101" s="167"/>
      <c r="AU101" s="167"/>
      <c r="AV101" s="167"/>
      <c r="AW101" s="216"/>
      <c r="AX101" s="161"/>
      <c r="AY101" s="167"/>
      <c r="AZ101" s="167"/>
      <c r="BA101" s="167"/>
      <c r="BB101" s="167"/>
      <c r="BC101" s="167"/>
      <c r="BD101" s="167"/>
      <c r="BE101" s="167"/>
      <c r="BF101" s="167"/>
      <c r="BG101" s="167"/>
      <c r="BH101" s="167"/>
      <c r="BI101" s="167"/>
      <c r="BJ101" s="167"/>
      <c r="BK101" s="167"/>
      <c r="BL101" s="167"/>
      <c r="BM101" s="167"/>
      <c r="BN101" s="167"/>
      <c r="BO101" s="167"/>
      <c r="BP101" s="167"/>
      <c r="BQ101" s="167"/>
      <c r="BR101" s="167"/>
      <c r="BS101" s="167"/>
      <c r="BT101" s="167"/>
      <c r="BU101" s="167"/>
      <c r="BV101" s="167"/>
      <c r="BW101" s="167"/>
      <c r="BX101" s="167"/>
      <c r="BY101" s="167"/>
      <c r="BZ101" s="167"/>
      <c r="CA101" s="167"/>
      <c r="CB101" s="167"/>
      <c r="CC101" s="167"/>
      <c r="CD101" s="167"/>
      <c r="CE101" s="167"/>
      <c r="CF101" s="167"/>
      <c r="CG101" s="167"/>
      <c r="CH101" s="167"/>
      <c r="CI101" s="167"/>
      <c r="CJ101" s="167"/>
      <c r="CK101" s="167"/>
      <c r="CL101" s="161"/>
      <c r="CM101" s="167"/>
      <c r="CN101" s="468" t="s">
        <v>171</v>
      </c>
      <c r="CO101" s="468"/>
      <c r="CP101" s="468"/>
      <c r="CQ101" s="468"/>
      <c r="CR101" s="468"/>
      <c r="CS101" s="468"/>
      <c r="CT101" s="467"/>
      <c r="CU101" s="468"/>
      <c r="CV101" s="468"/>
      <c r="CW101" s="468"/>
      <c r="CX101" s="465" t="s">
        <v>35</v>
      </c>
      <c r="CY101" s="482"/>
      <c r="CZ101" s="482"/>
      <c r="DA101" s="482"/>
      <c r="DB101" s="482"/>
      <c r="DC101" s="482"/>
      <c r="DD101" s="482"/>
      <c r="DE101" s="482"/>
      <c r="DF101" s="482"/>
      <c r="DG101" s="482"/>
      <c r="DH101" s="482"/>
      <c r="DI101" s="554"/>
      <c r="DJ101" s="486"/>
      <c r="DK101" s="486"/>
      <c r="DL101" s="486"/>
      <c r="DM101" s="486"/>
      <c r="DN101" s="486"/>
      <c r="DO101" s="486"/>
      <c r="DP101" s="486"/>
      <c r="DQ101" s="297"/>
      <c r="DR101" s="467" t="s">
        <v>36</v>
      </c>
      <c r="DS101" s="468"/>
      <c r="DT101" s="468"/>
      <c r="DU101" s="468"/>
      <c r="DV101" s="468"/>
      <c r="DW101" s="468"/>
      <c r="DX101" s="216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</row>
    <row r="102" spans="1:139" ht="4.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10"/>
      <c r="L102" s="36"/>
      <c r="N102" s="167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167"/>
      <c r="AT102" s="167"/>
      <c r="AU102" s="167"/>
      <c r="AV102" s="167"/>
      <c r="AW102" s="216"/>
      <c r="AX102" s="161"/>
      <c r="AY102" s="167"/>
      <c r="AZ102" s="468" t="s">
        <v>141</v>
      </c>
      <c r="BA102" s="468"/>
      <c r="BB102" s="468"/>
      <c r="BC102" s="468"/>
      <c r="BD102" s="468"/>
      <c r="BE102" s="482" t="s">
        <v>363</v>
      </c>
      <c r="BF102" s="460"/>
      <c r="BG102" s="460"/>
      <c r="BH102" s="460"/>
      <c r="BI102" s="460"/>
      <c r="BJ102" s="460"/>
      <c r="BK102" s="460"/>
      <c r="BL102" s="460"/>
      <c r="BM102" s="460"/>
      <c r="BN102" s="460"/>
      <c r="BO102" s="460"/>
      <c r="BP102" s="460"/>
      <c r="BQ102" s="460"/>
      <c r="BR102" s="460"/>
      <c r="BS102" s="460"/>
      <c r="BT102" s="460"/>
      <c r="BU102" s="486">
        <v>0</v>
      </c>
      <c r="BV102" s="486"/>
      <c r="BW102" s="486"/>
      <c r="BX102" s="486"/>
      <c r="BY102" s="486"/>
      <c r="BZ102" s="486"/>
      <c r="CA102" s="486"/>
      <c r="CB102" s="486"/>
      <c r="CC102" s="486"/>
      <c r="CD102" s="486"/>
      <c r="CE102" s="483" t="s">
        <v>137</v>
      </c>
      <c r="CF102" s="483"/>
      <c r="CG102" s="483"/>
      <c r="CH102" s="483"/>
      <c r="CI102" s="484">
        <f>IF(BU102&gt;0,1,0)</f>
        <v>0</v>
      </c>
      <c r="CJ102" s="484"/>
      <c r="CK102" s="484"/>
      <c r="CL102" s="161"/>
      <c r="CM102" s="167"/>
      <c r="CN102" s="468"/>
      <c r="CO102" s="468"/>
      <c r="CP102" s="468"/>
      <c r="CQ102" s="468"/>
      <c r="CR102" s="468"/>
      <c r="CS102" s="468"/>
      <c r="CT102" s="468"/>
      <c r="CU102" s="468"/>
      <c r="CV102" s="468"/>
      <c r="CW102" s="468"/>
      <c r="CX102" s="482"/>
      <c r="CY102" s="482"/>
      <c r="CZ102" s="482"/>
      <c r="DA102" s="482"/>
      <c r="DB102" s="482"/>
      <c r="DC102" s="482"/>
      <c r="DD102" s="482"/>
      <c r="DE102" s="482"/>
      <c r="DF102" s="482"/>
      <c r="DG102" s="482"/>
      <c r="DH102" s="482"/>
      <c r="DI102" s="458"/>
      <c r="DJ102" s="458"/>
      <c r="DK102" s="458"/>
      <c r="DL102" s="458"/>
      <c r="DM102" s="458"/>
      <c r="DN102" s="458"/>
      <c r="DO102" s="458"/>
      <c r="DP102" s="458"/>
      <c r="DQ102" s="167"/>
      <c r="DR102" s="468"/>
      <c r="DS102" s="468"/>
      <c r="DT102" s="468"/>
      <c r="DU102" s="468"/>
      <c r="DV102" s="468"/>
      <c r="DW102" s="468"/>
      <c r="DX102" s="216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</row>
    <row r="103" spans="1:139" ht="4.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10"/>
      <c r="L103" s="36"/>
      <c r="N103" s="167"/>
      <c r="O103" s="167"/>
      <c r="P103" s="167"/>
      <c r="Q103" s="167"/>
      <c r="R103" s="167"/>
      <c r="S103" s="167"/>
      <c r="T103" s="167"/>
      <c r="U103" s="167"/>
      <c r="V103" s="167"/>
      <c r="W103" s="167"/>
      <c r="X103" s="167"/>
      <c r="Y103" s="167"/>
      <c r="Z103" s="167"/>
      <c r="AA103" s="167"/>
      <c r="AB103" s="167"/>
      <c r="AC103" s="167"/>
      <c r="AD103" s="167"/>
      <c r="AE103" s="167"/>
      <c r="AF103" s="167"/>
      <c r="AG103" s="167"/>
      <c r="AH103" s="167"/>
      <c r="AI103" s="167"/>
      <c r="AJ103" s="167"/>
      <c r="AK103" s="167"/>
      <c r="AL103" s="167"/>
      <c r="AM103" s="167"/>
      <c r="AN103" s="167"/>
      <c r="AO103" s="167"/>
      <c r="AP103" s="167"/>
      <c r="AQ103" s="167"/>
      <c r="AR103" s="167"/>
      <c r="AS103" s="167"/>
      <c r="AT103" s="167"/>
      <c r="AU103" s="167"/>
      <c r="AV103" s="167"/>
      <c r="AW103" s="216"/>
      <c r="AX103" s="161"/>
      <c r="AY103" s="167"/>
      <c r="AZ103" s="468"/>
      <c r="BA103" s="468"/>
      <c r="BB103" s="468"/>
      <c r="BC103" s="468"/>
      <c r="BD103" s="468"/>
      <c r="BE103" s="460"/>
      <c r="BF103" s="460"/>
      <c r="BG103" s="460"/>
      <c r="BH103" s="460"/>
      <c r="BI103" s="460"/>
      <c r="BJ103" s="460"/>
      <c r="BK103" s="460"/>
      <c r="BL103" s="460"/>
      <c r="BM103" s="460"/>
      <c r="BN103" s="460"/>
      <c r="BO103" s="460"/>
      <c r="BP103" s="460"/>
      <c r="BQ103" s="460"/>
      <c r="BR103" s="460"/>
      <c r="BS103" s="460"/>
      <c r="BT103" s="460"/>
      <c r="BU103" s="458"/>
      <c r="BV103" s="458"/>
      <c r="BW103" s="458"/>
      <c r="BX103" s="458"/>
      <c r="BY103" s="458"/>
      <c r="BZ103" s="458"/>
      <c r="CA103" s="458"/>
      <c r="CB103" s="458"/>
      <c r="CC103" s="458"/>
      <c r="CD103" s="458"/>
      <c r="CE103" s="483"/>
      <c r="CF103" s="483"/>
      <c r="CG103" s="483"/>
      <c r="CH103" s="483"/>
      <c r="CI103" s="484"/>
      <c r="CJ103" s="484"/>
      <c r="CK103" s="484"/>
      <c r="CL103" s="161"/>
      <c r="CM103" s="167"/>
      <c r="CN103" s="167"/>
      <c r="CO103" s="53"/>
      <c r="CP103" s="53"/>
      <c r="CQ103" s="53"/>
      <c r="CR103" s="53"/>
      <c r="CS103" s="303"/>
      <c r="CT103" s="465" t="s">
        <v>325</v>
      </c>
      <c r="CU103" s="460"/>
      <c r="CV103" s="460"/>
      <c r="CW103" s="460"/>
      <c r="CX103" s="460"/>
      <c r="CY103" s="460"/>
      <c r="CZ103" s="460"/>
      <c r="DA103" s="460"/>
      <c r="DB103" s="460"/>
      <c r="DC103" s="460"/>
      <c r="DD103" s="460"/>
      <c r="DE103" s="460"/>
      <c r="DF103" s="460"/>
      <c r="DG103" s="460"/>
      <c r="DH103" s="460"/>
      <c r="DI103" s="534"/>
      <c r="DJ103" s="458"/>
      <c r="DK103" s="458"/>
      <c r="DL103" s="458"/>
      <c r="DM103" s="458"/>
      <c r="DN103" s="458"/>
      <c r="DO103" s="458"/>
      <c r="DP103" s="458"/>
      <c r="DQ103" s="297"/>
      <c r="DR103" s="467" t="s">
        <v>44</v>
      </c>
      <c r="DS103" s="468"/>
      <c r="DT103" s="468"/>
      <c r="DU103" s="468"/>
      <c r="DV103" s="468"/>
      <c r="DW103" s="468"/>
      <c r="DX103" s="216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</row>
    <row r="104" spans="1:139" ht="4.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10"/>
      <c r="L104" s="36"/>
      <c r="N104" s="459" t="s">
        <v>55</v>
      </c>
      <c r="O104" s="459"/>
      <c r="P104" s="459"/>
      <c r="Q104" s="459"/>
      <c r="R104" s="167"/>
      <c r="S104" s="167"/>
      <c r="T104" s="460" t="s">
        <v>243</v>
      </c>
      <c r="U104" s="460"/>
      <c r="V104" s="460"/>
      <c r="W104" s="460"/>
      <c r="X104" s="460"/>
      <c r="Y104" s="460"/>
      <c r="Z104" s="460"/>
      <c r="AA104" s="460"/>
      <c r="AB104" s="460"/>
      <c r="AC104" s="460"/>
      <c r="AD104" s="460"/>
      <c r="AE104" s="460"/>
      <c r="AF104" s="460"/>
      <c r="AG104" s="460"/>
      <c r="AH104" s="460"/>
      <c r="AI104" s="460"/>
      <c r="AJ104" s="461" t="s">
        <v>167</v>
      </c>
      <c r="AK104" s="461"/>
      <c r="AL104" s="461"/>
      <c r="AM104" s="461"/>
      <c r="AN104" s="461"/>
      <c r="AO104" s="461"/>
      <c r="AP104" s="461"/>
      <c r="AQ104" s="461"/>
      <c r="AR104" s="167"/>
      <c r="AS104" s="167"/>
      <c r="AT104" s="167"/>
      <c r="AU104" s="167"/>
      <c r="AV104" s="167"/>
      <c r="AW104" s="167"/>
      <c r="AX104" s="161"/>
      <c r="AY104" s="167"/>
      <c r="AZ104" s="167"/>
      <c r="BA104" s="167"/>
      <c r="BB104" s="167"/>
      <c r="BC104" s="167"/>
      <c r="BD104" s="167"/>
      <c r="BE104" s="482" t="s">
        <v>142</v>
      </c>
      <c r="BF104" s="460"/>
      <c r="BG104" s="460"/>
      <c r="BH104" s="460"/>
      <c r="BI104" s="460"/>
      <c r="BJ104" s="460"/>
      <c r="BK104" s="460"/>
      <c r="BL104" s="460"/>
      <c r="BM104" s="460"/>
      <c r="BN104" s="460"/>
      <c r="BO104" s="460"/>
      <c r="BP104" s="460"/>
      <c r="BQ104" s="460"/>
      <c r="BR104" s="460"/>
      <c r="BS104" s="460"/>
      <c r="BT104" s="460"/>
      <c r="BU104" s="458">
        <v>0</v>
      </c>
      <c r="BV104" s="458"/>
      <c r="BW104" s="458"/>
      <c r="BX104" s="458"/>
      <c r="BY104" s="458"/>
      <c r="BZ104" s="458"/>
      <c r="CA104" s="458"/>
      <c r="CB104" s="458"/>
      <c r="CC104" s="458"/>
      <c r="CD104" s="458"/>
      <c r="CE104" s="557" t="s">
        <v>44</v>
      </c>
      <c r="CF104" s="468"/>
      <c r="CG104" s="468"/>
      <c r="CH104" s="468"/>
      <c r="CI104" s="468"/>
      <c r="CJ104" s="468"/>
      <c r="CK104" s="53"/>
      <c r="CL104" s="161"/>
      <c r="CM104" s="167"/>
      <c r="CN104" s="167"/>
      <c r="CO104" s="167"/>
      <c r="CP104" s="167"/>
      <c r="CQ104" s="167"/>
      <c r="CR104" s="167"/>
      <c r="CS104" s="167"/>
      <c r="CT104" s="460"/>
      <c r="CU104" s="460"/>
      <c r="CV104" s="460"/>
      <c r="CW104" s="460"/>
      <c r="CX104" s="460"/>
      <c r="CY104" s="460"/>
      <c r="CZ104" s="460"/>
      <c r="DA104" s="460"/>
      <c r="DB104" s="460"/>
      <c r="DC104" s="460"/>
      <c r="DD104" s="460"/>
      <c r="DE104" s="460"/>
      <c r="DF104" s="460"/>
      <c r="DG104" s="460"/>
      <c r="DH104" s="460"/>
      <c r="DI104" s="458"/>
      <c r="DJ104" s="458"/>
      <c r="DK104" s="458"/>
      <c r="DL104" s="458"/>
      <c r="DM104" s="458"/>
      <c r="DN104" s="458"/>
      <c r="DO104" s="458"/>
      <c r="DP104" s="458"/>
      <c r="DQ104" s="167"/>
      <c r="DR104" s="468"/>
      <c r="DS104" s="468"/>
      <c r="DT104" s="468"/>
      <c r="DU104" s="468"/>
      <c r="DV104" s="468"/>
      <c r="DW104" s="468"/>
      <c r="DX104" s="216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</row>
    <row r="105" spans="1:139" ht="4.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10"/>
      <c r="L105" s="36"/>
      <c r="N105" s="459"/>
      <c r="O105" s="459"/>
      <c r="P105" s="459"/>
      <c r="Q105" s="459"/>
      <c r="R105" s="167"/>
      <c r="S105" s="167"/>
      <c r="T105" s="460"/>
      <c r="U105" s="460"/>
      <c r="V105" s="460"/>
      <c r="W105" s="460"/>
      <c r="X105" s="460"/>
      <c r="Y105" s="460"/>
      <c r="Z105" s="460"/>
      <c r="AA105" s="460"/>
      <c r="AB105" s="460"/>
      <c r="AC105" s="460"/>
      <c r="AD105" s="460"/>
      <c r="AE105" s="460"/>
      <c r="AF105" s="460"/>
      <c r="AG105" s="460"/>
      <c r="AH105" s="460"/>
      <c r="AI105" s="460"/>
      <c r="AJ105" s="461"/>
      <c r="AK105" s="461"/>
      <c r="AL105" s="461"/>
      <c r="AM105" s="461"/>
      <c r="AN105" s="461"/>
      <c r="AO105" s="461"/>
      <c r="AP105" s="461"/>
      <c r="AQ105" s="461"/>
      <c r="AR105" s="167"/>
      <c r="AS105" s="167"/>
      <c r="AT105" s="167"/>
      <c r="AU105" s="167"/>
      <c r="AV105" s="167"/>
      <c r="AW105" s="167"/>
      <c r="AX105" s="161"/>
      <c r="AY105" s="167"/>
      <c r="AZ105" s="167"/>
      <c r="BA105" s="167"/>
      <c r="BB105" s="167"/>
      <c r="BC105" s="167"/>
      <c r="BD105" s="167"/>
      <c r="BE105" s="460"/>
      <c r="BF105" s="460"/>
      <c r="BG105" s="460"/>
      <c r="BH105" s="460"/>
      <c r="BI105" s="460"/>
      <c r="BJ105" s="460"/>
      <c r="BK105" s="460"/>
      <c r="BL105" s="460"/>
      <c r="BM105" s="460"/>
      <c r="BN105" s="460"/>
      <c r="BO105" s="460"/>
      <c r="BP105" s="460"/>
      <c r="BQ105" s="460"/>
      <c r="BR105" s="460"/>
      <c r="BS105" s="460"/>
      <c r="BT105" s="460"/>
      <c r="BU105" s="458"/>
      <c r="BV105" s="458"/>
      <c r="BW105" s="458"/>
      <c r="BX105" s="458"/>
      <c r="BY105" s="458"/>
      <c r="BZ105" s="458"/>
      <c r="CA105" s="458"/>
      <c r="CB105" s="458"/>
      <c r="CC105" s="458"/>
      <c r="CD105" s="458"/>
      <c r="CE105" s="468"/>
      <c r="CF105" s="468"/>
      <c r="CG105" s="468"/>
      <c r="CH105" s="468"/>
      <c r="CI105" s="468"/>
      <c r="CJ105" s="468"/>
      <c r="CK105" s="53"/>
      <c r="CL105" s="161"/>
      <c r="CM105" s="167"/>
      <c r="CN105" s="167"/>
      <c r="CO105" s="346"/>
      <c r="CP105" s="346"/>
      <c r="CQ105" s="346"/>
      <c r="CR105" s="346"/>
      <c r="CS105" s="303"/>
      <c r="CT105" s="465" t="s">
        <v>326</v>
      </c>
      <c r="CU105" s="460"/>
      <c r="CV105" s="460"/>
      <c r="CW105" s="460"/>
      <c r="CX105" s="460"/>
      <c r="CY105" s="460"/>
      <c r="CZ105" s="460"/>
      <c r="DA105" s="460"/>
      <c r="DB105" s="460"/>
      <c r="DC105" s="460"/>
      <c r="DD105" s="460"/>
      <c r="DE105" s="460"/>
      <c r="DF105" s="460"/>
      <c r="DG105" s="460"/>
      <c r="DH105" s="460"/>
      <c r="DI105" s="534"/>
      <c r="DJ105" s="556"/>
      <c r="DK105" s="556"/>
      <c r="DL105" s="556"/>
      <c r="DM105" s="556"/>
      <c r="DN105" s="556"/>
      <c r="DO105" s="556"/>
      <c r="DP105" s="556"/>
      <c r="DQ105" s="297"/>
      <c r="DR105" s="467" t="s">
        <v>44</v>
      </c>
      <c r="DS105" s="468"/>
      <c r="DT105" s="468"/>
      <c r="DU105" s="468"/>
      <c r="DV105" s="468"/>
      <c r="DW105" s="468"/>
      <c r="DX105" s="216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</row>
    <row r="106" spans="1:139" ht="4.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10"/>
      <c r="L106" s="36"/>
      <c r="N106" s="167"/>
      <c r="O106" s="456"/>
      <c r="P106" s="456"/>
      <c r="Q106" s="456"/>
      <c r="R106" s="456"/>
      <c r="S106" s="456"/>
      <c r="T106" s="456"/>
      <c r="U106" s="456"/>
      <c r="V106" s="456"/>
      <c r="W106" s="456"/>
      <c r="X106" s="456"/>
      <c r="Y106" s="456"/>
      <c r="Z106" s="456"/>
      <c r="AA106" s="456"/>
      <c r="AB106" s="456"/>
      <c r="AC106" s="456"/>
      <c r="AD106" s="456"/>
      <c r="AE106" s="456"/>
      <c r="AF106" s="456"/>
      <c r="AG106" s="456"/>
      <c r="AH106" s="456"/>
      <c r="AI106" s="456"/>
      <c r="AJ106" s="456"/>
      <c r="AK106" s="456"/>
      <c r="AL106" s="456"/>
      <c r="AM106" s="456"/>
      <c r="AN106" s="456"/>
      <c r="AO106" s="456"/>
      <c r="AP106" s="456"/>
      <c r="AQ106" s="456"/>
      <c r="AR106" s="456"/>
      <c r="AS106" s="167"/>
      <c r="AT106" s="167"/>
      <c r="AU106" s="167"/>
      <c r="AV106" s="167"/>
      <c r="AW106" s="167"/>
      <c r="AX106" s="161"/>
      <c r="AY106" s="167"/>
      <c r="AZ106" s="167"/>
      <c r="BA106" s="53"/>
      <c r="BB106" s="53"/>
      <c r="BC106" s="53"/>
      <c r="BD106" s="53"/>
      <c r="BE106" s="482" t="s">
        <v>113</v>
      </c>
      <c r="BF106" s="460"/>
      <c r="BG106" s="460"/>
      <c r="BH106" s="460"/>
      <c r="BI106" s="460"/>
      <c r="BJ106" s="460"/>
      <c r="BK106" s="460"/>
      <c r="BL106" s="460"/>
      <c r="BM106" s="460"/>
      <c r="BN106" s="460"/>
      <c r="BO106" s="460"/>
      <c r="BP106" s="460"/>
      <c r="BQ106" s="460"/>
      <c r="BR106" s="460"/>
      <c r="BS106" s="460"/>
      <c r="BT106" s="460"/>
      <c r="BU106" s="458">
        <v>0</v>
      </c>
      <c r="BV106" s="458"/>
      <c r="BW106" s="458"/>
      <c r="BX106" s="458"/>
      <c r="BY106" s="458"/>
      <c r="BZ106" s="458"/>
      <c r="CA106" s="458"/>
      <c r="CB106" s="458"/>
      <c r="CC106" s="458"/>
      <c r="CD106" s="458"/>
      <c r="CE106" s="557" t="s">
        <v>44</v>
      </c>
      <c r="CF106" s="468"/>
      <c r="CG106" s="468"/>
      <c r="CH106" s="468"/>
      <c r="CI106" s="468"/>
      <c r="CJ106" s="468"/>
      <c r="CK106" s="53"/>
      <c r="CL106" s="161"/>
      <c r="CM106" s="167"/>
      <c r="CN106" s="167"/>
      <c r="CO106" s="346"/>
      <c r="CP106" s="346"/>
      <c r="CQ106" s="346"/>
      <c r="CR106" s="346"/>
      <c r="CS106" s="303"/>
      <c r="CT106" s="460"/>
      <c r="CU106" s="460"/>
      <c r="CV106" s="460"/>
      <c r="CW106" s="460"/>
      <c r="CX106" s="460"/>
      <c r="CY106" s="460"/>
      <c r="CZ106" s="460"/>
      <c r="DA106" s="460"/>
      <c r="DB106" s="460"/>
      <c r="DC106" s="460"/>
      <c r="DD106" s="460"/>
      <c r="DE106" s="460"/>
      <c r="DF106" s="460"/>
      <c r="DG106" s="460"/>
      <c r="DH106" s="460"/>
      <c r="DI106" s="556"/>
      <c r="DJ106" s="556"/>
      <c r="DK106" s="556"/>
      <c r="DL106" s="556"/>
      <c r="DM106" s="556"/>
      <c r="DN106" s="556"/>
      <c r="DO106" s="556"/>
      <c r="DP106" s="556"/>
      <c r="DQ106" s="167"/>
      <c r="DR106" s="468"/>
      <c r="DS106" s="468"/>
      <c r="DT106" s="468"/>
      <c r="DU106" s="468"/>
      <c r="DV106" s="468"/>
      <c r="DW106" s="468"/>
      <c r="DX106" s="216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</row>
    <row r="107" spans="1:139" ht="4.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10"/>
      <c r="L107" s="36"/>
      <c r="N107" s="167"/>
      <c r="O107" s="456"/>
      <c r="P107" s="456"/>
      <c r="Q107" s="456"/>
      <c r="R107" s="456"/>
      <c r="S107" s="456"/>
      <c r="T107" s="456"/>
      <c r="U107" s="456"/>
      <c r="V107" s="456"/>
      <c r="W107" s="456"/>
      <c r="X107" s="456"/>
      <c r="Y107" s="456"/>
      <c r="Z107" s="456"/>
      <c r="AA107" s="456"/>
      <c r="AB107" s="456"/>
      <c r="AC107" s="456"/>
      <c r="AD107" s="456"/>
      <c r="AE107" s="456"/>
      <c r="AF107" s="456"/>
      <c r="AG107" s="456"/>
      <c r="AH107" s="456"/>
      <c r="AI107" s="456"/>
      <c r="AJ107" s="456"/>
      <c r="AK107" s="456"/>
      <c r="AL107" s="456"/>
      <c r="AM107" s="456"/>
      <c r="AN107" s="456"/>
      <c r="AO107" s="456"/>
      <c r="AP107" s="456"/>
      <c r="AQ107" s="456"/>
      <c r="AR107" s="456"/>
      <c r="AS107" s="167"/>
      <c r="AT107" s="167"/>
      <c r="AU107" s="167"/>
      <c r="AV107" s="167"/>
      <c r="AW107" s="167"/>
      <c r="AX107" s="161"/>
      <c r="AY107" s="167"/>
      <c r="AZ107" s="167"/>
      <c r="BA107" s="53"/>
      <c r="BB107" s="53"/>
      <c r="BC107" s="53"/>
      <c r="BD107" s="53"/>
      <c r="BE107" s="460"/>
      <c r="BF107" s="460"/>
      <c r="BG107" s="460"/>
      <c r="BH107" s="460"/>
      <c r="BI107" s="460"/>
      <c r="BJ107" s="460"/>
      <c r="BK107" s="460"/>
      <c r="BL107" s="460"/>
      <c r="BM107" s="460"/>
      <c r="BN107" s="460"/>
      <c r="BO107" s="460"/>
      <c r="BP107" s="460"/>
      <c r="BQ107" s="460"/>
      <c r="BR107" s="460"/>
      <c r="BS107" s="460"/>
      <c r="BT107" s="460"/>
      <c r="BU107" s="458"/>
      <c r="BV107" s="458"/>
      <c r="BW107" s="458"/>
      <c r="BX107" s="458"/>
      <c r="BY107" s="458"/>
      <c r="BZ107" s="458"/>
      <c r="CA107" s="458"/>
      <c r="CB107" s="458"/>
      <c r="CC107" s="458"/>
      <c r="CD107" s="458"/>
      <c r="CE107" s="468"/>
      <c r="CF107" s="468"/>
      <c r="CG107" s="468"/>
      <c r="CH107" s="468"/>
      <c r="CI107" s="468"/>
      <c r="CJ107" s="468"/>
      <c r="CK107" s="53"/>
      <c r="CL107" s="161"/>
      <c r="CM107" s="167"/>
      <c r="CN107" s="167"/>
      <c r="CO107" s="53"/>
      <c r="CP107" s="53"/>
      <c r="CQ107" s="53"/>
      <c r="CR107" s="53"/>
      <c r="CS107" s="53"/>
      <c r="CT107" s="465" t="s">
        <v>327</v>
      </c>
      <c r="CU107" s="460"/>
      <c r="CV107" s="460"/>
      <c r="CW107" s="460"/>
      <c r="CX107" s="460"/>
      <c r="CY107" s="460"/>
      <c r="CZ107" s="460"/>
      <c r="DA107" s="460"/>
      <c r="DB107" s="460"/>
      <c r="DC107" s="460"/>
      <c r="DD107" s="460"/>
      <c r="DE107" s="460"/>
      <c r="DF107" s="460"/>
      <c r="DG107" s="460"/>
      <c r="DH107" s="555"/>
      <c r="DI107" s="534"/>
      <c r="DJ107" s="458"/>
      <c r="DK107" s="458"/>
      <c r="DL107" s="458"/>
      <c r="DM107" s="458"/>
      <c r="DN107" s="458"/>
      <c r="DO107" s="458"/>
      <c r="DP107" s="458"/>
      <c r="DQ107" s="297">
        <v>0</v>
      </c>
      <c r="DR107" s="467" t="s">
        <v>44</v>
      </c>
      <c r="DS107" s="468"/>
      <c r="DT107" s="468"/>
      <c r="DU107" s="468"/>
      <c r="DV107" s="468"/>
      <c r="DW107" s="468"/>
      <c r="DX107" s="216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</row>
    <row r="108" spans="1:139" ht="4.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10"/>
      <c r="L108" s="36"/>
      <c r="N108" s="167"/>
      <c r="O108" s="167"/>
      <c r="P108" s="167"/>
      <c r="Q108" s="167"/>
      <c r="R108" s="167"/>
      <c r="S108" s="167"/>
      <c r="T108" s="167"/>
      <c r="U108" s="167"/>
      <c r="V108" s="167"/>
      <c r="W108" s="167"/>
      <c r="X108" s="167"/>
      <c r="Y108" s="167"/>
      <c r="Z108" s="167"/>
      <c r="AA108" s="167"/>
      <c r="AB108" s="167"/>
      <c r="AC108" s="167"/>
      <c r="AD108" s="167"/>
      <c r="AE108" s="167"/>
      <c r="AF108" s="167"/>
      <c r="AG108" s="167"/>
      <c r="AH108" s="167"/>
      <c r="AI108" s="167"/>
      <c r="AJ108" s="167"/>
      <c r="AK108" s="167"/>
      <c r="AL108" s="167"/>
      <c r="AM108" s="167"/>
      <c r="AN108" s="167"/>
      <c r="AO108" s="167"/>
      <c r="AP108" s="167"/>
      <c r="AQ108" s="167"/>
      <c r="AR108" s="167"/>
      <c r="AS108" s="167"/>
      <c r="AT108" s="167"/>
      <c r="AU108" s="167"/>
      <c r="AV108" s="167"/>
      <c r="AW108" s="167"/>
      <c r="AX108" s="161"/>
      <c r="AY108" s="167"/>
      <c r="AZ108" s="167"/>
      <c r="BA108" s="53"/>
      <c r="BB108" s="53"/>
      <c r="BC108" s="53"/>
      <c r="BD108" s="53"/>
      <c r="BE108" s="482" t="s">
        <v>143</v>
      </c>
      <c r="BF108" s="460"/>
      <c r="BG108" s="460"/>
      <c r="BH108" s="460"/>
      <c r="BI108" s="460"/>
      <c r="BJ108" s="460"/>
      <c r="BK108" s="460"/>
      <c r="BL108" s="460"/>
      <c r="BM108" s="460"/>
      <c r="BN108" s="460"/>
      <c r="BO108" s="460"/>
      <c r="BP108" s="460"/>
      <c r="BQ108" s="460"/>
      <c r="BR108" s="460"/>
      <c r="BS108" s="460"/>
      <c r="BT108" s="460"/>
      <c r="BU108" s="458">
        <v>0</v>
      </c>
      <c r="BV108" s="458"/>
      <c r="BW108" s="458"/>
      <c r="BX108" s="458"/>
      <c r="BY108" s="458"/>
      <c r="BZ108" s="458"/>
      <c r="CA108" s="458"/>
      <c r="CB108" s="458"/>
      <c r="CC108" s="458"/>
      <c r="CD108" s="458"/>
      <c r="CE108" s="557" t="s">
        <v>44</v>
      </c>
      <c r="CF108" s="468"/>
      <c r="CG108" s="468"/>
      <c r="CH108" s="468"/>
      <c r="CI108" s="468"/>
      <c r="CJ108" s="468"/>
      <c r="CK108" s="53"/>
      <c r="CL108" s="161"/>
      <c r="CM108" s="167"/>
      <c r="CN108" s="167"/>
      <c r="CO108" s="53"/>
      <c r="CP108" s="53"/>
      <c r="CQ108" s="53"/>
      <c r="CR108" s="53"/>
      <c r="CS108" s="53"/>
      <c r="CT108" s="460"/>
      <c r="CU108" s="460"/>
      <c r="CV108" s="460"/>
      <c r="CW108" s="460"/>
      <c r="CX108" s="460"/>
      <c r="CY108" s="460"/>
      <c r="CZ108" s="460"/>
      <c r="DA108" s="460"/>
      <c r="DB108" s="460"/>
      <c r="DC108" s="460"/>
      <c r="DD108" s="460"/>
      <c r="DE108" s="460"/>
      <c r="DF108" s="460"/>
      <c r="DG108" s="460"/>
      <c r="DH108" s="460"/>
      <c r="DI108" s="485"/>
      <c r="DJ108" s="485"/>
      <c r="DK108" s="485"/>
      <c r="DL108" s="485"/>
      <c r="DM108" s="485"/>
      <c r="DN108" s="485"/>
      <c r="DO108" s="485"/>
      <c r="DP108" s="485"/>
      <c r="DQ108" s="167"/>
      <c r="DR108" s="468"/>
      <c r="DS108" s="468"/>
      <c r="DT108" s="468"/>
      <c r="DU108" s="468"/>
      <c r="DV108" s="468"/>
      <c r="DW108" s="468"/>
      <c r="DX108" s="216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</row>
    <row r="109" spans="1:139" ht="4.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10"/>
      <c r="L109" s="36"/>
      <c r="N109" s="468" t="s">
        <v>359</v>
      </c>
      <c r="O109" s="468"/>
      <c r="P109" s="468"/>
      <c r="Q109" s="468"/>
      <c r="R109" s="468"/>
      <c r="S109" s="468"/>
      <c r="T109" s="468"/>
      <c r="U109" s="468"/>
      <c r="V109" s="346"/>
      <c r="W109" s="489" t="s">
        <v>358</v>
      </c>
      <c r="X109" s="489"/>
      <c r="Y109" s="489"/>
      <c r="Z109" s="489"/>
      <c r="AA109" s="489"/>
      <c r="AB109" s="489"/>
      <c r="AC109" s="489"/>
      <c r="AD109" s="489"/>
      <c r="AE109" s="489"/>
      <c r="AF109" s="489"/>
      <c r="AG109" s="489"/>
      <c r="AH109" s="489"/>
      <c r="AI109" s="489"/>
      <c r="AJ109" s="461" t="s">
        <v>167</v>
      </c>
      <c r="AK109" s="461"/>
      <c r="AL109" s="461"/>
      <c r="AM109" s="461"/>
      <c r="AN109" s="461"/>
      <c r="AO109" s="461"/>
      <c r="AP109" s="461"/>
      <c r="AQ109" s="461"/>
      <c r="AR109" s="167"/>
      <c r="AS109" s="167"/>
      <c r="AT109" s="167"/>
      <c r="AU109" s="167"/>
      <c r="AV109" s="167"/>
      <c r="AW109" s="167"/>
      <c r="AX109" s="161"/>
      <c r="AY109" s="167"/>
      <c r="AZ109" s="167"/>
      <c r="BA109" s="53"/>
      <c r="BB109" s="53"/>
      <c r="BC109" s="53"/>
      <c r="BD109" s="53"/>
      <c r="BE109" s="460"/>
      <c r="BF109" s="460"/>
      <c r="BG109" s="460"/>
      <c r="BH109" s="460"/>
      <c r="BI109" s="460"/>
      <c r="BJ109" s="460"/>
      <c r="BK109" s="460"/>
      <c r="BL109" s="460"/>
      <c r="BM109" s="460"/>
      <c r="BN109" s="460"/>
      <c r="BO109" s="460"/>
      <c r="BP109" s="460"/>
      <c r="BQ109" s="460"/>
      <c r="BR109" s="460"/>
      <c r="BS109" s="460"/>
      <c r="BT109" s="460"/>
      <c r="BU109" s="485"/>
      <c r="BV109" s="485"/>
      <c r="BW109" s="485"/>
      <c r="BX109" s="485"/>
      <c r="BY109" s="485"/>
      <c r="BZ109" s="485"/>
      <c r="CA109" s="485"/>
      <c r="CB109" s="485"/>
      <c r="CC109" s="485"/>
      <c r="CD109" s="485"/>
      <c r="CE109" s="468"/>
      <c r="CF109" s="468"/>
      <c r="CG109" s="468"/>
      <c r="CH109" s="468"/>
      <c r="CI109" s="468"/>
      <c r="CJ109" s="468"/>
      <c r="CK109" s="53"/>
      <c r="CL109" s="171"/>
      <c r="CM109" s="53"/>
      <c r="CN109" s="53"/>
      <c r="CO109" s="53"/>
      <c r="CP109" s="53"/>
      <c r="CQ109" s="167"/>
      <c r="CR109" s="457">
        <v>380</v>
      </c>
      <c r="CS109" s="457"/>
      <c r="CT109" s="457"/>
      <c r="CU109" s="474" t="s">
        <v>394</v>
      </c>
      <c r="CV109" s="474"/>
      <c r="CW109" s="474"/>
      <c r="CX109" s="474"/>
      <c r="CY109" s="474"/>
      <c r="CZ109" s="474"/>
      <c r="DA109" s="474"/>
      <c r="DB109" s="474"/>
      <c r="DC109" s="474"/>
      <c r="DD109" s="474"/>
      <c r="DE109" s="474"/>
      <c r="DF109" s="474"/>
      <c r="DG109" s="474"/>
      <c r="DH109" s="474"/>
      <c r="DI109" s="474"/>
      <c r="DJ109" s="474"/>
      <c r="DK109" s="474"/>
      <c r="DL109" s="474"/>
      <c r="DM109" s="474"/>
      <c r="DN109" s="474"/>
      <c r="DO109" s="474"/>
      <c r="DP109" s="474"/>
      <c r="DQ109" s="457">
        <v>0</v>
      </c>
      <c r="DR109" s="457"/>
      <c r="DS109" s="457"/>
      <c r="DT109" s="457"/>
      <c r="DU109" s="457"/>
      <c r="DV109" s="457"/>
      <c r="DW109" s="53"/>
      <c r="DX109" s="216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</row>
    <row r="110" spans="1:139" ht="4.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10"/>
      <c r="L110" s="36"/>
      <c r="N110" s="468"/>
      <c r="O110" s="468"/>
      <c r="P110" s="468"/>
      <c r="Q110" s="468"/>
      <c r="R110" s="468"/>
      <c r="S110" s="468"/>
      <c r="T110" s="468"/>
      <c r="U110" s="468"/>
      <c r="V110" s="346"/>
      <c r="W110" s="489"/>
      <c r="X110" s="489"/>
      <c r="Y110" s="489"/>
      <c r="Z110" s="489"/>
      <c r="AA110" s="489"/>
      <c r="AB110" s="489"/>
      <c r="AC110" s="489"/>
      <c r="AD110" s="489"/>
      <c r="AE110" s="489"/>
      <c r="AF110" s="489"/>
      <c r="AG110" s="489"/>
      <c r="AH110" s="489"/>
      <c r="AI110" s="489"/>
      <c r="AJ110" s="461"/>
      <c r="AK110" s="461"/>
      <c r="AL110" s="461"/>
      <c r="AM110" s="461"/>
      <c r="AN110" s="461"/>
      <c r="AO110" s="461"/>
      <c r="AP110" s="461"/>
      <c r="AQ110" s="461"/>
      <c r="AR110" s="167"/>
      <c r="AS110" s="167"/>
      <c r="AT110" s="167"/>
      <c r="AU110" s="167"/>
      <c r="AV110" s="167"/>
      <c r="AW110" s="125"/>
      <c r="AX110" s="161"/>
      <c r="AY110" s="167"/>
      <c r="AZ110" s="457">
        <v>270</v>
      </c>
      <c r="BA110" s="457"/>
      <c r="BB110" s="457"/>
      <c r="BC110" s="457"/>
      <c r="BD110" s="457"/>
      <c r="BE110" s="564"/>
      <c r="BF110" s="564"/>
      <c r="BG110" s="564"/>
      <c r="BH110" s="564"/>
      <c r="BI110" s="564"/>
      <c r="BJ110" s="564"/>
      <c r="BK110" s="564"/>
      <c r="BL110" s="564"/>
      <c r="BM110" s="564"/>
      <c r="BN110" s="564"/>
      <c r="BO110" s="564"/>
      <c r="BP110" s="564"/>
      <c r="BQ110" s="564"/>
      <c r="BR110" s="564"/>
      <c r="BS110" s="564"/>
      <c r="BT110" s="564"/>
      <c r="BU110" s="564"/>
      <c r="BV110" s="564"/>
      <c r="BW110" s="564"/>
      <c r="BX110" s="564"/>
      <c r="BY110" s="564"/>
      <c r="BZ110" s="564"/>
      <c r="CA110" s="564"/>
      <c r="CB110" s="564"/>
      <c r="CC110" s="564"/>
      <c r="CD110" s="564"/>
      <c r="CE110" s="167"/>
      <c r="CF110" s="167"/>
      <c r="CG110" s="167"/>
      <c r="CH110" s="167"/>
      <c r="CI110" s="167"/>
      <c r="CJ110" s="53"/>
      <c r="CK110" s="53"/>
      <c r="CL110" s="171"/>
      <c r="CM110" s="53"/>
      <c r="CN110" s="53"/>
      <c r="CO110" s="53"/>
      <c r="CP110" s="53"/>
      <c r="CQ110" s="167"/>
      <c r="CR110" s="457"/>
      <c r="CS110" s="457"/>
      <c r="CT110" s="457"/>
      <c r="CU110" s="474"/>
      <c r="CV110" s="474"/>
      <c r="CW110" s="474"/>
      <c r="CX110" s="474"/>
      <c r="CY110" s="474"/>
      <c r="CZ110" s="474"/>
      <c r="DA110" s="474"/>
      <c r="DB110" s="474"/>
      <c r="DC110" s="474"/>
      <c r="DD110" s="474"/>
      <c r="DE110" s="474"/>
      <c r="DF110" s="474"/>
      <c r="DG110" s="474"/>
      <c r="DH110" s="474"/>
      <c r="DI110" s="474"/>
      <c r="DJ110" s="474"/>
      <c r="DK110" s="474"/>
      <c r="DL110" s="474"/>
      <c r="DM110" s="474"/>
      <c r="DN110" s="474"/>
      <c r="DO110" s="474"/>
      <c r="DP110" s="474"/>
      <c r="DQ110" s="457"/>
      <c r="DR110" s="457"/>
      <c r="DS110" s="457"/>
      <c r="DT110" s="457"/>
      <c r="DU110" s="457"/>
      <c r="DV110" s="457"/>
      <c r="DW110" s="53"/>
      <c r="DX110" s="216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</row>
    <row r="111" spans="1:139" ht="4.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10"/>
      <c r="L111" s="36"/>
      <c r="N111" s="167"/>
      <c r="O111" s="456"/>
      <c r="P111" s="456"/>
      <c r="Q111" s="456"/>
      <c r="R111" s="456"/>
      <c r="S111" s="456"/>
      <c r="T111" s="456"/>
      <c r="U111" s="456"/>
      <c r="V111" s="456"/>
      <c r="W111" s="456"/>
      <c r="X111" s="456"/>
      <c r="Y111" s="456"/>
      <c r="Z111" s="456"/>
      <c r="AA111" s="456"/>
      <c r="AB111" s="456"/>
      <c r="AC111" s="456"/>
      <c r="AD111" s="456"/>
      <c r="AE111" s="456"/>
      <c r="AF111" s="456"/>
      <c r="AG111" s="456"/>
      <c r="AH111" s="456"/>
      <c r="AI111" s="456"/>
      <c r="AJ111" s="456"/>
      <c r="AK111" s="456"/>
      <c r="AL111" s="456"/>
      <c r="AM111" s="456"/>
      <c r="AN111" s="456"/>
      <c r="AO111" s="456"/>
      <c r="AP111" s="456"/>
      <c r="AQ111" s="456"/>
      <c r="AR111" s="456"/>
      <c r="AS111" s="167"/>
      <c r="AT111" s="167"/>
      <c r="AU111" s="167"/>
      <c r="AV111" s="167"/>
      <c r="AW111" s="125"/>
      <c r="AX111" s="161"/>
      <c r="AY111" s="167"/>
      <c r="AZ111" s="457"/>
      <c r="BA111" s="457"/>
      <c r="BB111" s="457"/>
      <c r="BC111" s="457"/>
      <c r="BD111" s="457"/>
      <c r="BE111" s="564"/>
      <c r="BF111" s="564"/>
      <c r="BG111" s="564"/>
      <c r="BH111" s="564"/>
      <c r="BI111" s="564"/>
      <c r="BJ111" s="564"/>
      <c r="BK111" s="564"/>
      <c r="BL111" s="564"/>
      <c r="BM111" s="564"/>
      <c r="BN111" s="564"/>
      <c r="BO111" s="564"/>
      <c r="BP111" s="564"/>
      <c r="BQ111" s="564"/>
      <c r="BR111" s="564"/>
      <c r="BS111" s="564"/>
      <c r="BT111" s="564"/>
      <c r="BU111" s="564"/>
      <c r="BV111" s="564"/>
      <c r="BW111" s="564"/>
      <c r="BX111" s="564"/>
      <c r="BY111" s="564"/>
      <c r="BZ111" s="564"/>
      <c r="CA111" s="564"/>
      <c r="CB111" s="564"/>
      <c r="CC111" s="564"/>
      <c r="CD111" s="564"/>
      <c r="CE111" s="167"/>
      <c r="CF111" s="167"/>
      <c r="CG111" s="167"/>
      <c r="CH111" s="167"/>
      <c r="CI111" s="167"/>
      <c r="CJ111" s="53"/>
      <c r="CK111" s="53"/>
      <c r="CL111" s="161"/>
      <c r="CM111" s="167"/>
      <c r="CN111" s="167"/>
      <c r="CO111" s="167"/>
      <c r="CP111" s="167"/>
      <c r="CQ111" s="167"/>
      <c r="CR111" s="167"/>
      <c r="CS111" s="167"/>
      <c r="CT111" s="167"/>
      <c r="CU111" s="167"/>
      <c r="CV111" s="167"/>
      <c r="CW111" s="167"/>
      <c r="CX111" s="167"/>
      <c r="CY111" s="167"/>
      <c r="CZ111" s="167"/>
      <c r="DA111" s="167"/>
      <c r="DB111" s="167"/>
      <c r="DC111" s="167"/>
      <c r="DD111" s="167"/>
      <c r="DE111" s="167"/>
      <c r="DF111" s="167"/>
      <c r="DG111" s="167"/>
      <c r="DH111" s="167"/>
      <c r="DI111" s="167"/>
      <c r="DJ111" s="167"/>
      <c r="DK111" s="167"/>
      <c r="DL111" s="167"/>
      <c r="DM111" s="167"/>
      <c r="DN111" s="167"/>
      <c r="DO111" s="167"/>
      <c r="DP111" s="167"/>
      <c r="DQ111" s="53"/>
      <c r="DR111" s="53"/>
      <c r="DS111" s="53"/>
      <c r="DT111" s="167"/>
      <c r="DU111" s="271"/>
      <c r="DV111" s="53"/>
      <c r="DW111" s="53"/>
      <c r="DX111" s="216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</row>
    <row r="112" spans="1:139" ht="4.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10"/>
      <c r="L112" s="36"/>
      <c r="N112" s="167"/>
      <c r="O112" s="456"/>
      <c r="P112" s="456"/>
      <c r="Q112" s="456"/>
      <c r="R112" s="456"/>
      <c r="S112" s="456"/>
      <c r="T112" s="456"/>
      <c r="U112" s="456"/>
      <c r="V112" s="456"/>
      <c r="W112" s="456"/>
      <c r="X112" s="456"/>
      <c r="Y112" s="456"/>
      <c r="Z112" s="456"/>
      <c r="AA112" s="456"/>
      <c r="AB112" s="456"/>
      <c r="AC112" s="456"/>
      <c r="AD112" s="456"/>
      <c r="AE112" s="456"/>
      <c r="AF112" s="456"/>
      <c r="AG112" s="456"/>
      <c r="AH112" s="456"/>
      <c r="AI112" s="456"/>
      <c r="AJ112" s="456"/>
      <c r="AK112" s="456"/>
      <c r="AL112" s="456"/>
      <c r="AM112" s="456"/>
      <c r="AN112" s="456"/>
      <c r="AO112" s="456"/>
      <c r="AP112" s="456"/>
      <c r="AQ112" s="456"/>
      <c r="AR112" s="456"/>
      <c r="AS112" s="167"/>
      <c r="AT112" s="167"/>
      <c r="AU112" s="167"/>
      <c r="AV112" s="125"/>
      <c r="AW112" s="125"/>
      <c r="AX112" s="161"/>
      <c r="AY112" s="167"/>
      <c r="AZ112" s="167"/>
      <c r="BA112" s="167"/>
      <c r="BB112" s="167"/>
      <c r="BC112" s="167"/>
      <c r="BD112" s="167"/>
      <c r="BE112" s="167"/>
      <c r="BF112" s="167"/>
      <c r="BG112" s="167"/>
      <c r="BH112" s="167"/>
      <c r="BI112" s="167"/>
      <c r="BJ112" s="167"/>
      <c r="BK112" s="167"/>
      <c r="BL112" s="167"/>
      <c r="BM112" s="167"/>
      <c r="BN112" s="167"/>
      <c r="BO112" s="167"/>
      <c r="BP112" s="167"/>
      <c r="BQ112" s="167"/>
      <c r="BR112" s="167"/>
      <c r="BS112" s="167"/>
      <c r="BT112" s="167"/>
      <c r="BU112" s="167"/>
      <c r="BV112" s="167"/>
      <c r="BW112" s="167"/>
      <c r="BX112" s="167"/>
      <c r="BY112" s="167"/>
      <c r="BZ112" s="167"/>
      <c r="CA112" s="167"/>
      <c r="CB112" s="167"/>
      <c r="CC112" s="167"/>
      <c r="CD112" s="167"/>
      <c r="CE112" s="167"/>
      <c r="CF112" s="167"/>
      <c r="CG112" s="167"/>
      <c r="CH112" s="167"/>
      <c r="CI112" s="167"/>
      <c r="CJ112" s="53"/>
      <c r="CK112" s="53"/>
      <c r="CL112" s="161"/>
      <c r="CM112" s="167"/>
      <c r="CN112" s="572" t="s">
        <v>469</v>
      </c>
      <c r="CO112" s="573"/>
      <c r="CP112" s="573"/>
      <c r="CQ112" s="573"/>
      <c r="CR112" s="573"/>
      <c r="CS112" s="573"/>
      <c r="CT112" s="574" t="s">
        <v>470</v>
      </c>
      <c r="CU112" s="575"/>
      <c r="CV112" s="575"/>
      <c r="CW112" s="575"/>
      <c r="CX112" s="575"/>
      <c r="CY112" s="575"/>
      <c r="CZ112" s="575"/>
      <c r="DA112" s="575"/>
      <c r="DB112" s="575"/>
      <c r="DC112" s="575"/>
      <c r="DD112" s="575"/>
      <c r="DE112" s="575"/>
      <c r="DF112" s="575"/>
      <c r="DG112" s="575"/>
      <c r="DH112" s="575"/>
      <c r="DI112" s="534"/>
      <c r="DJ112" s="458"/>
      <c r="DK112" s="458"/>
      <c r="DL112" s="458"/>
      <c r="DM112" s="458"/>
      <c r="DN112" s="458"/>
      <c r="DO112" s="458"/>
      <c r="DP112" s="458"/>
      <c r="DQ112" s="167"/>
      <c r="DR112" s="467" t="s">
        <v>137</v>
      </c>
      <c r="DS112" s="468"/>
      <c r="DT112" s="468"/>
      <c r="DU112" s="468"/>
      <c r="DV112" s="468"/>
      <c r="DW112" s="468"/>
      <c r="DX112" s="443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</row>
    <row r="113" spans="1:139" ht="4.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10"/>
      <c r="L113" s="36"/>
      <c r="N113" s="167"/>
      <c r="O113" s="167"/>
      <c r="P113" s="167"/>
      <c r="Q113" s="167"/>
      <c r="R113" s="167"/>
      <c r="S113" s="167"/>
      <c r="T113" s="167"/>
      <c r="U113" s="167"/>
      <c r="V113" s="167"/>
      <c r="W113" s="167"/>
      <c r="X113" s="167"/>
      <c r="Y113" s="167"/>
      <c r="Z113" s="167"/>
      <c r="AA113" s="167"/>
      <c r="AB113" s="167"/>
      <c r="AC113" s="167"/>
      <c r="AD113" s="167"/>
      <c r="AE113" s="167"/>
      <c r="AF113" s="167"/>
      <c r="AG113" s="167"/>
      <c r="AH113" s="167"/>
      <c r="AI113" s="167"/>
      <c r="AJ113" s="167"/>
      <c r="AK113" s="167"/>
      <c r="AL113" s="167"/>
      <c r="AM113" s="167"/>
      <c r="AN113" s="167"/>
      <c r="AO113" s="167"/>
      <c r="AP113" s="167"/>
      <c r="AQ113" s="167"/>
      <c r="AR113" s="167"/>
      <c r="AS113" s="167"/>
      <c r="AT113" s="167"/>
      <c r="AU113" s="167"/>
      <c r="AV113" s="167"/>
      <c r="AW113" s="167"/>
      <c r="AX113" s="161"/>
      <c r="AY113" s="167"/>
      <c r="AZ113" s="167"/>
      <c r="BA113" s="167"/>
      <c r="BB113" s="167"/>
      <c r="BC113" s="167"/>
      <c r="BD113" s="167"/>
      <c r="BE113" s="167"/>
      <c r="BF113" s="167"/>
      <c r="BG113" s="167"/>
      <c r="BH113" s="167"/>
      <c r="BI113" s="167"/>
      <c r="BJ113" s="167"/>
      <c r="BK113" s="167"/>
      <c r="BL113" s="167"/>
      <c r="BM113" s="167"/>
      <c r="BN113" s="167"/>
      <c r="BO113" s="167"/>
      <c r="BP113" s="167"/>
      <c r="BQ113" s="167"/>
      <c r="BR113" s="167"/>
      <c r="BS113" s="167"/>
      <c r="BT113" s="167"/>
      <c r="BU113" s="167"/>
      <c r="BV113" s="167"/>
      <c r="BW113" s="167"/>
      <c r="BX113" s="167"/>
      <c r="BY113" s="167"/>
      <c r="BZ113" s="167"/>
      <c r="CA113" s="167"/>
      <c r="CB113" s="167"/>
      <c r="CC113" s="167"/>
      <c r="CD113" s="167"/>
      <c r="CE113" s="167"/>
      <c r="CF113" s="167"/>
      <c r="CG113" s="167"/>
      <c r="CH113" s="167"/>
      <c r="CI113" s="167"/>
      <c r="CJ113" s="167"/>
      <c r="CK113" s="167"/>
      <c r="CL113" s="161"/>
      <c r="CM113" s="167"/>
      <c r="CN113" s="573"/>
      <c r="CO113" s="573"/>
      <c r="CP113" s="573"/>
      <c r="CQ113" s="573"/>
      <c r="CR113" s="573"/>
      <c r="CS113" s="573"/>
      <c r="CT113" s="575"/>
      <c r="CU113" s="575"/>
      <c r="CV113" s="575"/>
      <c r="CW113" s="575"/>
      <c r="CX113" s="575"/>
      <c r="CY113" s="575"/>
      <c r="CZ113" s="575"/>
      <c r="DA113" s="575"/>
      <c r="DB113" s="575"/>
      <c r="DC113" s="575"/>
      <c r="DD113" s="575"/>
      <c r="DE113" s="575"/>
      <c r="DF113" s="575"/>
      <c r="DG113" s="575"/>
      <c r="DH113" s="575"/>
      <c r="DI113" s="458"/>
      <c r="DJ113" s="458"/>
      <c r="DK113" s="458"/>
      <c r="DL113" s="458"/>
      <c r="DM113" s="458"/>
      <c r="DN113" s="458"/>
      <c r="DO113" s="458"/>
      <c r="DP113" s="458"/>
      <c r="DQ113" s="167"/>
      <c r="DR113" s="468"/>
      <c r="DS113" s="468"/>
      <c r="DT113" s="468"/>
      <c r="DU113" s="468"/>
      <c r="DV113" s="468"/>
      <c r="DW113" s="468"/>
      <c r="DX113" s="443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</row>
    <row r="114" spans="1:139" ht="4.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10"/>
      <c r="L114" s="36"/>
      <c r="N114" s="167"/>
      <c r="O114" s="167"/>
      <c r="P114" s="167"/>
      <c r="Q114" s="167"/>
      <c r="R114" s="167"/>
      <c r="S114" s="167"/>
      <c r="T114" s="167"/>
      <c r="U114" s="167"/>
      <c r="V114" s="167"/>
      <c r="W114" s="167"/>
      <c r="X114" s="167"/>
      <c r="Y114" s="167"/>
      <c r="Z114" s="167"/>
      <c r="AA114" s="167"/>
      <c r="AB114" s="167"/>
      <c r="AC114" s="167"/>
      <c r="AD114" s="167"/>
      <c r="AE114" s="167"/>
      <c r="AF114" s="167"/>
      <c r="AG114" s="167"/>
      <c r="AH114" s="167"/>
      <c r="AI114" s="167"/>
      <c r="AJ114" s="167"/>
      <c r="AK114" s="167"/>
      <c r="AL114" s="167"/>
      <c r="AM114" s="167"/>
      <c r="AN114" s="167"/>
      <c r="AO114" s="167"/>
      <c r="AP114" s="167"/>
      <c r="AQ114" s="167"/>
      <c r="AR114" s="167"/>
      <c r="AS114" s="167"/>
      <c r="AT114" s="167"/>
      <c r="AU114" s="167"/>
      <c r="AV114" s="167"/>
      <c r="AW114" s="167"/>
      <c r="AX114" s="161"/>
      <c r="AY114" s="167"/>
      <c r="AZ114" s="167"/>
      <c r="BA114" s="167"/>
      <c r="BB114" s="167"/>
      <c r="BC114" s="167"/>
      <c r="BD114" s="167"/>
      <c r="BE114" s="167"/>
      <c r="BF114" s="167"/>
      <c r="BG114" s="167"/>
      <c r="BH114" s="167"/>
      <c r="BI114" s="167"/>
      <c r="BJ114" s="167"/>
      <c r="BK114" s="167"/>
      <c r="BL114" s="167"/>
      <c r="BM114" s="167"/>
      <c r="BN114" s="167"/>
      <c r="BO114" s="167"/>
      <c r="BP114" s="167"/>
      <c r="BQ114" s="167"/>
      <c r="BR114" s="167"/>
      <c r="BS114" s="167"/>
      <c r="BT114" s="167"/>
      <c r="BU114" s="167"/>
      <c r="BV114" s="167"/>
      <c r="BW114" s="167"/>
      <c r="BX114" s="167"/>
      <c r="BY114" s="167"/>
      <c r="BZ114" s="167"/>
      <c r="CA114" s="167"/>
      <c r="CB114" s="167"/>
      <c r="CC114" s="167"/>
      <c r="CD114" s="167"/>
      <c r="CE114" s="167"/>
      <c r="CF114" s="167"/>
      <c r="CG114" s="167"/>
      <c r="CH114" s="167"/>
      <c r="CI114" s="167"/>
      <c r="CJ114" s="167"/>
      <c r="CK114" s="167"/>
      <c r="CL114" s="161"/>
      <c r="CM114" s="167"/>
      <c r="CN114" s="453"/>
      <c r="CO114" s="453"/>
      <c r="CP114" s="454"/>
      <c r="CQ114" s="454"/>
      <c r="CR114" s="453"/>
      <c r="CS114" s="574" t="s">
        <v>325</v>
      </c>
      <c r="CT114" s="575"/>
      <c r="CU114" s="575"/>
      <c r="CV114" s="575"/>
      <c r="CW114" s="575"/>
      <c r="CX114" s="575"/>
      <c r="CY114" s="575"/>
      <c r="CZ114" s="575"/>
      <c r="DA114" s="575"/>
      <c r="DB114" s="575"/>
      <c r="DC114" s="575"/>
      <c r="DD114" s="575"/>
      <c r="DE114" s="575"/>
      <c r="DF114" s="575"/>
      <c r="DG114" s="575"/>
      <c r="DH114" s="575"/>
      <c r="DI114" s="534"/>
      <c r="DJ114" s="458"/>
      <c r="DK114" s="458"/>
      <c r="DL114" s="458"/>
      <c r="DM114" s="458"/>
      <c r="DN114" s="458"/>
      <c r="DO114" s="458"/>
      <c r="DP114" s="458"/>
      <c r="DQ114" s="167"/>
      <c r="DR114" s="467" t="s">
        <v>44</v>
      </c>
      <c r="DS114" s="468"/>
      <c r="DT114" s="468"/>
      <c r="DU114" s="468"/>
      <c r="DV114" s="468"/>
      <c r="DW114" s="468"/>
      <c r="DX114" s="443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</row>
    <row r="115" spans="1:139" ht="4.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10"/>
      <c r="L115" s="36"/>
      <c r="N115" s="167"/>
      <c r="O115" s="167"/>
      <c r="P115" s="167"/>
      <c r="Q115" s="167"/>
      <c r="R115" s="167"/>
      <c r="S115" s="167"/>
      <c r="T115" s="167"/>
      <c r="U115" s="167"/>
      <c r="V115" s="167"/>
      <c r="W115" s="167"/>
      <c r="X115" s="167"/>
      <c r="Y115" s="167"/>
      <c r="Z115" s="167"/>
      <c r="AA115" s="167"/>
      <c r="AB115" s="167"/>
      <c r="AC115" s="167"/>
      <c r="AD115" s="167"/>
      <c r="AE115" s="167"/>
      <c r="AF115" s="167"/>
      <c r="AG115" s="167"/>
      <c r="AH115" s="167"/>
      <c r="AI115" s="167"/>
      <c r="AJ115" s="167"/>
      <c r="AK115" s="167"/>
      <c r="AL115" s="167"/>
      <c r="AM115" s="167"/>
      <c r="AN115" s="167"/>
      <c r="AO115" s="167"/>
      <c r="AP115" s="167"/>
      <c r="AQ115" s="167"/>
      <c r="AR115" s="167"/>
      <c r="AS115" s="167"/>
      <c r="AT115" s="167"/>
      <c r="AU115" s="167"/>
      <c r="AV115" s="167"/>
      <c r="AW115" s="167"/>
      <c r="AX115" s="167"/>
      <c r="AY115" s="167"/>
      <c r="AZ115" s="167"/>
      <c r="BA115" s="167"/>
      <c r="BB115" s="167"/>
      <c r="BC115" s="167"/>
      <c r="BD115" s="167"/>
      <c r="BE115" s="167"/>
      <c r="BF115" s="167"/>
      <c r="BG115" s="167"/>
      <c r="BH115" s="167"/>
      <c r="BI115" s="167"/>
      <c r="BJ115" s="167"/>
      <c r="BK115" s="167"/>
      <c r="BL115" s="167"/>
      <c r="BM115" s="167"/>
      <c r="BN115" s="167"/>
      <c r="BO115" s="167"/>
      <c r="BP115" s="167"/>
      <c r="BQ115" s="167"/>
      <c r="BR115" s="167"/>
      <c r="BS115" s="167"/>
      <c r="BT115" s="167"/>
      <c r="BU115" s="167"/>
      <c r="BV115" s="167"/>
      <c r="BW115" s="167"/>
      <c r="BX115" s="167"/>
      <c r="BY115" s="167"/>
      <c r="BZ115" s="167"/>
      <c r="CA115" s="167"/>
      <c r="CB115" s="167"/>
      <c r="CC115" s="167"/>
      <c r="CD115" s="167"/>
      <c r="CE115" s="167"/>
      <c r="CF115" s="167"/>
      <c r="CG115" s="167"/>
      <c r="CH115" s="167"/>
      <c r="CI115" s="167"/>
      <c r="CJ115" s="167"/>
      <c r="CK115" s="167"/>
      <c r="CL115" s="161"/>
      <c r="CM115" s="167"/>
      <c r="CN115" s="453"/>
      <c r="CO115" s="453"/>
      <c r="CP115" s="454"/>
      <c r="CQ115" s="454"/>
      <c r="CR115" s="453"/>
      <c r="CS115" s="575"/>
      <c r="CT115" s="575"/>
      <c r="CU115" s="575"/>
      <c r="CV115" s="575"/>
      <c r="CW115" s="575"/>
      <c r="CX115" s="575"/>
      <c r="CY115" s="575"/>
      <c r="CZ115" s="575"/>
      <c r="DA115" s="575"/>
      <c r="DB115" s="575"/>
      <c r="DC115" s="575"/>
      <c r="DD115" s="575"/>
      <c r="DE115" s="575"/>
      <c r="DF115" s="575"/>
      <c r="DG115" s="575"/>
      <c r="DH115" s="575"/>
      <c r="DI115" s="458"/>
      <c r="DJ115" s="458"/>
      <c r="DK115" s="458"/>
      <c r="DL115" s="458"/>
      <c r="DM115" s="458"/>
      <c r="DN115" s="458"/>
      <c r="DO115" s="458"/>
      <c r="DP115" s="458"/>
      <c r="DQ115" s="167"/>
      <c r="DR115" s="468"/>
      <c r="DS115" s="468"/>
      <c r="DT115" s="468"/>
      <c r="DU115" s="468"/>
      <c r="DV115" s="468"/>
      <c r="DW115" s="468"/>
      <c r="DX115" s="443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</row>
    <row r="116" spans="1:139" ht="4.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10"/>
      <c r="L116" s="287"/>
      <c r="M116" s="235"/>
      <c r="N116" s="235"/>
      <c r="O116" s="235"/>
      <c r="P116" s="235"/>
      <c r="Q116" s="235"/>
      <c r="R116" s="306"/>
      <c r="S116" s="306"/>
      <c r="T116" s="306"/>
      <c r="U116" s="306"/>
      <c r="V116" s="306"/>
      <c r="W116" s="306"/>
      <c r="X116" s="306"/>
      <c r="Y116" s="306"/>
      <c r="Z116" s="306"/>
      <c r="AA116" s="306"/>
      <c r="AB116" s="306"/>
      <c r="AC116" s="306"/>
      <c r="AD116" s="306"/>
      <c r="AE116" s="306"/>
      <c r="AF116" s="306"/>
      <c r="AG116" s="306"/>
      <c r="AH116" s="128"/>
      <c r="AI116" s="128"/>
      <c r="AJ116" s="128"/>
      <c r="AK116" s="128"/>
      <c r="AL116" s="128"/>
      <c r="AM116" s="128"/>
      <c r="AN116" s="128"/>
      <c r="AO116" s="128"/>
      <c r="AP116" s="128"/>
      <c r="AQ116" s="128"/>
      <c r="AR116" s="128"/>
      <c r="AS116" s="128"/>
      <c r="AT116" s="128"/>
      <c r="AU116" s="128"/>
      <c r="AV116" s="128"/>
      <c r="AW116" s="128"/>
      <c r="AX116" s="128"/>
      <c r="AY116" s="128"/>
      <c r="AZ116" s="128"/>
      <c r="BA116" s="128"/>
      <c r="BB116" s="128"/>
      <c r="BC116" s="128"/>
      <c r="BD116" s="128"/>
      <c r="BE116" s="128"/>
      <c r="BF116" s="128"/>
      <c r="BG116" s="128"/>
      <c r="BH116" s="128"/>
      <c r="BI116" s="128"/>
      <c r="BJ116" s="128"/>
      <c r="BK116" s="128"/>
      <c r="BL116" s="128"/>
      <c r="BM116" s="128"/>
      <c r="BN116" s="128"/>
      <c r="BO116" s="128"/>
      <c r="BP116" s="128"/>
      <c r="BQ116" s="128"/>
      <c r="BR116" s="128"/>
      <c r="BS116" s="128"/>
      <c r="BT116" s="128"/>
      <c r="BU116" s="128"/>
      <c r="BV116" s="128"/>
      <c r="BW116" s="128"/>
      <c r="BX116" s="128"/>
      <c r="BY116" s="128"/>
      <c r="BZ116" s="128"/>
      <c r="CA116" s="128"/>
      <c r="CB116" s="128"/>
      <c r="CC116" s="128"/>
      <c r="CD116" s="128"/>
      <c r="CE116" s="128"/>
      <c r="CF116" s="128"/>
      <c r="CG116" s="128"/>
      <c r="CH116" s="128"/>
      <c r="CI116" s="128"/>
      <c r="CJ116" s="128"/>
      <c r="CK116" s="128"/>
      <c r="CL116" s="161"/>
      <c r="CM116" s="167"/>
      <c r="CN116" s="453"/>
      <c r="CO116" s="453"/>
      <c r="CP116" s="453"/>
      <c r="CQ116" s="453"/>
      <c r="CR116" s="453"/>
      <c r="CS116" s="574" t="s">
        <v>471</v>
      </c>
      <c r="CT116" s="575"/>
      <c r="CU116" s="575"/>
      <c r="CV116" s="575"/>
      <c r="CW116" s="575"/>
      <c r="CX116" s="575"/>
      <c r="CY116" s="575"/>
      <c r="CZ116" s="575"/>
      <c r="DA116" s="575"/>
      <c r="DB116" s="575"/>
      <c r="DC116" s="575"/>
      <c r="DD116" s="575"/>
      <c r="DE116" s="575"/>
      <c r="DF116" s="575"/>
      <c r="DG116" s="575"/>
      <c r="DH116" s="575"/>
      <c r="DI116" s="534"/>
      <c r="DJ116" s="458"/>
      <c r="DK116" s="458"/>
      <c r="DL116" s="458"/>
      <c r="DM116" s="458"/>
      <c r="DN116" s="458"/>
      <c r="DO116" s="458"/>
      <c r="DP116" s="458"/>
      <c r="DQ116" s="167"/>
      <c r="DR116" s="467" t="s">
        <v>44</v>
      </c>
      <c r="DS116" s="468"/>
      <c r="DT116" s="468"/>
      <c r="DU116" s="468"/>
      <c r="DV116" s="468"/>
      <c r="DW116" s="468"/>
      <c r="DX116" s="444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</row>
    <row r="117" spans="1:139" ht="4.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10"/>
      <c r="L117" s="161"/>
      <c r="M117" s="167"/>
      <c r="N117" s="167"/>
      <c r="O117" s="167"/>
      <c r="P117" s="167"/>
      <c r="Q117" s="167"/>
      <c r="R117" s="303"/>
      <c r="S117" s="303"/>
      <c r="T117" s="303"/>
      <c r="U117" s="303"/>
      <c r="V117" s="303"/>
      <c r="W117" s="303"/>
      <c r="X117" s="303"/>
      <c r="Y117" s="303"/>
      <c r="Z117" s="303"/>
      <c r="AA117" s="303"/>
      <c r="AB117" s="303"/>
      <c r="AC117" s="303"/>
      <c r="AD117" s="303"/>
      <c r="AE117" s="303"/>
      <c r="AF117" s="303"/>
      <c r="AG117" s="303"/>
      <c r="AH117" s="190"/>
      <c r="AI117" s="190"/>
      <c r="AJ117" s="190"/>
      <c r="AK117" s="190"/>
      <c r="AL117" s="190"/>
      <c r="AM117" s="190"/>
      <c r="AN117" s="190"/>
      <c r="AO117" s="190"/>
      <c r="AP117" s="167"/>
      <c r="AQ117" s="167"/>
      <c r="AR117" s="167"/>
      <c r="AS117" s="167"/>
      <c r="AT117" s="167"/>
      <c r="AU117" s="167"/>
      <c r="AV117" s="167"/>
      <c r="AW117" s="167"/>
      <c r="AX117" s="167"/>
      <c r="AY117" s="167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  <c r="BK117" s="53"/>
      <c r="BL117" s="53"/>
      <c r="BM117" s="53"/>
      <c r="BN117" s="53"/>
      <c r="BO117" s="53"/>
      <c r="BP117" s="53"/>
      <c r="BQ117" s="53"/>
      <c r="BR117" s="53"/>
      <c r="BS117" s="53"/>
      <c r="BT117" s="53"/>
      <c r="BU117" s="53"/>
      <c r="BV117" s="53"/>
      <c r="BW117" s="53"/>
      <c r="BX117" s="53"/>
      <c r="BY117" s="53"/>
      <c r="BZ117" s="53"/>
      <c r="CA117" s="53"/>
      <c r="CB117" s="53"/>
      <c r="CC117" s="53"/>
      <c r="CD117" s="53"/>
      <c r="CE117" s="53"/>
      <c r="CF117" s="53"/>
      <c r="CG117" s="53"/>
      <c r="CH117" s="53"/>
      <c r="CI117" s="53"/>
      <c r="CJ117" s="53"/>
      <c r="CK117" s="53"/>
      <c r="CL117" s="161"/>
      <c r="CM117" s="167"/>
      <c r="CN117" s="453"/>
      <c r="CO117" s="453"/>
      <c r="CP117" s="453"/>
      <c r="CQ117" s="453"/>
      <c r="CR117" s="453"/>
      <c r="CS117" s="575"/>
      <c r="CT117" s="575"/>
      <c r="CU117" s="575"/>
      <c r="CV117" s="575"/>
      <c r="CW117" s="575"/>
      <c r="CX117" s="575"/>
      <c r="CY117" s="575"/>
      <c r="CZ117" s="575"/>
      <c r="DA117" s="575"/>
      <c r="DB117" s="575"/>
      <c r="DC117" s="575"/>
      <c r="DD117" s="575"/>
      <c r="DE117" s="575"/>
      <c r="DF117" s="575"/>
      <c r="DG117" s="575"/>
      <c r="DH117" s="575"/>
      <c r="DI117" s="458"/>
      <c r="DJ117" s="458"/>
      <c r="DK117" s="458"/>
      <c r="DL117" s="458"/>
      <c r="DM117" s="458"/>
      <c r="DN117" s="458"/>
      <c r="DO117" s="458"/>
      <c r="DP117" s="458"/>
      <c r="DQ117" s="167"/>
      <c r="DR117" s="468"/>
      <c r="DS117" s="468"/>
      <c r="DT117" s="468"/>
      <c r="DU117" s="468"/>
      <c r="DV117" s="468"/>
      <c r="DW117" s="468"/>
      <c r="DX117" s="445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</row>
    <row r="118" spans="1:139" ht="4.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10"/>
      <c r="L118" s="36"/>
      <c r="N118" s="167"/>
      <c r="O118" s="167"/>
      <c r="P118" s="167"/>
      <c r="Q118" s="167"/>
      <c r="R118" s="167"/>
      <c r="S118" s="167"/>
      <c r="T118" s="167"/>
      <c r="U118" s="167"/>
      <c r="V118" s="167"/>
      <c r="W118" s="167"/>
      <c r="X118" s="167"/>
      <c r="Y118" s="167"/>
      <c r="Z118" s="167"/>
      <c r="AA118" s="167"/>
      <c r="AB118" s="167"/>
      <c r="AC118" s="167"/>
      <c r="AD118" s="167"/>
      <c r="AE118" s="167"/>
      <c r="AF118" s="167"/>
      <c r="AG118" s="167"/>
      <c r="AH118" s="167"/>
      <c r="AI118" s="167"/>
      <c r="AJ118" s="167"/>
      <c r="AK118" s="167"/>
      <c r="AL118" s="167"/>
      <c r="AM118" s="167"/>
      <c r="AN118" s="167"/>
      <c r="AO118" s="167"/>
      <c r="AP118" s="167"/>
      <c r="AQ118" s="167"/>
      <c r="AR118" s="167"/>
      <c r="AS118" s="167"/>
      <c r="AT118" s="167"/>
      <c r="AU118" s="167"/>
      <c r="AV118" s="167"/>
      <c r="AW118" s="167"/>
      <c r="AX118" s="167"/>
      <c r="AY118" s="167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  <c r="BK118" s="53"/>
      <c r="BL118" s="53"/>
      <c r="BM118" s="53"/>
      <c r="BN118" s="53"/>
      <c r="BO118" s="53"/>
      <c r="BP118" s="53"/>
      <c r="BQ118" s="53"/>
      <c r="BR118" s="53"/>
      <c r="BS118" s="53"/>
      <c r="BT118" s="53"/>
      <c r="BU118" s="53"/>
      <c r="BV118" s="53"/>
      <c r="BW118" s="53"/>
      <c r="BX118" s="53"/>
      <c r="BY118" s="53"/>
      <c r="BZ118" s="53"/>
      <c r="CA118" s="53"/>
      <c r="CB118" s="53"/>
      <c r="CC118" s="53"/>
      <c r="CD118" s="53"/>
      <c r="CE118" s="53"/>
      <c r="CF118" s="53"/>
      <c r="CG118" s="53"/>
      <c r="CH118" s="53"/>
      <c r="CI118" s="53"/>
      <c r="CJ118" s="53"/>
      <c r="CK118" s="53"/>
      <c r="CL118" s="161"/>
      <c r="CM118" s="167"/>
      <c r="CN118" s="453"/>
      <c r="CO118" s="453"/>
      <c r="CP118" s="453"/>
      <c r="CQ118" s="453"/>
      <c r="CR118" s="576">
        <v>204</v>
      </c>
      <c r="CS118" s="576"/>
      <c r="CT118" s="576"/>
      <c r="CU118" s="558" t="s">
        <v>472</v>
      </c>
      <c r="CV118" s="474"/>
      <c r="CW118" s="474"/>
      <c r="CX118" s="474"/>
      <c r="CY118" s="474"/>
      <c r="CZ118" s="474"/>
      <c r="DA118" s="474"/>
      <c r="DB118" s="474"/>
      <c r="DC118" s="474"/>
      <c r="DD118" s="474"/>
      <c r="DE118" s="474"/>
      <c r="DF118" s="474"/>
      <c r="DG118" s="474"/>
      <c r="DH118" s="474"/>
      <c r="DI118" s="474"/>
      <c r="DJ118" s="474"/>
      <c r="DK118" s="474"/>
      <c r="DL118" s="474"/>
      <c r="DM118" s="474"/>
      <c r="DN118" s="474"/>
      <c r="DO118" s="474"/>
      <c r="DP118" s="474"/>
      <c r="DQ118" s="457">
        <v>0</v>
      </c>
      <c r="DR118" s="457"/>
      <c r="DS118" s="457"/>
      <c r="DT118" s="457"/>
      <c r="DU118" s="457"/>
      <c r="DV118" s="457"/>
      <c r="DW118" s="167"/>
      <c r="DX118" s="30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</row>
    <row r="119" spans="1:139" ht="4.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10"/>
      <c r="L119" s="36"/>
      <c r="N119" s="167"/>
      <c r="O119" s="167"/>
      <c r="P119" s="167"/>
      <c r="Q119" s="167"/>
      <c r="R119" s="167"/>
      <c r="S119" s="167"/>
      <c r="T119" s="167"/>
      <c r="U119" s="167"/>
      <c r="V119" s="167"/>
      <c r="W119" s="167"/>
      <c r="X119" s="167"/>
      <c r="Y119" s="167"/>
      <c r="Z119" s="167"/>
      <c r="AA119" s="167"/>
      <c r="AB119" s="167"/>
      <c r="AC119" s="167"/>
      <c r="AD119" s="167"/>
      <c r="AE119" s="167"/>
      <c r="AF119" s="167"/>
      <c r="AG119" s="167"/>
      <c r="AH119" s="167"/>
      <c r="AI119" s="167"/>
      <c r="AJ119" s="167"/>
      <c r="AK119" s="167"/>
      <c r="AL119" s="167"/>
      <c r="AM119" s="167"/>
      <c r="AN119" s="167"/>
      <c r="AO119" s="167"/>
      <c r="AP119" s="167"/>
      <c r="AQ119" s="167"/>
      <c r="AR119" s="167"/>
      <c r="AS119" s="167"/>
      <c r="AT119" s="167"/>
      <c r="AU119" s="167"/>
      <c r="AV119" s="167"/>
      <c r="AW119" s="167"/>
      <c r="AX119" s="167"/>
      <c r="AY119" s="167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  <c r="BK119" s="53"/>
      <c r="BL119" s="53"/>
      <c r="BM119" s="53"/>
      <c r="BN119" s="53"/>
      <c r="BO119" s="53"/>
      <c r="BP119" s="53"/>
      <c r="BQ119" s="53"/>
      <c r="BR119" s="53"/>
      <c r="BS119" s="53"/>
      <c r="BT119" s="53"/>
      <c r="BU119" s="53"/>
      <c r="BV119" s="53"/>
      <c r="BW119" s="53"/>
      <c r="BX119" s="53"/>
      <c r="BY119" s="53"/>
      <c r="BZ119" s="53"/>
      <c r="CA119" s="53"/>
      <c r="CB119" s="53"/>
      <c r="CC119" s="53"/>
      <c r="CD119" s="53"/>
      <c r="CE119" s="53"/>
      <c r="CF119" s="53"/>
      <c r="CG119" s="53"/>
      <c r="CH119" s="53"/>
      <c r="CI119" s="53"/>
      <c r="CJ119" s="53"/>
      <c r="CK119" s="53"/>
      <c r="CL119" s="161"/>
      <c r="CM119" s="167"/>
      <c r="CN119" s="453"/>
      <c r="CO119" s="453"/>
      <c r="CP119" s="453"/>
      <c r="CQ119" s="453"/>
      <c r="CR119" s="576"/>
      <c r="CS119" s="576"/>
      <c r="CT119" s="576"/>
      <c r="CU119" s="474"/>
      <c r="CV119" s="474"/>
      <c r="CW119" s="474"/>
      <c r="CX119" s="474"/>
      <c r="CY119" s="474"/>
      <c r="CZ119" s="474"/>
      <c r="DA119" s="474"/>
      <c r="DB119" s="474"/>
      <c r="DC119" s="474"/>
      <c r="DD119" s="474"/>
      <c r="DE119" s="474"/>
      <c r="DF119" s="474"/>
      <c r="DG119" s="474"/>
      <c r="DH119" s="474"/>
      <c r="DI119" s="474"/>
      <c r="DJ119" s="474"/>
      <c r="DK119" s="474"/>
      <c r="DL119" s="474"/>
      <c r="DM119" s="474"/>
      <c r="DN119" s="474"/>
      <c r="DO119" s="474"/>
      <c r="DP119" s="474"/>
      <c r="DQ119" s="457"/>
      <c r="DR119" s="457"/>
      <c r="DS119" s="457"/>
      <c r="DT119" s="457"/>
      <c r="DU119" s="457"/>
      <c r="DV119" s="457"/>
      <c r="DW119" s="167"/>
      <c r="DX119" s="216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</row>
    <row r="120" spans="1:139" ht="4.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10"/>
      <c r="L120" s="161"/>
      <c r="M120" s="167"/>
      <c r="N120" s="349"/>
      <c r="O120" s="167"/>
      <c r="P120" s="167"/>
      <c r="Q120" s="167"/>
      <c r="R120" s="167"/>
      <c r="S120" s="167"/>
      <c r="T120" s="167"/>
      <c r="U120" s="307"/>
      <c r="V120" s="307"/>
      <c r="W120" s="307"/>
      <c r="X120" s="307"/>
      <c r="Y120" s="167"/>
      <c r="Z120" s="167"/>
      <c r="AA120" s="167"/>
      <c r="AB120" s="167"/>
      <c r="AC120" s="167"/>
      <c r="AD120" s="167"/>
      <c r="AE120" s="167"/>
      <c r="AF120" s="167"/>
      <c r="AG120" s="167"/>
      <c r="AH120" s="167"/>
      <c r="AI120" s="167"/>
      <c r="AJ120" s="167"/>
      <c r="AK120" s="167"/>
      <c r="AL120" s="167"/>
      <c r="AM120" s="167"/>
      <c r="AN120" s="167"/>
      <c r="AO120" s="167"/>
      <c r="AP120" s="167"/>
      <c r="AQ120" s="167"/>
      <c r="AR120" s="167"/>
      <c r="AS120" s="167"/>
      <c r="AT120" s="167"/>
      <c r="AU120" s="167"/>
      <c r="AV120" s="167"/>
      <c r="AW120" s="167"/>
      <c r="AX120" s="167"/>
      <c r="AY120" s="167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  <c r="BK120" s="53"/>
      <c r="BL120" s="53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/>
      <c r="BW120" s="53"/>
      <c r="BX120" s="53"/>
      <c r="BY120" s="53"/>
      <c r="BZ120" s="53"/>
      <c r="CA120" s="53"/>
      <c r="CB120" s="53"/>
      <c r="CC120" s="53"/>
      <c r="CD120" s="53"/>
      <c r="CE120" s="53"/>
      <c r="CF120" s="53"/>
      <c r="CG120" s="53"/>
      <c r="CH120" s="53"/>
      <c r="CI120" s="53"/>
      <c r="CJ120" s="53"/>
      <c r="CK120" s="53"/>
      <c r="CL120" s="161"/>
      <c r="CM120" s="167"/>
      <c r="CN120" s="167"/>
      <c r="CO120" s="167"/>
      <c r="CP120" s="167"/>
      <c r="CQ120" s="167"/>
      <c r="CR120" s="167"/>
      <c r="CS120" s="167"/>
      <c r="CT120" s="167"/>
      <c r="CU120" s="167"/>
      <c r="CV120" s="167"/>
      <c r="CW120" s="167"/>
      <c r="CX120" s="167"/>
      <c r="CY120" s="167"/>
      <c r="CZ120" s="167"/>
      <c r="DA120" s="167"/>
      <c r="DB120" s="167"/>
      <c r="DC120" s="167"/>
      <c r="DD120" s="167"/>
      <c r="DE120" s="167"/>
      <c r="DF120" s="167"/>
      <c r="DG120" s="167"/>
      <c r="DH120" s="167"/>
      <c r="DI120" s="167"/>
      <c r="DJ120" s="167"/>
      <c r="DK120" s="167"/>
      <c r="DL120" s="167"/>
      <c r="DM120" s="167"/>
      <c r="DN120" s="167"/>
      <c r="DO120" s="167"/>
      <c r="DP120" s="167"/>
      <c r="DQ120" s="53"/>
      <c r="DR120" s="53"/>
      <c r="DS120" s="53"/>
      <c r="DT120" s="167"/>
      <c r="DU120" s="271"/>
      <c r="DV120" s="53"/>
      <c r="DW120" s="53"/>
      <c r="DX120" s="216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</row>
    <row r="121" spans="1:139" ht="4.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10"/>
      <c r="L121" s="36"/>
      <c r="N121" s="167"/>
      <c r="O121" s="167"/>
      <c r="P121" s="167"/>
      <c r="Q121" s="167"/>
      <c r="R121" s="167"/>
      <c r="S121" s="167"/>
      <c r="T121" s="167"/>
      <c r="U121" s="167"/>
      <c r="V121" s="167"/>
      <c r="W121" s="167"/>
      <c r="X121" s="167"/>
      <c r="Y121" s="167"/>
      <c r="Z121" s="167"/>
      <c r="AA121" s="167"/>
      <c r="AB121" s="167"/>
      <c r="AC121" s="167"/>
      <c r="AD121" s="167"/>
      <c r="AE121" s="167"/>
      <c r="AF121" s="167"/>
      <c r="AG121" s="167"/>
      <c r="AH121" s="167"/>
      <c r="AI121" s="167"/>
      <c r="AJ121" s="167"/>
      <c r="AK121" s="167"/>
      <c r="AL121" s="167"/>
      <c r="AM121" s="167"/>
      <c r="AN121" s="167"/>
      <c r="AO121" s="167"/>
      <c r="AP121" s="167"/>
      <c r="AQ121" s="167"/>
      <c r="AR121" s="167"/>
      <c r="AS121" s="167"/>
      <c r="AT121" s="167"/>
      <c r="AU121" s="167"/>
      <c r="AV121" s="167"/>
      <c r="AW121" s="167"/>
      <c r="AX121" s="167"/>
      <c r="AY121" s="167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  <c r="BK121" s="53"/>
      <c r="BL121" s="53"/>
      <c r="BM121" s="53"/>
      <c r="BN121" s="53"/>
      <c r="BO121" s="53"/>
      <c r="BP121" s="53"/>
      <c r="BQ121" s="53"/>
      <c r="BR121" s="53"/>
      <c r="BS121" s="53"/>
      <c r="BT121" s="53"/>
      <c r="BU121" s="53"/>
      <c r="BV121" s="53"/>
      <c r="BW121" s="53"/>
      <c r="BX121" s="53"/>
      <c r="BY121" s="53"/>
      <c r="BZ121" s="53"/>
      <c r="CA121" s="53"/>
      <c r="CB121" s="53"/>
      <c r="CC121" s="53"/>
      <c r="CD121" s="53"/>
      <c r="CE121" s="53"/>
      <c r="CF121" s="53"/>
      <c r="CG121" s="53"/>
      <c r="CH121" s="53"/>
      <c r="CI121" s="53"/>
      <c r="CJ121" s="53"/>
      <c r="CK121" s="53"/>
      <c r="CL121" s="161"/>
      <c r="CM121" s="167"/>
      <c r="CN121" s="464" t="s">
        <v>473</v>
      </c>
      <c r="CO121" s="483"/>
      <c r="CP121" s="483"/>
      <c r="CQ121" s="483"/>
      <c r="CR121" s="536" t="s">
        <v>474</v>
      </c>
      <c r="CS121" s="535"/>
      <c r="CT121" s="535"/>
      <c r="CU121" s="536"/>
      <c r="CV121" s="536"/>
      <c r="CW121" s="536"/>
      <c r="CX121" s="536"/>
      <c r="CY121" s="536"/>
      <c r="CZ121" s="536"/>
      <c r="DA121" s="536"/>
      <c r="DB121" s="536"/>
      <c r="DC121" s="536"/>
      <c r="DD121" s="536"/>
      <c r="DE121" s="536"/>
      <c r="DF121" s="536"/>
      <c r="DG121" s="536"/>
      <c r="DH121" s="536"/>
      <c r="DI121" s="577"/>
      <c r="DJ121" s="487"/>
      <c r="DK121" s="487"/>
      <c r="DL121" s="487"/>
      <c r="DM121" s="487"/>
      <c r="DN121" s="487"/>
      <c r="DO121" s="487"/>
      <c r="DP121" s="487"/>
      <c r="DQ121" s="167"/>
      <c r="DR121" s="467" t="s">
        <v>137</v>
      </c>
      <c r="DS121" s="468"/>
      <c r="DT121" s="468"/>
      <c r="DU121" s="468"/>
      <c r="DV121" s="468"/>
      <c r="DW121" s="468"/>
      <c r="DX121" s="443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</row>
    <row r="122" spans="1:139" ht="4.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10"/>
      <c r="L122" s="36"/>
      <c r="N122" s="167"/>
      <c r="O122" s="167"/>
      <c r="P122" s="167"/>
      <c r="Q122" s="167"/>
      <c r="R122" s="167"/>
      <c r="S122" s="167"/>
      <c r="T122" s="167"/>
      <c r="U122" s="167"/>
      <c r="V122" s="167"/>
      <c r="W122" s="167"/>
      <c r="X122" s="167"/>
      <c r="Y122" s="167"/>
      <c r="Z122" s="167"/>
      <c r="AA122" s="167"/>
      <c r="AB122" s="167"/>
      <c r="AC122" s="167"/>
      <c r="AD122" s="167"/>
      <c r="AE122" s="167"/>
      <c r="AF122" s="167"/>
      <c r="AG122" s="167"/>
      <c r="AH122" s="167"/>
      <c r="AI122" s="167"/>
      <c r="AJ122" s="167"/>
      <c r="AK122" s="167"/>
      <c r="AL122" s="167"/>
      <c r="AM122" s="167"/>
      <c r="AN122" s="167"/>
      <c r="AO122" s="167"/>
      <c r="AP122" s="167"/>
      <c r="AQ122" s="167"/>
      <c r="AR122" s="167"/>
      <c r="AS122" s="167"/>
      <c r="AT122" s="167"/>
      <c r="AU122" s="167"/>
      <c r="AV122" s="167"/>
      <c r="AW122" s="167"/>
      <c r="AX122" s="167"/>
      <c r="AY122" s="167"/>
      <c r="AZ122" s="167"/>
      <c r="BA122" s="167"/>
      <c r="BB122" s="167"/>
      <c r="BC122" s="167"/>
      <c r="BD122" s="167"/>
      <c r="BE122" s="167"/>
      <c r="BF122" s="167"/>
      <c r="BG122" s="167"/>
      <c r="BH122" s="167"/>
      <c r="BI122" s="167"/>
      <c r="BJ122" s="167"/>
      <c r="BK122" s="53"/>
      <c r="BL122" s="53"/>
      <c r="BM122" s="53"/>
      <c r="BN122" s="53"/>
      <c r="BO122" s="167"/>
      <c r="BP122" s="167"/>
      <c r="BQ122" s="167"/>
      <c r="BR122" s="167"/>
      <c r="BS122" s="167"/>
      <c r="BT122" s="167"/>
      <c r="BU122" s="167"/>
      <c r="BV122" s="167"/>
      <c r="BW122" s="167"/>
      <c r="BX122" s="167"/>
      <c r="BY122" s="167"/>
      <c r="BZ122" s="167"/>
      <c r="CA122" s="167"/>
      <c r="CB122" s="167"/>
      <c r="CC122" s="167"/>
      <c r="CD122" s="167"/>
      <c r="CE122" s="167"/>
      <c r="CF122" s="167"/>
      <c r="CG122" s="167"/>
      <c r="CH122" s="167"/>
      <c r="CI122" s="167"/>
      <c r="CJ122" s="167"/>
      <c r="CK122" s="167"/>
      <c r="CL122" s="161"/>
      <c r="CM122" s="167"/>
      <c r="CN122" s="483"/>
      <c r="CO122" s="483"/>
      <c r="CP122" s="483"/>
      <c r="CQ122" s="483"/>
      <c r="CR122" s="536"/>
      <c r="CS122" s="536"/>
      <c r="CT122" s="536"/>
      <c r="CU122" s="536"/>
      <c r="CV122" s="536"/>
      <c r="CW122" s="536"/>
      <c r="CX122" s="536"/>
      <c r="CY122" s="536"/>
      <c r="CZ122" s="536"/>
      <c r="DA122" s="536"/>
      <c r="DB122" s="536"/>
      <c r="DC122" s="536"/>
      <c r="DD122" s="536"/>
      <c r="DE122" s="536"/>
      <c r="DF122" s="536"/>
      <c r="DG122" s="536"/>
      <c r="DH122" s="536"/>
      <c r="DI122" s="487"/>
      <c r="DJ122" s="487"/>
      <c r="DK122" s="487"/>
      <c r="DL122" s="487"/>
      <c r="DM122" s="487"/>
      <c r="DN122" s="487"/>
      <c r="DO122" s="487"/>
      <c r="DP122" s="487"/>
      <c r="DQ122" s="167"/>
      <c r="DR122" s="468"/>
      <c r="DS122" s="468"/>
      <c r="DT122" s="468"/>
      <c r="DU122" s="468"/>
      <c r="DV122" s="468"/>
      <c r="DW122" s="468"/>
      <c r="DX122" s="443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</row>
    <row r="123" spans="1:139" ht="4.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10"/>
      <c r="L123" s="36"/>
      <c r="N123" s="167"/>
      <c r="O123" s="167"/>
      <c r="P123" s="167"/>
      <c r="Q123" s="167"/>
      <c r="R123" s="167"/>
      <c r="S123" s="167"/>
      <c r="T123" s="167"/>
      <c r="U123" s="167"/>
      <c r="V123" s="167"/>
      <c r="W123" s="167"/>
      <c r="X123" s="167"/>
      <c r="Y123" s="167"/>
      <c r="Z123" s="167"/>
      <c r="AA123" s="167"/>
      <c r="AB123" s="167"/>
      <c r="AC123" s="167"/>
      <c r="AD123" s="167"/>
      <c r="AE123" s="167"/>
      <c r="AF123" s="167"/>
      <c r="AG123" s="167"/>
      <c r="AH123" s="167"/>
      <c r="AI123" s="167"/>
      <c r="AJ123" s="167"/>
      <c r="AK123" s="167"/>
      <c r="AL123" s="167"/>
      <c r="AM123" s="167"/>
      <c r="AN123" s="167"/>
      <c r="AO123" s="167"/>
      <c r="AP123" s="167"/>
      <c r="AQ123" s="167"/>
      <c r="AR123" s="167"/>
      <c r="AS123" s="167"/>
      <c r="AT123" s="167"/>
      <c r="AU123" s="167"/>
      <c r="AV123" s="167"/>
      <c r="AW123" s="167"/>
      <c r="AX123" s="167"/>
      <c r="AY123" s="167"/>
      <c r="AZ123" s="167"/>
      <c r="BA123" s="167"/>
      <c r="BB123" s="167"/>
      <c r="BC123" s="167"/>
      <c r="BD123" s="167"/>
      <c r="BE123" s="167"/>
      <c r="BF123" s="167"/>
      <c r="BG123" s="167"/>
      <c r="BH123" s="167"/>
      <c r="BI123" s="167"/>
      <c r="BJ123" s="167"/>
      <c r="BK123" s="53"/>
      <c r="BL123" s="53"/>
      <c r="BM123" s="53"/>
      <c r="BN123" s="53"/>
      <c r="BO123" s="167"/>
      <c r="BP123" s="167"/>
      <c r="BQ123" s="167"/>
      <c r="BR123" s="167"/>
      <c r="BS123" s="167"/>
      <c r="BT123" s="167"/>
      <c r="BU123" s="167"/>
      <c r="BV123" s="167"/>
      <c r="BW123" s="167"/>
      <c r="BX123" s="167"/>
      <c r="BY123" s="167"/>
      <c r="BZ123" s="167"/>
      <c r="CA123" s="167"/>
      <c r="CB123" s="167"/>
      <c r="CC123" s="167"/>
      <c r="CD123" s="167"/>
      <c r="CE123" s="167"/>
      <c r="CF123" s="167"/>
      <c r="CG123" s="167"/>
      <c r="CH123" s="167"/>
      <c r="CI123" s="167"/>
      <c r="CJ123" s="167"/>
      <c r="CK123" s="167"/>
      <c r="CL123" s="451"/>
      <c r="CM123" s="452"/>
      <c r="CN123" s="452"/>
      <c r="CO123" s="452"/>
      <c r="CP123" s="452"/>
      <c r="CQ123" s="452"/>
      <c r="CR123" s="535" t="s">
        <v>475</v>
      </c>
      <c r="CS123" s="536"/>
      <c r="CT123" s="536"/>
      <c r="CU123" s="536"/>
      <c r="CV123" s="536"/>
      <c r="CW123" s="536"/>
      <c r="CX123" s="536"/>
      <c r="CY123" s="536"/>
      <c r="CZ123" s="536"/>
      <c r="DA123" s="536"/>
      <c r="DB123" s="536"/>
      <c r="DC123" s="536"/>
      <c r="DD123" s="536"/>
      <c r="DE123" s="536"/>
      <c r="DF123" s="536"/>
      <c r="DG123" s="536"/>
      <c r="DH123" s="536"/>
      <c r="DI123" s="534">
        <v>500</v>
      </c>
      <c r="DJ123" s="458"/>
      <c r="DK123" s="458"/>
      <c r="DL123" s="458"/>
      <c r="DM123" s="458"/>
      <c r="DN123" s="458"/>
      <c r="DO123" s="458"/>
      <c r="DP123" s="458"/>
      <c r="DQ123" s="167"/>
      <c r="DR123" s="467" t="s">
        <v>44</v>
      </c>
      <c r="DS123" s="468"/>
      <c r="DT123" s="468"/>
      <c r="DU123" s="468"/>
      <c r="DV123" s="468"/>
      <c r="DW123" s="468"/>
      <c r="DX123" s="443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</row>
    <row r="124" spans="1:139" ht="4.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10"/>
      <c r="L124" s="36"/>
      <c r="N124" s="167"/>
      <c r="O124" s="167"/>
      <c r="P124" s="167"/>
      <c r="Q124" s="167"/>
      <c r="R124" s="167"/>
      <c r="S124" s="167"/>
      <c r="T124" s="167"/>
      <c r="U124" s="167"/>
      <c r="V124" s="167"/>
      <c r="W124" s="167"/>
      <c r="X124" s="167"/>
      <c r="Y124" s="167"/>
      <c r="Z124" s="167"/>
      <c r="AA124" s="167"/>
      <c r="AB124" s="167"/>
      <c r="AC124" s="167"/>
      <c r="AD124" s="167"/>
      <c r="AE124" s="167"/>
      <c r="AF124" s="167"/>
      <c r="AG124" s="167"/>
      <c r="AH124" s="167"/>
      <c r="AI124" s="167"/>
      <c r="AJ124" s="167"/>
      <c r="AK124" s="167"/>
      <c r="AL124" s="167"/>
      <c r="AM124" s="167"/>
      <c r="AN124" s="167"/>
      <c r="AO124" s="167"/>
      <c r="AP124" s="167"/>
      <c r="AQ124" s="167"/>
      <c r="AR124" s="167"/>
      <c r="AS124" s="167"/>
      <c r="AT124" s="167"/>
      <c r="AU124" s="167"/>
      <c r="AV124" s="167"/>
      <c r="AW124" s="167"/>
      <c r="AX124" s="167"/>
      <c r="AY124" s="167"/>
      <c r="AZ124" s="167"/>
      <c r="BA124" s="167"/>
      <c r="BB124" s="167"/>
      <c r="BC124" s="167"/>
      <c r="BD124" s="167"/>
      <c r="BE124" s="167"/>
      <c r="BF124" s="167"/>
      <c r="BG124" s="167"/>
      <c r="BH124" s="167"/>
      <c r="BI124" s="167"/>
      <c r="BJ124" s="167"/>
      <c r="BK124" s="53"/>
      <c r="BL124" s="53"/>
      <c r="BM124" s="53"/>
      <c r="BN124" s="53"/>
      <c r="BO124" s="167"/>
      <c r="BP124" s="167"/>
      <c r="BQ124" s="167"/>
      <c r="BR124" s="167"/>
      <c r="BS124" s="167"/>
      <c r="BT124" s="167"/>
      <c r="BU124" s="167"/>
      <c r="BV124" s="167"/>
      <c r="BW124" s="167"/>
      <c r="BX124" s="167"/>
      <c r="BY124" s="167"/>
      <c r="BZ124" s="167"/>
      <c r="CA124" s="167"/>
      <c r="CB124" s="167"/>
      <c r="CC124" s="167"/>
      <c r="CD124" s="167"/>
      <c r="CE124" s="167"/>
      <c r="CF124" s="167"/>
      <c r="CG124" s="167"/>
      <c r="CH124" s="167"/>
      <c r="CI124" s="167"/>
      <c r="CJ124" s="167"/>
      <c r="CK124" s="167"/>
      <c r="CL124" s="451"/>
      <c r="CM124" s="452"/>
      <c r="CN124" s="452"/>
      <c r="CO124" s="452"/>
      <c r="CP124" s="452"/>
      <c r="CQ124" s="452"/>
      <c r="CR124" s="536"/>
      <c r="CS124" s="536"/>
      <c r="CT124" s="536"/>
      <c r="CU124" s="536"/>
      <c r="CV124" s="536"/>
      <c r="CW124" s="536"/>
      <c r="CX124" s="536"/>
      <c r="CY124" s="536"/>
      <c r="CZ124" s="536"/>
      <c r="DA124" s="536"/>
      <c r="DB124" s="536"/>
      <c r="DC124" s="536"/>
      <c r="DD124" s="536"/>
      <c r="DE124" s="536"/>
      <c r="DF124" s="536"/>
      <c r="DG124" s="536"/>
      <c r="DH124" s="536"/>
      <c r="DI124" s="458"/>
      <c r="DJ124" s="458"/>
      <c r="DK124" s="458"/>
      <c r="DL124" s="458"/>
      <c r="DM124" s="458"/>
      <c r="DN124" s="458"/>
      <c r="DO124" s="458"/>
      <c r="DP124" s="458"/>
      <c r="DQ124" s="167"/>
      <c r="DR124" s="468"/>
      <c r="DS124" s="468"/>
      <c r="DT124" s="468"/>
      <c r="DU124" s="468"/>
      <c r="DV124" s="468"/>
      <c r="DW124" s="468"/>
      <c r="DX124" s="443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</row>
    <row r="125" spans="1:139" ht="4.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10"/>
      <c r="L125" s="36"/>
      <c r="N125" s="167"/>
      <c r="O125" s="167"/>
      <c r="P125" s="167"/>
      <c r="Q125" s="167"/>
      <c r="R125" s="167"/>
      <c r="S125" s="167"/>
      <c r="T125" s="167"/>
      <c r="U125" s="167"/>
      <c r="V125" s="167"/>
      <c r="W125" s="167"/>
      <c r="X125" s="167"/>
      <c r="Y125" s="167"/>
      <c r="Z125" s="167"/>
      <c r="AA125" s="167"/>
      <c r="AB125" s="167"/>
      <c r="AC125" s="167"/>
      <c r="AD125" s="167"/>
      <c r="AE125" s="167"/>
      <c r="AF125" s="167"/>
      <c r="AG125" s="167"/>
      <c r="AH125" s="167"/>
      <c r="AI125" s="167"/>
      <c r="AJ125" s="167"/>
      <c r="AK125" s="167"/>
      <c r="AL125" s="167"/>
      <c r="AM125" s="167"/>
      <c r="AN125" s="167"/>
      <c r="AO125" s="167"/>
      <c r="AP125" s="167"/>
      <c r="AQ125" s="167"/>
      <c r="AR125" s="167"/>
      <c r="AS125" s="167"/>
      <c r="AT125" s="167"/>
      <c r="AU125" s="167"/>
      <c r="AV125" s="58"/>
      <c r="AW125" s="58"/>
      <c r="AX125" s="167"/>
      <c r="AY125" s="167"/>
      <c r="AZ125" s="167"/>
      <c r="BA125" s="167"/>
      <c r="BB125" s="167"/>
      <c r="BC125" s="53"/>
      <c r="BD125" s="53"/>
      <c r="BE125" s="53"/>
      <c r="BF125" s="53"/>
      <c r="BG125" s="53"/>
      <c r="BH125" s="53"/>
      <c r="BI125" s="53"/>
      <c r="BJ125" s="53"/>
      <c r="BK125" s="53"/>
      <c r="BL125" s="53"/>
      <c r="BM125" s="53"/>
      <c r="BN125" s="53"/>
      <c r="BO125" s="167"/>
      <c r="BP125" s="167"/>
      <c r="BQ125" s="167"/>
      <c r="BR125" s="167"/>
      <c r="BS125" s="167"/>
      <c r="BT125" s="167"/>
      <c r="BU125" s="167"/>
      <c r="BV125" s="167"/>
      <c r="BW125" s="167"/>
      <c r="BX125" s="167"/>
      <c r="BY125" s="167"/>
      <c r="BZ125" s="167"/>
      <c r="CA125" s="167"/>
      <c r="CB125" s="167"/>
      <c r="CC125" s="167"/>
      <c r="CD125" s="167"/>
      <c r="CE125" s="167"/>
      <c r="CF125" s="167"/>
      <c r="CG125" s="167"/>
      <c r="CH125" s="167"/>
      <c r="CI125" s="167"/>
      <c r="CJ125" s="167"/>
      <c r="CK125" s="167"/>
      <c r="CL125" s="451"/>
      <c r="CM125" s="452"/>
      <c r="CN125" s="452"/>
      <c r="CO125" s="452"/>
      <c r="CP125" s="452"/>
      <c r="CQ125" s="452"/>
      <c r="CR125" s="535" t="s">
        <v>476</v>
      </c>
      <c r="CS125" s="536"/>
      <c r="CT125" s="536"/>
      <c r="CU125" s="536"/>
      <c r="CV125" s="536"/>
      <c r="CW125" s="536"/>
      <c r="CX125" s="536"/>
      <c r="CY125" s="536"/>
      <c r="CZ125" s="536"/>
      <c r="DA125" s="536"/>
      <c r="DB125" s="536"/>
      <c r="DC125" s="536"/>
      <c r="DD125" s="536"/>
      <c r="DE125" s="536"/>
      <c r="DF125" s="536"/>
      <c r="DG125" s="536"/>
      <c r="DH125" s="536"/>
      <c r="DI125" s="534">
        <v>500</v>
      </c>
      <c r="DJ125" s="458"/>
      <c r="DK125" s="458"/>
      <c r="DL125" s="458"/>
      <c r="DM125" s="458"/>
      <c r="DN125" s="458"/>
      <c r="DO125" s="458"/>
      <c r="DP125" s="458"/>
      <c r="DQ125" s="167"/>
      <c r="DR125" s="467" t="s">
        <v>44</v>
      </c>
      <c r="DS125" s="468"/>
      <c r="DT125" s="468"/>
      <c r="DU125" s="468"/>
      <c r="DV125" s="468"/>
      <c r="DW125" s="468"/>
      <c r="DX125" s="444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</row>
    <row r="126" spans="1:139" ht="4.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10"/>
      <c r="L126" s="36"/>
      <c r="N126" s="167"/>
      <c r="O126" s="167"/>
      <c r="P126" s="167"/>
      <c r="Q126" s="167"/>
      <c r="R126" s="167"/>
      <c r="S126" s="167"/>
      <c r="T126" s="167"/>
      <c r="U126" s="167"/>
      <c r="V126" s="167"/>
      <c r="W126" s="167"/>
      <c r="X126" s="167"/>
      <c r="Y126" s="167"/>
      <c r="Z126" s="167"/>
      <c r="AA126" s="167"/>
      <c r="AB126" s="167"/>
      <c r="AC126" s="167"/>
      <c r="AD126" s="167"/>
      <c r="AE126" s="167"/>
      <c r="AF126" s="167"/>
      <c r="AG126" s="167"/>
      <c r="AH126" s="167"/>
      <c r="AI126" s="167"/>
      <c r="AJ126" s="167"/>
      <c r="AK126" s="167"/>
      <c r="AL126" s="167"/>
      <c r="AM126" s="167"/>
      <c r="AN126" s="167"/>
      <c r="AO126" s="167"/>
      <c r="AP126" s="167"/>
      <c r="AQ126" s="167"/>
      <c r="AR126" s="167"/>
      <c r="AS126" s="167"/>
      <c r="AT126" s="167"/>
      <c r="AU126" s="167"/>
      <c r="AV126" s="91"/>
      <c r="AW126" s="91"/>
      <c r="AX126" s="91"/>
      <c r="AY126" s="91"/>
      <c r="AZ126" s="167"/>
      <c r="BA126" s="167"/>
      <c r="BB126" s="167"/>
      <c r="BC126" s="53"/>
      <c r="BD126" s="53"/>
      <c r="BE126" s="53"/>
      <c r="BF126" s="53"/>
      <c r="BG126" s="53"/>
      <c r="BH126" s="53"/>
      <c r="BI126" s="53"/>
      <c r="BJ126" s="53"/>
      <c r="BK126" s="53"/>
      <c r="BL126" s="53"/>
      <c r="BM126" s="53"/>
      <c r="BN126" s="53"/>
      <c r="BO126" s="167"/>
      <c r="BP126" s="167"/>
      <c r="BQ126" s="167"/>
      <c r="BR126" s="167"/>
      <c r="BS126" s="167"/>
      <c r="BT126" s="167"/>
      <c r="BU126" s="167"/>
      <c r="BV126" s="167"/>
      <c r="BW126" s="167"/>
      <c r="BX126" s="167"/>
      <c r="BY126" s="167"/>
      <c r="BZ126" s="167"/>
      <c r="CA126" s="167"/>
      <c r="CB126" s="167"/>
      <c r="CC126" s="167"/>
      <c r="CD126" s="167"/>
      <c r="CE126" s="167"/>
      <c r="CF126" s="167"/>
      <c r="CG126" s="167"/>
      <c r="CH126" s="167"/>
      <c r="CI126" s="167"/>
      <c r="CJ126" s="167"/>
      <c r="CK126" s="167"/>
      <c r="CL126" s="451"/>
      <c r="CM126" s="452"/>
      <c r="CN126" s="452"/>
      <c r="CO126" s="452"/>
      <c r="CP126" s="452"/>
      <c r="CQ126" s="452"/>
      <c r="CR126" s="536"/>
      <c r="CS126" s="536"/>
      <c r="CT126" s="536"/>
      <c r="CU126" s="536"/>
      <c r="CV126" s="536"/>
      <c r="CW126" s="536"/>
      <c r="CX126" s="536"/>
      <c r="CY126" s="536"/>
      <c r="CZ126" s="536"/>
      <c r="DA126" s="536"/>
      <c r="DB126" s="536"/>
      <c r="DC126" s="536"/>
      <c r="DD126" s="536"/>
      <c r="DE126" s="536"/>
      <c r="DF126" s="536"/>
      <c r="DG126" s="536"/>
      <c r="DH126" s="536"/>
      <c r="DI126" s="458"/>
      <c r="DJ126" s="458"/>
      <c r="DK126" s="458"/>
      <c r="DL126" s="458"/>
      <c r="DM126" s="458"/>
      <c r="DN126" s="458"/>
      <c r="DO126" s="458"/>
      <c r="DP126" s="458"/>
      <c r="DQ126" s="167"/>
      <c r="DR126" s="468"/>
      <c r="DS126" s="468"/>
      <c r="DT126" s="468"/>
      <c r="DU126" s="468"/>
      <c r="DV126" s="468"/>
      <c r="DW126" s="468"/>
      <c r="DX126" s="445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</row>
    <row r="127" spans="1:139" ht="4.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10"/>
      <c r="L127" s="36"/>
      <c r="N127" s="167"/>
      <c r="O127" s="167"/>
      <c r="P127" s="167"/>
      <c r="Q127" s="167"/>
      <c r="R127" s="167"/>
      <c r="S127" s="167"/>
      <c r="T127" s="167"/>
      <c r="U127" s="167"/>
      <c r="V127" s="167"/>
      <c r="W127" s="167"/>
      <c r="X127" s="167"/>
      <c r="Y127" s="167"/>
      <c r="Z127" s="167"/>
      <c r="AA127" s="167"/>
      <c r="AB127" s="167"/>
      <c r="AC127" s="167"/>
      <c r="AD127" s="167"/>
      <c r="AE127" s="167"/>
      <c r="AF127" s="167"/>
      <c r="AG127" s="167"/>
      <c r="AH127" s="167"/>
      <c r="AI127" s="167"/>
      <c r="AJ127" s="167"/>
      <c r="AK127" s="167"/>
      <c r="AL127" s="167"/>
      <c r="AM127" s="167"/>
      <c r="AN127" s="167"/>
      <c r="AO127" s="167"/>
      <c r="AP127" s="167"/>
      <c r="AQ127" s="167"/>
      <c r="AR127" s="167"/>
      <c r="AS127" s="167"/>
      <c r="AT127" s="167"/>
      <c r="AU127" s="167"/>
      <c r="AV127" s="91"/>
      <c r="AW127" s="91"/>
      <c r="AX127" s="91"/>
      <c r="AY127" s="91"/>
      <c r="AZ127" s="167"/>
      <c r="BA127" s="167"/>
      <c r="BB127" s="167"/>
      <c r="BC127" s="53"/>
      <c r="BD127" s="53"/>
      <c r="BE127" s="53"/>
      <c r="BF127" s="53"/>
      <c r="BG127" s="53"/>
      <c r="BH127" s="53"/>
      <c r="BI127" s="53"/>
      <c r="BJ127" s="53"/>
      <c r="BK127" s="53"/>
      <c r="BL127" s="53"/>
      <c r="BM127" s="53"/>
      <c r="BN127" s="53"/>
      <c r="BO127" s="167"/>
      <c r="BP127" s="167"/>
      <c r="BQ127" s="167"/>
      <c r="BR127" s="167"/>
      <c r="BS127" s="167"/>
      <c r="BT127" s="167"/>
      <c r="BU127" s="167"/>
      <c r="BV127" s="167"/>
      <c r="BW127" s="167"/>
      <c r="BX127" s="167"/>
      <c r="BY127" s="167"/>
      <c r="BZ127" s="167"/>
      <c r="CA127" s="167"/>
      <c r="CB127" s="167"/>
      <c r="CC127" s="167"/>
      <c r="CD127" s="167"/>
      <c r="CE127" s="167"/>
      <c r="CF127" s="167"/>
      <c r="CG127" s="167"/>
      <c r="CH127" s="167"/>
      <c r="CI127" s="167"/>
      <c r="CJ127" s="167"/>
      <c r="CK127" s="167"/>
      <c r="CL127" s="161"/>
      <c r="CM127" s="456"/>
      <c r="CN127" s="456"/>
      <c r="CO127" s="456"/>
      <c r="CP127" s="456"/>
      <c r="CQ127" s="456"/>
      <c r="CR127" s="457">
        <v>204</v>
      </c>
      <c r="CS127" s="457"/>
      <c r="CT127" s="457"/>
      <c r="CU127" s="558" t="str">
        <f>W99</f>
        <v>Bretter ohne Zuschnitt IPPC-HT-KD</v>
      </c>
      <c r="CV127" s="474"/>
      <c r="CW127" s="474"/>
      <c r="CX127" s="474"/>
      <c r="CY127" s="474"/>
      <c r="CZ127" s="474"/>
      <c r="DA127" s="474"/>
      <c r="DB127" s="474"/>
      <c r="DC127" s="474"/>
      <c r="DD127" s="474"/>
      <c r="DE127" s="474"/>
      <c r="DF127" s="474"/>
      <c r="DG127" s="474"/>
      <c r="DH127" s="474"/>
      <c r="DI127" s="474"/>
      <c r="DJ127" s="474"/>
      <c r="DK127" s="474"/>
      <c r="DL127" s="474"/>
      <c r="DM127" s="474"/>
      <c r="DN127" s="474"/>
      <c r="DO127" s="474"/>
      <c r="DP127" s="474"/>
      <c r="DQ127" s="457">
        <v>0</v>
      </c>
      <c r="DR127" s="457"/>
      <c r="DS127" s="457"/>
      <c r="DT127" s="457"/>
      <c r="DU127" s="457"/>
      <c r="DV127" s="457"/>
      <c r="DW127" s="167"/>
      <c r="DX127" s="30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</row>
    <row r="128" spans="1:139" ht="4.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10"/>
      <c r="L128" s="36"/>
      <c r="N128" s="167"/>
      <c r="O128" s="167"/>
      <c r="P128" s="167"/>
      <c r="Q128" s="167"/>
      <c r="R128" s="167"/>
      <c r="S128" s="167"/>
      <c r="T128" s="167"/>
      <c r="U128" s="167"/>
      <c r="V128" s="167"/>
      <c r="W128" s="167"/>
      <c r="X128" s="167"/>
      <c r="Y128" s="167"/>
      <c r="Z128" s="167"/>
      <c r="AA128" s="167"/>
      <c r="AB128" s="167"/>
      <c r="AC128" s="167"/>
      <c r="AD128" s="167"/>
      <c r="AE128" s="167"/>
      <c r="AF128" s="167"/>
      <c r="AG128" s="167"/>
      <c r="AH128" s="167"/>
      <c r="AI128" s="167"/>
      <c r="AJ128" s="167"/>
      <c r="AK128" s="167"/>
      <c r="AL128" s="167"/>
      <c r="AM128" s="167"/>
      <c r="AN128" s="167"/>
      <c r="AO128" s="167"/>
      <c r="AP128" s="167"/>
      <c r="AQ128" s="167"/>
      <c r="AR128" s="167"/>
      <c r="AS128" s="167"/>
      <c r="AT128" s="167"/>
      <c r="AU128" s="167"/>
      <c r="AV128" s="167"/>
      <c r="AW128" s="167"/>
      <c r="AX128" s="167"/>
      <c r="AY128" s="167"/>
      <c r="AZ128" s="167"/>
      <c r="BA128" s="167"/>
      <c r="BB128" s="167"/>
      <c r="BC128" s="53"/>
      <c r="BD128" s="53"/>
      <c r="BE128" s="53"/>
      <c r="BF128" s="53"/>
      <c r="BG128" s="53"/>
      <c r="BH128" s="53"/>
      <c r="BI128" s="53"/>
      <c r="BJ128" s="53"/>
      <c r="BK128" s="53"/>
      <c r="BL128" s="53"/>
      <c r="BM128" s="53"/>
      <c r="BN128" s="53"/>
      <c r="BO128" s="53"/>
      <c r="BP128" s="53"/>
      <c r="BQ128" s="53"/>
      <c r="BR128" s="53"/>
      <c r="BS128" s="53"/>
      <c r="BT128" s="53"/>
      <c r="BU128" s="53"/>
      <c r="BV128" s="53"/>
      <c r="BW128" s="53"/>
      <c r="BX128" s="53"/>
      <c r="BY128" s="53"/>
      <c r="BZ128" s="53"/>
      <c r="CA128" s="53"/>
      <c r="CB128" s="53"/>
      <c r="CC128" s="53"/>
      <c r="CD128" s="53"/>
      <c r="CE128" s="53"/>
      <c r="CF128" s="53"/>
      <c r="CG128" s="53"/>
      <c r="CH128" s="53"/>
      <c r="CI128" s="53"/>
      <c r="CJ128" s="53"/>
      <c r="CK128" s="53"/>
      <c r="CL128" s="161"/>
      <c r="CM128" s="456"/>
      <c r="CN128" s="456"/>
      <c r="CO128" s="456"/>
      <c r="CP128" s="456"/>
      <c r="CQ128" s="456"/>
      <c r="CR128" s="457"/>
      <c r="CS128" s="457"/>
      <c r="CT128" s="457"/>
      <c r="CU128" s="474"/>
      <c r="CV128" s="474"/>
      <c r="CW128" s="474"/>
      <c r="CX128" s="474"/>
      <c r="CY128" s="474"/>
      <c r="CZ128" s="474"/>
      <c r="DA128" s="474"/>
      <c r="DB128" s="474"/>
      <c r="DC128" s="474"/>
      <c r="DD128" s="474"/>
      <c r="DE128" s="474"/>
      <c r="DF128" s="474"/>
      <c r="DG128" s="474"/>
      <c r="DH128" s="474"/>
      <c r="DI128" s="474"/>
      <c r="DJ128" s="474"/>
      <c r="DK128" s="474"/>
      <c r="DL128" s="474"/>
      <c r="DM128" s="474"/>
      <c r="DN128" s="474"/>
      <c r="DO128" s="474"/>
      <c r="DP128" s="474"/>
      <c r="DQ128" s="457"/>
      <c r="DR128" s="457"/>
      <c r="DS128" s="457"/>
      <c r="DT128" s="457"/>
      <c r="DU128" s="457"/>
      <c r="DV128" s="457"/>
      <c r="DW128" s="167"/>
      <c r="DX128" s="216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</row>
    <row r="129" spans="1:139" ht="4.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11"/>
      <c r="L129" s="343"/>
      <c r="M129" s="59"/>
      <c r="N129" s="225"/>
      <c r="O129" s="225"/>
      <c r="P129" s="225"/>
      <c r="Q129" s="225"/>
      <c r="R129" s="225"/>
      <c r="S129" s="225"/>
      <c r="T129" s="225"/>
      <c r="U129" s="225"/>
      <c r="V129" s="225"/>
      <c r="W129" s="225"/>
      <c r="X129" s="225"/>
      <c r="Y129" s="225"/>
      <c r="Z129" s="225"/>
      <c r="AA129" s="225"/>
      <c r="AB129" s="225"/>
      <c r="AC129" s="225"/>
      <c r="AD129" s="225"/>
      <c r="AE129" s="225"/>
      <c r="AF129" s="225"/>
      <c r="AG129" s="225"/>
      <c r="AH129" s="225"/>
      <c r="AI129" s="225"/>
      <c r="AJ129" s="225"/>
      <c r="AK129" s="225"/>
      <c r="AL129" s="225"/>
      <c r="AM129" s="225"/>
      <c r="AN129" s="225"/>
      <c r="AO129" s="225"/>
      <c r="AP129" s="225"/>
      <c r="AQ129" s="225"/>
      <c r="AR129" s="225"/>
      <c r="AS129" s="225"/>
      <c r="AT129" s="167"/>
      <c r="AU129" s="167"/>
      <c r="AV129" s="225"/>
      <c r="AW129" s="225"/>
      <c r="AX129" s="225"/>
      <c r="AY129" s="225"/>
      <c r="AZ129" s="225"/>
      <c r="BA129" s="225"/>
      <c r="BB129" s="225"/>
      <c r="BC129" s="225"/>
      <c r="BD129" s="225"/>
      <c r="BE129" s="225"/>
      <c r="BF129" s="225"/>
      <c r="BG129" s="225"/>
      <c r="BH129" s="225"/>
      <c r="BI129" s="225"/>
      <c r="BJ129" s="225"/>
      <c r="BK129" s="225"/>
      <c r="BL129" s="225"/>
      <c r="BM129" s="225"/>
      <c r="BN129" s="225"/>
      <c r="BO129" s="225"/>
      <c r="BP129" s="225"/>
      <c r="BQ129" s="225"/>
      <c r="BR129" s="225"/>
      <c r="BS129" s="225"/>
      <c r="BT129" s="225"/>
      <c r="BU129" s="225"/>
      <c r="BV129" s="225"/>
      <c r="BW129" s="225"/>
      <c r="BX129" s="225"/>
      <c r="BY129" s="225"/>
      <c r="BZ129" s="225"/>
      <c r="CA129" s="225"/>
      <c r="CB129" s="225"/>
      <c r="CC129" s="225"/>
      <c r="CD129" s="225"/>
      <c r="CE129" s="225"/>
      <c r="CF129" s="225"/>
      <c r="CG129" s="225"/>
      <c r="CH129" s="225"/>
      <c r="CI129" s="225"/>
      <c r="CJ129" s="225"/>
      <c r="CK129" s="225"/>
      <c r="CL129" s="446"/>
      <c r="CM129" s="446"/>
      <c r="CN129" s="446"/>
      <c r="CO129" s="446"/>
      <c r="CP129" s="446"/>
      <c r="CQ129" s="446"/>
      <c r="CR129" s="446"/>
      <c r="CS129" s="446"/>
      <c r="CT129" s="446"/>
      <c r="CU129" s="446"/>
      <c r="CV129" s="446"/>
      <c r="CW129" s="446"/>
      <c r="CX129" s="446"/>
      <c r="CY129" s="446"/>
      <c r="CZ129" s="446"/>
      <c r="DA129" s="446"/>
      <c r="DB129" s="446"/>
      <c r="DC129" s="446"/>
      <c r="DD129" s="446"/>
      <c r="DE129" s="446"/>
      <c r="DF129" s="446"/>
      <c r="DG129" s="446"/>
      <c r="DH129" s="446"/>
      <c r="DI129" s="446"/>
      <c r="DJ129" s="446"/>
      <c r="DK129" s="446"/>
      <c r="DL129" s="446"/>
      <c r="DM129" s="446"/>
      <c r="DN129" s="446"/>
      <c r="DO129" s="446"/>
      <c r="DP129" s="447"/>
      <c r="DQ129" s="448"/>
      <c r="DR129" s="448"/>
      <c r="DS129" s="446"/>
      <c r="DT129" s="446"/>
      <c r="DU129" s="447"/>
      <c r="DV129" s="449"/>
      <c r="DW129" s="449"/>
      <c r="DX129" s="450"/>
      <c r="DY129" s="12"/>
      <c r="DZ129" s="2"/>
      <c r="EA129" s="2"/>
      <c r="EB129" s="2"/>
      <c r="EC129" s="2"/>
      <c r="ED129" s="2"/>
      <c r="EE129" s="2"/>
      <c r="EF129" s="2"/>
      <c r="EG129" s="2"/>
      <c r="EH129" s="2"/>
      <c r="EI129" s="2"/>
    </row>
    <row r="130" spans="1:139" ht="4.5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1"/>
      <c r="L130" s="1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10"/>
      <c r="DQ130" s="7"/>
      <c r="DR130" s="7"/>
      <c r="DS130" s="7"/>
      <c r="DT130" s="7"/>
      <c r="DU130" s="10"/>
      <c r="DV130" s="62"/>
      <c r="DW130" s="62"/>
      <c r="DX130" s="63"/>
      <c r="DY130" s="12"/>
      <c r="DZ130" s="2"/>
      <c r="EA130" s="2"/>
      <c r="EB130" s="2"/>
      <c r="EC130" s="2"/>
      <c r="ED130" s="2"/>
      <c r="EE130" s="2"/>
      <c r="EF130" s="2"/>
      <c r="EG130" s="2"/>
      <c r="EH130" s="2"/>
      <c r="EI130" s="2"/>
    </row>
    <row r="131" spans="1:139" ht="4.5" customHeight="1" x14ac:dyDescent="0.2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560" t="s">
        <v>342</v>
      </c>
      <c r="CC131" s="560"/>
      <c r="CD131" s="560"/>
      <c r="CE131" s="560"/>
      <c r="CF131" s="560"/>
      <c r="CG131" s="560"/>
      <c r="CH131" s="560"/>
      <c r="CI131" s="560"/>
      <c r="CJ131" s="560"/>
      <c r="CK131" s="560"/>
      <c r="CL131" s="560"/>
      <c r="CM131" s="560"/>
      <c r="CN131" s="560"/>
      <c r="CO131" s="560"/>
      <c r="CP131" s="560"/>
      <c r="CQ131" s="560"/>
      <c r="CR131" s="560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10"/>
      <c r="DQ131" s="7"/>
      <c r="DR131" s="7"/>
      <c r="DS131" s="7"/>
      <c r="DT131" s="7"/>
      <c r="DU131" s="10"/>
      <c r="DV131" s="62"/>
      <c r="DW131" s="62"/>
      <c r="DX131" s="6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</row>
    <row r="132" spans="1:139" ht="4.5" customHeight="1" x14ac:dyDescent="0.2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560" t="s">
        <v>343</v>
      </c>
      <c r="CC132" s="560"/>
      <c r="CD132" s="560"/>
      <c r="CE132" s="560"/>
      <c r="CF132" s="560"/>
      <c r="CG132" s="560"/>
      <c r="CH132" s="560"/>
      <c r="CI132" s="560"/>
      <c r="CJ132" s="560"/>
      <c r="CK132" s="560"/>
      <c r="CL132" s="560"/>
      <c r="CM132" s="560"/>
      <c r="CN132" s="560"/>
      <c r="CO132" s="560"/>
      <c r="CP132" s="560"/>
      <c r="CQ132" s="560"/>
      <c r="CR132" s="560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10"/>
      <c r="DQ132" s="7"/>
      <c r="DR132" s="7"/>
      <c r="DS132" s="7"/>
      <c r="DT132" s="7"/>
      <c r="DU132" s="10"/>
      <c r="DV132" s="62"/>
      <c r="DW132" s="62"/>
      <c r="DX132" s="6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</row>
    <row r="133" spans="1:139" ht="4.5" customHeight="1" x14ac:dyDescent="0.2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560" t="s">
        <v>341</v>
      </c>
      <c r="CC133" s="560"/>
      <c r="CD133" s="560"/>
      <c r="CE133" s="560"/>
      <c r="CF133" s="560"/>
      <c r="CG133" s="560"/>
      <c r="CH133" s="560"/>
      <c r="CI133" s="560"/>
      <c r="CJ133" s="560"/>
      <c r="CK133" s="560"/>
      <c r="CL133" s="560"/>
      <c r="CM133" s="560"/>
      <c r="CN133" s="560"/>
      <c r="CO133" s="560"/>
      <c r="CP133" s="560"/>
      <c r="CQ133" s="560"/>
      <c r="CR133" s="560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10"/>
      <c r="DQ133" s="7"/>
      <c r="DR133" s="7"/>
      <c r="DS133" s="7"/>
      <c r="DT133" s="7"/>
      <c r="DU133" s="10"/>
      <c r="DV133" s="62"/>
      <c r="DW133" s="62"/>
      <c r="DX133" s="6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</row>
    <row r="134" spans="1:139" ht="4.5" customHeight="1" x14ac:dyDescent="0.2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560" t="s">
        <v>344</v>
      </c>
      <c r="CC134" s="560"/>
      <c r="CD134" s="560"/>
      <c r="CE134" s="560"/>
      <c r="CF134" s="560"/>
      <c r="CG134" s="560"/>
      <c r="CH134" s="560"/>
      <c r="CI134" s="560"/>
      <c r="CJ134" s="560"/>
      <c r="CK134" s="560"/>
      <c r="CL134" s="560"/>
      <c r="CM134" s="560"/>
      <c r="CN134" s="560"/>
      <c r="CO134" s="560"/>
      <c r="CP134" s="560"/>
      <c r="CQ134" s="560"/>
      <c r="CR134" s="560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10"/>
      <c r="DQ134" s="7"/>
      <c r="DR134" s="7"/>
      <c r="DS134" s="7"/>
      <c r="DT134" s="7"/>
      <c r="DU134" s="10"/>
      <c r="DV134" s="62"/>
      <c r="DW134" s="62"/>
      <c r="DX134" s="6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</row>
    <row r="135" spans="1:139" ht="4.5" customHeight="1" x14ac:dyDescent="0.2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560" t="s">
        <v>345</v>
      </c>
      <c r="CC135" s="560"/>
      <c r="CD135" s="560"/>
      <c r="CE135" s="560"/>
      <c r="CF135" s="560"/>
      <c r="CG135" s="560"/>
      <c r="CH135" s="560"/>
      <c r="CI135" s="560"/>
      <c r="CJ135" s="560"/>
      <c r="CK135" s="560"/>
      <c r="CL135" s="560"/>
      <c r="CM135" s="560"/>
      <c r="CN135" s="560"/>
      <c r="CO135" s="560"/>
      <c r="CP135" s="560"/>
      <c r="CQ135" s="560"/>
      <c r="CR135" s="560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10"/>
      <c r="DQ135" s="7"/>
      <c r="DR135" s="7"/>
      <c r="DS135" s="7"/>
      <c r="DT135" s="7"/>
      <c r="DU135" s="10"/>
      <c r="DV135" s="62"/>
      <c r="DW135" s="62"/>
      <c r="DX135" s="6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</row>
    <row r="136" spans="1:139" ht="4.5" customHeight="1" x14ac:dyDescent="0.2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560" t="s">
        <v>346</v>
      </c>
      <c r="CC136" s="560"/>
      <c r="CD136" s="560"/>
      <c r="CE136" s="560"/>
      <c r="CF136" s="560"/>
      <c r="CG136" s="560"/>
      <c r="CH136" s="560"/>
      <c r="CI136" s="560"/>
      <c r="CJ136" s="560"/>
      <c r="CK136" s="560"/>
      <c r="CL136" s="560"/>
      <c r="CM136" s="560"/>
      <c r="CN136" s="560"/>
      <c r="CO136" s="560"/>
      <c r="CP136" s="560"/>
      <c r="CQ136" s="560"/>
      <c r="CR136" s="560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10"/>
      <c r="DQ136" s="7"/>
      <c r="DR136" s="7"/>
      <c r="DS136" s="7"/>
      <c r="DT136" s="7"/>
      <c r="DU136" s="10"/>
      <c r="DV136" s="62"/>
      <c r="DW136" s="62"/>
      <c r="DX136" s="6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</row>
    <row r="137" spans="1:139" ht="4.5" customHeight="1" x14ac:dyDescent="0.2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560" t="s">
        <v>347</v>
      </c>
      <c r="CC137" s="560"/>
      <c r="CD137" s="560"/>
      <c r="CE137" s="560"/>
      <c r="CF137" s="560"/>
      <c r="CG137" s="560"/>
      <c r="CH137" s="560"/>
      <c r="CI137" s="560"/>
      <c r="CJ137" s="560"/>
      <c r="CK137" s="560"/>
      <c r="CL137" s="560"/>
      <c r="CM137" s="560"/>
      <c r="CN137" s="560"/>
      <c r="CO137" s="560"/>
      <c r="CP137" s="560"/>
      <c r="CQ137" s="560"/>
      <c r="CR137" s="560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10"/>
      <c r="DQ137" s="7"/>
      <c r="DR137" s="7"/>
      <c r="DS137" s="7"/>
      <c r="DT137" s="7"/>
      <c r="DU137" s="10"/>
      <c r="DV137" s="62"/>
      <c r="DW137" s="62"/>
      <c r="DX137" s="6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</row>
    <row r="138" spans="1:139" ht="4.5" customHeight="1" x14ac:dyDescent="0.2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560" t="s">
        <v>348</v>
      </c>
      <c r="CC138" s="560"/>
      <c r="CD138" s="560"/>
      <c r="CE138" s="560"/>
      <c r="CF138" s="560"/>
      <c r="CG138" s="560"/>
      <c r="CH138" s="560"/>
      <c r="CI138" s="560"/>
      <c r="CJ138" s="560"/>
      <c r="CK138" s="560"/>
      <c r="CL138" s="560"/>
      <c r="CM138" s="560"/>
      <c r="CN138" s="560"/>
      <c r="CO138" s="560"/>
      <c r="CP138" s="560"/>
      <c r="CQ138" s="560"/>
      <c r="CR138" s="560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10"/>
      <c r="DQ138" s="7"/>
      <c r="DR138" s="7"/>
      <c r="DS138" s="7"/>
      <c r="DT138" s="7"/>
      <c r="DU138" s="10"/>
      <c r="DV138" s="62"/>
      <c r="DW138" s="62"/>
      <c r="DX138" s="6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</row>
    <row r="139" spans="1:139" ht="4.5" customHeight="1" x14ac:dyDescent="0.2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560"/>
      <c r="CC139" s="560"/>
      <c r="CD139" s="560"/>
      <c r="CE139" s="560"/>
      <c r="CF139" s="560"/>
      <c r="CG139" s="560"/>
      <c r="CH139" s="560"/>
      <c r="CI139" s="560"/>
      <c r="CJ139" s="560"/>
      <c r="CK139" s="560"/>
      <c r="CL139" s="560"/>
      <c r="CM139" s="560"/>
      <c r="CN139" s="560"/>
      <c r="CO139" s="560"/>
      <c r="CP139" s="560"/>
      <c r="CQ139" s="560"/>
      <c r="CR139" s="560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10"/>
      <c r="DQ139" s="7"/>
      <c r="DR139" s="7"/>
      <c r="DS139" s="7"/>
      <c r="DT139" s="7"/>
      <c r="DU139" s="10"/>
      <c r="DV139" s="62"/>
      <c r="DW139" s="62"/>
      <c r="DX139" s="6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</row>
    <row r="140" spans="1:139" ht="4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10"/>
      <c r="DQ140" s="7"/>
      <c r="DR140" s="7"/>
      <c r="DS140" s="7"/>
      <c r="DT140" s="7"/>
      <c r="DU140" s="10"/>
      <c r="DV140" s="62"/>
      <c r="DW140" s="62"/>
      <c r="DX140" s="6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</row>
    <row r="141" spans="1:139" ht="4.5" hidden="1" customHeight="1" x14ac:dyDescent="0.15">
      <c r="G141" s="21"/>
      <c r="H141" s="21"/>
      <c r="I141" s="21"/>
      <c r="J141" s="21"/>
      <c r="K141" s="23"/>
      <c r="DP141" s="23"/>
      <c r="DQ141" s="21"/>
      <c r="DR141" s="21"/>
      <c r="DS141" s="21"/>
      <c r="DT141" s="21"/>
      <c r="DU141" s="23"/>
      <c r="DV141" s="54"/>
      <c r="DW141" s="54"/>
      <c r="DX141" s="54"/>
    </row>
    <row r="142" spans="1:139" ht="4.5" hidden="1" customHeight="1" x14ac:dyDescent="0.15">
      <c r="G142" s="21"/>
      <c r="H142" s="21"/>
      <c r="I142" s="21"/>
      <c r="J142" s="21"/>
      <c r="K142" s="23"/>
      <c r="DP142" s="23"/>
      <c r="DQ142" s="21"/>
      <c r="DR142" s="21"/>
      <c r="DS142" s="21"/>
      <c r="DT142" s="21"/>
      <c r="DU142" s="23"/>
      <c r="DV142" s="54"/>
      <c r="DW142" s="54"/>
      <c r="DX142" s="54"/>
    </row>
    <row r="143" spans="1:139" ht="4.5" hidden="1" customHeight="1" x14ac:dyDescent="0.15">
      <c r="G143" s="21"/>
      <c r="H143" s="21"/>
      <c r="I143" s="21"/>
      <c r="J143" s="21"/>
      <c r="K143" s="23"/>
      <c r="DP143" s="23"/>
      <c r="DQ143" s="21"/>
      <c r="DR143" s="21"/>
      <c r="DS143" s="21"/>
      <c r="DT143" s="21"/>
      <c r="DU143" s="23"/>
      <c r="DV143" s="54"/>
      <c r="DW143" s="54"/>
      <c r="DX143" s="54"/>
    </row>
    <row r="144" spans="1:139" ht="4.5" hidden="1" customHeight="1" x14ac:dyDescent="0.15">
      <c r="G144" s="21"/>
      <c r="H144" s="21"/>
      <c r="DR144" s="21"/>
      <c r="DS144" s="21"/>
      <c r="DT144" s="21"/>
      <c r="DU144" s="21"/>
      <c r="DV144" s="21"/>
      <c r="DW144" s="21"/>
      <c r="DX144" s="21"/>
    </row>
    <row r="145" spans="7:129" ht="4.5" hidden="1" customHeight="1" x14ac:dyDescent="0.15">
      <c r="G145" s="21"/>
      <c r="H145" s="21"/>
      <c r="DR145" s="21"/>
      <c r="DS145" s="21"/>
      <c r="DT145" s="21"/>
      <c r="DU145" s="21"/>
      <c r="DV145" s="21"/>
      <c r="DW145" s="21"/>
      <c r="DX145" s="21"/>
    </row>
    <row r="146" spans="7:129" ht="4.5" hidden="1" customHeight="1" x14ac:dyDescent="0.15">
      <c r="G146" s="21"/>
      <c r="H146" s="21"/>
      <c r="DR146" s="21"/>
      <c r="DS146" s="21"/>
      <c r="DT146" s="21"/>
      <c r="DU146" s="21"/>
      <c r="DV146" s="21"/>
      <c r="DW146" s="21"/>
      <c r="DX146" s="21"/>
    </row>
    <row r="147" spans="7:129" ht="4.5" hidden="1" customHeight="1" x14ac:dyDescent="0.15">
      <c r="G147" s="21"/>
      <c r="H147" s="21"/>
      <c r="DR147" s="21"/>
      <c r="DS147" s="21"/>
      <c r="DT147" s="21"/>
      <c r="DU147" s="21"/>
      <c r="DV147" s="21"/>
      <c r="DW147" s="21"/>
      <c r="DX147" s="21"/>
    </row>
    <row r="148" spans="7:129" ht="4.5" hidden="1" customHeight="1" x14ac:dyDescent="0.15">
      <c r="G148" s="21"/>
      <c r="H148" s="21"/>
      <c r="DR148" s="21"/>
      <c r="DS148" s="21"/>
      <c r="DT148" s="21"/>
      <c r="DU148" s="21"/>
      <c r="DV148" s="21"/>
      <c r="DW148" s="21"/>
      <c r="DX148" s="21"/>
    </row>
    <row r="149" spans="7:129" ht="4.5" hidden="1" customHeight="1" x14ac:dyDescent="0.15">
      <c r="G149" s="21"/>
      <c r="H149" s="21"/>
      <c r="DR149" s="21"/>
      <c r="DS149" s="21"/>
      <c r="DT149" s="21"/>
      <c r="DU149" s="21"/>
      <c r="DV149" s="21"/>
      <c r="DW149" s="21"/>
      <c r="DX149" s="21"/>
    </row>
    <row r="150" spans="7:129" ht="4.5" hidden="1" customHeight="1" x14ac:dyDescent="0.15">
      <c r="G150" s="21"/>
      <c r="H150" s="21"/>
      <c r="DR150" s="21"/>
      <c r="DS150" s="21"/>
      <c r="DT150" s="21"/>
      <c r="DU150" s="21"/>
      <c r="DV150" s="21"/>
      <c r="DW150" s="21"/>
      <c r="DX150" s="21"/>
    </row>
    <row r="151" spans="7:129" ht="4.5" hidden="1" customHeight="1" x14ac:dyDescent="0.15">
      <c r="G151" s="21"/>
      <c r="H151" s="21"/>
      <c r="DR151" s="21"/>
      <c r="DS151" s="21"/>
      <c r="DT151" s="21"/>
      <c r="DU151" s="21"/>
      <c r="DV151" s="21"/>
      <c r="DW151" s="21"/>
      <c r="DX151" s="21"/>
    </row>
    <row r="152" spans="7:129" ht="4.5" hidden="1" customHeight="1" x14ac:dyDescent="0.15">
      <c r="G152" s="21"/>
      <c r="H152" s="21"/>
      <c r="DY152" s="35"/>
    </row>
    <row r="153" spans="7:129" ht="4.5" hidden="1" customHeight="1" x14ac:dyDescent="0.15">
      <c r="G153" s="21"/>
      <c r="H153" s="21"/>
      <c r="DY153" s="35"/>
    </row>
    <row r="154" spans="7:129" ht="4.5" hidden="1" customHeight="1" x14ac:dyDescent="0.15">
      <c r="G154" s="21"/>
      <c r="H154" s="21"/>
      <c r="DY154" s="50"/>
    </row>
    <row r="155" spans="7:129" ht="4.5" hidden="1" customHeight="1" x14ac:dyDescent="0.15">
      <c r="G155" s="21"/>
      <c r="H155" s="21"/>
      <c r="DY155" s="50"/>
    </row>
    <row r="156" spans="7:129" ht="4.5" hidden="1" customHeight="1" x14ac:dyDescent="0.15">
      <c r="G156" s="21"/>
      <c r="H156" s="21"/>
      <c r="DY156" s="50"/>
    </row>
    <row r="157" spans="7:129" ht="4.5" hidden="1" customHeight="1" x14ac:dyDescent="0.15">
      <c r="G157" s="21"/>
      <c r="H157" s="21"/>
      <c r="DY157" s="50"/>
    </row>
    <row r="158" spans="7:129" ht="4.5" hidden="1" customHeight="1" x14ac:dyDescent="0.15">
      <c r="G158" s="21"/>
      <c r="H158" s="21"/>
    </row>
    <row r="159" spans="7:129" ht="4.5" hidden="1" customHeight="1" x14ac:dyDescent="0.15">
      <c r="G159" s="21"/>
      <c r="H159" s="21"/>
      <c r="DY159" s="35"/>
    </row>
    <row r="160" spans="7:129" ht="4.5" hidden="1" customHeight="1" x14ac:dyDescent="0.15">
      <c r="G160" s="21"/>
      <c r="H160" s="21"/>
      <c r="DY160" s="35"/>
    </row>
    <row r="161" spans="7:129" ht="4.5" hidden="1" customHeight="1" x14ac:dyDescent="0.15">
      <c r="G161" s="21"/>
      <c r="H161" s="21"/>
      <c r="DR161" s="21"/>
      <c r="DS161" s="21"/>
      <c r="DT161" s="21"/>
      <c r="DU161" s="23"/>
      <c r="DV161" s="57"/>
      <c r="DW161" s="57"/>
      <c r="DX161" s="57"/>
      <c r="DY161" s="35"/>
    </row>
    <row r="162" spans="7:129" ht="4.5" hidden="1" customHeight="1" x14ac:dyDescent="0.15">
      <c r="G162" s="21"/>
      <c r="H162" s="21"/>
      <c r="DY162" s="35"/>
    </row>
    <row r="163" spans="7:129" ht="4.5" hidden="1" customHeight="1" x14ac:dyDescent="0.15">
      <c r="G163" s="21"/>
      <c r="H163" s="21"/>
    </row>
    <row r="164" spans="7:129" ht="4.5" hidden="1" customHeight="1" x14ac:dyDescent="0.15">
      <c r="G164" s="21"/>
      <c r="H164" s="21"/>
      <c r="DY164" s="84"/>
    </row>
    <row r="165" spans="7:129" ht="4.5" hidden="1" customHeight="1" x14ac:dyDescent="0.15">
      <c r="G165" s="21"/>
      <c r="H165" s="21"/>
      <c r="DY165" s="84"/>
    </row>
    <row r="166" spans="7:129" ht="4.5" hidden="1" customHeight="1" x14ac:dyDescent="0.15">
      <c r="G166" s="21"/>
      <c r="H166" s="21"/>
      <c r="DY166" s="84"/>
    </row>
    <row r="167" spans="7:129" ht="4.5" hidden="1" customHeight="1" x14ac:dyDescent="0.15">
      <c r="G167" s="21"/>
      <c r="H167" s="21"/>
      <c r="DY167" s="84"/>
    </row>
    <row r="168" spans="7:129" ht="4.5" hidden="1" customHeight="1" x14ac:dyDescent="0.15">
      <c r="G168" s="21"/>
      <c r="H168" s="21"/>
      <c r="DY168" s="85"/>
    </row>
    <row r="169" spans="7:129" ht="4.5" hidden="1" customHeight="1" x14ac:dyDescent="0.15">
      <c r="G169" s="21"/>
      <c r="H169" s="21"/>
      <c r="DY169" s="85"/>
    </row>
    <row r="170" spans="7:129" ht="4.5" hidden="1" customHeight="1" x14ac:dyDescent="0.15">
      <c r="G170" s="21"/>
      <c r="H170" s="21"/>
    </row>
    <row r="171" spans="7:129" ht="4.5" hidden="1" customHeight="1" x14ac:dyDescent="0.15">
      <c r="G171" s="21"/>
      <c r="H171" s="21"/>
    </row>
    <row r="172" spans="7:129" ht="4.5" hidden="1" customHeight="1" x14ac:dyDescent="0.15">
      <c r="G172" s="21"/>
      <c r="H172" s="21"/>
    </row>
    <row r="173" spans="7:129" ht="4.5" hidden="1" customHeight="1" x14ac:dyDescent="0.15">
      <c r="G173" s="21"/>
      <c r="H173" s="21"/>
    </row>
    <row r="174" spans="7:129" ht="4.5" hidden="1" customHeight="1" x14ac:dyDescent="0.15">
      <c r="G174" s="21"/>
      <c r="H174" s="21"/>
    </row>
    <row r="175" spans="7:129" ht="4.5" hidden="1" customHeight="1" x14ac:dyDescent="0.15">
      <c r="G175" s="21"/>
      <c r="H175" s="21"/>
    </row>
    <row r="176" spans="7:129" ht="4.5" hidden="1" customHeight="1" x14ac:dyDescent="0.15">
      <c r="G176" s="21"/>
      <c r="H176" s="21"/>
    </row>
    <row r="177" spans="1:128" ht="4.5" hidden="1" customHeight="1" x14ac:dyDescent="0.15">
      <c r="G177" s="21"/>
      <c r="H177" s="21"/>
    </row>
    <row r="178" spans="1:128" ht="4.5" hidden="1" customHeight="1" x14ac:dyDescent="0.15">
      <c r="G178" s="21"/>
      <c r="H178" s="21"/>
    </row>
    <row r="179" spans="1:128" ht="4.5" hidden="1" customHeight="1" x14ac:dyDescent="0.15">
      <c r="G179" s="21"/>
      <c r="H179" s="21"/>
    </row>
    <row r="180" spans="1:128" ht="4.5" hidden="1" customHeight="1" x14ac:dyDescent="0.15">
      <c r="G180" s="21"/>
      <c r="H180" s="21"/>
    </row>
    <row r="181" spans="1:128" ht="4.5" hidden="1" customHeight="1" x14ac:dyDescent="0.15">
      <c r="G181" s="21"/>
      <c r="H181" s="21"/>
    </row>
    <row r="182" spans="1:128" ht="4.5" hidden="1" customHeight="1" x14ac:dyDescent="0.15">
      <c r="G182" s="21"/>
      <c r="H182" s="21"/>
      <c r="DR182" s="21"/>
      <c r="DS182" s="21"/>
      <c r="DT182" s="21"/>
      <c r="DU182" s="23"/>
      <c r="DV182" s="21"/>
      <c r="DW182" s="21"/>
      <c r="DX182" s="21"/>
    </row>
    <row r="183" spans="1:128" ht="4.5" hidden="1" customHeight="1" x14ac:dyDescent="0.15">
      <c r="G183" s="21"/>
      <c r="H183" s="21"/>
      <c r="DR183" s="21"/>
      <c r="DS183" s="21"/>
      <c r="DT183" s="21"/>
      <c r="DU183" s="21"/>
      <c r="DV183" s="21"/>
      <c r="DW183" s="21"/>
      <c r="DX183" s="21"/>
    </row>
    <row r="184" spans="1:128" ht="4.5" hidden="1" customHeight="1" x14ac:dyDescent="0.15">
      <c r="G184" s="21"/>
      <c r="H184" s="21"/>
      <c r="DR184" s="21"/>
      <c r="DS184" s="21"/>
      <c r="DT184" s="21"/>
      <c r="DU184" s="21"/>
      <c r="DV184" s="21"/>
      <c r="DW184" s="21"/>
      <c r="DX184" s="21"/>
    </row>
    <row r="185" spans="1:128" ht="4.5" hidden="1" customHeight="1" x14ac:dyDescent="0.15">
      <c r="G185" s="21"/>
      <c r="H185" s="21"/>
    </row>
    <row r="186" spans="1:128" ht="4.5" hidden="1" customHeight="1" x14ac:dyDescent="0.15">
      <c r="G186" s="21"/>
      <c r="H186" s="21"/>
    </row>
    <row r="187" spans="1:128" ht="4.5" hidden="1" customHeight="1" x14ac:dyDescent="0.15">
      <c r="G187" s="21"/>
      <c r="H187" s="21"/>
    </row>
    <row r="188" spans="1:128" ht="4.5" hidden="1" customHeight="1" x14ac:dyDescent="0.2">
      <c r="A188" s="56"/>
      <c r="B188" s="56"/>
      <c r="C188" s="56"/>
      <c r="D188" s="56"/>
      <c r="E188" s="56"/>
      <c r="F188" s="56"/>
      <c r="G188" s="48"/>
      <c r="H188" s="48"/>
    </row>
    <row r="189" spans="1:128" ht="4.5" hidden="1" customHeight="1" x14ac:dyDescent="0.2">
      <c r="A189" s="56"/>
      <c r="B189" s="56"/>
      <c r="C189" s="56"/>
      <c r="D189" s="56"/>
      <c r="E189" s="56"/>
      <c r="F189" s="56"/>
      <c r="G189" s="48"/>
      <c r="H189" s="48"/>
    </row>
    <row r="190" spans="1:128" ht="4.5" hidden="1" customHeight="1" x14ac:dyDescent="0.15">
      <c r="G190" s="21"/>
      <c r="H190" s="21"/>
    </row>
    <row r="191" spans="1:128" ht="4.5" hidden="1" customHeight="1" x14ac:dyDescent="0.15">
      <c r="G191" s="21"/>
      <c r="H191" s="21"/>
    </row>
    <row r="192" spans="1:128" ht="4.5" hidden="1" customHeight="1" x14ac:dyDescent="0.15">
      <c r="G192" s="21"/>
      <c r="H192" s="21"/>
    </row>
    <row r="193" ht="4.5" hidden="1" customHeight="1" x14ac:dyDescent="0.15"/>
    <row r="194" ht="4.5" hidden="1" customHeight="1" x14ac:dyDescent="0.15"/>
    <row r="195" ht="4.5" hidden="1" customHeight="1" x14ac:dyDescent="0.15"/>
    <row r="196" ht="4.5" hidden="1" customHeight="1" x14ac:dyDescent="0.15"/>
    <row r="197" ht="4.5" hidden="1" customHeight="1" x14ac:dyDescent="0.15"/>
    <row r="198" ht="4.5" hidden="1" customHeight="1" x14ac:dyDescent="0.15"/>
    <row r="199" ht="4.5" hidden="1" customHeight="1" x14ac:dyDescent="0.15"/>
    <row r="200" ht="4.5" hidden="1" customHeight="1" x14ac:dyDescent="0.15"/>
    <row r="201" ht="4.5" hidden="1" customHeight="1" x14ac:dyDescent="0.15"/>
    <row r="202" ht="4.5" hidden="1" customHeight="1" x14ac:dyDescent="0.15"/>
    <row r="203" ht="4.5" hidden="1" customHeight="1" x14ac:dyDescent="0.15"/>
    <row r="204" ht="4.5" hidden="1" customHeight="1" x14ac:dyDescent="0.15"/>
    <row r="205" ht="4.5" hidden="1" customHeight="1" x14ac:dyDescent="0.15"/>
    <row r="206" ht="4.5" hidden="1" customHeight="1" x14ac:dyDescent="0.15"/>
    <row r="207" ht="4.5" hidden="1" customHeight="1" x14ac:dyDescent="0.15"/>
    <row r="208" ht="4.5" hidden="1" customHeight="1" x14ac:dyDescent="0.15"/>
    <row r="209" spans="11:11" ht="4.5" hidden="1" customHeight="1" x14ac:dyDescent="0.15"/>
    <row r="210" spans="11:11" ht="4.5" hidden="1" customHeight="1" x14ac:dyDescent="0.15"/>
    <row r="211" spans="11:11" ht="4.5" hidden="1" customHeight="1" x14ac:dyDescent="0.15"/>
    <row r="212" spans="11:11" ht="4.5" hidden="1" customHeight="1" x14ac:dyDescent="0.15"/>
    <row r="213" spans="11:11" ht="4.5" hidden="1" customHeight="1" x14ac:dyDescent="0.15">
      <c r="K213" s="23"/>
    </row>
    <row r="214" spans="11:11" ht="4.5" hidden="1" customHeight="1" x14ac:dyDescent="0.15">
      <c r="K214" s="23"/>
    </row>
    <row r="215" spans="11:11" ht="4.5" hidden="1" customHeight="1" x14ac:dyDescent="0.15">
      <c r="K215" s="23"/>
    </row>
    <row r="216" spans="11:11" ht="4.5" hidden="1" customHeight="1" x14ac:dyDescent="0.15">
      <c r="K216" s="23"/>
    </row>
    <row r="217" spans="11:11" ht="4.5" hidden="1" customHeight="1" x14ac:dyDescent="0.15">
      <c r="K217" s="23"/>
    </row>
    <row r="218" spans="11:11" ht="4.5" hidden="1" customHeight="1" x14ac:dyDescent="0.15">
      <c r="K218" s="23"/>
    </row>
    <row r="219" spans="11:11" ht="4.5" hidden="1" customHeight="1" x14ac:dyDescent="0.15">
      <c r="K219" s="23"/>
    </row>
    <row r="220" spans="11:11" ht="4.5" hidden="1" customHeight="1" x14ac:dyDescent="0.15">
      <c r="K220" s="23"/>
    </row>
    <row r="221" spans="11:11" ht="4.5" hidden="1" customHeight="1" x14ac:dyDescent="0.15">
      <c r="K221" s="23"/>
    </row>
    <row r="222" spans="11:11" ht="4.5" hidden="1" customHeight="1" x14ac:dyDescent="0.15">
      <c r="K222" s="23"/>
    </row>
    <row r="223" spans="11:11" ht="4.5" hidden="1" customHeight="1" x14ac:dyDescent="0.15">
      <c r="K223" s="23"/>
    </row>
    <row r="224" spans="11:11" ht="4.5" hidden="1" customHeight="1" x14ac:dyDescent="0.15">
      <c r="K224" s="23"/>
    </row>
    <row r="225" spans="11:11" ht="4.5" hidden="1" customHeight="1" x14ac:dyDescent="0.15">
      <c r="K225" s="23"/>
    </row>
    <row r="226" spans="11:11" ht="4.5" hidden="1" customHeight="1" x14ac:dyDescent="0.15">
      <c r="K226" s="23"/>
    </row>
    <row r="227" spans="11:11" ht="4.5" hidden="1" customHeight="1" x14ac:dyDescent="0.15">
      <c r="K227" s="23"/>
    </row>
    <row r="228" spans="11:11" ht="4.5" hidden="1" customHeight="1" x14ac:dyDescent="0.15">
      <c r="K228" s="23"/>
    </row>
    <row r="229" spans="11:11" ht="4.5" hidden="1" customHeight="1" x14ac:dyDescent="0.15">
      <c r="K229" s="23"/>
    </row>
    <row r="230" spans="11:11" ht="4.5" hidden="1" customHeight="1" x14ac:dyDescent="0.15">
      <c r="K230" s="23"/>
    </row>
    <row r="231" spans="11:11" ht="4.5" hidden="1" customHeight="1" x14ac:dyDescent="0.15">
      <c r="K231" s="23"/>
    </row>
    <row r="232" spans="11:11" ht="4.5" hidden="1" customHeight="1" x14ac:dyDescent="0.15">
      <c r="K232" s="23"/>
    </row>
    <row r="233" spans="11:11" ht="4.5" hidden="1" customHeight="1" x14ac:dyDescent="0.15">
      <c r="K233" s="23"/>
    </row>
    <row r="234" spans="11:11" ht="4.5" hidden="1" customHeight="1" x14ac:dyDescent="0.15">
      <c r="K234" s="23"/>
    </row>
    <row r="235" spans="11:11" ht="4.5" hidden="1" customHeight="1" x14ac:dyDescent="0.15">
      <c r="K235" s="23"/>
    </row>
    <row r="236" spans="11:11" ht="4.5" hidden="1" customHeight="1" x14ac:dyDescent="0.15">
      <c r="K236" s="23"/>
    </row>
    <row r="237" spans="11:11" ht="4.5" hidden="1" customHeight="1" x14ac:dyDescent="0.15">
      <c r="K237" s="23"/>
    </row>
    <row r="238" spans="11:11" ht="4.5" hidden="1" customHeight="1" x14ac:dyDescent="0.15">
      <c r="K238" s="23"/>
    </row>
    <row r="239" spans="11:11" ht="4.5" hidden="1" customHeight="1" x14ac:dyDescent="0.15">
      <c r="K239" s="23"/>
    </row>
    <row r="240" spans="11:11" ht="4.5" hidden="1" customHeight="1" x14ac:dyDescent="0.15">
      <c r="K240" s="23"/>
    </row>
    <row r="241" spans="11:85" ht="4.5" hidden="1" customHeight="1" x14ac:dyDescent="0.15">
      <c r="K241" s="23"/>
    </row>
    <row r="242" spans="11:85" ht="4.5" hidden="1" customHeight="1" x14ac:dyDescent="0.15">
      <c r="K242" s="23"/>
    </row>
    <row r="243" spans="11:85" ht="4.5" hidden="1" customHeight="1" x14ac:dyDescent="0.15">
      <c r="K243" s="23"/>
      <c r="CC243" s="87"/>
      <c r="CD243" s="87"/>
      <c r="CE243" s="87"/>
      <c r="CF243" s="87"/>
      <c r="CG243" s="87"/>
    </row>
    <row r="244" spans="11:85" ht="4.5" hidden="1" customHeight="1" x14ac:dyDescent="0.15">
      <c r="K244" s="23"/>
      <c r="CC244" s="87"/>
      <c r="CD244" s="87"/>
      <c r="CE244" s="87"/>
      <c r="CF244" s="87"/>
      <c r="CG244" s="87"/>
    </row>
    <row r="245" spans="11:85" ht="4.5" hidden="1" customHeight="1" x14ac:dyDescent="0.15">
      <c r="K245" s="23"/>
    </row>
    <row r="246" spans="11:85" ht="4.5" hidden="1" customHeight="1" x14ac:dyDescent="0.15">
      <c r="K246" s="23"/>
    </row>
    <row r="247" spans="11:85" ht="4.5" hidden="1" customHeight="1" x14ac:dyDescent="0.15">
      <c r="K247" s="23"/>
    </row>
    <row r="248" spans="11:85" ht="4.5" hidden="1" customHeight="1" x14ac:dyDescent="0.15">
      <c r="K248" s="23"/>
    </row>
    <row r="249" spans="11:85" ht="4.5" hidden="1" customHeight="1" x14ac:dyDescent="0.15">
      <c r="K249" s="23"/>
    </row>
    <row r="250" spans="11:85" ht="4.5" hidden="1" customHeight="1" x14ac:dyDescent="0.15">
      <c r="K250" s="23"/>
    </row>
    <row r="251" spans="11:85" ht="4.5" hidden="1" customHeight="1" x14ac:dyDescent="0.15">
      <c r="K251" s="23"/>
    </row>
    <row r="252" spans="11:85" ht="4.5" hidden="1" customHeight="1" x14ac:dyDescent="0.15">
      <c r="K252" s="23"/>
    </row>
    <row r="253" spans="11:85" ht="4.5" hidden="1" customHeight="1" x14ac:dyDescent="0.15">
      <c r="K253" s="23"/>
    </row>
    <row r="254" spans="11:85" ht="4.5" hidden="1" customHeight="1" x14ac:dyDescent="0.15">
      <c r="K254" s="23"/>
    </row>
    <row r="255" spans="11:85" ht="4.5" hidden="1" customHeight="1" x14ac:dyDescent="0.15">
      <c r="K255" s="23"/>
    </row>
    <row r="256" spans="11:85" ht="4.5" hidden="1" customHeight="1" x14ac:dyDescent="0.15">
      <c r="K256" s="23"/>
    </row>
    <row r="257" spans="11:87" ht="4.5" hidden="1" customHeight="1" x14ac:dyDescent="0.15">
      <c r="K257" s="23"/>
    </row>
    <row r="258" spans="11:87" ht="4.5" hidden="1" customHeight="1" x14ac:dyDescent="0.15">
      <c r="K258" s="23"/>
    </row>
    <row r="259" spans="11:87" ht="4.5" hidden="1" customHeight="1" x14ac:dyDescent="0.15">
      <c r="K259" s="23"/>
    </row>
    <row r="260" spans="11:87" ht="4.5" hidden="1" customHeight="1" x14ac:dyDescent="0.15">
      <c r="K260" s="23"/>
      <c r="CI260" s="86"/>
    </row>
    <row r="261" spans="11:87" ht="4.5" hidden="1" customHeight="1" x14ac:dyDescent="0.15">
      <c r="K261" s="23"/>
      <c r="CI261" s="86"/>
    </row>
    <row r="262" spans="11:87" ht="4.5" hidden="1" customHeight="1" x14ac:dyDescent="0.15">
      <c r="K262" s="23"/>
      <c r="CG262" s="47"/>
      <c r="CH262" s="47"/>
      <c r="CI262" s="86"/>
    </row>
    <row r="263" spans="11:87" ht="4.5" hidden="1" customHeight="1" x14ac:dyDescent="0.15">
      <c r="K263" s="23"/>
      <c r="CG263" s="47"/>
      <c r="CH263" s="47"/>
      <c r="CI263" s="86"/>
    </row>
    <row r="264" spans="11:87" ht="4.5" hidden="1" customHeight="1" x14ac:dyDescent="0.15">
      <c r="K264" s="23"/>
      <c r="CG264" s="47"/>
      <c r="CH264" s="47"/>
      <c r="CI264" s="86"/>
    </row>
    <row r="265" spans="11:87" ht="4.5" hidden="1" customHeight="1" x14ac:dyDescent="0.15">
      <c r="K265" s="23"/>
      <c r="CG265" s="47"/>
      <c r="CH265" s="47"/>
      <c r="CI265" s="86"/>
    </row>
    <row r="266" spans="11:87" ht="4.5" hidden="1" customHeight="1" x14ac:dyDescent="0.15">
      <c r="K266" s="23"/>
      <c r="CG266" s="47"/>
      <c r="CH266" s="47"/>
      <c r="CI266" s="86"/>
    </row>
    <row r="267" spans="11:87" ht="4.5" hidden="1" customHeight="1" x14ac:dyDescent="0.15">
      <c r="K267" s="23"/>
      <c r="CG267" s="47"/>
      <c r="CH267" s="47"/>
      <c r="CI267" s="86"/>
    </row>
    <row r="268" spans="11:87" ht="4.5" hidden="1" customHeight="1" x14ac:dyDescent="0.15">
      <c r="K268" s="23"/>
    </row>
    <row r="269" spans="11:87" ht="4.5" hidden="1" customHeight="1" x14ac:dyDescent="0.15">
      <c r="K269" s="23"/>
    </row>
    <row r="270" spans="11:87" ht="4.5" hidden="1" customHeight="1" x14ac:dyDescent="0.15">
      <c r="K270" s="23"/>
    </row>
    <row r="271" spans="11:87" ht="4.5" hidden="1" customHeight="1" x14ac:dyDescent="0.15">
      <c r="K271" s="23"/>
    </row>
    <row r="272" spans="11:87" ht="4.5" hidden="1" customHeight="1" x14ac:dyDescent="0.15">
      <c r="K272" s="23"/>
    </row>
    <row r="273" spans="11:11" ht="4.5" hidden="1" customHeight="1" x14ac:dyDescent="0.15">
      <c r="K273" s="23"/>
    </row>
    <row r="274" spans="11:11" ht="4.5" hidden="1" customHeight="1" x14ac:dyDescent="0.15">
      <c r="K274" s="23"/>
    </row>
    <row r="275" spans="11:11" ht="4.5" hidden="1" customHeight="1" x14ac:dyDescent="0.15">
      <c r="K275" s="23"/>
    </row>
    <row r="276" spans="11:11" ht="4.5" hidden="1" customHeight="1" x14ac:dyDescent="0.15">
      <c r="K276" s="23"/>
    </row>
    <row r="277" spans="11:11" ht="4.5" hidden="1" customHeight="1" x14ac:dyDescent="0.15">
      <c r="K277" s="23"/>
    </row>
    <row r="278" spans="11:11" ht="4.5" hidden="1" customHeight="1" x14ac:dyDescent="0.15">
      <c r="K278" s="23"/>
    </row>
    <row r="279" spans="11:11" ht="4.5" hidden="1" customHeight="1" x14ac:dyDescent="0.15">
      <c r="K279" s="23"/>
    </row>
    <row r="280" spans="11:11" ht="4.5" hidden="1" customHeight="1" x14ac:dyDescent="0.15">
      <c r="K280" s="23"/>
    </row>
    <row r="281" spans="11:11" ht="4.5" hidden="1" customHeight="1" x14ac:dyDescent="0.15">
      <c r="K281" s="23"/>
    </row>
    <row r="282" spans="11:11" ht="4.5" hidden="1" customHeight="1" x14ac:dyDescent="0.15">
      <c r="K282" s="23"/>
    </row>
    <row r="283" spans="11:11" ht="4.5" hidden="1" customHeight="1" x14ac:dyDescent="0.15">
      <c r="K283" s="23"/>
    </row>
    <row r="284" spans="11:11" ht="4.5" hidden="1" customHeight="1" x14ac:dyDescent="0.15">
      <c r="K284" s="23"/>
    </row>
    <row r="285" spans="11:11" ht="4.5" hidden="1" customHeight="1" x14ac:dyDescent="0.15">
      <c r="K285" s="23"/>
    </row>
    <row r="286" spans="11:11" ht="4.5" hidden="1" customHeight="1" x14ac:dyDescent="0.15">
      <c r="K286" s="23"/>
    </row>
    <row r="287" spans="11:11" ht="4.5" hidden="1" customHeight="1" x14ac:dyDescent="0.15">
      <c r="K287" s="23"/>
    </row>
    <row r="288" spans="11:11" ht="4.5" hidden="1" customHeight="1" x14ac:dyDescent="0.15">
      <c r="K288" s="23"/>
    </row>
    <row r="289" spans="11:11" ht="4.5" hidden="1" customHeight="1" x14ac:dyDescent="0.15">
      <c r="K289" s="23"/>
    </row>
    <row r="290" spans="11:11" ht="4.5" hidden="1" customHeight="1" x14ac:dyDescent="0.15">
      <c r="K290" s="23"/>
    </row>
    <row r="291" spans="11:11" ht="4.5" hidden="1" customHeight="1" x14ac:dyDescent="0.15">
      <c r="K291" s="23"/>
    </row>
    <row r="292" spans="11:11" ht="4.5" hidden="1" customHeight="1" x14ac:dyDescent="0.15">
      <c r="K292" s="23"/>
    </row>
    <row r="293" spans="11:11" ht="4.5" hidden="1" customHeight="1" x14ac:dyDescent="0.15">
      <c r="K293" s="23"/>
    </row>
    <row r="294" spans="11:11" ht="4.5" hidden="1" customHeight="1" x14ac:dyDescent="0.15">
      <c r="K294" s="23"/>
    </row>
    <row r="295" spans="11:11" ht="4.5" hidden="1" customHeight="1" x14ac:dyDescent="0.15">
      <c r="K295" s="23"/>
    </row>
    <row r="296" spans="11:11" ht="4.5" hidden="1" customHeight="1" x14ac:dyDescent="0.15">
      <c r="K296" s="23"/>
    </row>
    <row r="297" spans="11:11" ht="4.5" hidden="1" customHeight="1" x14ac:dyDescent="0.15">
      <c r="K297" s="23"/>
    </row>
    <row r="298" spans="11:11" ht="4.5" hidden="1" customHeight="1" x14ac:dyDescent="0.15">
      <c r="K298" s="23"/>
    </row>
    <row r="299" spans="11:11" ht="4.5" hidden="1" customHeight="1" x14ac:dyDescent="0.15">
      <c r="K299" s="23"/>
    </row>
    <row r="300" spans="11:11" ht="4.5" hidden="1" customHeight="1" x14ac:dyDescent="0.15">
      <c r="K300" s="23"/>
    </row>
    <row r="301" spans="11:11" ht="4.5" hidden="1" customHeight="1" x14ac:dyDescent="0.15">
      <c r="K301" s="23"/>
    </row>
    <row r="302" spans="11:11" ht="4.5" hidden="1" customHeight="1" x14ac:dyDescent="0.15">
      <c r="K302" s="23"/>
    </row>
    <row r="303" spans="11:11" ht="4.5" hidden="1" customHeight="1" x14ac:dyDescent="0.15">
      <c r="K303" s="23"/>
    </row>
    <row r="304" spans="11:11" ht="4.5" hidden="1" customHeight="1" x14ac:dyDescent="0.15">
      <c r="K304" s="23"/>
    </row>
    <row r="305" spans="11:11" ht="4.5" hidden="1" customHeight="1" x14ac:dyDescent="0.15">
      <c r="K305" s="23"/>
    </row>
    <row r="306" spans="11:11" ht="4.5" hidden="1" customHeight="1" x14ac:dyDescent="0.15">
      <c r="K306" s="23"/>
    </row>
    <row r="307" spans="11:11" ht="4.5" hidden="1" customHeight="1" x14ac:dyDescent="0.15">
      <c r="K307" s="23"/>
    </row>
    <row r="308" spans="11:11" ht="4.5" hidden="1" customHeight="1" x14ac:dyDescent="0.15">
      <c r="K308" s="23"/>
    </row>
    <row r="309" spans="11:11" ht="4.5" hidden="1" customHeight="1" x14ac:dyDescent="0.15">
      <c r="K309" s="23"/>
    </row>
    <row r="310" spans="11:11" ht="4.5" hidden="1" customHeight="1" x14ac:dyDescent="0.15">
      <c r="K310" s="23"/>
    </row>
    <row r="311" spans="11:11" ht="4.5" hidden="1" customHeight="1" x14ac:dyDescent="0.15">
      <c r="K311" s="23"/>
    </row>
    <row r="312" spans="11:11" ht="4.5" hidden="1" customHeight="1" x14ac:dyDescent="0.15">
      <c r="K312" s="23"/>
    </row>
    <row r="313" spans="11:11" ht="4.5" hidden="1" customHeight="1" x14ac:dyDescent="0.15">
      <c r="K313" s="23"/>
    </row>
    <row r="314" spans="11:11" ht="4.5" hidden="1" customHeight="1" x14ac:dyDescent="0.15">
      <c r="K314" s="23"/>
    </row>
    <row r="315" spans="11:11" ht="4.5" hidden="1" customHeight="1" x14ac:dyDescent="0.15">
      <c r="K315" s="23"/>
    </row>
    <row r="316" spans="11:11" ht="4.5" hidden="1" customHeight="1" x14ac:dyDescent="0.15">
      <c r="K316" s="23"/>
    </row>
    <row r="317" spans="11:11" ht="4.5" hidden="1" customHeight="1" x14ac:dyDescent="0.15">
      <c r="K317" s="23"/>
    </row>
    <row r="318" spans="11:11" ht="4.5" hidden="1" customHeight="1" x14ac:dyDescent="0.15">
      <c r="K318" s="23"/>
    </row>
    <row r="319" spans="11:11" ht="4.5" hidden="1" customHeight="1" x14ac:dyDescent="0.15">
      <c r="K319" s="23"/>
    </row>
    <row r="320" spans="11:11" ht="4.5" hidden="1" customHeight="1" x14ac:dyDescent="0.15">
      <c r="K320" s="23"/>
    </row>
    <row r="321" spans="11:11" ht="4.5" hidden="1" customHeight="1" x14ac:dyDescent="0.15">
      <c r="K321" s="23"/>
    </row>
    <row r="322" spans="11:11" ht="4.5" hidden="1" customHeight="1" x14ac:dyDescent="0.15">
      <c r="K322" s="23"/>
    </row>
    <row r="323" spans="11:11" ht="4.5" hidden="1" customHeight="1" x14ac:dyDescent="0.15">
      <c r="K323" s="23"/>
    </row>
    <row r="324" spans="11:11" ht="4.5" hidden="1" customHeight="1" x14ac:dyDescent="0.15">
      <c r="K324" s="23"/>
    </row>
    <row r="325" spans="11:11" ht="4.5" hidden="1" customHeight="1" x14ac:dyDescent="0.15">
      <c r="K325" s="23"/>
    </row>
    <row r="326" spans="11:11" ht="4.5" hidden="1" customHeight="1" x14ac:dyDescent="0.15">
      <c r="K326" s="23"/>
    </row>
    <row r="327" spans="11:11" ht="4.5" hidden="1" customHeight="1" x14ac:dyDescent="0.15">
      <c r="K327" s="23"/>
    </row>
    <row r="328" spans="11:11" ht="4.5" hidden="1" customHeight="1" x14ac:dyDescent="0.15">
      <c r="K328" s="23"/>
    </row>
    <row r="329" spans="11:11" ht="4.5" hidden="1" customHeight="1" x14ac:dyDescent="0.15">
      <c r="K329" s="23"/>
    </row>
    <row r="330" spans="11:11" ht="4.5" hidden="1" customHeight="1" x14ac:dyDescent="0.15">
      <c r="K330" s="23"/>
    </row>
    <row r="331" spans="11:11" ht="4.5" hidden="1" customHeight="1" x14ac:dyDescent="0.15">
      <c r="K331" s="23"/>
    </row>
    <row r="332" spans="11:11" ht="4.5" hidden="1" customHeight="1" x14ac:dyDescent="0.15">
      <c r="K332" s="23"/>
    </row>
    <row r="333" spans="11:11" ht="4.5" hidden="1" customHeight="1" x14ac:dyDescent="0.15">
      <c r="K333" s="23"/>
    </row>
    <row r="334" spans="11:11" ht="4.5" hidden="1" customHeight="1" x14ac:dyDescent="0.15">
      <c r="K334" s="23"/>
    </row>
    <row r="335" spans="11:11" ht="4.5" hidden="1" customHeight="1" x14ac:dyDescent="0.15">
      <c r="K335" s="23"/>
    </row>
    <row r="336" spans="11:11" ht="4.5" hidden="1" customHeight="1" x14ac:dyDescent="0.15">
      <c r="K336" s="23"/>
    </row>
    <row r="337" spans="11:11" ht="4.5" hidden="1" customHeight="1" x14ac:dyDescent="0.15">
      <c r="K337" s="23"/>
    </row>
    <row r="338" spans="11:11" ht="4.5" hidden="1" customHeight="1" x14ac:dyDescent="0.15">
      <c r="K338" s="23"/>
    </row>
    <row r="339" spans="11:11" ht="4.5" hidden="1" customHeight="1" x14ac:dyDescent="0.15">
      <c r="K339" s="23"/>
    </row>
    <row r="340" spans="11:11" ht="4.5" hidden="1" customHeight="1" x14ac:dyDescent="0.15">
      <c r="K340" s="23"/>
    </row>
    <row r="341" spans="11:11" ht="4.5" hidden="1" customHeight="1" x14ac:dyDescent="0.15">
      <c r="K341" s="23"/>
    </row>
    <row r="342" spans="11:11" ht="4.5" hidden="1" customHeight="1" x14ac:dyDescent="0.15">
      <c r="K342" s="23"/>
    </row>
    <row r="343" spans="11:11" ht="4.5" hidden="1" customHeight="1" x14ac:dyDescent="0.15">
      <c r="K343" s="23"/>
    </row>
    <row r="344" spans="11:11" ht="4.5" hidden="1" customHeight="1" x14ac:dyDescent="0.15">
      <c r="K344" s="23"/>
    </row>
    <row r="345" spans="11:11" ht="4.5" hidden="1" customHeight="1" x14ac:dyDescent="0.15">
      <c r="K345" s="23"/>
    </row>
    <row r="346" spans="11:11" ht="4.5" hidden="1" customHeight="1" x14ac:dyDescent="0.15">
      <c r="K346" s="23"/>
    </row>
    <row r="347" spans="11:11" ht="4.5" hidden="1" customHeight="1" x14ac:dyDescent="0.15">
      <c r="K347" s="23"/>
    </row>
    <row r="348" spans="11:11" ht="4.5" hidden="1" customHeight="1" x14ac:dyDescent="0.15">
      <c r="K348" s="23"/>
    </row>
    <row r="349" spans="11:11" ht="4.5" hidden="1" customHeight="1" x14ac:dyDescent="0.15">
      <c r="K349" s="23"/>
    </row>
    <row r="350" spans="11:11" ht="4.5" hidden="1" customHeight="1" x14ac:dyDescent="0.15">
      <c r="K350" s="23"/>
    </row>
    <row r="351" spans="11:11" ht="4.5" hidden="1" customHeight="1" x14ac:dyDescent="0.15">
      <c r="K351" s="23"/>
    </row>
    <row r="352" spans="11:11" ht="4.5" hidden="1" customHeight="1" x14ac:dyDescent="0.15">
      <c r="K352" s="23"/>
    </row>
    <row r="353" spans="11:11" ht="4.5" hidden="1" customHeight="1" x14ac:dyDescent="0.15">
      <c r="K353" s="23"/>
    </row>
    <row r="354" spans="11:11" ht="4.5" hidden="1" customHeight="1" x14ac:dyDescent="0.15">
      <c r="K354" s="23"/>
    </row>
    <row r="355" spans="11:11" ht="4.5" hidden="1" customHeight="1" x14ac:dyDescent="0.15">
      <c r="K355" s="23"/>
    </row>
  </sheetData>
  <mergeCells count="341">
    <mergeCell ref="CR125:DH126"/>
    <mergeCell ref="DI125:DP126"/>
    <mergeCell ref="DR125:DW126"/>
    <mergeCell ref="CM127:CQ128"/>
    <mergeCell ref="CR127:CT128"/>
    <mergeCell ref="CU127:DP128"/>
    <mergeCell ref="DQ127:DV128"/>
    <mergeCell ref="CR118:CT119"/>
    <mergeCell ref="CU118:DP119"/>
    <mergeCell ref="DQ118:DV119"/>
    <mergeCell ref="CN121:CQ122"/>
    <mergeCell ref="CR121:DH122"/>
    <mergeCell ref="DI121:DP122"/>
    <mergeCell ref="DR121:DW122"/>
    <mergeCell ref="CR123:DH124"/>
    <mergeCell ref="DI123:DP124"/>
    <mergeCell ref="DR123:DW124"/>
    <mergeCell ref="CN112:CS113"/>
    <mergeCell ref="CT112:DH113"/>
    <mergeCell ref="DI112:DP113"/>
    <mergeCell ref="DR112:DW113"/>
    <mergeCell ref="CS114:DH115"/>
    <mergeCell ref="DI114:DP115"/>
    <mergeCell ref="DR114:DW115"/>
    <mergeCell ref="CS116:DH117"/>
    <mergeCell ref="DI116:DP117"/>
    <mergeCell ref="DR116:DW117"/>
    <mergeCell ref="DQ109:DV110"/>
    <mergeCell ref="CN82:CR83"/>
    <mergeCell ref="W109:AI110"/>
    <mergeCell ref="T97:AJ98"/>
    <mergeCell ref="T95:AJ96"/>
    <mergeCell ref="AJ109:AQ110"/>
    <mergeCell ref="AZ110:BD111"/>
    <mergeCell ref="CN101:CW102"/>
    <mergeCell ref="DR103:DW104"/>
    <mergeCell ref="CE108:CJ109"/>
    <mergeCell ref="CU109:DP110"/>
    <mergeCell ref="DR82:DW83"/>
    <mergeCell ref="W83:AR84"/>
    <mergeCell ref="AY84:BC85"/>
    <mergeCell ref="AZ81:BD82"/>
    <mergeCell ref="CU84:DP85"/>
    <mergeCell ref="BE84:BT85"/>
    <mergeCell ref="DI87:DP88"/>
    <mergeCell ref="CR91:CT92"/>
    <mergeCell ref="BE88:BT89"/>
    <mergeCell ref="CE93:CI94"/>
    <mergeCell ref="CS89:DH90"/>
    <mergeCell ref="DR105:DW106"/>
    <mergeCell ref="CE104:CJ105"/>
    <mergeCell ref="DQ98:DT99"/>
    <mergeCell ref="AZ99:BD100"/>
    <mergeCell ref="W99:AR100"/>
    <mergeCell ref="O99:V100"/>
    <mergeCell ref="BE97:BT98"/>
    <mergeCell ref="CT103:DH104"/>
    <mergeCell ref="DI103:DP104"/>
    <mergeCell ref="CX101:DH102"/>
    <mergeCell ref="DR101:DW102"/>
    <mergeCell ref="DR107:DW108"/>
    <mergeCell ref="BE102:BT103"/>
    <mergeCell ref="N63:AG64"/>
    <mergeCell ref="DK61:DM62"/>
    <mergeCell ref="N61:T62"/>
    <mergeCell ref="U61:AB62"/>
    <mergeCell ref="AC61:AG62"/>
    <mergeCell ref="AJ61:AS62"/>
    <mergeCell ref="AU61:BA62"/>
    <mergeCell ref="BC61:BI62"/>
    <mergeCell ref="CF63:CJ64"/>
    <mergeCell ref="CK63:CP64"/>
    <mergeCell ref="DC61:DJ62"/>
    <mergeCell ref="DC63:DJ64"/>
    <mergeCell ref="BL61:BR62"/>
    <mergeCell ref="BX61:CP62"/>
    <mergeCell ref="CR61:DB62"/>
    <mergeCell ref="BX63:CE64"/>
    <mergeCell ref="AT63:AZ65"/>
    <mergeCell ref="N65:AG67"/>
    <mergeCell ref="DC65:DJ66"/>
    <mergeCell ref="BA63:BB64"/>
    <mergeCell ref="BC63:BI64"/>
    <mergeCell ref="CR98:CT99"/>
    <mergeCell ref="BJ63:BK64"/>
    <mergeCell ref="CR80:CT81"/>
    <mergeCell ref="CU80:DP81"/>
    <mergeCell ref="CB139:CR139"/>
    <mergeCell ref="BW13:CT18"/>
    <mergeCell ref="CB131:CR131"/>
    <mergeCell ref="CB132:CR132"/>
    <mergeCell ref="CB133:CR133"/>
    <mergeCell ref="CB134:CR134"/>
    <mergeCell ref="CB135:CR135"/>
    <mergeCell ref="CB136:CR136"/>
    <mergeCell ref="CB137:CR137"/>
    <mergeCell ref="CB138:CR138"/>
    <mergeCell ref="CR69:DB70"/>
    <mergeCell ref="CR67:DB68"/>
    <mergeCell ref="CR65:DB66"/>
    <mergeCell ref="CR63:DB64"/>
    <mergeCell ref="CF69:CJ70"/>
    <mergeCell ref="BE99:CD100"/>
    <mergeCell ref="BE90:CD91"/>
    <mergeCell ref="BE81:CD82"/>
    <mergeCell ref="BE110:CD111"/>
    <mergeCell ref="CJ84:CK85"/>
    <mergeCell ref="BE74:BT75"/>
    <mergeCell ref="CR109:CT110"/>
    <mergeCell ref="DC69:DJ70"/>
    <mergeCell ref="BC69:BI70"/>
    <mergeCell ref="BJ69:BK70"/>
    <mergeCell ref="BL69:BR70"/>
    <mergeCell ref="BS69:BU70"/>
    <mergeCell ref="BX69:CE70"/>
    <mergeCell ref="BA69:BB70"/>
    <mergeCell ref="BX67:CE68"/>
    <mergeCell ref="DI74:DP75"/>
    <mergeCell ref="CK69:CP70"/>
    <mergeCell ref="CS76:DH77"/>
    <mergeCell ref="CS78:DH79"/>
    <mergeCell ref="DI89:DP90"/>
    <mergeCell ref="DI101:DP102"/>
    <mergeCell ref="BE106:BT107"/>
    <mergeCell ref="BE104:BT105"/>
    <mergeCell ref="CT107:DH108"/>
    <mergeCell ref="DI107:DP108"/>
    <mergeCell ref="DI105:DP106"/>
    <mergeCell ref="CE106:CJ107"/>
    <mergeCell ref="CU98:DP99"/>
    <mergeCell ref="CF65:CJ66"/>
    <mergeCell ref="CK65:CP66"/>
    <mergeCell ref="AD1:AM1"/>
    <mergeCell ref="AD2:AM3"/>
    <mergeCell ref="AD4:AM5"/>
    <mergeCell ref="AD6:AM7"/>
    <mergeCell ref="AD8:AM9"/>
    <mergeCell ref="I1:AC1"/>
    <mergeCell ref="I2:AC3"/>
    <mergeCell ref="I4:AC5"/>
    <mergeCell ref="I6:AC7"/>
    <mergeCell ref="I8:AC9"/>
    <mergeCell ref="L28:AB29"/>
    <mergeCell ref="CF30:DM31"/>
    <mergeCell ref="AD28:BK29"/>
    <mergeCell ref="BN28:CD29"/>
    <mergeCell ref="CF28:DM29"/>
    <mergeCell ref="AD33:BK34"/>
    <mergeCell ref="L30:AB31"/>
    <mergeCell ref="I10:AC11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CU16:DM18"/>
    <mergeCell ref="AD37:BK38"/>
    <mergeCell ref="L45:AB46"/>
    <mergeCell ref="AD45:BK46"/>
    <mergeCell ref="L41:AB42"/>
    <mergeCell ref="AD41:AM42"/>
    <mergeCell ref="L37:AB38"/>
    <mergeCell ref="L43:AB43"/>
    <mergeCell ref="AD43:AM43"/>
    <mergeCell ref="N47:BK48"/>
    <mergeCell ref="DR94:DW95"/>
    <mergeCell ref="CT96:DH97"/>
    <mergeCell ref="DI96:DP97"/>
    <mergeCell ref="DR96:DW97"/>
    <mergeCell ref="AY93:BC94"/>
    <mergeCell ref="CN94:CQ95"/>
    <mergeCell ref="CR94:DH95"/>
    <mergeCell ref="BU95:CD96"/>
    <mergeCell ref="BU93:CD94"/>
    <mergeCell ref="DI94:DP95"/>
    <mergeCell ref="BE95:BT96"/>
    <mergeCell ref="CE95:CI96"/>
    <mergeCell ref="BX2:BY3"/>
    <mergeCell ref="BZ2:CE3"/>
    <mergeCell ref="AT4:CB5"/>
    <mergeCell ref="BN37:CD38"/>
    <mergeCell ref="AN2:BR3"/>
    <mergeCell ref="BS2:BT3"/>
    <mergeCell ref="BN41:CD42"/>
    <mergeCell ref="N55:BK56"/>
    <mergeCell ref="BP47:DM48"/>
    <mergeCell ref="BN45:CD46"/>
    <mergeCell ref="CF45:DM46"/>
    <mergeCell ref="N51:BK52"/>
    <mergeCell ref="BP51:DM52"/>
    <mergeCell ref="N49:BK50"/>
    <mergeCell ref="N53:BK54"/>
    <mergeCell ref="BP53:DM54"/>
    <mergeCell ref="L35:AB36"/>
    <mergeCell ref="CU13:DM15"/>
    <mergeCell ref="AJ13:BL18"/>
    <mergeCell ref="AD35:BK36"/>
    <mergeCell ref="BN35:CD36"/>
    <mergeCell ref="BU2:BW3"/>
    <mergeCell ref="BP55:DM56"/>
    <mergeCell ref="CH39:DM40"/>
    <mergeCell ref="AD30:BK31"/>
    <mergeCell ref="BN30:CD31"/>
    <mergeCell ref="AD10:AM11"/>
    <mergeCell ref="AK74:AR75"/>
    <mergeCell ref="AJ63:AS64"/>
    <mergeCell ref="BL66:BR67"/>
    <mergeCell ref="BS66:BU67"/>
    <mergeCell ref="BL63:BR64"/>
    <mergeCell ref="BS63:BU64"/>
    <mergeCell ref="AJ66:AS67"/>
    <mergeCell ref="BA66:BB67"/>
    <mergeCell ref="BC66:BI67"/>
    <mergeCell ref="BJ66:BK67"/>
    <mergeCell ref="O74:AJ75"/>
    <mergeCell ref="N68:AG70"/>
    <mergeCell ref="AJ69:AS70"/>
    <mergeCell ref="AT66:AZ68"/>
    <mergeCell ref="AN41:AR42"/>
    <mergeCell ref="L39:AB40"/>
    <mergeCell ref="AD39:BK40"/>
    <mergeCell ref="BP57:DM58"/>
    <mergeCell ref="N57:BK58"/>
    <mergeCell ref="L33:AB34"/>
    <mergeCell ref="BN33:CD34"/>
    <mergeCell ref="AT79:AV80"/>
    <mergeCell ref="O79:R80"/>
    <mergeCell ref="AT77:AV78"/>
    <mergeCell ref="AT74:AV75"/>
    <mergeCell ref="CN74:CQ75"/>
    <mergeCell ref="CF71:CJ71"/>
    <mergeCell ref="BE77:BT78"/>
    <mergeCell ref="O77:R78"/>
    <mergeCell ref="U77:AJ78"/>
    <mergeCell ref="AK77:AR78"/>
    <mergeCell ref="U79:AJ80"/>
    <mergeCell ref="AY74:BD75"/>
    <mergeCell ref="AY77:BD78"/>
    <mergeCell ref="AT69:AZ71"/>
    <mergeCell ref="BE79:BT80"/>
    <mergeCell ref="AK79:AR80"/>
    <mergeCell ref="DT32:DW32"/>
    <mergeCell ref="DT35:DW36"/>
    <mergeCell ref="DT37:DW38"/>
    <mergeCell ref="DT39:DW40"/>
    <mergeCell ref="CF33:CG34"/>
    <mergeCell ref="CF37:CG38"/>
    <mergeCell ref="CF39:CG40"/>
    <mergeCell ref="CH33:DM34"/>
    <mergeCell ref="CH37:DM38"/>
    <mergeCell ref="DR74:DW75"/>
    <mergeCell ref="DI76:DP77"/>
    <mergeCell ref="DI78:DP79"/>
    <mergeCell ref="DI82:DP83"/>
    <mergeCell ref="CF35:DM36"/>
    <mergeCell ref="DK63:DM64"/>
    <mergeCell ref="BP49:DM50"/>
    <mergeCell ref="CF67:CJ68"/>
    <mergeCell ref="DC67:DJ68"/>
    <mergeCell ref="DK67:DM68"/>
    <mergeCell ref="DR78:DW79"/>
    <mergeCell ref="DR76:DW77"/>
    <mergeCell ref="CF41:DM42"/>
    <mergeCell ref="BN39:CD40"/>
    <mergeCell ref="CR74:DH75"/>
    <mergeCell ref="BU79:CD80"/>
    <mergeCell ref="BU77:CD78"/>
    <mergeCell ref="BU74:CD75"/>
    <mergeCell ref="DK65:DM66"/>
    <mergeCell ref="BX65:CE66"/>
    <mergeCell ref="CK67:CP68"/>
    <mergeCell ref="CE79:CI80"/>
    <mergeCell ref="CE77:CI78"/>
    <mergeCell ref="DK69:DM70"/>
    <mergeCell ref="DR87:DW88"/>
    <mergeCell ref="DR89:DW90"/>
    <mergeCell ref="AK91:AR92"/>
    <mergeCell ref="BE108:BT109"/>
    <mergeCell ref="AT81:AV82"/>
    <mergeCell ref="CT105:DH106"/>
    <mergeCell ref="T93:AJ94"/>
    <mergeCell ref="CE102:CH103"/>
    <mergeCell ref="CI102:CK103"/>
    <mergeCell ref="AK93:AR94"/>
    <mergeCell ref="CS87:DH88"/>
    <mergeCell ref="BE93:BT94"/>
    <mergeCell ref="CN87:CQ88"/>
    <mergeCell ref="BU108:CD109"/>
    <mergeCell ref="O88:AJ89"/>
    <mergeCell ref="AK88:AR89"/>
    <mergeCell ref="AT86:AV87"/>
    <mergeCell ref="AT88:AV89"/>
    <mergeCell ref="BU106:CD107"/>
    <mergeCell ref="BU104:CD105"/>
    <mergeCell ref="BU102:CD103"/>
    <mergeCell ref="BU97:CD98"/>
    <mergeCell ref="CE97:CI98"/>
    <mergeCell ref="AT91:AV92"/>
    <mergeCell ref="O81:R82"/>
    <mergeCell ref="U81:AJ82"/>
    <mergeCell ref="AK81:AR82"/>
    <mergeCell ref="BU88:CD89"/>
    <mergeCell ref="BU86:CD87"/>
    <mergeCell ref="BU84:CD85"/>
    <mergeCell ref="CU91:DP92"/>
    <mergeCell ref="CR84:CT85"/>
    <mergeCell ref="O86:AJ87"/>
    <mergeCell ref="CE86:CI87"/>
    <mergeCell ref="CS82:DH83"/>
    <mergeCell ref="CE88:CI89"/>
    <mergeCell ref="BE86:BT87"/>
    <mergeCell ref="CE84:CI85"/>
    <mergeCell ref="O83:V84"/>
    <mergeCell ref="O111:V112"/>
    <mergeCell ref="W111:AR112"/>
    <mergeCell ref="O106:V107"/>
    <mergeCell ref="W106:AR107"/>
    <mergeCell ref="AZ90:BD91"/>
    <mergeCell ref="AK86:AR87"/>
    <mergeCell ref="N104:Q105"/>
    <mergeCell ref="T104:AI105"/>
    <mergeCell ref="AJ104:AQ105"/>
    <mergeCell ref="AK95:AR96"/>
    <mergeCell ref="AT97:AV98"/>
    <mergeCell ref="T91:AJ92"/>
    <mergeCell ref="O97:R98"/>
    <mergeCell ref="AK97:AR98"/>
    <mergeCell ref="O91:R92"/>
    <mergeCell ref="N109:U110"/>
    <mergeCell ref="AZ102:BD103"/>
    <mergeCell ref="AT93:AV94"/>
    <mergeCell ref="AT95:AV96"/>
    <mergeCell ref="O95:R96"/>
    <mergeCell ref="O93:R94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83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063" r:id="rId4" name="cmd_FHW_OPT">
          <controlPr defaultSize="0" print="0" autoLine="0" r:id="rId5">
            <anchor moveWithCells="1">
              <from>
                <xdr:col>95</xdr:col>
                <xdr:colOff>66675</xdr:colOff>
                <xdr:row>120</xdr:row>
                <xdr:rowOff>9525</xdr:rowOff>
              </from>
              <to>
                <xdr:col>95</xdr:col>
                <xdr:colOff>180975</xdr:colOff>
                <xdr:row>122</xdr:row>
                <xdr:rowOff>0</xdr:rowOff>
              </to>
            </anchor>
          </controlPr>
        </control>
      </mc:Choice>
      <mc:Fallback>
        <control shapeId="1063" r:id="rId4" name="cmd_FHW_OPT"/>
      </mc:Fallback>
    </mc:AlternateContent>
    <mc:AlternateContent xmlns:mc="http://schemas.openxmlformats.org/markup-compatibility/2006">
      <mc:Choice Requires="x14">
        <control shapeId="1062" r:id="rId6" name="cmd_KTS_OPT">
          <controlPr defaultSize="0" print="0" autoLine="0" r:id="rId7">
            <anchor moveWithCells="1">
              <from>
                <xdr:col>95</xdr:col>
                <xdr:colOff>66675</xdr:colOff>
                <xdr:row>111</xdr:row>
                <xdr:rowOff>19050</xdr:rowOff>
              </from>
              <to>
                <xdr:col>95</xdr:col>
                <xdr:colOff>180975</xdr:colOff>
                <xdr:row>113</xdr:row>
                <xdr:rowOff>0</xdr:rowOff>
              </to>
            </anchor>
          </controlPr>
        </control>
      </mc:Choice>
      <mc:Fallback>
        <control shapeId="1062" r:id="rId6" name="cmd_KTS_OPT"/>
      </mc:Fallback>
    </mc:AlternateContent>
    <mc:AlternateContent xmlns:mc="http://schemas.openxmlformats.org/markup-compatibility/2006">
      <mc:Choice Requires="x14">
        <control shapeId="1061" r:id="rId8" name="cmd_FHW">
          <controlPr defaultSize="0" print="0" autoLine="0" r:id="rId9">
            <anchor moveWithCells="1">
              <from>
                <xdr:col>89</xdr:col>
                <xdr:colOff>28575</xdr:colOff>
                <xdr:row>120</xdr:row>
                <xdr:rowOff>9525</xdr:rowOff>
              </from>
              <to>
                <xdr:col>90</xdr:col>
                <xdr:colOff>47625</xdr:colOff>
                <xdr:row>122</xdr:row>
                <xdr:rowOff>0</xdr:rowOff>
              </to>
            </anchor>
          </controlPr>
        </control>
      </mc:Choice>
      <mc:Fallback>
        <control shapeId="1061" r:id="rId8" name="cmd_FHW"/>
      </mc:Fallback>
    </mc:AlternateContent>
    <mc:AlternateContent xmlns:mc="http://schemas.openxmlformats.org/markup-compatibility/2006">
      <mc:Choice Requires="x14">
        <control shapeId="1060" r:id="rId10" name="cmd_KTS">
          <controlPr defaultSize="0" print="0" autoLine="0" r:id="rId11">
            <anchor moveWithCells="1">
              <from>
                <xdr:col>89</xdr:col>
                <xdr:colOff>28575</xdr:colOff>
                <xdr:row>111</xdr:row>
                <xdr:rowOff>9525</xdr:rowOff>
              </from>
              <to>
                <xdr:col>90</xdr:col>
                <xdr:colOff>47625</xdr:colOff>
                <xdr:row>113</xdr:row>
                <xdr:rowOff>0</xdr:rowOff>
              </to>
            </anchor>
          </controlPr>
        </control>
      </mc:Choice>
      <mc:Fallback>
        <control shapeId="1060" r:id="rId10" name="cmd_KTS"/>
      </mc:Fallback>
    </mc:AlternateContent>
    <mc:AlternateContent xmlns:mc="http://schemas.openxmlformats.org/markup-compatibility/2006">
      <mc:Choice Requires="x14">
        <control shapeId="1057" r:id="rId12" name="cmdTSKH">
          <controlPr defaultSize="0" print="0" autoLine="0" r:id="rId13">
            <anchor moveWithCells="1">
              <from>
                <xdr:col>89</xdr:col>
                <xdr:colOff>28575</xdr:colOff>
                <xdr:row>80</xdr:row>
                <xdr:rowOff>57150</xdr:rowOff>
              </from>
              <to>
                <xdr:col>90</xdr:col>
                <xdr:colOff>47625</xdr:colOff>
                <xdr:row>82</xdr:row>
                <xdr:rowOff>28575</xdr:rowOff>
              </to>
            </anchor>
          </controlPr>
        </control>
      </mc:Choice>
      <mc:Fallback>
        <control shapeId="1057" r:id="rId12" name="cmdTSKH"/>
      </mc:Fallback>
    </mc:AlternateContent>
    <mc:AlternateContent xmlns:mc="http://schemas.openxmlformats.org/markup-compatibility/2006">
      <mc:Choice Requires="x14">
        <control shapeId="1056" r:id="rId14" name="cmdSeKoDeFL">
          <controlPr defaultSize="0" print="0" autoLine="0" r:id="rId15">
            <anchor moveWithCells="1">
              <from>
                <xdr:col>11</xdr:col>
                <xdr:colOff>47625</xdr:colOff>
                <xdr:row>73</xdr:row>
                <xdr:rowOff>19050</xdr:rowOff>
              </from>
              <to>
                <xdr:col>13</xdr:col>
                <xdr:colOff>38100</xdr:colOff>
                <xdr:row>75</xdr:row>
                <xdr:rowOff>9525</xdr:rowOff>
              </to>
            </anchor>
          </controlPr>
        </control>
      </mc:Choice>
      <mc:Fallback>
        <control shapeId="1056" r:id="rId14" name="cmdSeKoDeFL"/>
      </mc:Fallback>
    </mc:AlternateContent>
    <mc:AlternateContent xmlns:mc="http://schemas.openxmlformats.org/markup-compatibility/2006">
      <mc:Choice Requires="x14">
        <control shapeId="1055" r:id="rId16" name="cmdSeKoSp">
          <controlPr defaultSize="0" print="0" autoLine="0" r:id="rId17">
            <anchor moveWithCells="1">
              <from>
                <xdr:col>11</xdr:col>
                <xdr:colOff>47625</xdr:colOff>
                <xdr:row>85</xdr:row>
                <xdr:rowOff>9525</xdr:rowOff>
              </from>
              <to>
                <xdr:col>13</xdr:col>
                <xdr:colOff>38100</xdr:colOff>
                <xdr:row>86</xdr:row>
                <xdr:rowOff>57150</xdr:rowOff>
              </to>
            </anchor>
          </controlPr>
        </control>
      </mc:Choice>
      <mc:Fallback>
        <control shapeId="1055" r:id="rId16" name="cmdSeKoSp"/>
      </mc:Fallback>
    </mc:AlternateContent>
    <mc:AlternateContent xmlns:mc="http://schemas.openxmlformats.org/markup-compatibility/2006">
      <mc:Choice Requires="x14">
        <control shapeId="1041" r:id="rId18" name="cmb_Auswahl_Kalkart">
          <controlPr defaultSize="0" print="0" autoLine="0" linkedCell="BW13" r:id="rId19">
            <anchor moveWithCells="1">
              <from>
                <xdr:col>70</xdr:col>
                <xdr:colOff>38100</xdr:colOff>
                <xdr:row>12</xdr:row>
                <xdr:rowOff>0</xdr:rowOff>
              </from>
              <to>
                <xdr:col>97</xdr:col>
                <xdr:colOff>19050</xdr:colOff>
                <xdr:row>18</xdr:row>
                <xdr:rowOff>9525</xdr:rowOff>
              </to>
            </anchor>
          </controlPr>
        </control>
      </mc:Choice>
      <mc:Fallback>
        <control shapeId="1041" r:id="rId18" name="cmb_Auswahl_Kalkart"/>
      </mc:Fallback>
    </mc:AlternateContent>
    <mc:AlternateContent xmlns:mc="http://schemas.openxmlformats.org/markup-compatibility/2006">
      <mc:Choice Requires="x14">
        <control shapeId="1039" r:id="rId20" name="cmd_WKH_SCH_Opt">
          <controlPr defaultSize="0" print="0" autoLine="0" r:id="rId21">
            <anchor moveWithCells="1">
              <from>
                <xdr:col>100</xdr:col>
                <xdr:colOff>28575</xdr:colOff>
                <xdr:row>100</xdr:row>
                <xdr:rowOff>9525</xdr:rowOff>
              </from>
              <to>
                <xdr:col>102</xdr:col>
                <xdr:colOff>19050</xdr:colOff>
                <xdr:row>101</xdr:row>
                <xdr:rowOff>47625</xdr:rowOff>
              </to>
            </anchor>
          </controlPr>
        </control>
      </mc:Choice>
      <mc:Fallback>
        <control shapeId="1039" r:id="rId20" name="cmd_WKH_SCH_Opt"/>
      </mc:Fallback>
    </mc:AlternateContent>
    <mc:AlternateContent xmlns:mc="http://schemas.openxmlformats.org/markup-compatibility/2006">
      <mc:Choice Requires="x14">
        <control shapeId="1034" r:id="rId22" name="cmd_WKH_Opt">
          <controlPr defaultSize="0" print="0" autoLine="0" r:id="rId23">
            <anchor moveWithCells="1">
              <from>
                <xdr:col>97</xdr:col>
                <xdr:colOff>47625</xdr:colOff>
                <xdr:row>93</xdr:row>
                <xdr:rowOff>28575</xdr:rowOff>
              </from>
              <to>
                <xdr:col>99</xdr:col>
                <xdr:colOff>38100</xdr:colOff>
                <xdr:row>95</xdr:row>
                <xdr:rowOff>0</xdr:rowOff>
              </to>
            </anchor>
          </controlPr>
        </control>
      </mc:Choice>
      <mc:Fallback>
        <control shapeId="1034" r:id="rId22" name="cmd_WKH_Opt"/>
      </mc:Fallback>
    </mc:AlternateContent>
    <mc:AlternateContent xmlns:mc="http://schemas.openxmlformats.org/markup-compatibility/2006">
      <mc:Choice Requires="x14">
        <control shapeId="1028" r:id="rId24" name="cmd_Umwandeln">
          <controlPr defaultSize="0" autoLine="0" autoPict="0" r:id="rId25">
            <anchor moveWithCells="1">
              <from>
                <xdr:col>104</xdr:col>
                <xdr:colOff>19050</xdr:colOff>
                <xdr:row>3</xdr:row>
                <xdr:rowOff>28575</xdr:rowOff>
              </from>
              <to>
                <xdr:col>128</xdr:col>
                <xdr:colOff>9525</xdr:colOff>
                <xdr:row>9</xdr:row>
                <xdr:rowOff>19050</xdr:rowOff>
              </to>
            </anchor>
          </controlPr>
        </control>
      </mc:Choice>
      <mc:Fallback>
        <control shapeId="1028" r:id="rId24" name="cmd_Umwandeln"/>
      </mc:Fallback>
    </mc:AlternateContent>
    <mc:AlternateContent xmlns:mc="http://schemas.openxmlformats.org/markup-compatibility/2006">
      <mc:Choice Requires="x14">
        <control shapeId="1029" r:id="rId26" name="CommandButton21">
          <controlPr defaultSize="0" autoLine="0" r:id="rId27">
            <anchor moveWithCells="1">
              <from>
                <xdr:col>27</xdr:col>
                <xdr:colOff>28575</xdr:colOff>
                <xdr:row>27</xdr:row>
                <xdr:rowOff>0</xdr:rowOff>
              </from>
              <to>
                <xdr:col>29</xdr:col>
                <xdr:colOff>19050</xdr:colOff>
                <xdr:row>28</xdr:row>
                <xdr:rowOff>47625</xdr:rowOff>
              </to>
            </anchor>
          </controlPr>
        </control>
      </mc:Choice>
      <mc:Fallback>
        <control shapeId="1029" r:id="rId26" name="CommandButton21"/>
      </mc:Fallback>
    </mc:AlternateContent>
    <mc:AlternateContent xmlns:mc="http://schemas.openxmlformats.org/markup-compatibility/2006">
      <mc:Choice Requires="x14">
        <control shapeId="1036" r:id="rId28" name="cmd_Lieferart">
          <controlPr defaultSize="0" print="0" autoLine="0" r:id="rId29">
            <anchor moveWithCells="1">
              <from>
                <xdr:col>83</xdr:col>
                <xdr:colOff>0</xdr:colOff>
                <xdr:row>31</xdr:row>
                <xdr:rowOff>47625</xdr:rowOff>
              </from>
              <to>
                <xdr:col>84</xdr:col>
                <xdr:colOff>47625</xdr:colOff>
                <xdr:row>33</xdr:row>
                <xdr:rowOff>38100</xdr:rowOff>
              </to>
            </anchor>
          </controlPr>
        </control>
      </mc:Choice>
      <mc:Fallback>
        <control shapeId="1036" r:id="rId28" name="cmd_Lieferart"/>
      </mc:Fallback>
    </mc:AlternateContent>
    <mc:AlternateContent xmlns:mc="http://schemas.openxmlformats.org/markup-compatibility/2006">
      <mc:Choice Requires="x14">
        <control shapeId="1037" r:id="rId30" name="cmd_Verpackung">
          <controlPr defaultSize="0" print="0" autoLine="0" r:id="rId31">
            <anchor moveWithCells="1">
              <from>
                <xdr:col>83</xdr:col>
                <xdr:colOff>0</xdr:colOff>
                <xdr:row>35</xdr:row>
                <xdr:rowOff>47625</xdr:rowOff>
              </from>
              <to>
                <xdr:col>84</xdr:col>
                <xdr:colOff>47625</xdr:colOff>
                <xdr:row>37</xdr:row>
                <xdr:rowOff>38100</xdr:rowOff>
              </to>
            </anchor>
          </controlPr>
        </control>
      </mc:Choice>
      <mc:Fallback>
        <control shapeId="1037" r:id="rId30" name="cmd_Verpackung"/>
      </mc:Fallback>
    </mc:AlternateContent>
    <mc:AlternateContent xmlns:mc="http://schemas.openxmlformats.org/markup-compatibility/2006">
      <mc:Choice Requires="x14">
        <control shapeId="1038" r:id="rId32" name="cmd_Verpackungsort">
          <controlPr defaultSize="0" print="0" autoLine="0" r:id="rId33">
            <anchor moveWithCells="1">
              <from>
                <xdr:col>83</xdr:col>
                <xdr:colOff>0</xdr:colOff>
                <xdr:row>37</xdr:row>
                <xdr:rowOff>47625</xdr:rowOff>
              </from>
              <to>
                <xdr:col>84</xdr:col>
                <xdr:colOff>47625</xdr:colOff>
                <xdr:row>39</xdr:row>
                <xdr:rowOff>38100</xdr:rowOff>
              </to>
            </anchor>
          </controlPr>
        </control>
      </mc:Choice>
      <mc:Fallback>
        <control shapeId="1038" r:id="rId32" name="cmd_Verpackungsort"/>
      </mc:Fallback>
    </mc:AlternateContent>
    <mc:AlternateContent xmlns:mc="http://schemas.openxmlformats.org/markup-compatibility/2006">
      <mc:Choice Requires="x14">
        <control shapeId="1040" r:id="rId34" name="cmdDeckelisolierung">
          <controlPr defaultSize="0" print="0" autoLine="0" r:id="rId35">
            <anchor moveWithCells="1">
              <from>
                <xdr:col>35</xdr:col>
                <xdr:colOff>0</xdr:colOff>
                <xdr:row>103</xdr:row>
                <xdr:rowOff>0</xdr:rowOff>
              </from>
              <to>
                <xdr:col>35</xdr:col>
                <xdr:colOff>104775</xdr:colOff>
                <xdr:row>105</xdr:row>
                <xdr:rowOff>0</xdr:rowOff>
              </to>
            </anchor>
          </controlPr>
        </control>
      </mc:Choice>
      <mc:Fallback>
        <control shapeId="1040" r:id="rId34" name="cmdDeckelisolierung"/>
      </mc:Fallback>
    </mc:AlternateContent>
    <mc:AlternateContent xmlns:mc="http://schemas.openxmlformats.org/markup-compatibility/2006">
      <mc:Choice Requires="x14">
        <control shapeId="1042" r:id="rId36" name="cmdVorgID">
          <controlPr defaultSize="0" autoLine="0" r:id="rId37">
            <anchor moveWithCells="1">
              <from>
                <xdr:col>27</xdr:col>
                <xdr:colOff>19050</xdr:colOff>
                <xdr:row>32</xdr:row>
                <xdr:rowOff>9525</xdr:rowOff>
              </from>
              <to>
                <xdr:col>29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042" r:id="rId36" name="cmdVorgID"/>
      </mc:Fallback>
    </mc:AlternateContent>
    <mc:AlternateContent xmlns:mc="http://schemas.openxmlformats.org/markup-compatibility/2006">
      <mc:Choice Requires="x14">
        <control shapeId="1044" r:id="rId38" name="cmd_Boden_Art">
          <controlPr defaultSize="0" print="0" autoLine="0" r:id="rId39">
            <anchor moveWithCells="1">
              <from>
                <xdr:col>49</xdr:col>
                <xdr:colOff>9525</xdr:colOff>
                <xdr:row>72</xdr:row>
                <xdr:rowOff>47625</xdr:rowOff>
              </from>
              <to>
                <xdr:col>51</xdr:col>
                <xdr:colOff>0</xdr:colOff>
                <xdr:row>74</xdr:row>
                <xdr:rowOff>38100</xdr:rowOff>
              </to>
            </anchor>
          </controlPr>
        </control>
      </mc:Choice>
      <mc:Fallback>
        <control shapeId="1044" r:id="rId38" name="cmd_Boden_Art"/>
      </mc:Fallback>
    </mc:AlternateContent>
    <mc:AlternateContent xmlns:mc="http://schemas.openxmlformats.org/markup-compatibility/2006">
      <mc:Choice Requires="x14">
        <control shapeId="1045" r:id="rId40" name="cmdGKP">
          <controlPr defaultSize="0" print="0" autoLine="0" r:id="rId41">
            <anchor moveWithCells="1">
              <from>
                <xdr:col>35</xdr:col>
                <xdr:colOff>0</xdr:colOff>
                <xdr:row>108</xdr:row>
                <xdr:rowOff>0</xdr:rowOff>
              </from>
              <to>
                <xdr:col>35</xdr:col>
                <xdr:colOff>104775</xdr:colOff>
                <xdr:row>110</xdr:row>
                <xdr:rowOff>0</xdr:rowOff>
              </to>
            </anchor>
          </controlPr>
        </control>
      </mc:Choice>
      <mc:Fallback>
        <control shapeId="1045" r:id="rId40" name="cmdGKP"/>
      </mc:Fallback>
    </mc:AlternateContent>
    <mc:AlternateContent xmlns:mc="http://schemas.openxmlformats.org/markup-compatibility/2006">
      <mc:Choice Requires="x14">
        <control shapeId="1046" r:id="rId42" name="cmdLKH">
          <controlPr defaultSize="0" print="0" autoLine="0" r:id="rId43">
            <anchor moveWithCells="1">
              <from>
                <xdr:col>49</xdr:col>
                <xdr:colOff>19050</xdr:colOff>
                <xdr:row>83</xdr:row>
                <xdr:rowOff>9525</xdr:rowOff>
              </from>
              <to>
                <xdr:col>51</xdr:col>
                <xdr:colOff>9525</xdr:colOff>
                <xdr:row>84</xdr:row>
                <xdr:rowOff>57150</xdr:rowOff>
              </to>
            </anchor>
          </controlPr>
        </control>
      </mc:Choice>
      <mc:Fallback>
        <control shapeId="1046" r:id="rId42" name="cmdLKH"/>
      </mc:Fallback>
    </mc:AlternateContent>
    <mc:AlternateContent xmlns:mc="http://schemas.openxmlformats.org/markup-compatibility/2006">
      <mc:Choice Requires="x14">
        <control shapeId="1047" r:id="rId44" name="cmdQKH">
          <controlPr defaultSize="0" print="0" autoLine="0" r:id="rId45">
            <anchor moveWithCells="1">
              <from>
                <xdr:col>49</xdr:col>
                <xdr:colOff>38100</xdr:colOff>
                <xdr:row>92</xdr:row>
                <xdr:rowOff>19050</xdr:rowOff>
              </from>
              <to>
                <xdr:col>51</xdr:col>
                <xdr:colOff>28575</xdr:colOff>
                <xdr:row>94</xdr:row>
                <xdr:rowOff>0</xdr:rowOff>
              </to>
            </anchor>
          </controlPr>
        </control>
      </mc:Choice>
      <mc:Fallback>
        <control shapeId="1047" r:id="rId44" name="cmdQKH"/>
      </mc:Fallback>
    </mc:AlternateContent>
    <mc:AlternateContent xmlns:mc="http://schemas.openxmlformats.org/markup-compatibility/2006">
      <mc:Choice Requires="x14">
        <control shapeId="1048" r:id="rId46" name="cmdKHL">
          <controlPr defaultSize="0" print="0" autoLine="0" r:id="rId47">
            <anchor moveWithCells="1">
              <from>
                <xdr:col>49</xdr:col>
                <xdr:colOff>28575</xdr:colOff>
                <xdr:row>101</xdr:row>
                <xdr:rowOff>9525</xdr:rowOff>
              </from>
              <to>
                <xdr:col>51</xdr:col>
                <xdr:colOff>19050</xdr:colOff>
                <xdr:row>103</xdr:row>
                <xdr:rowOff>0</xdr:rowOff>
              </to>
            </anchor>
          </controlPr>
        </control>
      </mc:Choice>
      <mc:Fallback>
        <control shapeId="1048" r:id="rId46" name="cmdKHL"/>
      </mc:Fallback>
    </mc:AlternateContent>
    <mc:AlternateContent xmlns:mc="http://schemas.openxmlformats.org/markup-compatibility/2006">
      <mc:Choice Requires="x14">
        <control shapeId="1050" r:id="rId48" name="cmdBoden">
          <controlPr defaultSize="0" print="0" autoLine="0" r:id="rId49">
            <anchor moveWithCells="1">
              <from>
                <xdr:col>49</xdr:col>
                <xdr:colOff>19050</xdr:colOff>
                <xdr:row>76</xdr:row>
                <xdr:rowOff>0</xdr:rowOff>
              </from>
              <to>
                <xdr:col>51</xdr:col>
                <xdr:colOff>9525</xdr:colOff>
                <xdr:row>77</xdr:row>
                <xdr:rowOff>47625</xdr:rowOff>
              </to>
            </anchor>
          </controlPr>
        </control>
      </mc:Choice>
      <mc:Fallback>
        <control shapeId="1050" r:id="rId48" name="cmdBoden"/>
      </mc:Fallback>
    </mc:AlternateContent>
    <mc:AlternateContent xmlns:mc="http://schemas.openxmlformats.org/markup-compatibility/2006">
      <mc:Choice Requires="x14">
        <control shapeId="1051" r:id="rId50" name="cmdDS">
          <controlPr defaultSize="0" print="0" autoLine="0" r:id="rId51">
            <anchor moveWithCells="1">
              <from>
                <xdr:col>89</xdr:col>
                <xdr:colOff>19050</xdr:colOff>
                <xdr:row>86</xdr:row>
                <xdr:rowOff>19050</xdr:rowOff>
              </from>
              <to>
                <xdr:col>90</xdr:col>
                <xdr:colOff>28575</xdr:colOff>
                <xdr:row>87</xdr:row>
                <xdr:rowOff>57150</xdr:rowOff>
              </to>
            </anchor>
          </controlPr>
        </control>
      </mc:Choice>
      <mc:Fallback>
        <control shapeId="1051" r:id="rId50" name="cmdDS"/>
      </mc:Fallback>
    </mc:AlternateContent>
    <mc:AlternateContent xmlns:mc="http://schemas.openxmlformats.org/markup-compatibility/2006">
      <mc:Choice Requires="x14">
        <control shapeId="1052" r:id="rId52" name="cmdTS">
          <controlPr defaultSize="0" print="0" autoLine="0" r:id="rId53">
            <anchor moveWithCells="1">
              <from>
                <xdr:col>89</xdr:col>
                <xdr:colOff>19050</xdr:colOff>
                <xdr:row>73</xdr:row>
                <xdr:rowOff>9525</xdr:rowOff>
              </from>
              <to>
                <xdr:col>90</xdr:col>
                <xdr:colOff>28575</xdr:colOff>
                <xdr:row>75</xdr:row>
                <xdr:rowOff>0</xdr:rowOff>
              </to>
            </anchor>
          </controlPr>
        </control>
      </mc:Choice>
      <mc:Fallback>
        <control shapeId="1052" r:id="rId52" name="cmdTS"/>
      </mc:Fallback>
    </mc:AlternateContent>
    <mc:AlternateContent xmlns:mc="http://schemas.openxmlformats.org/markup-compatibility/2006">
      <mc:Choice Requires="x14">
        <control shapeId="1053" r:id="rId54" name="cmdWKH">
          <controlPr defaultSize="0" print="0" autoLine="0" r:id="rId55">
            <anchor moveWithCells="1">
              <from>
                <xdr:col>89</xdr:col>
                <xdr:colOff>19050</xdr:colOff>
                <xdr:row>93</xdr:row>
                <xdr:rowOff>19050</xdr:rowOff>
              </from>
              <to>
                <xdr:col>90</xdr:col>
                <xdr:colOff>28575</xdr:colOff>
                <xdr:row>94</xdr:row>
                <xdr:rowOff>57150</xdr:rowOff>
              </to>
            </anchor>
          </controlPr>
        </control>
      </mc:Choice>
      <mc:Fallback>
        <control shapeId="1053" r:id="rId54" name="cmdWKH"/>
      </mc:Fallback>
    </mc:AlternateContent>
    <mc:AlternateContent xmlns:mc="http://schemas.openxmlformats.org/markup-compatibility/2006">
      <mc:Choice Requires="x14">
        <control shapeId="1054" r:id="rId56" name="cmdWKHS">
          <controlPr defaultSize="0" print="0" autoLine="0" r:id="rId57">
            <anchor moveWithCells="1">
              <from>
                <xdr:col>89</xdr:col>
                <xdr:colOff>28575</xdr:colOff>
                <xdr:row>100</xdr:row>
                <xdr:rowOff>28575</xdr:rowOff>
              </from>
              <to>
                <xdr:col>90</xdr:col>
                <xdr:colOff>38100</xdr:colOff>
                <xdr:row>102</xdr:row>
                <xdr:rowOff>9525</xdr:rowOff>
              </to>
            </anchor>
          </controlPr>
        </control>
      </mc:Choice>
      <mc:Fallback>
        <control shapeId="1054" r:id="rId56" name="cmdWKHS"/>
      </mc:Fallback>
    </mc:AlternateContent>
    <mc:AlternateContent xmlns:mc="http://schemas.openxmlformats.org/markup-compatibility/2006">
      <mc:Choice Requires="x14">
        <control shapeId="1059" r:id="rId58" name="cmd_IVP_Aktualisieren">
          <controlPr defaultSize="0" print="0" autoLine="0" r:id="rId59">
            <anchor moveWithCells="1">
              <from>
                <xdr:col>98</xdr:col>
                <xdr:colOff>0</xdr:colOff>
                <xdr:row>3</xdr:row>
                <xdr:rowOff>28575</xdr:rowOff>
              </from>
              <to>
                <xdr:col>103</xdr:col>
                <xdr:colOff>47625</xdr:colOff>
                <xdr:row>9</xdr:row>
                <xdr:rowOff>9525</xdr:rowOff>
              </to>
            </anchor>
          </controlPr>
        </control>
      </mc:Choice>
      <mc:Fallback>
        <control shapeId="1059" r:id="rId58" name="cmd_IVP_Aktualisiere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GE323"/>
  <sheetViews>
    <sheetView showGridLines="0" showRowColHeaders="0" showZeros="0" topLeftCell="A9" zoomScale="175" zoomScaleNormal="175" workbookViewId="0">
      <selection activeCell="L12" sqref="L12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18" width="1.28515625" style="14" customWidth="1"/>
    <col min="19" max="36" width="0.7109375" style="14" customWidth="1"/>
    <col min="37" max="37" width="2.85546875" style="14" customWidth="1"/>
    <col min="38" max="53" width="0.7109375" style="14" customWidth="1"/>
    <col min="54" max="54" width="6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14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597" t="s">
        <v>288</v>
      </c>
      <c r="X5" s="597"/>
      <c r="Y5" s="597"/>
      <c r="Z5" s="597"/>
      <c r="AA5" s="597"/>
      <c r="AB5" s="597"/>
      <c r="AC5" s="597"/>
      <c r="AD5" s="597"/>
      <c r="AE5" s="597"/>
      <c r="AF5" s="597"/>
      <c r="AG5" s="597"/>
      <c r="AH5" s="597"/>
      <c r="AI5" s="597"/>
      <c r="AJ5" s="597"/>
      <c r="AK5" s="597"/>
      <c r="AL5" s="597"/>
      <c r="AM5" s="597"/>
      <c r="AN5" s="597"/>
      <c r="AO5" s="597"/>
      <c r="AP5" s="597"/>
      <c r="AQ5" s="597"/>
      <c r="AR5" s="597"/>
      <c r="AS5" s="597"/>
      <c r="AT5" s="597"/>
      <c r="AU5" s="597"/>
      <c r="AV5" s="597"/>
      <c r="AW5" s="597"/>
      <c r="AX5" s="597"/>
      <c r="AY5" s="597"/>
      <c r="AZ5" s="597"/>
      <c r="BA5" s="597"/>
      <c r="BB5" s="597"/>
      <c r="BC5" s="597"/>
      <c r="BD5" s="597"/>
      <c r="BE5" s="597"/>
      <c r="BF5" s="597"/>
      <c r="BG5" s="597"/>
      <c r="BH5" s="597"/>
      <c r="BI5" s="597"/>
      <c r="BJ5" s="597"/>
      <c r="BK5" s="597"/>
      <c r="BL5" s="597"/>
      <c r="BM5" s="597"/>
      <c r="BN5" s="597"/>
      <c r="BO5" s="597"/>
      <c r="BP5" s="597"/>
      <c r="BQ5" s="597"/>
      <c r="BR5" s="597"/>
      <c r="BS5" s="597"/>
      <c r="BT5" s="597"/>
      <c r="BU5" s="597"/>
      <c r="BV5" s="597"/>
      <c r="BW5" s="597"/>
      <c r="BX5" s="597"/>
      <c r="BY5" s="597"/>
      <c r="BZ5" s="597"/>
      <c r="CA5" s="597"/>
      <c r="CB5" s="597"/>
      <c r="CC5" s="597"/>
      <c r="CD5" s="597"/>
      <c r="CE5" s="597"/>
      <c r="CF5" s="597"/>
      <c r="CG5" s="597"/>
      <c r="CH5" s="597"/>
      <c r="CI5" s="597"/>
      <c r="CJ5" s="597"/>
      <c r="CK5" s="597"/>
      <c r="CL5" s="597"/>
      <c r="CM5" s="597"/>
      <c r="CN5" s="597"/>
      <c r="CO5" s="597"/>
      <c r="CP5" s="597"/>
      <c r="CQ5" s="597"/>
      <c r="CR5" s="597"/>
      <c r="CS5" s="597"/>
      <c r="CT5" s="597"/>
      <c r="CU5" s="597"/>
      <c r="CV5" s="597"/>
      <c r="CW5" s="597"/>
      <c r="CX5" s="597"/>
      <c r="CY5" s="597"/>
      <c r="CZ5" s="597"/>
      <c r="DA5" s="597"/>
      <c r="DB5" s="597"/>
      <c r="DC5" s="597"/>
      <c r="DD5" s="597"/>
      <c r="DE5" s="597"/>
      <c r="DF5" s="597"/>
      <c r="DG5" s="597"/>
      <c r="DH5" s="597"/>
      <c r="DI5" s="597"/>
      <c r="DJ5" s="597"/>
      <c r="DK5" s="597"/>
      <c r="DL5" s="597"/>
      <c r="DM5" s="597"/>
      <c r="DN5" s="597"/>
      <c r="DO5" s="597"/>
      <c r="DP5" s="597"/>
      <c r="DQ5" s="597"/>
      <c r="DR5" s="597"/>
      <c r="DS5" s="597"/>
      <c r="DT5" s="597"/>
      <c r="DU5" s="597"/>
      <c r="DV5" s="597"/>
      <c r="DW5" s="597"/>
      <c r="DX5" s="597"/>
      <c r="DY5" s="597"/>
      <c r="DZ5" s="597"/>
      <c r="EA5" s="597"/>
      <c r="EB5" s="597"/>
      <c r="EC5" s="597"/>
      <c r="ED5" s="597"/>
      <c r="EE5" s="597"/>
      <c r="EF5" s="597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597"/>
      <c r="X6" s="597"/>
      <c r="Y6" s="597"/>
      <c r="Z6" s="597"/>
      <c r="AA6" s="597"/>
      <c r="AB6" s="597"/>
      <c r="AC6" s="597"/>
      <c r="AD6" s="597"/>
      <c r="AE6" s="597"/>
      <c r="AF6" s="597"/>
      <c r="AG6" s="597"/>
      <c r="AH6" s="597"/>
      <c r="AI6" s="597"/>
      <c r="AJ6" s="597"/>
      <c r="AK6" s="597"/>
      <c r="AL6" s="597"/>
      <c r="AM6" s="597"/>
      <c r="AN6" s="597"/>
      <c r="AO6" s="597"/>
      <c r="AP6" s="597"/>
      <c r="AQ6" s="597"/>
      <c r="AR6" s="597"/>
      <c r="AS6" s="597"/>
      <c r="AT6" s="597"/>
      <c r="AU6" s="597"/>
      <c r="AV6" s="597"/>
      <c r="AW6" s="597"/>
      <c r="AX6" s="597"/>
      <c r="AY6" s="597"/>
      <c r="AZ6" s="597"/>
      <c r="BA6" s="597"/>
      <c r="BB6" s="597"/>
      <c r="BC6" s="597"/>
      <c r="BD6" s="597"/>
      <c r="BE6" s="597"/>
      <c r="BF6" s="597"/>
      <c r="BG6" s="597"/>
      <c r="BH6" s="597"/>
      <c r="BI6" s="597"/>
      <c r="BJ6" s="597"/>
      <c r="BK6" s="597"/>
      <c r="BL6" s="597"/>
      <c r="BM6" s="597"/>
      <c r="BN6" s="597"/>
      <c r="BO6" s="597"/>
      <c r="BP6" s="597"/>
      <c r="BQ6" s="597"/>
      <c r="BR6" s="597"/>
      <c r="BS6" s="597"/>
      <c r="BT6" s="597"/>
      <c r="BU6" s="597"/>
      <c r="BV6" s="597"/>
      <c r="BW6" s="597"/>
      <c r="BX6" s="597"/>
      <c r="BY6" s="597"/>
      <c r="BZ6" s="597"/>
      <c r="CA6" s="597"/>
      <c r="CB6" s="597"/>
      <c r="CC6" s="597"/>
      <c r="CD6" s="597"/>
      <c r="CE6" s="597"/>
      <c r="CF6" s="597"/>
      <c r="CG6" s="597"/>
      <c r="CH6" s="597"/>
      <c r="CI6" s="597"/>
      <c r="CJ6" s="597"/>
      <c r="CK6" s="597"/>
      <c r="CL6" s="597"/>
      <c r="CM6" s="597"/>
      <c r="CN6" s="597"/>
      <c r="CO6" s="597"/>
      <c r="CP6" s="597"/>
      <c r="CQ6" s="597"/>
      <c r="CR6" s="597"/>
      <c r="CS6" s="597"/>
      <c r="CT6" s="597"/>
      <c r="CU6" s="597"/>
      <c r="CV6" s="597"/>
      <c r="CW6" s="597"/>
      <c r="CX6" s="597"/>
      <c r="CY6" s="597"/>
      <c r="CZ6" s="597"/>
      <c r="DA6" s="597"/>
      <c r="DB6" s="597"/>
      <c r="DC6" s="597"/>
      <c r="DD6" s="597"/>
      <c r="DE6" s="597"/>
      <c r="DF6" s="597"/>
      <c r="DG6" s="597"/>
      <c r="DH6" s="597"/>
      <c r="DI6" s="597"/>
      <c r="DJ6" s="597"/>
      <c r="DK6" s="597"/>
      <c r="DL6" s="597"/>
      <c r="DM6" s="597"/>
      <c r="DN6" s="597"/>
      <c r="DO6" s="597"/>
      <c r="DP6" s="597"/>
      <c r="DQ6" s="597"/>
      <c r="DR6" s="597"/>
      <c r="DS6" s="597"/>
      <c r="DT6" s="597"/>
      <c r="DU6" s="597"/>
      <c r="DV6" s="597"/>
      <c r="DW6" s="597"/>
      <c r="DX6" s="597"/>
      <c r="DY6" s="597"/>
      <c r="DZ6" s="597"/>
      <c r="EA6" s="597"/>
      <c r="EB6" s="597"/>
      <c r="EC6" s="597"/>
      <c r="ED6" s="597"/>
      <c r="EE6" s="597"/>
      <c r="EF6" s="597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597" t="s">
        <v>306</v>
      </c>
      <c r="X7" s="597"/>
      <c r="Y7" s="597"/>
      <c r="Z7" s="597"/>
      <c r="AA7" s="597"/>
      <c r="AB7" s="597"/>
      <c r="AC7" s="597"/>
      <c r="AD7" s="597"/>
      <c r="AE7" s="597"/>
      <c r="AF7" s="597"/>
      <c r="AG7" s="597"/>
      <c r="AH7" s="597"/>
      <c r="AI7" s="597"/>
      <c r="AJ7" s="597"/>
      <c r="AK7" s="597"/>
      <c r="AL7" s="597"/>
      <c r="AM7" s="597"/>
      <c r="AN7" s="597"/>
      <c r="AO7" s="597"/>
      <c r="AP7" s="597"/>
      <c r="AQ7" s="597"/>
      <c r="AR7" s="597"/>
      <c r="AS7" s="597"/>
      <c r="AT7" s="597"/>
      <c r="AU7" s="597"/>
      <c r="AV7" s="597"/>
      <c r="AW7" s="597"/>
      <c r="AX7" s="597"/>
      <c r="AY7" s="597"/>
      <c r="AZ7" s="597"/>
      <c r="BA7" s="597"/>
      <c r="BB7" s="597"/>
      <c r="BC7" s="597"/>
      <c r="BD7" s="597"/>
      <c r="BE7" s="597"/>
      <c r="BF7" s="597"/>
      <c r="BG7" s="597"/>
      <c r="BH7" s="597"/>
      <c r="BI7" s="597"/>
      <c r="BJ7" s="597"/>
      <c r="BK7" s="597"/>
      <c r="BL7" s="597"/>
      <c r="BM7" s="597"/>
      <c r="BN7" s="597"/>
      <c r="BO7" s="597"/>
      <c r="BP7" s="597"/>
      <c r="BQ7" s="597"/>
      <c r="BR7" s="597"/>
      <c r="BS7" s="597"/>
      <c r="BT7" s="597"/>
      <c r="BU7" s="597"/>
      <c r="BV7" s="597"/>
      <c r="BW7" s="597"/>
      <c r="BX7" s="597"/>
      <c r="BY7" s="597"/>
      <c r="BZ7" s="597"/>
      <c r="CA7" s="597"/>
      <c r="CB7" s="597"/>
      <c r="CC7" s="597"/>
      <c r="CD7" s="597"/>
      <c r="CE7" s="597"/>
      <c r="CF7" s="597"/>
      <c r="CG7" s="597"/>
      <c r="CH7" s="597"/>
      <c r="CI7" s="597"/>
      <c r="CJ7" s="597"/>
      <c r="CK7" s="597"/>
      <c r="CL7" s="597"/>
      <c r="CM7" s="597"/>
      <c r="CN7" s="597"/>
      <c r="CO7" s="597"/>
      <c r="CP7" s="597"/>
      <c r="CQ7" s="597"/>
      <c r="CR7" s="597"/>
      <c r="CS7" s="597"/>
      <c r="CT7" s="597"/>
      <c r="CU7" s="597"/>
      <c r="CV7" s="597"/>
      <c r="CW7" s="597"/>
      <c r="CX7" s="597"/>
      <c r="CY7" s="597"/>
      <c r="CZ7" s="597"/>
      <c r="DA7" s="597"/>
      <c r="DB7" s="597"/>
      <c r="DC7" s="597"/>
      <c r="DD7" s="597"/>
      <c r="DE7" s="597"/>
      <c r="DF7" s="597"/>
      <c r="DG7" s="597"/>
      <c r="DH7" s="597"/>
      <c r="DI7" s="597"/>
      <c r="DJ7" s="597"/>
      <c r="DK7" s="597"/>
      <c r="DL7" s="597"/>
      <c r="DM7" s="597"/>
      <c r="DN7" s="597"/>
      <c r="DO7" s="597"/>
      <c r="DP7" s="597"/>
      <c r="DQ7" s="597"/>
      <c r="DR7" s="597"/>
      <c r="DS7" s="597"/>
      <c r="DT7" s="597"/>
      <c r="DU7" s="597"/>
      <c r="DV7" s="597"/>
      <c r="DW7" s="597"/>
      <c r="DX7" s="597"/>
      <c r="DY7" s="597"/>
      <c r="DZ7" s="597"/>
      <c r="EA7" s="597"/>
      <c r="EB7" s="597"/>
      <c r="EC7" s="597"/>
      <c r="ED7" s="597"/>
      <c r="EE7" s="597"/>
      <c r="EF7" s="597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597"/>
      <c r="X8" s="597"/>
      <c r="Y8" s="597"/>
      <c r="Z8" s="597"/>
      <c r="AA8" s="597"/>
      <c r="AB8" s="597"/>
      <c r="AC8" s="597"/>
      <c r="AD8" s="597"/>
      <c r="AE8" s="597"/>
      <c r="AF8" s="597"/>
      <c r="AG8" s="597"/>
      <c r="AH8" s="597"/>
      <c r="AI8" s="597"/>
      <c r="AJ8" s="597"/>
      <c r="AK8" s="597"/>
      <c r="AL8" s="597"/>
      <c r="AM8" s="597"/>
      <c r="AN8" s="597"/>
      <c r="AO8" s="597"/>
      <c r="AP8" s="597"/>
      <c r="AQ8" s="597"/>
      <c r="AR8" s="597"/>
      <c r="AS8" s="597"/>
      <c r="AT8" s="597"/>
      <c r="AU8" s="597"/>
      <c r="AV8" s="597"/>
      <c r="AW8" s="597"/>
      <c r="AX8" s="597"/>
      <c r="AY8" s="597"/>
      <c r="AZ8" s="597"/>
      <c r="BA8" s="597"/>
      <c r="BB8" s="597"/>
      <c r="BC8" s="597"/>
      <c r="BD8" s="597"/>
      <c r="BE8" s="597"/>
      <c r="BF8" s="597"/>
      <c r="BG8" s="597"/>
      <c r="BH8" s="597"/>
      <c r="BI8" s="597"/>
      <c r="BJ8" s="597"/>
      <c r="BK8" s="597"/>
      <c r="BL8" s="597"/>
      <c r="BM8" s="597"/>
      <c r="BN8" s="597"/>
      <c r="BO8" s="597"/>
      <c r="BP8" s="597"/>
      <c r="BQ8" s="597"/>
      <c r="BR8" s="597"/>
      <c r="BS8" s="597"/>
      <c r="BT8" s="597"/>
      <c r="BU8" s="597"/>
      <c r="BV8" s="597"/>
      <c r="BW8" s="597"/>
      <c r="BX8" s="597"/>
      <c r="BY8" s="597"/>
      <c r="BZ8" s="597"/>
      <c r="CA8" s="597"/>
      <c r="CB8" s="597"/>
      <c r="CC8" s="597"/>
      <c r="CD8" s="597"/>
      <c r="CE8" s="597"/>
      <c r="CF8" s="597"/>
      <c r="CG8" s="597"/>
      <c r="CH8" s="597"/>
      <c r="CI8" s="597"/>
      <c r="CJ8" s="597"/>
      <c r="CK8" s="597"/>
      <c r="CL8" s="597"/>
      <c r="CM8" s="597"/>
      <c r="CN8" s="597"/>
      <c r="CO8" s="597"/>
      <c r="CP8" s="597"/>
      <c r="CQ8" s="597"/>
      <c r="CR8" s="597"/>
      <c r="CS8" s="597"/>
      <c r="CT8" s="597"/>
      <c r="CU8" s="597"/>
      <c r="CV8" s="597"/>
      <c r="CW8" s="597"/>
      <c r="CX8" s="597"/>
      <c r="CY8" s="597"/>
      <c r="CZ8" s="597"/>
      <c r="DA8" s="597"/>
      <c r="DB8" s="597"/>
      <c r="DC8" s="597"/>
      <c r="DD8" s="597"/>
      <c r="DE8" s="597"/>
      <c r="DF8" s="597"/>
      <c r="DG8" s="597"/>
      <c r="DH8" s="597"/>
      <c r="DI8" s="597"/>
      <c r="DJ8" s="597"/>
      <c r="DK8" s="597"/>
      <c r="DL8" s="597"/>
      <c r="DM8" s="597"/>
      <c r="DN8" s="597"/>
      <c r="DO8" s="597"/>
      <c r="DP8" s="597"/>
      <c r="DQ8" s="597"/>
      <c r="DR8" s="597"/>
      <c r="DS8" s="597"/>
      <c r="DT8" s="597"/>
      <c r="DU8" s="597"/>
      <c r="DV8" s="597"/>
      <c r="DW8" s="597"/>
      <c r="DX8" s="597"/>
      <c r="DY8" s="597"/>
      <c r="DZ8" s="597"/>
      <c r="EA8" s="597"/>
      <c r="EB8" s="597"/>
      <c r="EC8" s="597"/>
      <c r="ED8" s="597"/>
      <c r="EE8" s="597"/>
      <c r="EF8" s="597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259" t="s">
        <v>173</v>
      </c>
      <c r="N9" s="7"/>
      <c r="O9" s="7"/>
      <c r="AM9" s="259" t="s">
        <v>174</v>
      </c>
      <c r="AN9" s="260"/>
      <c r="AO9" s="260"/>
      <c r="AP9" s="260"/>
      <c r="AQ9" s="260"/>
      <c r="AR9" s="260"/>
      <c r="AS9" s="260"/>
      <c r="AT9" s="260"/>
      <c r="AU9" s="260"/>
      <c r="AV9" s="260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259" t="s">
        <v>175</v>
      </c>
      <c r="N10" s="7"/>
      <c r="O10" s="7"/>
      <c r="AM10" s="259" t="s">
        <v>307</v>
      </c>
      <c r="AN10" s="259"/>
      <c r="AO10" s="259"/>
      <c r="AP10" s="259"/>
      <c r="AQ10" s="259"/>
      <c r="AR10" s="259"/>
      <c r="AS10" s="259"/>
      <c r="AT10" s="259"/>
      <c r="AU10" s="259"/>
      <c r="AV10" s="259"/>
      <c r="DL10" s="598"/>
      <c r="DM10" s="598"/>
      <c r="DN10" s="598"/>
      <c r="DO10" s="598"/>
      <c r="DP10" s="598"/>
      <c r="DQ10" s="598"/>
      <c r="DR10" s="598"/>
      <c r="DS10" s="598"/>
      <c r="DT10" s="598"/>
      <c r="DU10" s="598"/>
      <c r="DV10" s="598"/>
      <c r="DW10" s="598"/>
      <c r="DX10" s="598"/>
      <c r="DY10" s="598"/>
      <c r="DZ10" s="598"/>
      <c r="EA10" s="598"/>
      <c r="EB10" s="598"/>
      <c r="EC10" s="598"/>
      <c r="ED10" s="598"/>
      <c r="EE10" s="598"/>
      <c r="EF10" s="598"/>
      <c r="EG10" s="598"/>
      <c r="EH10" s="598"/>
      <c r="EI10" s="598"/>
      <c r="EJ10" s="598"/>
      <c r="EK10" s="598"/>
      <c r="EL10" s="598"/>
      <c r="EM10" s="598"/>
      <c r="EN10" s="598"/>
      <c r="EO10" s="598"/>
      <c r="EP10" s="598"/>
      <c r="EQ10" s="598"/>
      <c r="ER10" s="598"/>
      <c r="ES10" s="598"/>
      <c r="ET10" s="598"/>
      <c r="EU10" s="598"/>
      <c r="EV10" s="598"/>
      <c r="EW10" s="598"/>
      <c r="EX10" s="598"/>
      <c r="EY10" s="598"/>
      <c r="EZ10" s="598"/>
      <c r="FA10" s="598"/>
      <c r="FB10" s="598"/>
      <c r="FC10" s="598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259" t="s">
        <v>177</v>
      </c>
      <c r="AN11" s="261"/>
      <c r="AO11" s="261"/>
      <c r="AP11" s="261"/>
      <c r="AQ11" s="261"/>
      <c r="AR11" s="261"/>
      <c r="AS11" s="261"/>
      <c r="AT11" s="261"/>
      <c r="AU11" s="261"/>
      <c r="AV11" s="261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0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17"/>
      <c r="X12" s="234"/>
      <c r="Y12" s="234"/>
      <c r="Z12" s="234"/>
      <c r="AA12" s="234"/>
      <c r="AB12" s="234"/>
      <c r="AC12" s="17"/>
      <c r="AD12" s="17"/>
      <c r="AE12" s="234"/>
      <c r="AF12" s="234"/>
      <c r="AG12" s="234"/>
      <c r="AH12" s="234"/>
      <c r="AI12" s="234"/>
      <c r="AJ12" s="234"/>
      <c r="AK12" s="234"/>
      <c r="AL12" s="234"/>
      <c r="AM12" s="234"/>
      <c r="AN12" s="234"/>
      <c r="AO12" s="235"/>
      <c r="AP12" s="236"/>
      <c r="AQ12" s="237"/>
      <c r="AR12" s="237"/>
      <c r="AS12" s="237"/>
      <c r="AT12" s="237"/>
      <c r="AU12" s="237"/>
      <c r="AV12" s="237"/>
      <c r="AW12" s="237"/>
      <c r="AX12" s="237"/>
      <c r="AY12" s="237"/>
      <c r="AZ12" s="237"/>
      <c r="BA12" s="237"/>
      <c r="BB12" s="237"/>
      <c r="BC12" s="237"/>
      <c r="BD12" s="237"/>
      <c r="BE12" s="237"/>
      <c r="BF12" s="237"/>
      <c r="BG12" s="237"/>
      <c r="BH12" s="237"/>
      <c r="BI12" s="237"/>
      <c r="BJ12" s="237"/>
      <c r="BK12" s="237"/>
      <c r="BL12" s="237"/>
      <c r="BM12" s="237"/>
      <c r="BN12" s="237"/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234"/>
      <c r="BZ12" s="234"/>
      <c r="CA12" s="234"/>
      <c r="CB12" s="234"/>
      <c r="CC12" s="234"/>
      <c r="CD12" s="234"/>
      <c r="CE12" s="234"/>
      <c r="CF12" s="234"/>
      <c r="CG12" s="234"/>
      <c r="CH12" s="234"/>
      <c r="CI12" s="234"/>
      <c r="CJ12" s="234"/>
      <c r="CK12" s="234"/>
      <c r="CL12" s="234"/>
      <c r="CM12" s="234"/>
      <c r="CN12" s="234"/>
      <c r="CO12" s="234"/>
      <c r="CP12" s="234"/>
      <c r="CQ12" s="234"/>
      <c r="CR12" s="234"/>
      <c r="CS12" s="234"/>
      <c r="CT12" s="234"/>
      <c r="CU12" s="234"/>
      <c r="CV12" s="234"/>
      <c r="CW12" s="234"/>
      <c r="CX12" s="234"/>
      <c r="CY12" s="234"/>
      <c r="CZ12" s="234"/>
      <c r="DA12" s="234"/>
      <c r="DB12" s="234"/>
      <c r="DC12" s="234"/>
      <c r="DD12" s="234"/>
      <c r="DE12" s="234"/>
      <c r="DF12" s="234"/>
      <c r="DG12" s="234"/>
      <c r="DH12" s="234"/>
      <c r="DI12" s="234"/>
      <c r="DJ12" s="234"/>
      <c r="DK12" s="234"/>
      <c r="DL12" s="234"/>
      <c r="DM12" s="234"/>
      <c r="DN12" s="234"/>
      <c r="DO12" s="234"/>
      <c r="DP12" s="234"/>
      <c r="DQ12" s="234"/>
      <c r="DR12" s="234"/>
      <c r="DS12" s="234"/>
      <c r="DT12" s="234"/>
      <c r="DU12" s="234"/>
      <c r="DV12" s="234"/>
      <c r="DW12" s="234"/>
      <c r="DX12" s="234"/>
      <c r="DY12" s="234"/>
      <c r="DZ12" s="234"/>
      <c r="EA12" s="234"/>
      <c r="EB12" s="234"/>
      <c r="EC12" s="238"/>
      <c r="ED12" s="238"/>
      <c r="EE12" s="238"/>
      <c r="EF12" s="238"/>
      <c r="EG12" s="238"/>
      <c r="EH12" s="238"/>
      <c r="EI12" s="238"/>
      <c r="EJ12" s="238"/>
      <c r="EK12" s="238"/>
      <c r="EL12" s="238"/>
      <c r="EM12" s="238"/>
      <c r="EN12" s="238"/>
      <c r="EO12" s="238"/>
      <c r="EP12" s="238"/>
      <c r="EQ12" s="238"/>
      <c r="ER12" s="238"/>
      <c r="ES12" s="238"/>
      <c r="ET12" s="238"/>
      <c r="EU12" s="238"/>
      <c r="EV12" s="238"/>
      <c r="EW12" s="238"/>
      <c r="EX12" s="238"/>
      <c r="EY12" s="235"/>
      <c r="EZ12" s="235"/>
      <c r="FA12" s="235"/>
      <c r="FB12" s="235"/>
      <c r="FC12" s="235"/>
      <c r="FD12" s="235"/>
      <c r="FE12" s="235"/>
      <c r="FF12" s="235"/>
      <c r="FG12" s="235"/>
      <c r="FH12" s="235"/>
      <c r="FI12" s="235"/>
      <c r="FJ12" s="235"/>
      <c r="FK12" s="235"/>
      <c r="FL12" s="235"/>
      <c r="FM12" s="89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49"/>
      <c r="M13" s="53"/>
      <c r="N13" s="599" t="s">
        <v>2</v>
      </c>
      <c r="O13" s="599"/>
      <c r="P13" s="599"/>
      <c r="Q13" s="599"/>
      <c r="R13" s="599"/>
      <c r="S13" s="599"/>
      <c r="T13" s="599"/>
      <c r="U13" s="599"/>
      <c r="V13" s="599"/>
      <c r="W13" s="599"/>
      <c r="X13" s="599"/>
      <c r="Y13" s="599"/>
      <c r="Z13" s="599"/>
      <c r="AA13" s="599"/>
      <c r="AB13" s="599"/>
      <c r="AC13" s="599"/>
      <c r="AD13" s="599"/>
      <c r="AE13" s="599"/>
      <c r="AF13" s="599"/>
      <c r="AG13" s="599"/>
      <c r="AH13" s="599"/>
      <c r="AI13" s="599"/>
      <c r="AJ13" s="599"/>
      <c r="AK13" s="599"/>
      <c r="AL13" s="599"/>
      <c r="AM13" s="599"/>
      <c r="AN13" s="599"/>
      <c r="AO13" s="599"/>
      <c r="AP13" s="599"/>
      <c r="AQ13" s="599"/>
      <c r="AR13" s="599"/>
      <c r="AS13" s="599"/>
      <c r="AT13" s="599"/>
      <c r="AU13" s="599"/>
      <c r="AV13" s="599"/>
      <c r="AW13" s="599"/>
      <c r="AX13" s="599"/>
      <c r="AY13" s="599"/>
      <c r="AZ13" s="599"/>
      <c r="BA13" s="599"/>
      <c r="BB13" s="599"/>
      <c r="BC13" s="599"/>
      <c r="BD13" s="599"/>
      <c r="BE13" s="599"/>
      <c r="BF13" s="599"/>
      <c r="BG13" s="599"/>
      <c r="BH13" s="599"/>
      <c r="BI13" s="599"/>
      <c r="BJ13" s="599"/>
      <c r="BK13" s="599"/>
      <c r="BL13" s="599"/>
      <c r="BM13" s="599"/>
      <c r="BN13" s="599"/>
      <c r="BO13" s="599"/>
      <c r="BP13" s="599"/>
      <c r="BQ13" s="599"/>
      <c r="BR13" s="599"/>
      <c r="BS13" s="599"/>
      <c r="BT13" s="599"/>
      <c r="BU13" s="599"/>
      <c r="BV13" s="599"/>
      <c r="BW13" s="599"/>
      <c r="BX13" s="599"/>
      <c r="BY13" s="599"/>
      <c r="BZ13" s="599"/>
      <c r="CA13" s="599"/>
      <c r="CB13" s="599"/>
      <c r="CC13" s="599"/>
      <c r="CD13" s="599"/>
      <c r="CE13" s="599"/>
      <c r="CF13" s="599"/>
      <c r="CG13" s="599"/>
      <c r="CH13" s="599"/>
      <c r="CI13" s="599"/>
      <c r="CJ13" s="599"/>
      <c r="CK13" s="599"/>
      <c r="CL13" s="599"/>
      <c r="CM13" s="599"/>
      <c r="CN13" s="599"/>
      <c r="CO13" s="599"/>
      <c r="CP13" s="599"/>
      <c r="CQ13" s="599"/>
      <c r="CR13" s="599"/>
      <c r="CS13" s="599"/>
      <c r="CT13" s="599"/>
      <c r="CU13" s="599"/>
      <c r="CV13" s="599"/>
      <c r="CW13" s="599"/>
      <c r="CX13" s="599"/>
      <c r="CY13" s="599"/>
      <c r="CZ13" s="599"/>
      <c r="DA13" s="599"/>
      <c r="DB13" s="599"/>
      <c r="DC13" s="599"/>
      <c r="DD13" s="599"/>
      <c r="DE13" s="599"/>
      <c r="DF13" s="599"/>
      <c r="DG13" s="599"/>
      <c r="DH13" s="599"/>
      <c r="DI13" s="599"/>
      <c r="DJ13" s="599"/>
      <c r="DK13" s="599"/>
      <c r="DL13" s="599"/>
      <c r="DM13" s="599"/>
      <c r="DN13" s="599"/>
      <c r="DO13" s="599"/>
      <c r="DP13" s="599"/>
      <c r="DQ13" s="599"/>
      <c r="DR13" s="599"/>
      <c r="DS13" s="599"/>
      <c r="DT13" s="599"/>
      <c r="DU13" s="599"/>
      <c r="DV13" s="599"/>
      <c r="DW13" s="599"/>
      <c r="DX13" s="599"/>
      <c r="DY13" s="599"/>
      <c r="DZ13" s="599"/>
      <c r="EA13" s="599"/>
      <c r="EB13" s="599"/>
      <c r="EC13" s="599"/>
      <c r="ED13" s="599"/>
      <c r="EE13" s="599"/>
      <c r="EF13" s="599"/>
      <c r="EG13" s="599"/>
      <c r="EH13" s="599"/>
      <c r="EI13" s="599"/>
      <c r="EJ13" s="599"/>
      <c r="EK13" s="599"/>
      <c r="EL13" s="599"/>
      <c r="EM13" s="599"/>
      <c r="EN13" s="599"/>
      <c r="EO13" s="599"/>
      <c r="EP13" s="599"/>
      <c r="EQ13" s="599"/>
      <c r="ER13" s="599"/>
      <c r="ES13" s="599"/>
      <c r="ET13" s="599"/>
      <c r="EU13" s="599"/>
      <c r="EV13" s="599"/>
      <c r="EW13" s="599"/>
      <c r="EX13" s="599"/>
      <c r="EY13" s="599"/>
      <c r="EZ13" s="599"/>
      <c r="FA13" s="599"/>
      <c r="FB13" s="599"/>
      <c r="FC13" s="599"/>
      <c r="FD13" s="599"/>
      <c r="FE13" s="599"/>
      <c r="FF13" s="599"/>
      <c r="FG13" s="599"/>
      <c r="FH13" s="599"/>
      <c r="FI13" s="599"/>
      <c r="FJ13" s="599"/>
      <c r="FK13" s="599"/>
      <c r="FL13" s="599"/>
      <c r="FM13" s="90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49"/>
      <c r="M14" s="53"/>
      <c r="N14" s="599"/>
      <c r="O14" s="599"/>
      <c r="P14" s="599"/>
      <c r="Q14" s="599"/>
      <c r="R14" s="599"/>
      <c r="S14" s="599"/>
      <c r="T14" s="599"/>
      <c r="U14" s="599"/>
      <c r="V14" s="599"/>
      <c r="W14" s="599"/>
      <c r="X14" s="599"/>
      <c r="Y14" s="599"/>
      <c r="Z14" s="599"/>
      <c r="AA14" s="599"/>
      <c r="AB14" s="599"/>
      <c r="AC14" s="599"/>
      <c r="AD14" s="599"/>
      <c r="AE14" s="599"/>
      <c r="AF14" s="599"/>
      <c r="AG14" s="599"/>
      <c r="AH14" s="599"/>
      <c r="AI14" s="599"/>
      <c r="AJ14" s="599"/>
      <c r="AK14" s="599"/>
      <c r="AL14" s="599"/>
      <c r="AM14" s="599"/>
      <c r="AN14" s="599"/>
      <c r="AO14" s="599"/>
      <c r="AP14" s="599"/>
      <c r="AQ14" s="599"/>
      <c r="AR14" s="599"/>
      <c r="AS14" s="599"/>
      <c r="AT14" s="599"/>
      <c r="AU14" s="599"/>
      <c r="AV14" s="599"/>
      <c r="AW14" s="599"/>
      <c r="AX14" s="599"/>
      <c r="AY14" s="599"/>
      <c r="AZ14" s="599"/>
      <c r="BA14" s="599"/>
      <c r="BB14" s="599"/>
      <c r="BC14" s="599"/>
      <c r="BD14" s="599"/>
      <c r="BE14" s="599"/>
      <c r="BF14" s="599"/>
      <c r="BG14" s="599"/>
      <c r="BH14" s="599"/>
      <c r="BI14" s="599"/>
      <c r="BJ14" s="599"/>
      <c r="BK14" s="599"/>
      <c r="BL14" s="599"/>
      <c r="BM14" s="599"/>
      <c r="BN14" s="599"/>
      <c r="BO14" s="599"/>
      <c r="BP14" s="599"/>
      <c r="BQ14" s="599"/>
      <c r="BR14" s="599"/>
      <c r="BS14" s="599"/>
      <c r="BT14" s="599"/>
      <c r="BU14" s="599"/>
      <c r="BV14" s="599"/>
      <c r="BW14" s="599"/>
      <c r="BX14" s="599"/>
      <c r="BY14" s="599"/>
      <c r="BZ14" s="599"/>
      <c r="CA14" s="599"/>
      <c r="CB14" s="599"/>
      <c r="CC14" s="599"/>
      <c r="CD14" s="599"/>
      <c r="CE14" s="599"/>
      <c r="CF14" s="599"/>
      <c r="CG14" s="599"/>
      <c r="CH14" s="599"/>
      <c r="CI14" s="599"/>
      <c r="CJ14" s="599"/>
      <c r="CK14" s="599"/>
      <c r="CL14" s="599"/>
      <c r="CM14" s="599"/>
      <c r="CN14" s="599"/>
      <c r="CO14" s="599"/>
      <c r="CP14" s="599"/>
      <c r="CQ14" s="599"/>
      <c r="CR14" s="599"/>
      <c r="CS14" s="599"/>
      <c r="CT14" s="599"/>
      <c r="CU14" s="599"/>
      <c r="CV14" s="599"/>
      <c r="CW14" s="599"/>
      <c r="CX14" s="599"/>
      <c r="CY14" s="599"/>
      <c r="CZ14" s="599"/>
      <c r="DA14" s="599"/>
      <c r="DB14" s="599"/>
      <c r="DC14" s="599"/>
      <c r="DD14" s="599"/>
      <c r="DE14" s="599"/>
      <c r="DF14" s="599"/>
      <c r="DG14" s="599"/>
      <c r="DH14" s="599"/>
      <c r="DI14" s="599"/>
      <c r="DJ14" s="599"/>
      <c r="DK14" s="599"/>
      <c r="DL14" s="599"/>
      <c r="DM14" s="599"/>
      <c r="DN14" s="599"/>
      <c r="DO14" s="599"/>
      <c r="DP14" s="599"/>
      <c r="DQ14" s="599"/>
      <c r="DR14" s="599"/>
      <c r="DS14" s="599"/>
      <c r="DT14" s="599"/>
      <c r="DU14" s="599"/>
      <c r="DV14" s="599"/>
      <c r="DW14" s="599"/>
      <c r="DX14" s="599"/>
      <c r="DY14" s="599"/>
      <c r="DZ14" s="599"/>
      <c r="EA14" s="599"/>
      <c r="EB14" s="599"/>
      <c r="EC14" s="599"/>
      <c r="ED14" s="599"/>
      <c r="EE14" s="599"/>
      <c r="EF14" s="599"/>
      <c r="EG14" s="599"/>
      <c r="EH14" s="599"/>
      <c r="EI14" s="599"/>
      <c r="EJ14" s="599"/>
      <c r="EK14" s="599"/>
      <c r="EL14" s="599"/>
      <c r="EM14" s="599"/>
      <c r="EN14" s="599"/>
      <c r="EO14" s="599"/>
      <c r="EP14" s="599"/>
      <c r="EQ14" s="599"/>
      <c r="ER14" s="599"/>
      <c r="ES14" s="599"/>
      <c r="ET14" s="599"/>
      <c r="EU14" s="599"/>
      <c r="EV14" s="599"/>
      <c r="EW14" s="599"/>
      <c r="EX14" s="599"/>
      <c r="EY14" s="599"/>
      <c r="EZ14" s="599"/>
      <c r="FA14" s="599"/>
      <c r="FB14" s="599"/>
      <c r="FC14" s="599"/>
      <c r="FD14" s="599"/>
      <c r="FE14" s="599"/>
      <c r="FF14" s="599"/>
      <c r="FG14" s="599"/>
      <c r="FH14" s="599"/>
      <c r="FI14" s="599"/>
      <c r="FJ14" s="599"/>
      <c r="FK14" s="599"/>
      <c r="FL14" s="599"/>
      <c r="FM14" s="90"/>
      <c r="FN14" s="2"/>
      <c r="FO14" s="2"/>
      <c r="FP14" s="2"/>
    </row>
    <row r="15" spans="1:172" ht="3.7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49"/>
      <c r="M15" s="53"/>
      <c r="N15" s="239"/>
      <c r="O15" s="239"/>
      <c r="P15" s="239"/>
      <c r="Q15" s="239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BF15" s="239"/>
      <c r="BG15" s="239"/>
      <c r="BH15" s="239"/>
      <c r="BI15" s="239"/>
      <c r="CJ15" s="239"/>
      <c r="CZ15" s="239"/>
      <c r="DA15" s="239"/>
      <c r="DB15" s="239"/>
      <c r="DC15" s="239"/>
      <c r="DD15" s="239"/>
      <c r="DE15" s="239"/>
      <c r="DF15" s="239"/>
      <c r="DG15" s="239"/>
      <c r="DH15" s="239"/>
      <c r="DI15" s="239"/>
      <c r="DJ15" s="239"/>
      <c r="DK15" s="239"/>
      <c r="DL15" s="239"/>
      <c r="DM15" s="239"/>
      <c r="DN15" s="239"/>
      <c r="DO15" s="239"/>
      <c r="DP15" s="239"/>
      <c r="DQ15" s="239"/>
      <c r="DR15" s="239"/>
      <c r="DS15" s="239"/>
      <c r="DT15" s="239"/>
      <c r="DU15" s="239"/>
      <c r="DV15" s="239"/>
      <c r="DW15" s="239"/>
      <c r="DX15" s="239"/>
      <c r="DY15" s="239"/>
      <c r="DZ15" s="239"/>
      <c r="EA15" s="239"/>
      <c r="EB15" s="239"/>
      <c r="EC15" s="239"/>
      <c r="ED15" s="239"/>
      <c r="EE15" s="239"/>
      <c r="EF15" s="239"/>
      <c r="EG15" s="239"/>
      <c r="EH15" s="239"/>
      <c r="EI15" s="239"/>
      <c r="FF15" s="239"/>
      <c r="FG15" s="239"/>
      <c r="FH15" s="239"/>
      <c r="FI15" s="239"/>
      <c r="FJ15" s="239"/>
      <c r="FK15" s="239"/>
      <c r="FL15" s="239"/>
      <c r="FM15" s="90"/>
      <c r="FN15" s="2"/>
      <c r="FO15" s="2"/>
      <c r="FP15" s="2"/>
    </row>
    <row r="16" spans="1:172" ht="3.7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49"/>
      <c r="M16" s="53"/>
      <c r="N16" s="239"/>
      <c r="O16" s="239"/>
      <c r="P16" s="239"/>
      <c r="Q16" s="239"/>
      <c r="R16" s="263"/>
      <c r="S16" s="263"/>
      <c r="T16" s="263"/>
      <c r="U16" s="263"/>
      <c r="V16" s="263"/>
      <c r="W16" s="263"/>
      <c r="X16" s="263"/>
      <c r="Y16" s="263"/>
      <c r="Z16" s="263"/>
      <c r="AA16" s="263"/>
      <c r="AB16" s="263"/>
      <c r="AC16" s="263"/>
      <c r="AD16" s="263"/>
      <c r="AE16" s="263"/>
      <c r="AF16" s="263"/>
      <c r="AG16" s="263"/>
      <c r="AH16" s="263"/>
      <c r="AI16" s="263"/>
      <c r="AJ16" s="263"/>
      <c r="AK16" s="263"/>
      <c r="BF16" s="239"/>
      <c r="BG16" s="239"/>
      <c r="BH16" s="239"/>
      <c r="BI16" s="239"/>
      <c r="CJ16" s="239"/>
      <c r="CZ16" s="239"/>
      <c r="DA16" s="239"/>
      <c r="DB16" s="239"/>
      <c r="DC16" s="239"/>
      <c r="DD16" s="239"/>
      <c r="DE16" s="239"/>
      <c r="DF16" s="239"/>
      <c r="DG16" s="239"/>
      <c r="DH16" s="239"/>
      <c r="DI16" s="239"/>
      <c r="DJ16" s="239"/>
      <c r="DK16" s="239"/>
      <c r="DL16" s="239"/>
      <c r="DM16" s="239"/>
      <c r="DN16" s="239"/>
      <c r="DO16" s="239"/>
      <c r="DP16" s="239"/>
      <c r="DQ16" s="239"/>
      <c r="DR16" s="239"/>
      <c r="DS16" s="239"/>
      <c r="DT16" s="239"/>
      <c r="DU16" s="239"/>
      <c r="DV16" s="239"/>
      <c r="DW16" s="239"/>
      <c r="DX16" s="239"/>
      <c r="DY16" s="239"/>
      <c r="DZ16" s="239"/>
      <c r="EA16" s="239"/>
      <c r="EB16" s="239"/>
      <c r="EC16" s="239"/>
      <c r="ED16" s="239"/>
      <c r="EE16" s="239"/>
      <c r="EF16" s="239"/>
      <c r="EG16" s="239"/>
      <c r="EH16" s="239"/>
      <c r="EI16" s="239"/>
      <c r="FF16" s="239"/>
      <c r="FG16" s="239"/>
      <c r="FH16" s="239"/>
      <c r="FI16" s="239"/>
      <c r="FJ16" s="239"/>
      <c r="FK16" s="239"/>
      <c r="FL16" s="239"/>
      <c r="FM16" s="90"/>
      <c r="FN16" s="2"/>
      <c r="FO16" s="2"/>
      <c r="FP16" s="2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49"/>
      <c r="M17" s="53"/>
      <c r="N17" s="588" t="s">
        <v>264</v>
      </c>
      <c r="O17" s="589"/>
      <c r="P17" s="589"/>
      <c r="Q17" s="588" t="s">
        <v>308</v>
      </c>
      <c r="R17" s="589" t="s">
        <v>309</v>
      </c>
      <c r="S17" s="589"/>
      <c r="T17" s="589"/>
      <c r="U17" s="589"/>
      <c r="V17" s="589"/>
      <c r="W17" s="589"/>
      <c r="X17" s="589"/>
      <c r="Y17" s="589"/>
      <c r="Z17" s="589"/>
      <c r="AA17" s="589"/>
      <c r="AB17" s="589"/>
      <c r="AC17" s="589"/>
      <c r="AD17" s="589"/>
      <c r="AE17" s="589"/>
      <c r="AF17" s="589"/>
      <c r="AG17" s="589"/>
      <c r="AH17" s="589"/>
      <c r="AI17" s="589"/>
      <c r="AJ17" s="589"/>
      <c r="AK17" s="589"/>
      <c r="AL17" s="589" t="s">
        <v>4</v>
      </c>
      <c r="AM17" s="589"/>
      <c r="AN17" s="589"/>
      <c r="AO17" s="589"/>
      <c r="AP17" s="589"/>
      <c r="AQ17" s="589"/>
      <c r="AR17" s="589"/>
      <c r="AS17" s="589"/>
      <c r="AT17" s="589"/>
      <c r="AU17" s="589"/>
      <c r="AV17" s="589"/>
      <c r="AW17" s="589"/>
      <c r="AX17" s="589"/>
      <c r="AY17" s="589"/>
      <c r="AZ17" s="589"/>
      <c r="BA17" s="589"/>
      <c r="BB17" s="589"/>
      <c r="BC17" s="589"/>
      <c r="BD17" s="589"/>
      <c r="BE17" s="589"/>
      <c r="BF17" s="589"/>
      <c r="BG17" s="589"/>
      <c r="BH17" s="588" t="s">
        <v>310</v>
      </c>
      <c r="BI17" s="588"/>
      <c r="BJ17" s="588"/>
      <c r="BK17" s="588"/>
      <c r="BL17" s="588" t="s">
        <v>311</v>
      </c>
      <c r="BM17" s="588"/>
      <c r="BN17" s="588"/>
      <c r="BO17" s="588"/>
      <c r="BP17" s="588"/>
      <c r="BQ17" s="588"/>
      <c r="BR17" s="588" t="s">
        <v>312</v>
      </c>
      <c r="BS17" s="589"/>
      <c r="BT17" s="589"/>
      <c r="BU17" s="589"/>
      <c r="BV17" s="589"/>
      <c r="BW17" s="588" t="s">
        <v>313</v>
      </c>
      <c r="BX17" s="589"/>
      <c r="BY17" s="589"/>
      <c r="BZ17" s="589"/>
      <c r="CA17" s="589"/>
      <c r="CB17" s="588" t="s">
        <v>314</v>
      </c>
      <c r="CC17" s="592" t="s">
        <v>315</v>
      </c>
      <c r="CD17" s="593"/>
      <c r="CE17" s="593"/>
      <c r="CF17" s="593"/>
      <c r="CG17" s="593"/>
      <c r="CH17" s="593"/>
      <c r="CI17" s="593"/>
      <c r="CJ17" s="578" t="s">
        <v>316</v>
      </c>
      <c r="CK17" s="578"/>
      <c r="CL17" s="578"/>
      <c r="CM17" s="578"/>
      <c r="CN17" s="578"/>
      <c r="CO17" s="578"/>
      <c r="CP17" s="578"/>
      <c r="CQ17" s="578" t="s">
        <v>317</v>
      </c>
      <c r="CR17" s="595"/>
      <c r="CS17" s="595"/>
      <c r="CT17" s="595"/>
      <c r="CU17" s="595"/>
      <c r="CV17" s="595"/>
      <c r="CW17" s="595"/>
      <c r="CX17" s="595"/>
      <c r="CY17" s="595"/>
      <c r="CZ17" s="578" t="s">
        <v>318</v>
      </c>
      <c r="DA17" s="578"/>
      <c r="DB17" s="578"/>
      <c r="DC17" s="578"/>
      <c r="DD17" s="578"/>
      <c r="DE17" s="578"/>
      <c r="DF17" s="578"/>
      <c r="DG17" s="580" t="s">
        <v>389</v>
      </c>
      <c r="DH17" s="580"/>
      <c r="DI17" s="580"/>
      <c r="DJ17" s="580"/>
      <c r="DK17" s="580"/>
      <c r="DL17" s="580"/>
      <c r="DM17" s="580"/>
      <c r="DN17" s="580"/>
      <c r="DO17" s="580" t="s">
        <v>387</v>
      </c>
      <c r="DP17" s="580"/>
      <c r="DQ17" s="580"/>
      <c r="DR17" s="580"/>
      <c r="DS17" s="580"/>
      <c r="DT17" s="578" t="s">
        <v>319</v>
      </c>
      <c r="DU17" s="578"/>
      <c r="DV17" s="578"/>
      <c r="DW17" s="578"/>
      <c r="DX17" s="578"/>
      <c r="DY17" s="578"/>
      <c r="DZ17" s="578"/>
      <c r="EA17" s="578"/>
      <c r="EB17" s="578" t="s">
        <v>295</v>
      </c>
      <c r="EC17" s="578"/>
      <c r="ED17" s="578"/>
      <c r="EE17" s="578"/>
      <c r="EF17" s="578"/>
      <c r="EG17" s="578"/>
      <c r="EH17" s="578"/>
      <c r="EI17" s="578"/>
      <c r="EJ17" s="582" t="s">
        <v>214</v>
      </c>
      <c r="EK17" s="583"/>
      <c r="EL17" s="583"/>
      <c r="EM17" s="583"/>
      <c r="EN17" s="583"/>
      <c r="EO17" s="583"/>
      <c r="EP17" s="583"/>
      <c r="EQ17" s="583"/>
      <c r="ER17" s="583"/>
      <c r="ES17" s="583"/>
      <c r="ET17" s="583"/>
      <c r="EU17" s="583"/>
      <c r="EV17" s="583"/>
      <c r="EW17" s="583"/>
      <c r="EX17" s="583"/>
      <c r="EY17" s="583"/>
      <c r="EZ17" s="583"/>
      <c r="FA17" s="583"/>
      <c r="FB17" s="583"/>
      <c r="FC17" s="583"/>
      <c r="FD17" s="583"/>
      <c r="FE17" s="584"/>
      <c r="FF17" s="264"/>
      <c r="FL17" s="239"/>
      <c r="FM17" s="90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49"/>
      <c r="M18" s="53"/>
      <c r="N18" s="590"/>
      <c r="O18" s="590"/>
      <c r="P18" s="590"/>
      <c r="Q18" s="591"/>
      <c r="R18" s="590"/>
      <c r="S18" s="590"/>
      <c r="T18" s="590"/>
      <c r="U18" s="590"/>
      <c r="V18" s="590"/>
      <c r="W18" s="590"/>
      <c r="X18" s="590"/>
      <c r="Y18" s="590"/>
      <c r="Z18" s="590"/>
      <c r="AA18" s="590"/>
      <c r="AB18" s="590"/>
      <c r="AC18" s="590"/>
      <c r="AD18" s="590"/>
      <c r="AE18" s="590"/>
      <c r="AF18" s="590"/>
      <c r="AG18" s="590"/>
      <c r="AH18" s="590"/>
      <c r="AI18" s="590"/>
      <c r="AJ18" s="590"/>
      <c r="AK18" s="590"/>
      <c r="AL18" s="590"/>
      <c r="AM18" s="590"/>
      <c r="AN18" s="590"/>
      <c r="AO18" s="590"/>
      <c r="AP18" s="590"/>
      <c r="AQ18" s="590"/>
      <c r="AR18" s="590"/>
      <c r="AS18" s="590"/>
      <c r="AT18" s="590"/>
      <c r="AU18" s="590"/>
      <c r="AV18" s="590"/>
      <c r="AW18" s="590"/>
      <c r="AX18" s="590"/>
      <c r="AY18" s="590"/>
      <c r="AZ18" s="590"/>
      <c r="BA18" s="590"/>
      <c r="BB18" s="590"/>
      <c r="BC18" s="590"/>
      <c r="BD18" s="590"/>
      <c r="BE18" s="590"/>
      <c r="BF18" s="590"/>
      <c r="BG18" s="590"/>
      <c r="BH18" s="591"/>
      <c r="BI18" s="591"/>
      <c r="BJ18" s="591"/>
      <c r="BK18" s="591"/>
      <c r="BL18" s="591"/>
      <c r="BM18" s="591"/>
      <c r="BN18" s="591"/>
      <c r="BO18" s="591"/>
      <c r="BP18" s="591"/>
      <c r="BQ18" s="591"/>
      <c r="BR18" s="590"/>
      <c r="BS18" s="590"/>
      <c r="BT18" s="590"/>
      <c r="BU18" s="590"/>
      <c r="BV18" s="590"/>
      <c r="BW18" s="590"/>
      <c r="BX18" s="590"/>
      <c r="BY18" s="590"/>
      <c r="BZ18" s="590"/>
      <c r="CA18" s="590"/>
      <c r="CB18" s="591"/>
      <c r="CC18" s="594"/>
      <c r="CD18" s="594"/>
      <c r="CE18" s="594"/>
      <c r="CF18" s="594"/>
      <c r="CG18" s="594"/>
      <c r="CH18" s="594"/>
      <c r="CI18" s="594"/>
      <c r="CJ18" s="579"/>
      <c r="CK18" s="579"/>
      <c r="CL18" s="579"/>
      <c r="CM18" s="579"/>
      <c r="CN18" s="579"/>
      <c r="CO18" s="579"/>
      <c r="CP18" s="579"/>
      <c r="CQ18" s="596"/>
      <c r="CR18" s="596"/>
      <c r="CS18" s="596"/>
      <c r="CT18" s="596"/>
      <c r="CU18" s="596"/>
      <c r="CV18" s="596"/>
      <c r="CW18" s="596"/>
      <c r="CX18" s="596"/>
      <c r="CY18" s="596"/>
      <c r="CZ18" s="579"/>
      <c r="DA18" s="579"/>
      <c r="DB18" s="579"/>
      <c r="DC18" s="579"/>
      <c r="DD18" s="579"/>
      <c r="DE18" s="579"/>
      <c r="DF18" s="579"/>
      <c r="DG18" s="581"/>
      <c r="DH18" s="581"/>
      <c r="DI18" s="581"/>
      <c r="DJ18" s="581"/>
      <c r="DK18" s="581"/>
      <c r="DL18" s="581"/>
      <c r="DM18" s="581"/>
      <c r="DN18" s="581"/>
      <c r="DO18" s="581"/>
      <c r="DP18" s="581"/>
      <c r="DQ18" s="581"/>
      <c r="DR18" s="581"/>
      <c r="DS18" s="581"/>
      <c r="DT18" s="579"/>
      <c r="DU18" s="579"/>
      <c r="DV18" s="579"/>
      <c r="DW18" s="579"/>
      <c r="DX18" s="579"/>
      <c r="DY18" s="579"/>
      <c r="DZ18" s="579"/>
      <c r="EA18" s="579"/>
      <c r="EB18" s="579"/>
      <c r="EC18" s="579"/>
      <c r="ED18" s="579"/>
      <c r="EE18" s="579"/>
      <c r="EF18" s="579"/>
      <c r="EG18" s="579"/>
      <c r="EH18" s="579"/>
      <c r="EI18" s="579"/>
      <c r="EJ18" s="585"/>
      <c r="EK18" s="586"/>
      <c r="EL18" s="586"/>
      <c r="EM18" s="586"/>
      <c r="EN18" s="586"/>
      <c r="EO18" s="586"/>
      <c r="EP18" s="586"/>
      <c r="EQ18" s="586"/>
      <c r="ER18" s="586"/>
      <c r="ES18" s="586"/>
      <c r="ET18" s="586"/>
      <c r="EU18" s="586"/>
      <c r="EV18" s="586"/>
      <c r="EW18" s="586"/>
      <c r="EX18" s="586"/>
      <c r="EY18" s="586"/>
      <c r="EZ18" s="586"/>
      <c r="FA18" s="586"/>
      <c r="FB18" s="586"/>
      <c r="FC18" s="586"/>
      <c r="FD18" s="586"/>
      <c r="FE18" s="587"/>
      <c r="FF18" s="264"/>
      <c r="FL18" s="239"/>
      <c r="FM18" s="90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49"/>
      <c r="M19" s="53"/>
      <c r="N19" s="606">
        <v>1</v>
      </c>
      <c r="O19" s="606"/>
      <c r="P19" s="606"/>
      <c r="Q19" s="607" t="s">
        <v>395</v>
      </c>
      <c r="R19" s="608" t="s">
        <v>14</v>
      </c>
      <c r="S19" s="609"/>
      <c r="T19" s="609"/>
      <c r="U19" s="609" t="s">
        <v>6</v>
      </c>
      <c r="V19" s="610" t="s">
        <v>157</v>
      </c>
      <c r="W19" s="610"/>
      <c r="X19" s="610"/>
      <c r="Y19" s="610"/>
      <c r="Z19" s="610"/>
      <c r="AA19" s="610"/>
      <c r="AB19" s="610"/>
      <c r="AC19" s="610"/>
      <c r="AD19" s="610"/>
      <c r="AE19" s="610"/>
      <c r="AF19" s="610"/>
      <c r="AG19" s="610"/>
      <c r="AH19" s="610"/>
      <c r="AI19" s="610"/>
      <c r="AJ19" s="610"/>
      <c r="AK19" s="611"/>
      <c r="AL19" s="612" t="s">
        <v>15</v>
      </c>
      <c r="AM19" s="613"/>
      <c r="AN19" s="613"/>
      <c r="AO19" s="613" t="s">
        <v>6</v>
      </c>
      <c r="AP19" s="613" t="s">
        <v>404</v>
      </c>
      <c r="AQ19" s="613"/>
      <c r="AR19" s="613"/>
      <c r="AS19" s="613"/>
      <c r="AT19" s="613"/>
      <c r="AU19" s="613"/>
      <c r="AV19" s="613"/>
      <c r="AW19" s="613"/>
      <c r="AX19" s="613"/>
      <c r="AY19" s="613"/>
      <c r="AZ19" s="613"/>
      <c r="BA19" s="613"/>
      <c r="BB19" s="613"/>
      <c r="BC19" s="613"/>
      <c r="BD19" s="613"/>
      <c r="BE19" s="613"/>
      <c r="BF19" s="613"/>
      <c r="BG19" s="621"/>
      <c r="BH19" s="622">
        <f>BO_FL1_N</f>
        <v>1</v>
      </c>
      <c r="BI19" s="623"/>
      <c r="BJ19" s="623"/>
      <c r="BK19" s="624"/>
      <c r="BL19" s="625">
        <f>BO_FL1_L</f>
        <v>1632</v>
      </c>
      <c r="BM19" s="626"/>
      <c r="BN19" s="626"/>
      <c r="BO19" s="626"/>
      <c r="BP19" s="626"/>
      <c r="BQ19" s="627"/>
      <c r="BR19" s="622">
        <f>BO_FL1_B</f>
        <v>544</v>
      </c>
      <c r="BS19" s="623"/>
      <c r="BT19" s="623"/>
      <c r="BU19" s="623"/>
      <c r="BV19" s="624"/>
      <c r="BW19" s="628">
        <f>BO_FL1_H</f>
        <v>23</v>
      </c>
      <c r="BX19" s="629"/>
      <c r="BY19" s="629"/>
      <c r="BZ19" s="629"/>
      <c r="CA19" s="630"/>
      <c r="CB19" s="614">
        <f>BEZ_Dim_1_Anz*KI_N</f>
        <v>1</v>
      </c>
      <c r="CC19" s="615">
        <f>BEZ_Dim_1_L*BEZ_Dim_1_B*BEZ_Dim_1_H*BEZ_Dim_1_Anz /10^9</f>
        <v>2.0419584000000001E-2</v>
      </c>
      <c r="CD19" s="615"/>
      <c r="CE19" s="615"/>
      <c r="CF19" s="615"/>
      <c r="CG19" s="615"/>
      <c r="CH19" s="615"/>
      <c r="CI19" s="615"/>
      <c r="CJ19" s="616">
        <v>450</v>
      </c>
      <c r="CK19" s="616"/>
      <c r="CL19" s="616"/>
      <c r="CM19" s="616"/>
      <c r="CN19" s="616"/>
      <c r="CO19" s="616"/>
      <c r="CP19" s="616"/>
      <c r="CQ19" s="617">
        <f>BEZ_Dim_1_CBM*BEZ_Dim_1_SPGEW</f>
        <v>9.1888128000000009</v>
      </c>
      <c r="CR19" s="617"/>
      <c r="CS19" s="617"/>
      <c r="CT19" s="617"/>
      <c r="CU19" s="617"/>
      <c r="CV19" s="617"/>
      <c r="CW19" s="617"/>
      <c r="CX19" s="617"/>
      <c r="CY19" s="617"/>
      <c r="CZ19" s="617">
        <f>(BEZ_Dim_1_L*BEZ_Dim_1_Anz)/1000</f>
        <v>1.6319999999999999</v>
      </c>
      <c r="DA19" s="617"/>
      <c r="DB19" s="617"/>
      <c r="DC19" s="617"/>
      <c r="DD19" s="617"/>
      <c r="DE19" s="617"/>
      <c r="DF19" s="617"/>
      <c r="DG19" s="618">
        <v>204</v>
      </c>
      <c r="DH19" s="619"/>
      <c r="DI19" s="619"/>
      <c r="DJ19" s="619"/>
      <c r="DK19" s="619"/>
      <c r="DL19" s="619"/>
      <c r="DM19" s="619"/>
      <c r="DN19" s="620"/>
      <c r="DO19" s="600">
        <v>15</v>
      </c>
      <c r="DP19" s="601"/>
      <c r="DQ19" s="601"/>
      <c r="DR19" s="601"/>
      <c r="DS19" s="601"/>
      <c r="DT19" s="602">
        <f>BEZ_Dim_1_CBM*BEZ_Dim_1_EuCBM*((BEZ_Dim_1_VAZ/100)+1)</f>
        <v>4.7904344064000002</v>
      </c>
      <c r="DU19" s="602"/>
      <c r="DV19" s="602"/>
      <c r="DW19" s="602"/>
      <c r="DX19" s="602"/>
      <c r="DY19" s="602"/>
      <c r="DZ19" s="602"/>
      <c r="EA19" s="602"/>
      <c r="EB19" s="602">
        <f>CC19*DG19*((DO19/100)+1)*KI_N</f>
        <v>4.7904344064000002</v>
      </c>
      <c r="EC19" s="602"/>
      <c r="ED19" s="602"/>
      <c r="EE19" s="602"/>
      <c r="EF19" s="602"/>
      <c r="EG19" s="602"/>
      <c r="EH19" s="602"/>
      <c r="EI19" s="602"/>
      <c r="EJ19" s="603" t="s">
        <v>320</v>
      </c>
      <c r="EK19" s="604"/>
      <c r="EL19" s="604"/>
      <c r="EM19" s="604"/>
      <c r="EN19" s="604"/>
      <c r="EO19" s="604"/>
      <c r="EP19" s="604"/>
      <c r="EQ19" s="604"/>
      <c r="ER19" s="604"/>
      <c r="ES19" s="604"/>
      <c r="ET19" s="604"/>
      <c r="EU19" s="604"/>
      <c r="EV19" s="604"/>
      <c r="EW19" s="604"/>
      <c r="EX19" s="604"/>
      <c r="EY19" s="604"/>
      <c r="EZ19" s="604"/>
      <c r="FA19" s="604"/>
      <c r="FB19" s="604"/>
      <c r="FC19" s="604"/>
      <c r="FD19" s="604"/>
      <c r="FE19" s="605"/>
      <c r="FF19" s="264"/>
      <c r="FM19" s="90"/>
      <c r="FN19" s="351"/>
      <c r="FO19" s="2"/>
      <c r="FP19" s="2"/>
      <c r="FQ19" s="38"/>
      <c r="FR19" s="38"/>
      <c r="FS19" s="38"/>
      <c r="FT19" s="38"/>
      <c r="FU19" s="38"/>
      <c r="FV19" s="38"/>
      <c r="FW19" s="38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49"/>
      <c r="M20" s="53"/>
      <c r="N20" s="606"/>
      <c r="O20" s="606"/>
      <c r="P20" s="606"/>
      <c r="Q20" s="607"/>
      <c r="R20" s="608"/>
      <c r="S20" s="609"/>
      <c r="T20" s="609"/>
      <c r="U20" s="609"/>
      <c r="V20" s="610"/>
      <c r="W20" s="610"/>
      <c r="X20" s="610"/>
      <c r="Y20" s="610"/>
      <c r="Z20" s="610"/>
      <c r="AA20" s="610"/>
      <c r="AB20" s="610"/>
      <c r="AC20" s="610"/>
      <c r="AD20" s="610"/>
      <c r="AE20" s="610"/>
      <c r="AF20" s="610"/>
      <c r="AG20" s="610"/>
      <c r="AH20" s="610"/>
      <c r="AI20" s="610"/>
      <c r="AJ20" s="610"/>
      <c r="AK20" s="611"/>
      <c r="AL20" s="612"/>
      <c r="AM20" s="613"/>
      <c r="AN20" s="613"/>
      <c r="AO20" s="613"/>
      <c r="AP20" s="613"/>
      <c r="AQ20" s="613"/>
      <c r="AR20" s="613"/>
      <c r="AS20" s="613"/>
      <c r="AT20" s="613"/>
      <c r="AU20" s="613"/>
      <c r="AV20" s="613"/>
      <c r="AW20" s="613"/>
      <c r="AX20" s="613"/>
      <c r="AY20" s="613"/>
      <c r="AZ20" s="613"/>
      <c r="BA20" s="613"/>
      <c r="BB20" s="613"/>
      <c r="BC20" s="613"/>
      <c r="BD20" s="613"/>
      <c r="BE20" s="613"/>
      <c r="BF20" s="613"/>
      <c r="BG20" s="621"/>
      <c r="BH20" s="622"/>
      <c r="BI20" s="623"/>
      <c r="BJ20" s="623"/>
      <c r="BK20" s="624"/>
      <c r="BL20" s="625"/>
      <c r="BM20" s="626"/>
      <c r="BN20" s="626"/>
      <c r="BO20" s="626"/>
      <c r="BP20" s="626"/>
      <c r="BQ20" s="627"/>
      <c r="BR20" s="622"/>
      <c r="BS20" s="623"/>
      <c r="BT20" s="623"/>
      <c r="BU20" s="623"/>
      <c r="BV20" s="624"/>
      <c r="BW20" s="628"/>
      <c r="BX20" s="629"/>
      <c r="BY20" s="629"/>
      <c r="BZ20" s="629"/>
      <c r="CA20" s="630"/>
      <c r="CB20" s="614"/>
      <c r="CC20" s="615"/>
      <c r="CD20" s="615"/>
      <c r="CE20" s="615"/>
      <c r="CF20" s="615"/>
      <c r="CG20" s="615"/>
      <c r="CH20" s="615"/>
      <c r="CI20" s="615"/>
      <c r="CJ20" s="616"/>
      <c r="CK20" s="616"/>
      <c r="CL20" s="616"/>
      <c r="CM20" s="616"/>
      <c r="CN20" s="616"/>
      <c r="CO20" s="616"/>
      <c r="CP20" s="616"/>
      <c r="CQ20" s="617"/>
      <c r="CR20" s="617"/>
      <c r="CS20" s="617"/>
      <c r="CT20" s="617"/>
      <c r="CU20" s="617"/>
      <c r="CV20" s="617"/>
      <c r="CW20" s="617"/>
      <c r="CX20" s="617"/>
      <c r="CY20" s="617"/>
      <c r="CZ20" s="617"/>
      <c r="DA20" s="617"/>
      <c r="DB20" s="617"/>
      <c r="DC20" s="617"/>
      <c r="DD20" s="617"/>
      <c r="DE20" s="617"/>
      <c r="DF20" s="617"/>
      <c r="DG20" s="618"/>
      <c r="DH20" s="619"/>
      <c r="DI20" s="619"/>
      <c r="DJ20" s="619"/>
      <c r="DK20" s="619"/>
      <c r="DL20" s="619"/>
      <c r="DM20" s="619"/>
      <c r="DN20" s="620"/>
      <c r="DO20" s="600"/>
      <c r="DP20" s="601"/>
      <c r="DQ20" s="601"/>
      <c r="DR20" s="601"/>
      <c r="DS20" s="601"/>
      <c r="DT20" s="602"/>
      <c r="DU20" s="602"/>
      <c r="DV20" s="602"/>
      <c r="DW20" s="602"/>
      <c r="DX20" s="602"/>
      <c r="DY20" s="602"/>
      <c r="DZ20" s="602"/>
      <c r="EA20" s="602"/>
      <c r="EB20" s="602"/>
      <c r="EC20" s="602"/>
      <c r="ED20" s="602"/>
      <c r="EE20" s="602"/>
      <c r="EF20" s="602"/>
      <c r="EG20" s="602"/>
      <c r="EH20" s="602"/>
      <c r="EI20" s="602"/>
      <c r="EJ20" s="603"/>
      <c r="EK20" s="604"/>
      <c r="EL20" s="604"/>
      <c r="EM20" s="604"/>
      <c r="EN20" s="604"/>
      <c r="EO20" s="604"/>
      <c r="EP20" s="604"/>
      <c r="EQ20" s="604"/>
      <c r="ER20" s="604"/>
      <c r="ES20" s="604"/>
      <c r="ET20" s="604"/>
      <c r="EU20" s="604"/>
      <c r="EV20" s="604"/>
      <c r="EW20" s="604"/>
      <c r="EX20" s="604"/>
      <c r="EY20" s="604"/>
      <c r="EZ20" s="604"/>
      <c r="FA20" s="604"/>
      <c r="FB20" s="604"/>
      <c r="FC20" s="604"/>
      <c r="FD20" s="604"/>
      <c r="FE20" s="605"/>
      <c r="FF20" s="264"/>
      <c r="FM20" s="90"/>
      <c r="FN20" s="2"/>
      <c r="FO20" s="2"/>
      <c r="FP20" s="2"/>
      <c r="FQ20" s="38"/>
      <c r="FR20" s="38"/>
      <c r="FS20" s="38"/>
      <c r="FT20" s="38"/>
      <c r="FU20" s="38"/>
      <c r="FV20" s="38"/>
      <c r="FW20" s="38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49"/>
      <c r="M21" s="53"/>
      <c r="N21" s="606">
        <v>2</v>
      </c>
      <c r="O21" s="606"/>
      <c r="P21" s="606"/>
      <c r="Q21" s="607" t="s">
        <v>396</v>
      </c>
      <c r="R21" s="608" t="s">
        <v>14</v>
      </c>
      <c r="S21" s="609"/>
      <c r="T21" s="609"/>
      <c r="U21" s="609" t="s">
        <v>6</v>
      </c>
      <c r="V21" s="610" t="s">
        <v>156</v>
      </c>
      <c r="W21" s="610"/>
      <c r="X21" s="610"/>
      <c r="Y21" s="610"/>
      <c r="Z21" s="610"/>
      <c r="AA21" s="610"/>
      <c r="AB21" s="610"/>
      <c r="AC21" s="610"/>
      <c r="AD21" s="610"/>
      <c r="AE21" s="610"/>
      <c r="AF21" s="610"/>
      <c r="AG21" s="610"/>
      <c r="AH21" s="610"/>
      <c r="AI21" s="610"/>
      <c r="AJ21" s="610"/>
      <c r="AK21" s="611"/>
      <c r="AL21" s="612" t="s">
        <v>15</v>
      </c>
      <c r="AM21" s="613"/>
      <c r="AN21" s="613"/>
      <c r="AO21" s="613" t="s">
        <v>6</v>
      </c>
      <c r="AP21" s="613" t="s">
        <v>405</v>
      </c>
      <c r="AQ21" s="613"/>
      <c r="AR21" s="613"/>
      <c r="AS21" s="613"/>
      <c r="AT21" s="613"/>
      <c r="AU21" s="613"/>
      <c r="AV21" s="613"/>
      <c r="AW21" s="613"/>
      <c r="AX21" s="613"/>
      <c r="AY21" s="613"/>
      <c r="AZ21" s="613"/>
      <c r="BA21" s="613"/>
      <c r="BB21" s="613"/>
      <c r="BC21" s="613"/>
      <c r="BD21" s="613"/>
      <c r="BE21" s="613"/>
      <c r="BF21" s="613"/>
      <c r="BG21" s="621"/>
      <c r="BH21" s="622">
        <f>BO_UKH1_N</f>
        <v>2</v>
      </c>
      <c r="BI21" s="623"/>
      <c r="BJ21" s="623"/>
      <c r="BK21" s="624"/>
      <c r="BL21" s="625">
        <f>BO_UKH1_L</f>
        <v>544</v>
      </c>
      <c r="BM21" s="626"/>
      <c r="BN21" s="626"/>
      <c r="BO21" s="626"/>
      <c r="BP21" s="626"/>
      <c r="BQ21" s="627"/>
      <c r="BR21" s="622">
        <f>BO_UKH1_B</f>
        <v>100</v>
      </c>
      <c r="BS21" s="623"/>
      <c r="BT21" s="623"/>
      <c r="BU21" s="623"/>
      <c r="BV21" s="624"/>
      <c r="BW21" s="628">
        <f>BO_UKH1_H</f>
        <v>120</v>
      </c>
      <c r="BX21" s="629"/>
      <c r="BY21" s="629"/>
      <c r="BZ21" s="629"/>
      <c r="CA21" s="630"/>
      <c r="CB21" s="614">
        <f>BEZ_Dim_2_Anz*KI_N</f>
        <v>2</v>
      </c>
      <c r="CC21" s="615">
        <f>BEZ_Dim_2_L*BEZ_Dim_2_B*BEZ_Dim_2_H*BEZ_Dim_2_Anz /10^9</f>
        <v>1.3056E-2</v>
      </c>
      <c r="CD21" s="615"/>
      <c r="CE21" s="615"/>
      <c r="CF21" s="615"/>
      <c r="CG21" s="615"/>
      <c r="CH21" s="615"/>
      <c r="CI21" s="615"/>
      <c r="CJ21" s="616">
        <v>480</v>
      </c>
      <c r="CK21" s="616"/>
      <c r="CL21" s="616"/>
      <c r="CM21" s="616"/>
      <c r="CN21" s="616"/>
      <c r="CO21" s="616"/>
      <c r="CP21" s="616"/>
      <c r="CQ21" s="617">
        <f>BEZ_Dim_2_CBM*BEZ_Dim_2_SPGEW</f>
        <v>6.2668799999999996</v>
      </c>
      <c r="CR21" s="617"/>
      <c r="CS21" s="617"/>
      <c r="CT21" s="617"/>
      <c r="CU21" s="617"/>
      <c r="CV21" s="617"/>
      <c r="CW21" s="617"/>
      <c r="CX21" s="617"/>
      <c r="CY21" s="617"/>
      <c r="CZ21" s="617">
        <f>BEZ_Dim_2_L*BEZ_Dim_2_Anz/1000</f>
        <v>1.0880000000000001</v>
      </c>
      <c r="DA21" s="617"/>
      <c r="DB21" s="617"/>
      <c r="DC21" s="617"/>
      <c r="DD21" s="617"/>
      <c r="DE21" s="617"/>
      <c r="DF21" s="617"/>
      <c r="DG21" s="618">
        <v>235</v>
      </c>
      <c r="DH21" s="619"/>
      <c r="DI21" s="619"/>
      <c r="DJ21" s="619"/>
      <c r="DK21" s="619"/>
      <c r="DL21" s="619"/>
      <c r="DM21" s="619"/>
      <c r="DN21" s="620"/>
      <c r="DO21" s="631">
        <v>15</v>
      </c>
      <c r="DP21" s="632"/>
      <c r="DQ21" s="632"/>
      <c r="DR21" s="632"/>
      <c r="DS21" s="632"/>
      <c r="DT21" s="602">
        <f>BEZ_Dim_2_CBM*BEZ_Dim_2_EuCBM*((BEZ_Dim_2_VAZ/100)+1)</f>
        <v>3.5283839999999995</v>
      </c>
      <c r="DU21" s="602"/>
      <c r="DV21" s="602"/>
      <c r="DW21" s="602"/>
      <c r="DX21" s="602"/>
      <c r="DY21" s="602"/>
      <c r="DZ21" s="602"/>
      <c r="EA21" s="602"/>
      <c r="EB21" s="602">
        <f>CC21*DG21*((DO21/100)+1)*KI_N</f>
        <v>3.5283839999999995</v>
      </c>
      <c r="EC21" s="602"/>
      <c r="ED21" s="602"/>
      <c r="EE21" s="602"/>
      <c r="EF21" s="602"/>
      <c r="EG21" s="602"/>
      <c r="EH21" s="602"/>
      <c r="EI21" s="602"/>
      <c r="EJ21" s="633">
        <f>SUM(DT19:EA110)</f>
        <v>35.821991092799998</v>
      </c>
      <c r="EK21" s="634"/>
      <c r="EL21" s="634"/>
      <c r="EM21" s="634"/>
      <c r="EN21" s="634"/>
      <c r="EO21" s="634"/>
      <c r="EP21" s="634"/>
      <c r="EQ21" s="634"/>
      <c r="ER21" s="634"/>
      <c r="ES21" s="634"/>
      <c r="ET21" s="634"/>
      <c r="EU21" s="634"/>
      <c r="EV21" s="634"/>
      <c r="EW21" s="634"/>
      <c r="EX21" s="634"/>
      <c r="EY21" s="634"/>
      <c r="EZ21" s="635" t="s">
        <v>301</v>
      </c>
      <c r="FA21" s="635"/>
      <c r="FB21" s="635"/>
      <c r="FC21" s="635"/>
      <c r="FD21" s="635"/>
      <c r="FE21" s="636"/>
      <c r="FF21" s="265"/>
      <c r="FG21" s="201"/>
      <c r="FH21" s="201"/>
      <c r="FI21" s="201"/>
      <c r="FJ21" s="201"/>
      <c r="FK21" s="201"/>
      <c r="FL21" s="201"/>
      <c r="FM21" s="90"/>
      <c r="FN21" s="351"/>
      <c r="FO21" s="2"/>
      <c r="FP21" s="2"/>
      <c r="FQ21" s="38"/>
      <c r="FR21" s="38"/>
      <c r="FS21" s="38"/>
      <c r="FT21" s="38"/>
      <c r="FU21" s="38"/>
      <c r="FV21" s="38"/>
      <c r="FW21" s="38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1"/>
      <c r="M22" s="167"/>
      <c r="N22" s="606"/>
      <c r="O22" s="606"/>
      <c r="P22" s="606"/>
      <c r="Q22" s="607"/>
      <c r="R22" s="608"/>
      <c r="S22" s="609"/>
      <c r="T22" s="609"/>
      <c r="U22" s="609"/>
      <c r="V22" s="610"/>
      <c r="W22" s="610"/>
      <c r="X22" s="610"/>
      <c r="Y22" s="610"/>
      <c r="Z22" s="610"/>
      <c r="AA22" s="610"/>
      <c r="AB22" s="610"/>
      <c r="AC22" s="610"/>
      <c r="AD22" s="610"/>
      <c r="AE22" s="610"/>
      <c r="AF22" s="610"/>
      <c r="AG22" s="610"/>
      <c r="AH22" s="610"/>
      <c r="AI22" s="610"/>
      <c r="AJ22" s="610"/>
      <c r="AK22" s="611"/>
      <c r="AL22" s="612"/>
      <c r="AM22" s="613"/>
      <c r="AN22" s="613"/>
      <c r="AO22" s="613"/>
      <c r="AP22" s="613"/>
      <c r="AQ22" s="613"/>
      <c r="AR22" s="613"/>
      <c r="AS22" s="613"/>
      <c r="AT22" s="613"/>
      <c r="AU22" s="613"/>
      <c r="AV22" s="613"/>
      <c r="AW22" s="613"/>
      <c r="AX22" s="613"/>
      <c r="AY22" s="613"/>
      <c r="AZ22" s="613"/>
      <c r="BA22" s="613"/>
      <c r="BB22" s="613"/>
      <c r="BC22" s="613"/>
      <c r="BD22" s="613"/>
      <c r="BE22" s="613"/>
      <c r="BF22" s="613"/>
      <c r="BG22" s="621"/>
      <c r="BH22" s="622"/>
      <c r="BI22" s="623"/>
      <c r="BJ22" s="623"/>
      <c r="BK22" s="624"/>
      <c r="BL22" s="625"/>
      <c r="BM22" s="626"/>
      <c r="BN22" s="626"/>
      <c r="BO22" s="626"/>
      <c r="BP22" s="626"/>
      <c r="BQ22" s="627"/>
      <c r="BR22" s="622"/>
      <c r="BS22" s="623"/>
      <c r="BT22" s="623"/>
      <c r="BU22" s="623"/>
      <c r="BV22" s="624"/>
      <c r="BW22" s="628"/>
      <c r="BX22" s="629"/>
      <c r="BY22" s="629"/>
      <c r="BZ22" s="629"/>
      <c r="CA22" s="630"/>
      <c r="CB22" s="614"/>
      <c r="CC22" s="615"/>
      <c r="CD22" s="615"/>
      <c r="CE22" s="615"/>
      <c r="CF22" s="615"/>
      <c r="CG22" s="615"/>
      <c r="CH22" s="615"/>
      <c r="CI22" s="615"/>
      <c r="CJ22" s="616"/>
      <c r="CK22" s="616"/>
      <c r="CL22" s="616"/>
      <c r="CM22" s="616"/>
      <c r="CN22" s="616"/>
      <c r="CO22" s="616"/>
      <c r="CP22" s="616"/>
      <c r="CQ22" s="617"/>
      <c r="CR22" s="617"/>
      <c r="CS22" s="617"/>
      <c r="CT22" s="617"/>
      <c r="CU22" s="617"/>
      <c r="CV22" s="617"/>
      <c r="CW22" s="617"/>
      <c r="CX22" s="617"/>
      <c r="CY22" s="617"/>
      <c r="CZ22" s="617"/>
      <c r="DA22" s="617"/>
      <c r="DB22" s="617"/>
      <c r="DC22" s="617"/>
      <c r="DD22" s="617"/>
      <c r="DE22" s="617"/>
      <c r="DF22" s="617"/>
      <c r="DG22" s="618"/>
      <c r="DH22" s="619"/>
      <c r="DI22" s="619"/>
      <c r="DJ22" s="619"/>
      <c r="DK22" s="619"/>
      <c r="DL22" s="619"/>
      <c r="DM22" s="619"/>
      <c r="DN22" s="620"/>
      <c r="DO22" s="631"/>
      <c r="DP22" s="632"/>
      <c r="DQ22" s="632"/>
      <c r="DR22" s="632"/>
      <c r="DS22" s="632"/>
      <c r="DT22" s="602"/>
      <c r="DU22" s="602"/>
      <c r="DV22" s="602"/>
      <c r="DW22" s="602"/>
      <c r="DX22" s="602"/>
      <c r="DY22" s="602"/>
      <c r="DZ22" s="602"/>
      <c r="EA22" s="602"/>
      <c r="EB22" s="602"/>
      <c r="EC22" s="602"/>
      <c r="ED22" s="602"/>
      <c r="EE22" s="602"/>
      <c r="EF22" s="602"/>
      <c r="EG22" s="602"/>
      <c r="EH22" s="602"/>
      <c r="EI22" s="602"/>
      <c r="EJ22" s="633"/>
      <c r="EK22" s="634"/>
      <c r="EL22" s="634"/>
      <c r="EM22" s="634"/>
      <c r="EN22" s="634"/>
      <c r="EO22" s="634"/>
      <c r="EP22" s="634"/>
      <c r="EQ22" s="634"/>
      <c r="ER22" s="634"/>
      <c r="ES22" s="634"/>
      <c r="ET22" s="634"/>
      <c r="EU22" s="634"/>
      <c r="EV22" s="634"/>
      <c r="EW22" s="634"/>
      <c r="EX22" s="634"/>
      <c r="EY22" s="634"/>
      <c r="EZ22" s="635"/>
      <c r="FA22" s="635"/>
      <c r="FB22" s="635"/>
      <c r="FC22" s="635"/>
      <c r="FD22" s="635"/>
      <c r="FE22" s="636"/>
      <c r="FF22" s="265"/>
      <c r="FG22" s="201"/>
      <c r="FH22" s="201"/>
      <c r="FI22" s="201"/>
      <c r="FJ22" s="201"/>
      <c r="FK22" s="201"/>
      <c r="FL22" s="201"/>
      <c r="FM22" s="90"/>
      <c r="FN22" s="2"/>
      <c r="FO22" s="2"/>
      <c r="FP22" s="2"/>
      <c r="FQ22" s="38"/>
      <c r="FR22" s="38"/>
      <c r="FS22" s="38"/>
      <c r="FT22" s="38"/>
      <c r="FU22" s="38"/>
      <c r="FV22" s="38"/>
      <c r="FW22" s="38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1"/>
      <c r="M23" s="167"/>
      <c r="N23" s="606">
        <v>3</v>
      </c>
      <c r="O23" s="606"/>
      <c r="P23" s="606"/>
      <c r="Q23" s="607" t="s">
        <v>395</v>
      </c>
      <c r="R23" s="608" t="s">
        <v>11</v>
      </c>
      <c r="S23" s="609"/>
      <c r="T23" s="609"/>
      <c r="U23" s="609" t="s">
        <v>6</v>
      </c>
      <c r="V23" s="610" t="s">
        <v>158</v>
      </c>
      <c r="W23" s="610"/>
      <c r="X23" s="610"/>
      <c r="Y23" s="610"/>
      <c r="Z23" s="610"/>
      <c r="AA23" s="610"/>
      <c r="AB23" s="610"/>
      <c r="AC23" s="610"/>
      <c r="AD23" s="610"/>
      <c r="AE23" s="610"/>
      <c r="AF23" s="610"/>
      <c r="AG23" s="610"/>
      <c r="AH23" s="610"/>
      <c r="AI23" s="610"/>
      <c r="AJ23" s="610"/>
      <c r="AK23" s="611"/>
      <c r="AL23" s="612" t="s">
        <v>15</v>
      </c>
      <c r="AM23" s="613"/>
      <c r="AN23" s="613"/>
      <c r="AO23" s="613" t="s">
        <v>6</v>
      </c>
      <c r="AP23" s="613" t="s">
        <v>404</v>
      </c>
      <c r="AQ23" s="613"/>
      <c r="AR23" s="613"/>
      <c r="AS23" s="613"/>
      <c r="AT23" s="613"/>
      <c r="AU23" s="613"/>
      <c r="AV23" s="613"/>
      <c r="AW23" s="613"/>
      <c r="AX23" s="613"/>
      <c r="AY23" s="613"/>
      <c r="AZ23" s="613"/>
      <c r="BA23" s="613"/>
      <c r="BB23" s="613"/>
      <c r="BC23" s="613"/>
      <c r="BD23" s="613"/>
      <c r="BE23" s="613"/>
      <c r="BF23" s="613"/>
      <c r="BG23" s="621"/>
      <c r="BH23" s="622">
        <f>KO_FL1_N</f>
        <v>2</v>
      </c>
      <c r="BI23" s="623"/>
      <c r="BJ23" s="623"/>
      <c r="BK23" s="624"/>
      <c r="BL23" s="625">
        <f>KO_FL1_B</f>
        <v>500</v>
      </c>
      <c r="BM23" s="626"/>
      <c r="BN23" s="626"/>
      <c r="BO23" s="626"/>
      <c r="BP23" s="626"/>
      <c r="BQ23" s="627"/>
      <c r="BR23" s="622">
        <f>KO_FL1_L</f>
        <v>500</v>
      </c>
      <c r="BS23" s="623"/>
      <c r="BT23" s="623"/>
      <c r="BU23" s="623"/>
      <c r="BV23" s="624"/>
      <c r="BW23" s="628">
        <f>KO_FL1_H</f>
        <v>23</v>
      </c>
      <c r="BX23" s="629"/>
      <c r="BY23" s="629"/>
      <c r="BZ23" s="629"/>
      <c r="CA23" s="630"/>
      <c r="CB23" s="614">
        <f>BEZ_Dim_3_Anz*KI_N</f>
        <v>2</v>
      </c>
      <c r="CC23" s="615">
        <f>BEZ_Dim_3_L*BEZ_Dim_3_B*BEZ_Dim_3_H*BEZ_Dim_3_Anz /10^9</f>
        <v>1.15E-2</v>
      </c>
      <c r="CD23" s="615"/>
      <c r="CE23" s="615"/>
      <c r="CF23" s="615"/>
      <c r="CG23" s="615"/>
      <c r="CH23" s="615"/>
      <c r="CI23" s="615"/>
      <c r="CJ23" s="616">
        <v>450</v>
      </c>
      <c r="CK23" s="616"/>
      <c r="CL23" s="616"/>
      <c r="CM23" s="616"/>
      <c r="CN23" s="616"/>
      <c r="CO23" s="616"/>
      <c r="CP23" s="616"/>
      <c r="CQ23" s="617">
        <f>BEZ_Dim_3_CBM*BEZ_Dim_3_SPGEW</f>
        <v>5.1749999999999998</v>
      </c>
      <c r="CR23" s="617"/>
      <c r="CS23" s="617"/>
      <c r="CT23" s="617"/>
      <c r="CU23" s="617"/>
      <c r="CV23" s="617"/>
      <c r="CW23" s="617"/>
      <c r="CX23" s="617"/>
      <c r="CY23" s="617"/>
      <c r="CZ23" s="617">
        <f>BEZ_Dim_3_L*BEZ_Dim_3_Anz/1000</f>
        <v>1</v>
      </c>
      <c r="DA23" s="617"/>
      <c r="DB23" s="617"/>
      <c r="DC23" s="617"/>
      <c r="DD23" s="617"/>
      <c r="DE23" s="617"/>
      <c r="DF23" s="617"/>
      <c r="DG23" s="618">
        <v>204</v>
      </c>
      <c r="DH23" s="619"/>
      <c r="DI23" s="619"/>
      <c r="DJ23" s="619"/>
      <c r="DK23" s="619"/>
      <c r="DL23" s="619"/>
      <c r="DM23" s="619"/>
      <c r="DN23" s="620"/>
      <c r="DO23" s="631">
        <v>15</v>
      </c>
      <c r="DP23" s="632"/>
      <c r="DQ23" s="632"/>
      <c r="DR23" s="632"/>
      <c r="DS23" s="632"/>
      <c r="DT23" s="602">
        <f>BEZ_Dim_3_CBM*BEZ_Dim_3_EuCBM*((BEZ_Dim_3_VAZ/100)+1)</f>
        <v>2.6978999999999997</v>
      </c>
      <c r="DU23" s="602"/>
      <c r="DV23" s="602"/>
      <c r="DW23" s="602"/>
      <c r="DX23" s="602"/>
      <c r="DY23" s="602"/>
      <c r="DZ23" s="602"/>
      <c r="EA23" s="602"/>
      <c r="EB23" s="602">
        <f>CC23*DG23*((DO23/100)+1)*KI_N</f>
        <v>2.6978999999999997</v>
      </c>
      <c r="EC23" s="602"/>
      <c r="ED23" s="602"/>
      <c r="EE23" s="602"/>
      <c r="EF23" s="602"/>
      <c r="EG23" s="602"/>
      <c r="EH23" s="602"/>
      <c r="EI23" s="602"/>
      <c r="EJ23" s="637">
        <f>Bez_Dim_EUR_KI * KI_N</f>
        <v>35.821991092799998</v>
      </c>
      <c r="EK23" s="638"/>
      <c r="EL23" s="638"/>
      <c r="EM23" s="638"/>
      <c r="EN23" s="638"/>
      <c r="EO23" s="638"/>
      <c r="EP23" s="638"/>
      <c r="EQ23" s="638"/>
      <c r="ER23" s="638"/>
      <c r="ES23" s="638"/>
      <c r="ET23" s="638"/>
      <c r="EU23" s="638"/>
      <c r="EV23" s="638"/>
      <c r="EW23" s="638"/>
      <c r="EX23" s="638"/>
      <c r="EY23" s="638"/>
      <c r="EZ23" s="639" t="s">
        <v>300</v>
      </c>
      <c r="FA23" s="639"/>
      <c r="FB23" s="639"/>
      <c r="FC23" s="639"/>
      <c r="FD23" s="639"/>
      <c r="FE23" s="640"/>
      <c r="FF23" s="264"/>
      <c r="FM23" s="90"/>
      <c r="FN23" s="351"/>
      <c r="FO23" s="2"/>
      <c r="FP23" s="2"/>
      <c r="FQ23" s="38"/>
      <c r="FR23" s="38"/>
      <c r="FS23" s="38"/>
      <c r="FT23" s="38"/>
      <c r="FU23" s="38"/>
      <c r="FV23" s="38"/>
      <c r="FW23" s="38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1"/>
      <c r="M24" s="167"/>
      <c r="N24" s="606"/>
      <c r="O24" s="606"/>
      <c r="P24" s="606"/>
      <c r="Q24" s="607"/>
      <c r="R24" s="608"/>
      <c r="S24" s="609"/>
      <c r="T24" s="609"/>
      <c r="U24" s="609"/>
      <c r="V24" s="610"/>
      <c r="W24" s="610"/>
      <c r="X24" s="610"/>
      <c r="Y24" s="610"/>
      <c r="Z24" s="610"/>
      <c r="AA24" s="610"/>
      <c r="AB24" s="610"/>
      <c r="AC24" s="610"/>
      <c r="AD24" s="610"/>
      <c r="AE24" s="610"/>
      <c r="AF24" s="610"/>
      <c r="AG24" s="610"/>
      <c r="AH24" s="610"/>
      <c r="AI24" s="610"/>
      <c r="AJ24" s="610"/>
      <c r="AK24" s="611"/>
      <c r="AL24" s="612"/>
      <c r="AM24" s="613"/>
      <c r="AN24" s="613"/>
      <c r="AO24" s="613"/>
      <c r="AP24" s="613"/>
      <c r="AQ24" s="613"/>
      <c r="AR24" s="613"/>
      <c r="AS24" s="613"/>
      <c r="AT24" s="613"/>
      <c r="AU24" s="613"/>
      <c r="AV24" s="613"/>
      <c r="AW24" s="613"/>
      <c r="AX24" s="613"/>
      <c r="AY24" s="613"/>
      <c r="AZ24" s="613"/>
      <c r="BA24" s="613"/>
      <c r="BB24" s="613"/>
      <c r="BC24" s="613"/>
      <c r="BD24" s="613"/>
      <c r="BE24" s="613"/>
      <c r="BF24" s="613"/>
      <c r="BG24" s="621"/>
      <c r="BH24" s="622"/>
      <c r="BI24" s="623"/>
      <c r="BJ24" s="623"/>
      <c r="BK24" s="624"/>
      <c r="BL24" s="625"/>
      <c r="BM24" s="626"/>
      <c r="BN24" s="626"/>
      <c r="BO24" s="626"/>
      <c r="BP24" s="626"/>
      <c r="BQ24" s="627"/>
      <c r="BR24" s="622"/>
      <c r="BS24" s="623"/>
      <c r="BT24" s="623"/>
      <c r="BU24" s="623"/>
      <c r="BV24" s="624"/>
      <c r="BW24" s="628"/>
      <c r="BX24" s="629"/>
      <c r="BY24" s="629"/>
      <c r="BZ24" s="629"/>
      <c r="CA24" s="630"/>
      <c r="CB24" s="614"/>
      <c r="CC24" s="615"/>
      <c r="CD24" s="615"/>
      <c r="CE24" s="615"/>
      <c r="CF24" s="615"/>
      <c r="CG24" s="615"/>
      <c r="CH24" s="615"/>
      <c r="CI24" s="615"/>
      <c r="CJ24" s="616"/>
      <c r="CK24" s="616"/>
      <c r="CL24" s="616"/>
      <c r="CM24" s="616"/>
      <c r="CN24" s="616"/>
      <c r="CO24" s="616"/>
      <c r="CP24" s="616"/>
      <c r="CQ24" s="617"/>
      <c r="CR24" s="617"/>
      <c r="CS24" s="617"/>
      <c r="CT24" s="617"/>
      <c r="CU24" s="617"/>
      <c r="CV24" s="617"/>
      <c r="CW24" s="617"/>
      <c r="CX24" s="617"/>
      <c r="CY24" s="617"/>
      <c r="CZ24" s="617"/>
      <c r="DA24" s="617"/>
      <c r="DB24" s="617"/>
      <c r="DC24" s="617"/>
      <c r="DD24" s="617"/>
      <c r="DE24" s="617"/>
      <c r="DF24" s="617"/>
      <c r="DG24" s="618"/>
      <c r="DH24" s="619"/>
      <c r="DI24" s="619"/>
      <c r="DJ24" s="619"/>
      <c r="DK24" s="619"/>
      <c r="DL24" s="619"/>
      <c r="DM24" s="619"/>
      <c r="DN24" s="620"/>
      <c r="DO24" s="631"/>
      <c r="DP24" s="632"/>
      <c r="DQ24" s="632"/>
      <c r="DR24" s="632"/>
      <c r="DS24" s="632"/>
      <c r="DT24" s="602"/>
      <c r="DU24" s="602"/>
      <c r="DV24" s="602"/>
      <c r="DW24" s="602"/>
      <c r="DX24" s="602"/>
      <c r="DY24" s="602"/>
      <c r="DZ24" s="602"/>
      <c r="EA24" s="602"/>
      <c r="EB24" s="602"/>
      <c r="EC24" s="602"/>
      <c r="ED24" s="602"/>
      <c r="EE24" s="602"/>
      <c r="EF24" s="602"/>
      <c r="EG24" s="602"/>
      <c r="EH24" s="602"/>
      <c r="EI24" s="602"/>
      <c r="EJ24" s="637"/>
      <c r="EK24" s="638"/>
      <c r="EL24" s="638"/>
      <c r="EM24" s="638"/>
      <c r="EN24" s="638"/>
      <c r="EO24" s="638"/>
      <c r="EP24" s="638"/>
      <c r="EQ24" s="638"/>
      <c r="ER24" s="638"/>
      <c r="ES24" s="638"/>
      <c r="ET24" s="638"/>
      <c r="EU24" s="638"/>
      <c r="EV24" s="638"/>
      <c r="EW24" s="638"/>
      <c r="EX24" s="638"/>
      <c r="EY24" s="638"/>
      <c r="EZ24" s="639"/>
      <c r="FA24" s="639"/>
      <c r="FB24" s="639"/>
      <c r="FC24" s="639"/>
      <c r="FD24" s="639"/>
      <c r="FE24" s="640"/>
      <c r="FF24" s="264"/>
      <c r="FM24" s="90"/>
      <c r="FN24" s="2"/>
      <c r="FO24" s="2"/>
      <c r="FP24" s="2"/>
      <c r="FQ24" s="38"/>
      <c r="FR24" s="38"/>
      <c r="FS24" s="38"/>
      <c r="FT24" s="38"/>
      <c r="FU24" s="38"/>
      <c r="FV24" s="38"/>
      <c r="FW24" s="38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1"/>
      <c r="M25" s="167"/>
      <c r="N25" s="606">
        <v>4</v>
      </c>
      <c r="O25" s="606"/>
      <c r="P25" s="606"/>
      <c r="Q25" s="607" t="s">
        <v>395</v>
      </c>
      <c r="R25" s="608" t="s">
        <v>11</v>
      </c>
      <c r="S25" s="609"/>
      <c r="T25" s="609"/>
      <c r="U25" s="609" t="s">
        <v>6</v>
      </c>
      <c r="V25" s="610" t="s">
        <v>162</v>
      </c>
      <c r="W25" s="610"/>
      <c r="X25" s="610"/>
      <c r="Y25" s="610"/>
      <c r="Z25" s="610"/>
      <c r="AA25" s="610"/>
      <c r="AB25" s="610"/>
      <c r="AC25" s="610"/>
      <c r="AD25" s="610"/>
      <c r="AE25" s="610"/>
      <c r="AF25" s="610"/>
      <c r="AG25" s="610"/>
      <c r="AH25" s="610"/>
      <c r="AI25" s="610"/>
      <c r="AJ25" s="610"/>
      <c r="AK25" s="611"/>
      <c r="AL25" s="612" t="s">
        <v>15</v>
      </c>
      <c r="AM25" s="613"/>
      <c r="AN25" s="613"/>
      <c r="AO25" s="613" t="s">
        <v>6</v>
      </c>
      <c r="AP25" s="613" t="s">
        <v>404</v>
      </c>
      <c r="AQ25" s="613"/>
      <c r="AR25" s="613"/>
      <c r="AS25" s="613"/>
      <c r="AT25" s="613"/>
      <c r="AU25" s="613"/>
      <c r="AV25" s="613"/>
      <c r="AW25" s="613"/>
      <c r="AX25" s="613"/>
      <c r="AY25" s="613"/>
      <c r="AZ25" s="613"/>
      <c r="BA25" s="613"/>
      <c r="BB25" s="613"/>
      <c r="BC25" s="613"/>
      <c r="BD25" s="613"/>
      <c r="BE25" s="613"/>
      <c r="BF25" s="613"/>
      <c r="BG25" s="621"/>
      <c r="BH25" s="622">
        <f>KO_SHS_N</f>
        <v>4</v>
      </c>
      <c r="BI25" s="623"/>
      <c r="BJ25" s="623"/>
      <c r="BK25" s="624"/>
      <c r="BL25" s="625">
        <f>KO_SHS_L</f>
        <v>500</v>
      </c>
      <c r="BM25" s="626"/>
      <c r="BN25" s="626"/>
      <c r="BO25" s="626"/>
      <c r="BP25" s="626"/>
      <c r="BQ25" s="627"/>
      <c r="BR25" s="622">
        <f>KO_SHS_B</f>
        <v>100</v>
      </c>
      <c r="BS25" s="623"/>
      <c r="BT25" s="623"/>
      <c r="BU25" s="623"/>
      <c r="BV25" s="624"/>
      <c r="BW25" s="628">
        <f>KO_SHS_H</f>
        <v>23</v>
      </c>
      <c r="BX25" s="629"/>
      <c r="BY25" s="629"/>
      <c r="BZ25" s="629"/>
      <c r="CA25" s="630"/>
      <c r="CB25" s="614">
        <f>BEZ_Dim_4_Anz*KI_N</f>
        <v>4</v>
      </c>
      <c r="CC25" s="615">
        <f>BEZ_Dim_4_L*BEZ_Dim_4_B*BEZ_Dim_4_H*BEZ_Dim_4_Anz /10^9</f>
        <v>4.5999999999999999E-3</v>
      </c>
      <c r="CD25" s="615"/>
      <c r="CE25" s="615"/>
      <c r="CF25" s="615"/>
      <c r="CG25" s="615"/>
      <c r="CH25" s="615"/>
      <c r="CI25" s="615"/>
      <c r="CJ25" s="616">
        <v>450</v>
      </c>
      <c r="CK25" s="616"/>
      <c r="CL25" s="616"/>
      <c r="CM25" s="616"/>
      <c r="CN25" s="616"/>
      <c r="CO25" s="616"/>
      <c r="CP25" s="616"/>
      <c r="CQ25" s="617">
        <f>BEZ_Dim_4_CBM*BEZ_Dim_4_SPGEW</f>
        <v>2.0699999999999998</v>
      </c>
      <c r="CR25" s="617"/>
      <c r="CS25" s="617"/>
      <c r="CT25" s="617"/>
      <c r="CU25" s="617"/>
      <c r="CV25" s="617"/>
      <c r="CW25" s="617"/>
      <c r="CX25" s="617"/>
      <c r="CY25" s="617"/>
      <c r="CZ25" s="617">
        <f>BEZ_Dim_4_L*BEZ_Dim_4_Anz/1000</f>
        <v>2</v>
      </c>
      <c r="DA25" s="617"/>
      <c r="DB25" s="617"/>
      <c r="DC25" s="617"/>
      <c r="DD25" s="617"/>
      <c r="DE25" s="617"/>
      <c r="DF25" s="617"/>
      <c r="DG25" s="618">
        <v>204</v>
      </c>
      <c r="DH25" s="619"/>
      <c r="DI25" s="619"/>
      <c r="DJ25" s="619"/>
      <c r="DK25" s="619"/>
      <c r="DL25" s="619"/>
      <c r="DM25" s="619"/>
      <c r="DN25" s="620"/>
      <c r="DO25" s="600">
        <v>15</v>
      </c>
      <c r="DP25" s="601"/>
      <c r="DQ25" s="601"/>
      <c r="DR25" s="601"/>
      <c r="DS25" s="601"/>
      <c r="DT25" s="602">
        <f>BEZ_Dim_4_CBM*BEZ_Dim_4_EuCBM*((BEZ_Dim_4_VAZ/100)+1)</f>
        <v>1.0791599999999999</v>
      </c>
      <c r="DU25" s="602"/>
      <c r="DV25" s="602"/>
      <c r="DW25" s="602"/>
      <c r="DX25" s="602"/>
      <c r="DY25" s="602"/>
      <c r="DZ25" s="602"/>
      <c r="EA25" s="602"/>
      <c r="EB25" s="602">
        <f>CC25*DG25*((DO25/100)+1)*KI_N</f>
        <v>1.0791599999999999</v>
      </c>
      <c r="EC25" s="602"/>
      <c r="ED25" s="602"/>
      <c r="EE25" s="602"/>
      <c r="EF25" s="602"/>
      <c r="EG25" s="602"/>
      <c r="EH25" s="602"/>
      <c r="EI25" s="602"/>
      <c r="EJ25" s="641"/>
      <c r="EK25" s="642"/>
      <c r="EL25" s="642"/>
      <c r="EM25" s="642"/>
      <c r="EN25" s="642"/>
      <c r="EO25" s="642"/>
      <c r="EP25" s="642"/>
      <c r="EQ25" s="642"/>
      <c r="ER25" s="642"/>
      <c r="ES25" s="642"/>
      <c r="ET25" s="642"/>
      <c r="EU25" s="642"/>
      <c r="EV25" s="642"/>
      <c r="EW25" s="642"/>
      <c r="EX25" s="642"/>
      <c r="EY25" s="642"/>
      <c r="EZ25" s="643"/>
      <c r="FA25" s="643"/>
      <c r="FB25" s="643"/>
      <c r="FC25" s="643"/>
      <c r="FD25" s="643"/>
      <c r="FE25" s="644"/>
      <c r="FF25" s="265"/>
      <c r="FG25" s="201"/>
      <c r="FH25" s="201"/>
      <c r="FI25" s="201"/>
      <c r="FJ25" s="201"/>
      <c r="FK25" s="201"/>
      <c r="FL25" s="201"/>
      <c r="FM25" s="90"/>
      <c r="FN25" s="351"/>
      <c r="FO25" s="2"/>
      <c r="FP25" s="2"/>
      <c r="FQ25" s="38"/>
      <c r="FR25" s="38"/>
      <c r="FS25" s="38"/>
      <c r="FT25" s="38"/>
      <c r="FU25" s="38"/>
      <c r="FV25" s="38"/>
      <c r="FW25" s="38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1"/>
      <c r="M26" s="167"/>
      <c r="N26" s="606"/>
      <c r="O26" s="606"/>
      <c r="P26" s="606"/>
      <c r="Q26" s="607"/>
      <c r="R26" s="608"/>
      <c r="S26" s="609"/>
      <c r="T26" s="609"/>
      <c r="U26" s="609"/>
      <c r="V26" s="610"/>
      <c r="W26" s="610"/>
      <c r="X26" s="610"/>
      <c r="Y26" s="610"/>
      <c r="Z26" s="610"/>
      <c r="AA26" s="610"/>
      <c r="AB26" s="610"/>
      <c r="AC26" s="610"/>
      <c r="AD26" s="610"/>
      <c r="AE26" s="610"/>
      <c r="AF26" s="610"/>
      <c r="AG26" s="610"/>
      <c r="AH26" s="610"/>
      <c r="AI26" s="610"/>
      <c r="AJ26" s="610"/>
      <c r="AK26" s="611"/>
      <c r="AL26" s="612"/>
      <c r="AM26" s="613"/>
      <c r="AN26" s="613"/>
      <c r="AO26" s="613"/>
      <c r="AP26" s="613"/>
      <c r="AQ26" s="613"/>
      <c r="AR26" s="613"/>
      <c r="AS26" s="613"/>
      <c r="AT26" s="613"/>
      <c r="AU26" s="613"/>
      <c r="AV26" s="613"/>
      <c r="AW26" s="613"/>
      <c r="AX26" s="613"/>
      <c r="AY26" s="613"/>
      <c r="AZ26" s="613"/>
      <c r="BA26" s="613"/>
      <c r="BB26" s="613"/>
      <c r="BC26" s="613"/>
      <c r="BD26" s="613"/>
      <c r="BE26" s="613"/>
      <c r="BF26" s="613"/>
      <c r="BG26" s="621"/>
      <c r="BH26" s="622"/>
      <c r="BI26" s="623"/>
      <c r="BJ26" s="623"/>
      <c r="BK26" s="624"/>
      <c r="BL26" s="625"/>
      <c r="BM26" s="626"/>
      <c r="BN26" s="626"/>
      <c r="BO26" s="626"/>
      <c r="BP26" s="626"/>
      <c r="BQ26" s="627"/>
      <c r="BR26" s="622"/>
      <c r="BS26" s="623"/>
      <c r="BT26" s="623"/>
      <c r="BU26" s="623"/>
      <c r="BV26" s="624"/>
      <c r="BW26" s="628"/>
      <c r="BX26" s="629"/>
      <c r="BY26" s="629"/>
      <c r="BZ26" s="629"/>
      <c r="CA26" s="630"/>
      <c r="CB26" s="614"/>
      <c r="CC26" s="615"/>
      <c r="CD26" s="615"/>
      <c r="CE26" s="615"/>
      <c r="CF26" s="615"/>
      <c r="CG26" s="615"/>
      <c r="CH26" s="615"/>
      <c r="CI26" s="615"/>
      <c r="CJ26" s="616"/>
      <c r="CK26" s="616"/>
      <c r="CL26" s="616"/>
      <c r="CM26" s="616"/>
      <c r="CN26" s="616"/>
      <c r="CO26" s="616"/>
      <c r="CP26" s="616"/>
      <c r="CQ26" s="617"/>
      <c r="CR26" s="617"/>
      <c r="CS26" s="617"/>
      <c r="CT26" s="617"/>
      <c r="CU26" s="617"/>
      <c r="CV26" s="617"/>
      <c r="CW26" s="617"/>
      <c r="CX26" s="617"/>
      <c r="CY26" s="617"/>
      <c r="CZ26" s="617"/>
      <c r="DA26" s="617"/>
      <c r="DB26" s="617"/>
      <c r="DC26" s="617"/>
      <c r="DD26" s="617"/>
      <c r="DE26" s="617"/>
      <c r="DF26" s="617"/>
      <c r="DG26" s="618"/>
      <c r="DH26" s="619"/>
      <c r="DI26" s="619"/>
      <c r="DJ26" s="619"/>
      <c r="DK26" s="619"/>
      <c r="DL26" s="619"/>
      <c r="DM26" s="619"/>
      <c r="DN26" s="620"/>
      <c r="DO26" s="600"/>
      <c r="DP26" s="601"/>
      <c r="DQ26" s="601"/>
      <c r="DR26" s="601"/>
      <c r="DS26" s="601"/>
      <c r="DT26" s="602"/>
      <c r="DU26" s="602"/>
      <c r="DV26" s="602"/>
      <c r="DW26" s="602"/>
      <c r="DX26" s="602"/>
      <c r="DY26" s="602"/>
      <c r="DZ26" s="602"/>
      <c r="EA26" s="602"/>
      <c r="EB26" s="602"/>
      <c r="EC26" s="602"/>
      <c r="ED26" s="602"/>
      <c r="EE26" s="602"/>
      <c r="EF26" s="602"/>
      <c r="EG26" s="602"/>
      <c r="EH26" s="602"/>
      <c r="EI26" s="602"/>
      <c r="EJ26" s="641"/>
      <c r="EK26" s="642"/>
      <c r="EL26" s="642"/>
      <c r="EM26" s="642"/>
      <c r="EN26" s="642"/>
      <c r="EO26" s="642"/>
      <c r="EP26" s="642"/>
      <c r="EQ26" s="642"/>
      <c r="ER26" s="642"/>
      <c r="ES26" s="642"/>
      <c r="ET26" s="642"/>
      <c r="EU26" s="642"/>
      <c r="EV26" s="642"/>
      <c r="EW26" s="642"/>
      <c r="EX26" s="642"/>
      <c r="EY26" s="642"/>
      <c r="EZ26" s="643"/>
      <c r="FA26" s="643"/>
      <c r="FB26" s="643"/>
      <c r="FC26" s="643"/>
      <c r="FD26" s="643"/>
      <c r="FE26" s="644"/>
      <c r="FF26" s="265"/>
      <c r="FG26" s="201"/>
      <c r="FH26" s="201"/>
      <c r="FI26" s="201"/>
      <c r="FJ26" s="201"/>
      <c r="FK26" s="201"/>
      <c r="FL26" s="201"/>
      <c r="FM26" s="90"/>
      <c r="FN26" s="2"/>
      <c r="FO26" s="2"/>
      <c r="FP26" s="2"/>
      <c r="FQ26" s="38"/>
      <c r="FR26" s="38"/>
      <c r="FS26" s="38"/>
      <c r="FT26" s="38"/>
      <c r="FU26" s="38"/>
      <c r="FV26" s="38"/>
      <c r="FW26" s="38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1"/>
      <c r="M27" s="167"/>
      <c r="N27" s="606">
        <v>5</v>
      </c>
      <c r="O27" s="606"/>
      <c r="P27" s="606"/>
      <c r="Q27" s="607" t="s">
        <v>395</v>
      </c>
      <c r="R27" s="608" t="s">
        <v>5</v>
      </c>
      <c r="S27" s="609"/>
      <c r="T27" s="609"/>
      <c r="U27" s="609" t="s">
        <v>6</v>
      </c>
      <c r="V27" s="610" t="s">
        <v>159</v>
      </c>
      <c r="W27" s="610"/>
      <c r="X27" s="610"/>
      <c r="Y27" s="610"/>
      <c r="Z27" s="610"/>
      <c r="AA27" s="610"/>
      <c r="AB27" s="610"/>
      <c r="AC27" s="610"/>
      <c r="AD27" s="610"/>
      <c r="AE27" s="610"/>
      <c r="AF27" s="610"/>
      <c r="AG27" s="610"/>
      <c r="AH27" s="610"/>
      <c r="AI27" s="610"/>
      <c r="AJ27" s="610"/>
      <c r="AK27" s="611"/>
      <c r="AL27" s="612" t="s">
        <v>15</v>
      </c>
      <c r="AM27" s="613"/>
      <c r="AN27" s="613"/>
      <c r="AO27" s="613" t="s">
        <v>6</v>
      </c>
      <c r="AP27" s="613" t="s">
        <v>404</v>
      </c>
      <c r="AQ27" s="613"/>
      <c r="AR27" s="613"/>
      <c r="AS27" s="613"/>
      <c r="AT27" s="613"/>
      <c r="AU27" s="613"/>
      <c r="AV27" s="613"/>
      <c r="AW27" s="613"/>
      <c r="AX27" s="613"/>
      <c r="AY27" s="613"/>
      <c r="AZ27" s="613"/>
      <c r="BA27" s="613"/>
      <c r="BB27" s="613"/>
      <c r="BC27" s="613"/>
      <c r="BD27" s="613"/>
      <c r="BE27" s="613"/>
      <c r="BF27" s="613"/>
      <c r="BG27" s="621"/>
      <c r="BH27" s="622">
        <f>DE_FL1_N</f>
        <v>1</v>
      </c>
      <c r="BI27" s="623"/>
      <c r="BJ27" s="623"/>
      <c r="BK27" s="624"/>
      <c r="BL27" s="625">
        <f>DE_FL1_L</f>
        <v>1632</v>
      </c>
      <c r="BM27" s="626"/>
      <c r="BN27" s="626"/>
      <c r="BO27" s="626"/>
      <c r="BP27" s="626"/>
      <c r="BQ27" s="627"/>
      <c r="BR27" s="622">
        <f>DE_FL1_B</f>
        <v>544</v>
      </c>
      <c r="BS27" s="623"/>
      <c r="BT27" s="623"/>
      <c r="BU27" s="623"/>
      <c r="BV27" s="624"/>
      <c r="BW27" s="628">
        <f>DE_FL1_H</f>
        <v>23</v>
      </c>
      <c r="BX27" s="629"/>
      <c r="BY27" s="629"/>
      <c r="BZ27" s="629"/>
      <c r="CA27" s="630"/>
      <c r="CB27" s="614">
        <f>BEZ_Dim_5_Anz*KI_N</f>
        <v>1</v>
      </c>
      <c r="CC27" s="615">
        <f>BEZ_Dim_5_L*BEZ_Dim_5_B*BEZ_Dim_5_H*BEZ_Dim_5_Anz /10^9</f>
        <v>2.0419584000000001E-2</v>
      </c>
      <c r="CD27" s="615"/>
      <c r="CE27" s="615"/>
      <c r="CF27" s="615"/>
      <c r="CG27" s="615"/>
      <c r="CH27" s="615"/>
      <c r="CI27" s="615"/>
      <c r="CJ27" s="616">
        <v>450</v>
      </c>
      <c r="CK27" s="616"/>
      <c r="CL27" s="616"/>
      <c r="CM27" s="616"/>
      <c r="CN27" s="616"/>
      <c r="CO27" s="616"/>
      <c r="CP27" s="616"/>
      <c r="CQ27" s="617">
        <f>BEZ_Dim_5_CBM*BEZ_Dim_5_SPGEW</f>
        <v>9.1888128000000009</v>
      </c>
      <c r="CR27" s="617"/>
      <c r="CS27" s="617"/>
      <c r="CT27" s="617"/>
      <c r="CU27" s="617"/>
      <c r="CV27" s="617"/>
      <c r="CW27" s="617"/>
      <c r="CX27" s="617"/>
      <c r="CY27" s="617"/>
      <c r="CZ27" s="617">
        <f>BEZ_Dim_5_L*BEZ_Dim_5_Anz/1000</f>
        <v>1.6319999999999999</v>
      </c>
      <c r="DA27" s="617"/>
      <c r="DB27" s="617"/>
      <c r="DC27" s="617"/>
      <c r="DD27" s="617"/>
      <c r="DE27" s="617"/>
      <c r="DF27" s="617"/>
      <c r="DG27" s="618">
        <v>204</v>
      </c>
      <c r="DH27" s="619"/>
      <c r="DI27" s="619"/>
      <c r="DJ27" s="619"/>
      <c r="DK27" s="619"/>
      <c r="DL27" s="619"/>
      <c r="DM27" s="619"/>
      <c r="DN27" s="620"/>
      <c r="DO27" s="600">
        <v>15</v>
      </c>
      <c r="DP27" s="601"/>
      <c r="DQ27" s="601"/>
      <c r="DR27" s="601"/>
      <c r="DS27" s="601"/>
      <c r="DT27" s="602">
        <f>BEZ_Dim_5_CBM*BEZ_Dim_5_EuCBM*((BEZ_Dim_5_VAZ/100)+1)</f>
        <v>4.7904344064000002</v>
      </c>
      <c r="DU27" s="602"/>
      <c r="DV27" s="602"/>
      <c r="DW27" s="602"/>
      <c r="DX27" s="602"/>
      <c r="DY27" s="602"/>
      <c r="DZ27" s="602"/>
      <c r="EA27" s="602"/>
      <c r="EB27" s="602">
        <f>CC27*DG27*((DO27/100)+1)*KI_N</f>
        <v>4.7904344064000002</v>
      </c>
      <c r="EC27" s="602"/>
      <c r="ED27" s="602"/>
      <c r="EE27" s="602"/>
      <c r="EF27" s="602"/>
      <c r="EG27" s="602"/>
      <c r="EH27" s="602"/>
      <c r="EI27" s="602"/>
      <c r="EJ27" s="641"/>
      <c r="EK27" s="642"/>
      <c r="EL27" s="642"/>
      <c r="EM27" s="642"/>
      <c r="EN27" s="642"/>
      <c r="EO27" s="642"/>
      <c r="EP27" s="642"/>
      <c r="EQ27" s="642"/>
      <c r="ER27" s="642"/>
      <c r="ES27" s="642"/>
      <c r="ET27" s="642"/>
      <c r="EU27" s="642"/>
      <c r="EV27" s="642"/>
      <c r="EW27" s="642"/>
      <c r="EX27" s="642"/>
      <c r="EY27" s="642"/>
      <c r="EZ27" s="643"/>
      <c r="FA27" s="643"/>
      <c r="FB27" s="643"/>
      <c r="FC27" s="643"/>
      <c r="FD27" s="643"/>
      <c r="FE27" s="644"/>
      <c r="FF27" s="264"/>
      <c r="FM27" s="90"/>
      <c r="FN27" s="351"/>
      <c r="FO27" s="2"/>
      <c r="FP27" s="2"/>
      <c r="FQ27" s="38"/>
      <c r="FR27" s="38"/>
      <c r="FS27" s="38"/>
      <c r="FT27" s="38"/>
      <c r="FU27" s="38"/>
      <c r="FV27" s="38"/>
      <c r="FW27" s="38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1"/>
      <c r="M28" s="167"/>
      <c r="N28" s="606"/>
      <c r="O28" s="606"/>
      <c r="P28" s="606"/>
      <c r="Q28" s="607"/>
      <c r="R28" s="608"/>
      <c r="S28" s="609"/>
      <c r="T28" s="609"/>
      <c r="U28" s="609"/>
      <c r="V28" s="610"/>
      <c r="W28" s="610"/>
      <c r="X28" s="610"/>
      <c r="Y28" s="610"/>
      <c r="Z28" s="610"/>
      <c r="AA28" s="610"/>
      <c r="AB28" s="610"/>
      <c r="AC28" s="610"/>
      <c r="AD28" s="610"/>
      <c r="AE28" s="610"/>
      <c r="AF28" s="610"/>
      <c r="AG28" s="610"/>
      <c r="AH28" s="610"/>
      <c r="AI28" s="610"/>
      <c r="AJ28" s="610"/>
      <c r="AK28" s="611"/>
      <c r="AL28" s="612"/>
      <c r="AM28" s="613"/>
      <c r="AN28" s="613"/>
      <c r="AO28" s="613"/>
      <c r="AP28" s="613"/>
      <c r="AQ28" s="613"/>
      <c r="AR28" s="613"/>
      <c r="AS28" s="613"/>
      <c r="AT28" s="613"/>
      <c r="AU28" s="613"/>
      <c r="AV28" s="613"/>
      <c r="AW28" s="613"/>
      <c r="AX28" s="613"/>
      <c r="AY28" s="613"/>
      <c r="AZ28" s="613"/>
      <c r="BA28" s="613"/>
      <c r="BB28" s="613"/>
      <c r="BC28" s="613"/>
      <c r="BD28" s="613"/>
      <c r="BE28" s="613"/>
      <c r="BF28" s="613"/>
      <c r="BG28" s="621"/>
      <c r="BH28" s="622"/>
      <c r="BI28" s="623"/>
      <c r="BJ28" s="623"/>
      <c r="BK28" s="624"/>
      <c r="BL28" s="625"/>
      <c r="BM28" s="626"/>
      <c r="BN28" s="626"/>
      <c r="BO28" s="626"/>
      <c r="BP28" s="626"/>
      <c r="BQ28" s="627"/>
      <c r="BR28" s="622"/>
      <c r="BS28" s="623"/>
      <c r="BT28" s="623"/>
      <c r="BU28" s="623"/>
      <c r="BV28" s="624"/>
      <c r="BW28" s="628"/>
      <c r="BX28" s="629"/>
      <c r="BY28" s="629"/>
      <c r="BZ28" s="629"/>
      <c r="CA28" s="630"/>
      <c r="CB28" s="614"/>
      <c r="CC28" s="615"/>
      <c r="CD28" s="615"/>
      <c r="CE28" s="615"/>
      <c r="CF28" s="615"/>
      <c r="CG28" s="615"/>
      <c r="CH28" s="615"/>
      <c r="CI28" s="615"/>
      <c r="CJ28" s="616"/>
      <c r="CK28" s="616"/>
      <c r="CL28" s="616"/>
      <c r="CM28" s="616"/>
      <c r="CN28" s="616"/>
      <c r="CO28" s="616"/>
      <c r="CP28" s="616"/>
      <c r="CQ28" s="617"/>
      <c r="CR28" s="617"/>
      <c r="CS28" s="617"/>
      <c r="CT28" s="617"/>
      <c r="CU28" s="617"/>
      <c r="CV28" s="617"/>
      <c r="CW28" s="617"/>
      <c r="CX28" s="617"/>
      <c r="CY28" s="617"/>
      <c r="CZ28" s="617"/>
      <c r="DA28" s="617"/>
      <c r="DB28" s="617"/>
      <c r="DC28" s="617"/>
      <c r="DD28" s="617"/>
      <c r="DE28" s="617"/>
      <c r="DF28" s="617"/>
      <c r="DG28" s="618"/>
      <c r="DH28" s="619"/>
      <c r="DI28" s="619"/>
      <c r="DJ28" s="619"/>
      <c r="DK28" s="619"/>
      <c r="DL28" s="619"/>
      <c r="DM28" s="619"/>
      <c r="DN28" s="620"/>
      <c r="DO28" s="600"/>
      <c r="DP28" s="601"/>
      <c r="DQ28" s="601"/>
      <c r="DR28" s="601"/>
      <c r="DS28" s="601"/>
      <c r="DT28" s="602"/>
      <c r="DU28" s="602"/>
      <c r="DV28" s="602"/>
      <c r="DW28" s="602"/>
      <c r="DX28" s="602"/>
      <c r="DY28" s="602"/>
      <c r="DZ28" s="602"/>
      <c r="EA28" s="602"/>
      <c r="EB28" s="602"/>
      <c r="EC28" s="602"/>
      <c r="ED28" s="602"/>
      <c r="EE28" s="602"/>
      <c r="EF28" s="602"/>
      <c r="EG28" s="602"/>
      <c r="EH28" s="602"/>
      <c r="EI28" s="602"/>
      <c r="EJ28" s="641"/>
      <c r="EK28" s="642"/>
      <c r="EL28" s="642"/>
      <c r="EM28" s="642"/>
      <c r="EN28" s="642"/>
      <c r="EO28" s="642"/>
      <c r="EP28" s="642"/>
      <c r="EQ28" s="642"/>
      <c r="ER28" s="642"/>
      <c r="ES28" s="642"/>
      <c r="ET28" s="642"/>
      <c r="EU28" s="642"/>
      <c r="EV28" s="642"/>
      <c r="EW28" s="642"/>
      <c r="EX28" s="642"/>
      <c r="EY28" s="642"/>
      <c r="EZ28" s="643"/>
      <c r="FA28" s="643"/>
      <c r="FB28" s="643"/>
      <c r="FC28" s="643"/>
      <c r="FD28" s="643"/>
      <c r="FE28" s="644"/>
      <c r="FF28" s="264"/>
      <c r="FM28" s="90"/>
      <c r="FN28" s="2"/>
      <c r="FO28" s="2"/>
      <c r="FP28" s="2"/>
      <c r="FQ28" s="38"/>
      <c r="FR28" s="38"/>
      <c r="FS28" s="38"/>
      <c r="FT28" s="38"/>
      <c r="FU28" s="38"/>
      <c r="FV28" s="38"/>
      <c r="FW28" s="38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1"/>
      <c r="M29" s="167"/>
      <c r="N29" s="606">
        <v>6</v>
      </c>
      <c r="O29" s="606"/>
      <c r="P29" s="606"/>
      <c r="Q29" s="607" t="s">
        <v>395</v>
      </c>
      <c r="R29" s="608" t="s">
        <v>5</v>
      </c>
      <c r="S29" s="609"/>
      <c r="T29" s="609"/>
      <c r="U29" s="609" t="s">
        <v>6</v>
      </c>
      <c r="V29" s="610" t="s">
        <v>371</v>
      </c>
      <c r="W29" s="610"/>
      <c r="X29" s="610"/>
      <c r="Y29" s="610"/>
      <c r="Z29" s="610"/>
      <c r="AA29" s="610"/>
      <c r="AB29" s="610"/>
      <c r="AC29" s="610"/>
      <c r="AD29" s="610"/>
      <c r="AE29" s="610"/>
      <c r="AF29" s="610"/>
      <c r="AG29" s="610"/>
      <c r="AH29" s="610"/>
      <c r="AI29" s="610"/>
      <c r="AJ29" s="610"/>
      <c r="AK29" s="611"/>
      <c r="AL29" s="612" t="s">
        <v>15</v>
      </c>
      <c r="AM29" s="613"/>
      <c r="AN29" s="613"/>
      <c r="AO29" s="613" t="s">
        <v>6</v>
      </c>
      <c r="AP29" s="613" t="s">
        <v>404</v>
      </c>
      <c r="AQ29" s="613"/>
      <c r="AR29" s="613"/>
      <c r="AS29" s="613"/>
      <c r="AT29" s="613"/>
      <c r="AU29" s="613"/>
      <c r="AV29" s="613"/>
      <c r="AW29" s="613"/>
      <c r="AX29" s="613"/>
      <c r="AY29" s="613"/>
      <c r="AZ29" s="613"/>
      <c r="BA29" s="613"/>
      <c r="BB29" s="613"/>
      <c r="BC29" s="613"/>
      <c r="BD29" s="613"/>
      <c r="BE29" s="613"/>
      <c r="BF29" s="613"/>
      <c r="BG29" s="621"/>
      <c r="BH29" s="622">
        <f>DE_SBS1_N</f>
        <v>2</v>
      </c>
      <c r="BI29" s="623"/>
      <c r="BJ29" s="623"/>
      <c r="BK29" s="624"/>
      <c r="BL29" s="625">
        <f>DE_SBS1_L</f>
        <v>544</v>
      </c>
      <c r="BM29" s="626"/>
      <c r="BN29" s="626"/>
      <c r="BO29" s="626"/>
      <c r="BP29" s="626"/>
      <c r="BQ29" s="627"/>
      <c r="BR29" s="622">
        <f>DE_SBS1_B</f>
        <v>100</v>
      </c>
      <c r="BS29" s="623"/>
      <c r="BT29" s="623"/>
      <c r="BU29" s="623"/>
      <c r="BV29" s="624"/>
      <c r="BW29" s="628">
        <f>DE_SBS1_H</f>
        <v>23</v>
      </c>
      <c r="BX29" s="629"/>
      <c r="BY29" s="629"/>
      <c r="BZ29" s="629"/>
      <c r="CA29" s="630"/>
      <c r="CB29" s="614">
        <f>BEZ_Dim_6_Anz*KI_N</f>
        <v>2</v>
      </c>
      <c r="CC29" s="615">
        <f>BEZ_Dim_6_L*BEZ_Dim_6_B*BEZ_Dim_6_H*BEZ_Dim_6_Anz /10^9</f>
        <v>2.5024000000000001E-3</v>
      </c>
      <c r="CD29" s="615"/>
      <c r="CE29" s="615"/>
      <c r="CF29" s="615"/>
      <c r="CG29" s="615"/>
      <c r="CH29" s="615"/>
      <c r="CI29" s="615"/>
      <c r="CJ29" s="616">
        <v>450</v>
      </c>
      <c r="CK29" s="616"/>
      <c r="CL29" s="616"/>
      <c r="CM29" s="616"/>
      <c r="CN29" s="616"/>
      <c r="CO29" s="616"/>
      <c r="CP29" s="616"/>
      <c r="CQ29" s="617">
        <f>BEZ_Dim_6_CBM*BEZ_Dim_6_SPGEW</f>
        <v>1.12608</v>
      </c>
      <c r="CR29" s="617"/>
      <c r="CS29" s="617"/>
      <c r="CT29" s="617"/>
      <c r="CU29" s="617"/>
      <c r="CV29" s="617"/>
      <c r="CW29" s="617"/>
      <c r="CX29" s="617"/>
      <c r="CY29" s="617"/>
      <c r="CZ29" s="617">
        <f>BEZ_Dim_6_L*BEZ_Dim_6_Anz/1000</f>
        <v>1.0880000000000001</v>
      </c>
      <c r="DA29" s="617"/>
      <c r="DB29" s="617"/>
      <c r="DC29" s="617"/>
      <c r="DD29" s="617"/>
      <c r="DE29" s="617"/>
      <c r="DF29" s="617"/>
      <c r="DG29" s="618">
        <v>204</v>
      </c>
      <c r="DH29" s="619"/>
      <c r="DI29" s="619"/>
      <c r="DJ29" s="619"/>
      <c r="DK29" s="619"/>
      <c r="DL29" s="619"/>
      <c r="DM29" s="619"/>
      <c r="DN29" s="620"/>
      <c r="DO29" s="600">
        <v>15</v>
      </c>
      <c r="DP29" s="601"/>
      <c r="DQ29" s="601"/>
      <c r="DR29" s="601"/>
      <c r="DS29" s="601"/>
      <c r="DT29" s="602">
        <f>BEZ_Dim_6_CBM*BEZ_Dim_6_EuCBM*((BEZ_Dim_6_VAZ/100)+1)</f>
        <v>0.58706303999999998</v>
      </c>
      <c r="DU29" s="602"/>
      <c r="DV29" s="602"/>
      <c r="DW29" s="602"/>
      <c r="DX29" s="602"/>
      <c r="DY29" s="602"/>
      <c r="DZ29" s="602"/>
      <c r="EA29" s="602"/>
      <c r="EB29" s="602">
        <f>CC29*DG29*((DO29/100)+1)*KI_N</f>
        <v>0.58706303999999998</v>
      </c>
      <c r="EC29" s="602"/>
      <c r="ED29" s="602"/>
      <c r="EE29" s="602"/>
      <c r="EF29" s="602"/>
      <c r="EG29" s="602"/>
      <c r="EH29" s="602"/>
      <c r="EI29" s="602"/>
      <c r="EJ29" s="645" t="s">
        <v>182</v>
      </c>
      <c r="EK29" s="646"/>
      <c r="EL29" s="646"/>
      <c r="EM29" s="646"/>
      <c r="EN29" s="646"/>
      <c r="EO29" s="646"/>
      <c r="EP29" s="646"/>
      <c r="EQ29" s="646"/>
      <c r="ER29" s="646"/>
      <c r="ES29" s="646"/>
      <c r="ET29" s="646"/>
      <c r="EU29" s="646"/>
      <c r="EV29" s="646"/>
      <c r="EW29" s="646"/>
      <c r="EX29" s="646"/>
      <c r="EY29" s="646"/>
      <c r="EZ29" s="646"/>
      <c r="FA29" s="646"/>
      <c r="FB29" s="646"/>
      <c r="FC29" s="646"/>
      <c r="FD29" s="646"/>
      <c r="FE29" s="647"/>
      <c r="FF29" s="264"/>
      <c r="FM29" s="90"/>
      <c r="FN29" s="351"/>
      <c r="FO29" s="2"/>
      <c r="FP29" s="2"/>
      <c r="FQ29" s="38"/>
      <c r="FR29" s="38"/>
      <c r="FS29" s="38"/>
      <c r="FT29" s="38"/>
      <c r="FU29" s="38"/>
      <c r="FV29" s="38"/>
      <c r="FW29" s="38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1"/>
      <c r="M30" s="167"/>
      <c r="N30" s="606"/>
      <c r="O30" s="606"/>
      <c r="P30" s="606"/>
      <c r="Q30" s="607"/>
      <c r="R30" s="608"/>
      <c r="S30" s="609"/>
      <c r="T30" s="609"/>
      <c r="U30" s="609"/>
      <c r="V30" s="610"/>
      <c r="W30" s="610"/>
      <c r="X30" s="610"/>
      <c r="Y30" s="610"/>
      <c r="Z30" s="610"/>
      <c r="AA30" s="610"/>
      <c r="AB30" s="610"/>
      <c r="AC30" s="610"/>
      <c r="AD30" s="610"/>
      <c r="AE30" s="610"/>
      <c r="AF30" s="610"/>
      <c r="AG30" s="610"/>
      <c r="AH30" s="610"/>
      <c r="AI30" s="610"/>
      <c r="AJ30" s="610"/>
      <c r="AK30" s="611"/>
      <c r="AL30" s="612"/>
      <c r="AM30" s="613"/>
      <c r="AN30" s="613"/>
      <c r="AO30" s="613"/>
      <c r="AP30" s="613"/>
      <c r="AQ30" s="613"/>
      <c r="AR30" s="613"/>
      <c r="AS30" s="613"/>
      <c r="AT30" s="613"/>
      <c r="AU30" s="613"/>
      <c r="AV30" s="613"/>
      <c r="AW30" s="613"/>
      <c r="AX30" s="613"/>
      <c r="AY30" s="613"/>
      <c r="AZ30" s="613"/>
      <c r="BA30" s="613"/>
      <c r="BB30" s="613"/>
      <c r="BC30" s="613"/>
      <c r="BD30" s="613"/>
      <c r="BE30" s="613"/>
      <c r="BF30" s="613"/>
      <c r="BG30" s="621"/>
      <c r="BH30" s="622"/>
      <c r="BI30" s="623"/>
      <c r="BJ30" s="623"/>
      <c r="BK30" s="624"/>
      <c r="BL30" s="625"/>
      <c r="BM30" s="626"/>
      <c r="BN30" s="626"/>
      <c r="BO30" s="626"/>
      <c r="BP30" s="626"/>
      <c r="BQ30" s="627"/>
      <c r="BR30" s="622"/>
      <c r="BS30" s="623"/>
      <c r="BT30" s="623"/>
      <c r="BU30" s="623"/>
      <c r="BV30" s="624"/>
      <c r="BW30" s="628"/>
      <c r="BX30" s="629"/>
      <c r="BY30" s="629"/>
      <c r="BZ30" s="629"/>
      <c r="CA30" s="630"/>
      <c r="CB30" s="614"/>
      <c r="CC30" s="615"/>
      <c r="CD30" s="615"/>
      <c r="CE30" s="615"/>
      <c r="CF30" s="615"/>
      <c r="CG30" s="615"/>
      <c r="CH30" s="615"/>
      <c r="CI30" s="615"/>
      <c r="CJ30" s="616"/>
      <c r="CK30" s="616"/>
      <c r="CL30" s="616"/>
      <c r="CM30" s="616"/>
      <c r="CN30" s="616"/>
      <c r="CO30" s="616"/>
      <c r="CP30" s="616"/>
      <c r="CQ30" s="617"/>
      <c r="CR30" s="617"/>
      <c r="CS30" s="617"/>
      <c r="CT30" s="617"/>
      <c r="CU30" s="617"/>
      <c r="CV30" s="617"/>
      <c r="CW30" s="617"/>
      <c r="CX30" s="617"/>
      <c r="CY30" s="617"/>
      <c r="CZ30" s="617"/>
      <c r="DA30" s="617"/>
      <c r="DB30" s="617"/>
      <c r="DC30" s="617"/>
      <c r="DD30" s="617"/>
      <c r="DE30" s="617"/>
      <c r="DF30" s="617"/>
      <c r="DG30" s="618"/>
      <c r="DH30" s="619"/>
      <c r="DI30" s="619"/>
      <c r="DJ30" s="619"/>
      <c r="DK30" s="619"/>
      <c r="DL30" s="619"/>
      <c r="DM30" s="619"/>
      <c r="DN30" s="620"/>
      <c r="DO30" s="600"/>
      <c r="DP30" s="601"/>
      <c r="DQ30" s="601"/>
      <c r="DR30" s="601"/>
      <c r="DS30" s="601"/>
      <c r="DT30" s="602"/>
      <c r="DU30" s="602"/>
      <c r="DV30" s="602"/>
      <c r="DW30" s="602"/>
      <c r="DX30" s="602"/>
      <c r="DY30" s="602"/>
      <c r="DZ30" s="602"/>
      <c r="EA30" s="602"/>
      <c r="EB30" s="602"/>
      <c r="EC30" s="602"/>
      <c r="ED30" s="602"/>
      <c r="EE30" s="602"/>
      <c r="EF30" s="602"/>
      <c r="EG30" s="602"/>
      <c r="EH30" s="602"/>
      <c r="EI30" s="602"/>
      <c r="EJ30" s="645"/>
      <c r="EK30" s="646"/>
      <c r="EL30" s="646"/>
      <c r="EM30" s="646"/>
      <c r="EN30" s="646"/>
      <c r="EO30" s="646"/>
      <c r="EP30" s="646"/>
      <c r="EQ30" s="646"/>
      <c r="ER30" s="646"/>
      <c r="ES30" s="646"/>
      <c r="ET30" s="646"/>
      <c r="EU30" s="646"/>
      <c r="EV30" s="646"/>
      <c r="EW30" s="646"/>
      <c r="EX30" s="646"/>
      <c r="EY30" s="646"/>
      <c r="EZ30" s="646"/>
      <c r="FA30" s="646"/>
      <c r="FB30" s="646"/>
      <c r="FC30" s="646"/>
      <c r="FD30" s="646"/>
      <c r="FE30" s="647"/>
      <c r="FF30" s="264"/>
      <c r="FM30" s="90"/>
      <c r="FN30" s="2"/>
      <c r="FO30" s="2"/>
      <c r="FP30" s="2"/>
      <c r="FQ30" s="38"/>
      <c r="FR30" s="38"/>
      <c r="FS30" s="38"/>
      <c r="FT30" s="38"/>
      <c r="FU30" s="38"/>
      <c r="FV30" s="38"/>
      <c r="FW30" s="38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1"/>
      <c r="M31" s="167"/>
      <c r="N31" s="606">
        <v>7</v>
      </c>
      <c r="O31" s="606"/>
      <c r="P31" s="606"/>
      <c r="Q31" s="607" t="s">
        <v>395</v>
      </c>
      <c r="R31" s="608" t="s">
        <v>8</v>
      </c>
      <c r="S31" s="609"/>
      <c r="T31" s="609"/>
      <c r="U31" s="609" t="s">
        <v>6</v>
      </c>
      <c r="V31" s="610" t="s">
        <v>160</v>
      </c>
      <c r="W31" s="610"/>
      <c r="X31" s="610"/>
      <c r="Y31" s="610"/>
      <c r="Z31" s="610"/>
      <c r="AA31" s="610"/>
      <c r="AB31" s="610"/>
      <c r="AC31" s="610"/>
      <c r="AD31" s="610"/>
      <c r="AE31" s="610"/>
      <c r="AF31" s="610"/>
      <c r="AG31" s="610"/>
      <c r="AH31" s="610"/>
      <c r="AI31" s="610"/>
      <c r="AJ31" s="610"/>
      <c r="AK31" s="611"/>
      <c r="AL31" s="612" t="s">
        <v>15</v>
      </c>
      <c r="AM31" s="613"/>
      <c r="AN31" s="613"/>
      <c r="AO31" s="613" t="s">
        <v>6</v>
      </c>
      <c r="AP31" s="613" t="s">
        <v>404</v>
      </c>
      <c r="AQ31" s="613"/>
      <c r="AR31" s="613"/>
      <c r="AS31" s="613"/>
      <c r="AT31" s="613"/>
      <c r="AU31" s="613"/>
      <c r="AV31" s="613"/>
      <c r="AW31" s="613"/>
      <c r="AX31" s="613"/>
      <c r="AY31" s="613"/>
      <c r="AZ31" s="613"/>
      <c r="BA31" s="613"/>
      <c r="BB31" s="613"/>
      <c r="BC31" s="613"/>
      <c r="BD31" s="613"/>
      <c r="BE31" s="613"/>
      <c r="BF31" s="613"/>
      <c r="BG31" s="621"/>
      <c r="BH31" s="622">
        <f>SE_FL1_N</f>
        <v>2</v>
      </c>
      <c r="BI31" s="623"/>
      <c r="BJ31" s="623"/>
      <c r="BK31" s="624"/>
      <c r="BL31" s="625">
        <f>SE_FL1_L</f>
        <v>1632</v>
      </c>
      <c r="BM31" s="626"/>
      <c r="BN31" s="626"/>
      <c r="BO31" s="626"/>
      <c r="BP31" s="626"/>
      <c r="BQ31" s="627"/>
      <c r="BR31" s="622">
        <f>SE_FL1_B</f>
        <v>500</v>
      </c>
      <c r="BS31" s="623"/>
      <c r="BT31" s="623"/>
      <c r="BU31" s="623"/>
      <c r="BV31" s="624"/>
      <c r="BW31" s="628">
        <f>SE_FL1_H</f>
        <v>23</v>
      </c>
      <c r="BX31" s="629"/>
      <c r="BY31" s="629"/>
      <c r="BZ31" s="629"/>
      <c r="CA31" s="630"/>
      <c r="CB31" s="614">
        <f>BEZ_Dim_7_Anz*KI_N</f>
        <v>2</v>
      </c>
      <c r="CC31" s="615">
        <f>BEZ_Dim_7_L*BEZ_Dim_7_B*BEZ_Dim_7_H*BEZ_Dim_7_Anz /10^9</f>
        <v>3.7536E-2</v>
      </c>
      <c r="CD31" s="615"/>
      <c r="CE31" s="615"/>
      <c r="CF31" s="615"/>
      <c r="CG31" s="615"/>
      <c r="CH31" s="615"/>
      <c r="CI31" s="615"/>
      <c r="CJ31" s="616">
        <v>450</v>
      </c>
      <c r="CK31" s="616"/>
      <c r="CL31" s="616"/>
      <c r="CM31" s="616"/>
      <c r="CN31" s="616"/>
      <c r="CO31" s="616"/>
      <c r="CP31" s="616"/>
      <c r="CQ31" s="617">
        <f>BEZ_Dim_7_CBM*BEZ_Dim_7_SPGEW</f>
        <v>16.891200000000001</v>
      </c>
      <c r="CR31" s="617"/>
      <c r="CS31" s="617"/>
      <c r="CT31" s="617"/>
      <c r="CU31" s="617"/>
      <c r="CV31" s="617"/>
      <c r="CW31" s="617"/>
      <c r="CX31" s="617"/>
      <c r="CY31" s="617"/>
      <c r="CZ31" s="617">
        <f>BEZ_Dim_7_L*BEZ_Dim_7_Anz/1000</f>
        <v>3.2639999999999998</v>
      </c>
      <c r="DA31" s="617"/>
      <c r="DB31" s="617"/>
      <c r="DC31" s="617"/>
      <c r="DD31" s="617"/>
      <c r="DE31" s="617"/>
      <c r="DF31" s="617"/>
      <c r="DG31" s="618">
        <v>204</v>
      </c>
      <c r="DH31" s="619"/>
      <c r="DI31" s="619"/>
      <c r="DJ31" s="619"/>
      <c r="DK31" s="619"/>
      <c r="DL31" s="619"/>
      <c r="DM31" s="619"/>
      <c r="DN31" s="620"/>
      <c r="DO31" s="600">
        <v>15</v>
      </c>
      <c r="DP31" s="601"/>
      <c r="DQ31" s="601"/>
      <c r="DR31" s="601"/>
      <c r="DS31" s="601"/>
      <c r="DT31" s="602">
        <f>BEZ_Dim_7_CBM*BEZ_Dim_7_EuCBM*((BEZ_Dim_7_VAZ/100)+1)</f>
        <v>8.8059455999999994</v>
      </c>
      <c r="DU31" s="602"/>
      <c r="DV31" s="602"/>
      <c r="DW31" s="602"/>
      <c r="DX31" s="602"/>
      <c r="DY31" s="602"/>
      <c r="DZ31" s="602"/>
      <c r="EA31" s="602"/>
      <c r="EB31" s="602">
        <f>CC31*DG31*((DO31/100)+1)*KI_N</f>
        <v>8.8059455999999994</v>
      </c>
      <c r="EC31" s="602"/>
      <c r="ED31" s="602"/>
      <c r="EE31" s="602"/>
      <c r="EF31" s="602"/>
      <c r="EG31" s="602"/>
      <c r="EH31" s="602"/>
      <c r="EI31" s="602"/>
      <c r="EJ31" s="648">
        <f>ROUNDUP(SUM(CQ19:CY110),0)</f>
        <v>69</v>
      </c>
      <c r="EK31" s="649"/>
      <c r="EL31" s="649"/>
      <c r="EM31" s="649"/>
      <c r="EN31" s="649"/>
      <c r="EO31" s="649"/>
      <c r="EP31" s="649"/>
      <c r="EQ31" s="649"/>
      <c r="ER31" s="649"/>
      <c r="ES31" s="649"/>
      <c r="ET31" s="649"/>
      <c r="EU31" s="649"/>
      <c r="EV31" s="649"/>
      <c r="EW31" s="649"/>
      <c r="EX31" s="649"/>
      <c r="EY31" s="649"/>
      <c r="EZ31" s="635" t="s">
        <v>301</v>
      </c>
      <c r="FA31" s="635"/>
      <c r="FB31" s="635"/>
      <c r="FC31" s="635"/>
      <c r="FD31" s="635"/>
      <c r="FE31" s="636"/>
      <c r="FF31" s="264"/>
      <c r="FM31" s="90"/>
      <c r="FN31" s="351"/>
      <c r="FO31" s="2"/>
      <c r="FP31" s="2"/>
      <c r="FQ31" s="38"/>
      <c r="FR31" s="38"/>
      <c r="FS31" s="38"/>
      <c r="FT31" s="38"/>
      <c r="FU31" s="38"/>
      <c r="FV31" s="38"/>
      <c r="FW31" s="38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1"/>
      <c r="M32" s="167"/>
      <c r="N32" s="606"/>
      <c r="O32" s="606"/>
      <c r="P32" s="606"/>
      <c r="Q32" s="607"/>
      <c r="R32" s="608"/>
      <c r="S32" s="609"/>
      <c r="T32" s="609"/>
      <c r="U32" s="609"/>
      <c r="V32" s="610"/>
      <c r="W32" s="610"/>
      <c r="X32" s="610"/>
      <c r="Y32" s="610"/>
      <c r="Z32" s="610"/>
      <c r="AA32" s="610"/>
      <c r="AB32" s="610"/>
      <c r="AC32" s="610"/>
      <c r="AD32" s="610"/>
      <c r="AE32" s="610"/>
      <c r="AF32" s="610"/>
      <c r="AG32" s="610"/>
      <c r="AH32" s="610"/>
      <c r="AI32" s="610"/>
      <c r="AJ32" s="610"/>
      <c r="AK32" s="611"/>
      <c r="AL32" s="612"/>
      <c r="AM32" s="613"/>
      <c r="AN32" s="613"/>
      <c r="AO32" s="613"/>
      <c r="AP32" s="613"/>
      <c r="AQ32" s="613"/>
      <c r="AR32" s="613"/>
      <c r="AS32" s="613"/>
      <c r="AT32" s="613"/>
      <c r="AU32" s="613"/>
      <c r="AV32" s="613"/>
      <c r="AW32" s="613"/>
      <c r="AX32" s="613"/>
      <c r="AY32" s="613"/>
      <c r="AZ32" s="613"/>
      <c r="BA32" s="613"/>
      <c r="BB32" s="613"/>
      <c r="BC32" s="613"/>
      <c r="BD32" s="613"/>
      <c r="BE32" s="613"/>
      <c r="BF32" s="613"/>
      <c r="BG32" s="621"/>
      <c r="BH32" s="622"/>
      <c r="BI32" s="623"/>
      <c r="BJ32" s="623"/>
      <c r="BK32" s="624"/>
      <c r="BL32" s="625"/>
      <c r="BM32" s="626"/>
      <c r="BN32" s="626"/>
      <c r="BO32" s="626"/>
      <c r="BP32" s="626"/>
      <c r="BQ32" s="627"/>
      <c r="BR32" s="622"/>
      <c r="BS32" s="623"/>
      <c r="BT32" s="623"/>
      <c r="BU32" s="623"/>
      <c r="BV32" s="624"/>
      <c r="BW32" s="628"/>
      <c r="BX32" s="629"/>
      <c r="BY32" s="629"/>
      <c r="BZ32" s="629"/>
      <c r="CA32" s="630"/>
      <c r="CB32" s="614"/>
      <c r="CC32" s="615"/>
      <c r="CD32" s="615"/>
      <c r="CE32" s="615"/>
      <c r="CF32" s="615"/>
      <c r="CG32" s="615"/>
      <c r="CH32" s="615"/>
      <c r="CI32" s="615"/>
      <c r="CJ32" s="616"/>
      <c r="CK32" s="616"/>
      <c r="CL32" s="616"/>
      <c r="CM32" s="616"/>
      <c r="CN32" s="616"/>
      <c r="CO32" s="616"/>
      <c r="CP32" s="616"/>
      <c r="CQ32" s="617"/>
      <c r="CR32" s="617"/>
      <c r="CS32" s="617"/>
      <c r="CT32" s="617"/>
      <c r="CU32" s="617"/>
      <c r="CV32" s="617"/>
      <c r="CW32" s="617"/>
      <c r="CX32" s="617"/>
      <c r="CY32" s="617"/>
      <c r="CZ32" s="617"/>
      <c r="DA32" s="617"/>
      <c r="DB32" s="617"/>
      <c r="DC32" s="617"/>
      <c r="DD32" s="617"/>
      <c r="DE32" s="617"/>
      <c r="DF32" s="617"/>
      <c r="DG32" s="618"/>
      <c r="DH32" s="619"/>
      <c r="DI32" s="619"/>
      <c r="DJ32" s="619"/>
      <c r="DK32" s="619"/>
      <c r="DL32" s="619"/>
      <c r="DM32" s="619"/>
      <c r="DN32" s="620"/>
      <c r="DO32" s="600"/>
      <c r="DP32" s="601"/>
      <c r="DQ32" s="601"/>
      <c r="DR32" s="601"/>
      <c r="DS32" s="601"/>
      <c r="DT32" s="602"/>
      <c r="DU32" s="602"/>
      <c r="DV32" s="602"/>
      <c r="DW32" s="602"/>
      <c r="DX32" s="602"/>
      <c r="DY32" s="602"/>
      <c r="DZ32" s="602"/>
      <c r="EA32" s="602"/>
      <c r="EB32" s="602"/>
      <c r="EC32" s="602"/>
      <c r="ED32" s="602"/>
      <c r="EE32" s="602"/>
      <c r="EF32" s="602"/>
      <c r="EG32" s="602"/>
      <c r="EH32" s="602"/>
      <c r="EI32" s="602"/>
      <c r="EJ32" s="648"/>
      <c r="EK32" s="649"/>
      <c r="EL32" s="649"/>
      <c r="EM32" s="649"/>
      <c r="EN32" s="649"/>
      <c r="EO32" s="649"/>
      <c r="EP32" s="649"/>
      <c r="EQ32" s="649"/>
      <c r="ER32" s="649"/>
      <c r="ES32" s="649"/>
      <c r="ET32" s="649"/>
      <c r="EU32" s="649"/>
      <c r="EV32" s="649"/>
      <c r="EW32" s="649"/>
      <c r="EX32" s="649"/>
      <c r="EY32" s="649"/>
      <c r="EZ32" s="635"/>
      <c r="FA32" s="635"/>
      <c r="FB32" s="635"/>
      <c r="FC32" s="635"/>
      <c r="FD32" s="635"/>
      <c r="FE32" s="636"/>
      <c r="FF32" s="264"/>
      <c r="FM32" s="90"/>
      <c r="FN32" s="2"/>
      <c r="FO32" s="2"/>
      <c r="FP32" s="2"/>
      <c r="FQ32" s="38"/>
      <c r="FR32" s="38"/>
      <c r="FS32" s="38"/>
      <c r="FT32" s="38"/>
      <c r="FU32" s="38"/>
      <c r="FV32" s="38"/>
      <c r="FW32" s="38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1"/>
      <c r="M33" s="167"/>
      <c r="N33" s="606">
        <v>8</v>
      </c>
      <c r="O33" s="606"/>
      <c r="P33" s="606"/>
      <c r="Q33" s="607" t="s">
        <v>395</v>
      </c>
      <c r="R33" s="608" t="s">
        <v>8</v>
      </c>
      <c r="S33" s="609"/>
      <c r="T33" s="609"/>
      <c r="U33" s="609" t="s">
        <v>6</v>
      </c>
      <c r="V33" s="610" t="s">
        <v>370</v>
      </c>
      <c r="W33" s="610"/>
      <c r="X33" s="610"/>
      <c r="Y33" s="610"/>
      <c r="Z33" s="610"/>
      <c r="AA33" s="610"/>
      <c r="AB33" s="610"/>
      <c r="AC33" s="610"/>
      <c r="AD33" s="610"/>
      <c r="AE33" s="610"/>
      <c r="AF33" s="610"/>
      <c r="AG33" s="610"/>
      <c r="AH33" s="610"/>
      <c r="AI33" s="610"/>
      <c r="AJ33" s="610"/>
      <c r="AK33" s="611"/>
      <c r="AL33" s="612" t="s">
        <v>15</v>
      </c>
      <c r="AM33" s="613"/>
      <c r="AN33" s="613"/>
      <c r="AO33" s="613" t="s">
        <v>6</v>
      </c>
      <c r="AP33" s="613" t="s">
        <v>404</v>
      </c>
      <c r="AQ33" s="613"/>
      <c r="AR33" s="613"/>
      <c r="AS33" s="613"/>
      <c r="AT33" s="613"/>
      <c r="AU33" s="613"/>
      <c r="AV33" s="613"/>
      <c r="AW33" s="613"/>
      <c r="AX33" s="613"/>
      <c r="AY33" s="613"/>
      <c r="AZ33" s="613"/>
      <c r="BA33" s="613"/>
      <c r="BB33" s="613"/>
      <c r="BC33" s="613"/>
      <c r="BD33" s="613"/>
      <c r="BE33" s="613"/>
      <c r="BF33" s="613"/>
      <c r="BG33" s="621"/>
      <c r="BH33" s="622">
        <f>SE_SHS_N</f>
        <v>4</v>
      </c>
      <c r="BI33" s="623"/>
      <c r="BJ33" s="623"/>
      <c r="BK33" s="624"/>
      <c r="BL33" s="625">
        <f>SE_SHS_L</f>
        <v>672</v>
      </c>
      <c r="BM33" s="626"/>
      <c r="BN33" s="626"/>
      <c r="BO33" s="626"/>
      <c r="BP33" s="626"/>
      <c r="BQ33" s="627"/>
      <c r="BR33" s="622">
        <f>SE_SHS_B</f>
        <v>100</v>
      </c>
      <c r="BS33" s="623"/>
      <c r="BT33" s="623"/>
      <c r="BU33" s="623"/>
      <c r="BV33" s="624"/>
      <c r="BW33" s="628">
        <f>SE_SHS_H</f>
        <v>23</v>
      </c>
      <c r="BX33" s="629"/>
      <c r="BY33" s="629"/>
      <c r="BZ33" s="629"/>
      <c r="CA33" s="630"/>
      <c r="CB33" s="614">
        <f>BEZ_Dim_8_Anz*KI_N</f>
        <v>4</v>
      </c>
      <c r="CC33" s="615">
        <f>BEZ_Dim_8_L*BEZ_Dim_8_B*BEZ_Dim_8_H*BEZ_Dim_8_Anz /10^9</f>
        <v>6.1824000000000002E-3</v>
      </c>
      <c r="CD33" s="615"/>
      <c r="CE33" s="615"/>
      <c r="CF33" s="615"/>
      <c r="CG33" s="615"/>
      <c r="CH33" s="615"/>
      <c r="CI33" s="615"/>
      <c r="CJ33" s="616">
        <v>450</v>
      </c>
      <c r="CK33" s="616"/>
      <c r="CL33" s="616"/>
      <c r="CM33" s="616"/>
      <c r="CN33" s="616"/>
      <c r="CO33" s="616"/>
      <c r="CP33" s="616"/>
      <c r="CQ33" s="617">
        <f>BEZ_Dim_8_CBM*BEZ_Dim_8_SPGEW</f>
        <v>2.7820800000000001</v>
      </c>
      <c r="CR33" s="617"/>
      <c r="CS33" s="617"/>
      <c r="CT33" s="617"/>
      <c r="CU33" s="617"/>
      <c r="CV33" s="617"/>
      <c r="CW33" s="617"/>
      <c r="CX33" s="617"/>
      <c r="CY33" s="617"/>
      <c r="CZ33" s="617">
        <f>BEZ_Dim_8_L*BEZ_Dim_8_Anz/1000</f>
        <v>2.6880000000000002</v>
      </c>
      <c r="DA33" s="617"/>
      <c r="DB33" s="617"/>
      <c r="DC33" s="617"/>
      <c r="DD33" s="617"/>
      <c r="DE33" s="617"/>
      <c r="DF33" s="617"/>
      <c r="DG33" s="618">
        <v>204</v>
      </c>
      <c r="DH33" s="619"/>
      <c r="DI33" s="619"/>
      <c r="DJ33" s="619"/>
      <c r="DK33" s="619"/>
      <c r="DL33" s="619"/>
      <c r="DM33" s="619"/>
      <c r="DN33" s="620"/>
      <c r="DO33" s="600">
        <v>15</v>
      </c>
      <c r="DP33" s="601"/>
      <c r="DQ33" s="601"/>
      <c r="DR33" s="601"/>
      <c r="DS33" s="601"/>
      <c r="DT33" s="602">
        <f>BEZ_Dim_8_CBM*BEZ_Dim_8_EuCBM*((BEZ_Dim_8_VAZ/100)+1)</f>
        <v>1.45039104</v>
      </c>
      <c r="DU33" s="602"/>
      <c r="DV33" s="602"/>
      <c r="DW33" s="602"/>
      <c r="DX33" s="602"/>
      <c r="DY33" s="602"/>
      <c r="DZ33" s="602"/>
      <c r="EA33" s="602"/>
      <c r="EB33" s="602">
        <f>CC33*DG33*((DO33/100)+1)*KI_N</f>
        <v>1.45039104</v>
      </c>
      <c r="EC33" s="602"/>
      <c r="ED33" s="602"/>
      <c r="EE33" s="602"/>
      <c r="EF33" s="602"/>
      <c r="EG33" s="602"/>
      <c r="EH33" s="602"/>
      <c r="EI33" s="602"/>
      <c r="EJ33" s="650">
        <f>BEZ_Dim_KG_KI*KI_N</f>
        <v>69</v>
      </c>
      <c r="EK33" s="651"/>
      <c r="EL33" s="651"/>
      <c r="EM33" s="651"/>
      <c r="EN33" s="651"/>
      <c r="EO33" s="651"/>
      <c r="EP33" s="651"/>
      <c r="EQ33" s="651"/>
      <c r="ER33" s="651"/>
      <c r="ES33" s="651"/>
      <c r="ET33" s="651"/>
      <c r="EU33" s="651"/>
      <c r="EV33" s="651"/>
      <c r="EW33" s="651"/>
      <c r="EX33" s="651"/>
      <c r="EY33" s="651"/>
      <c r="EZ33" s="639" t="s">
        <v>300</v>
      </c>
      <c r="FA33" s="639"/>
      <c r="FB33" s="639"/>
      <c r="FC33" s="639"/>
      <c r="FD33" s="639"/>
      <c r="FE33" s="640"/>
      <c r="FF33" s="265"/>
      <c r="FG33" s="201"/>
      <c r="FH33" s="201"/>
      <c r="FI33" s="201"/>
      <c r="FJ33" s="201"/>
      <c r="FK33" s="201"/>
      <c r="FL33" s="201"/>
      <c r="FM33" s="90"/>
      <c r="FN33" s="351"/>
      <c r="FO33" s="2"/>
      <c r="FP33" s="2"/>
      <c r="FQ33" s="38"/>
      <c r="FR33" s="38"/>
      <c r="FS33" s="38"/>
      <c r="FT33" s="38"/>
      <c r="FU33" s="38"/>
      <c r="FV33" s="38"/>
      <c r="FW33" s="38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1"/>
      <c r="M34" s="167"/>
      <c r="N34" s="606"/>
      <c r="O34" s="606"/>
      <c r="P34" s="606"/>
      <c r="Q34" s="607"/>
      <c r="R34" s="608"/>
      <c r="S34" s="609"/>
      <c r="T34" s="609"/>
      <c r="U34" s="609"/>
      <c r="V34" s="610"/>
      <c r="W34" s="610"/>
      <c r="X34" s="610"/>
      <c r="Y34" s="610"/>
      <c r="Z34" s="610"/>
      <c r="AA34" s="610"/>
      <c r="AB34" s="610"/>
      <c r="AC34" s="610"/>
      <c r="AD34" s="610"/>
      <c r="AE34" s="610"/>
      <c r="AF34" s="610"/>
      <c r="AG34" s="610"/>
      <c r="AH34" s="610"/>
      <c r="AI34" s="610"/>
      <c r="AJ34" s="610"/>
      <c r="AK34" s="611"/>
      <c r="AL34" s="612"/>
      <c r="AM34" s="613"/>
      <c r="AN34" s="613"/>
      <c r="AO34" s="613"/>
      <c r="AP34" s="613"/>
      <c r="AQ34" s="613"/>
      <c r="AR34" s="613"/>
      <c r="AS34" s="613"/>
      <c r="AT34" s="613"/>
      <c r="AU34" s="613"/>
      <c r="AV34" s="613"/>
      <c r="AW34" s="613"/>
      <c r="AX34" s="613"/>
      <c r="AY34" s="613"/>
      <c r="AZ34" s="613"/>
      <c r="BA34" s="613"/>
      <c r="BB34" s="613"/>
      <c r="BC34" s="613"/>
      <c r="BD34" s="613"/>
      <c r="BE34" s="613"/>
      <c r="BF34" s="613"/>
      <c r="BG34" s="621"/>
      <c r="BH34" s="622"/>
      <c r="BI34" s="623"/>
      <c r="BJ34" s="623"/>
      <c r="BK34" s="624"/>
      <c r="BL34" s="625"/>
      <c r="BM34" s="626"/>
      <c r="BN34" s="626"/>
      <c r="BO34" s="626"/>
      <c r="BP34" s="626"/>
      <c r="BQ34" s="627"/>
      <c r="BR34" s="622"/>
      <c r="BS34" s="623"/>
      <c r="BT34" s="623"/>
      <c r="BU34" s="623"/>
      <c r="BV34" s="624"/>
      <c r="BW34" s="628"/>
      <c r="BX34" s="629"/>
      <c r="BY34" s="629"/>
      <c r="BZ34" s="629"/>
      <c r="CA34" s="630"/>
      <c r="CB34" s="614"/>
      <c r="CC34" s="615"/>
      <c r="CD34" s="615"/>
      <c r="CE34" s="615"/>
      <c r="CF34" s="615"/>
      <c r="CG34" s="615"/>
      <c r="CH34" s="615"/>
      <c r="CI34" s="615"/>
      <c r="CJ34" s="616"/>
      <c r="CK34" s="616"/>
      <c r="CL34" s="616"/>
      <c r="CM34" s="616"/>
      <c r="CN34" s="616"/>
      <c r="CO34" s="616"/>
      <c r="CP34" s="616"/>
      <c r="CQ34" s="617"/>
      <c r="CR34" s="617"/>
      <c r="CS34" s="617"/>
      <c r="CT34" s="617"/>
      <c r="CU34" s="617"/>
      <c r="CV34" s="617"/>
      <c r="CW34" s="617"/>
      <c r="CX34" s="617"/>
      <c r="CY34" s="617"/>
      <c r="CZ34" s="617"/>
      <c r="DA34" s="617"/>
      <c r="DB34" s="617"/>
      <c r="DC34" s="617"/>
      <c r="DD34" s="617"/>
      <c r="DE34" s="617"/>
      <c r="DF34" s="617"/>
      <c r="DG34" s="618"/>
      <c r="DH34" s="619"/>
      <c r="DI34" s="619"/>
      <c r="DJ34" s="619"/>
      <c r="DK34" s="619"/>
      <c r="DL34" s="619"/>
      <c r="DM34" s="619"/>
      <c r="DN34" s="620"/>
      <c r="DO34" s="600"/>
      <c r="DP34" s="601"/>
      <c r="DQ34" s="601"/>
      <c r="DR34" s="601"/>
      <c r="DS34" s="601"/>
      <c r="DT34" s="602"/>
      <c r="DU34" s="602"/>
      <c r="DV34" s="602"/>
      <c r="DW34" s="602"/>
      <c r="DX34" s="602"/>
      <c r="DY34" s="602"/>
      <c r="DZ34" s="602"/>
      <c r="EA34" s="602"/>
      <c r="EB34" s="602"/>
      <c r="EC34" s="602"/>
      <c r="ED34" s="602"/>
      <c r="EE34" s="602"/>
      <c r="EF34" s="602"/>
      <c r="EG34" s="602"/>
      <c r="EH34" s="602"/>
      <c r="EI34" s="602"/>
      <c r="EJ34" s="650"/>
      <c r="EK34" s="651"/>
      <c r="EL34" s="651"/>
      <c r="EM34" s="651"/>
      <c r="EN34" s="651"/>
      <c r="EO34" s="651"/>
      <c r="EP34" s="651"/>
      <c r="EQ34" s="651"/>
      <c r="ER34" s="651"/>
      <c r="ES34" s="651"/>
      <c r="ET34" s="651"/>
      <c r="EU34" s="651"/>
      <c r="EV34" s="651"/>
      <c r="EW34" s="651"/>
      <c r="EX34" s="651"/>
      <c r="EY34" s="651"/>
      <c r="EZ34" s="639"/>
      <c r="FA34" s="639"/>
      <c r="FB34" s="639"/>
      <c r="FC34" s="639"/>
      <c r="FD34" s="639"/>
      <c r="FE34" s="640"/>
      <c r="FF34" s="265"/>
      <c r="FG34" s="201"/>
      <c r="FH34" s="201"/>
      <c r="FI34" s="201"/>
      <c r="FJ34" s="201"/>
      <c r="FK34" s="201"/>
      <c r="FL34" s="201"/>
      <c r="FM34" s="90"/>
      <c r="FN34" s="2"/>
      <c r="FO34" s="2"/>
      <c r="FP34" s="2"/>
      <c r="FQ34" s="38"/>
      <c r="FR34" s="38"/>
      <c r="FS34" s="38"/>
      <c r="FT34" s="38"/>
      <c r="FU34" s="38"/>
      <c r="FV34" s="38"/>
      <c r="FW34" s="38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1"/>
      <c r="M35" s="167"/>
      <c r="N35" s="606">
        <v>9</v>
      </c>
      <c r="O35" s="606"/>
      <c r="P35" s="606"/>
      <c r="Q35" s="607" t="s">
        <v>395</v>
      </c>
      <c r="R35" s="608" t="s">
        <v>8</v>
      </c>
      <c r="S35" s="609"/>
      <c r="T35" s="609"/>
      <c r="U35" s="609" t="s">
        <v>6</v>
      </c>
      <c r="V35" s="610" t="s">
        <v>334</v>
      </c>
      <c r="W35" s="610"/>
      <c r="X35" s="610"/>
      <c r="Y35" s="610"/>
      <c r="Z35" s="610"/>
      <c r="AA35" s="610"/>
      <c r="AB35" s="610"/>
      <c r="AC35" s="610"/>
      <c r="AD35" s="610"/>
      <c r="AE35" s="610"/>
      <c r="AF35" s="610"/>
      <c r="AG35" s="610"/>
      <c r="AH35" s="610"/>
      <c r="AI35" s="610"/>
      <c r="AJ35" s="610"/>
      <c r="AK35" s="611"/>
      <c r="AL35" s="612" t="s">
        <v>15</v>
      </c>
      <c r="AM35" s="613"/>
      <c r="AN35" s="613"/>
      <c r="AO35" s="613" t="s">
        <v>6</v>
      </c>
      <c r="AP35" s="613" t="s">
        <v>404</v>
      </c>
      <c r="AQ35" s="613"/>
      <c r="AR35" s="613"/>
      <c r="AS35" s="613"/>
      <c r="AT35" s="613"/>
      <c r="AU35" s="613"/>
      <c r="AV35" s="613"/>
      <c r="AW35" s="613"/>
      <c r="AX35" s="613"/>
      <c r="AY35" s="613"/>
      <c r="AZ35" s="613"/>
      <c r="BA35" s="613"/>
      <c r="BB35" s="613"/>
      <c r="BC35" s="613"/>
      <c r="BD35" s="613"/>
      <c r="BE35" s="613"/>
      <c r="BF35" s="613"/>
      <c r="BG35" s="621"/>
      <c r="BH35" s="622">
        <f>SE_TSLS_N</f>
        <v>8</v>
      </c>
      <c r="BI35" s="623"/>
      <c r="BJ35" s="623"/>
      <c r="BK35" s="624"/>
      <c r="BL35" s="625">
        <f>SE_TSLS_L</f>
        <v>490</v>
      </c>
      <c r="BM35" s="626"/>
      <c r="BN35" s="626"/>
      <c r="BO35" s="626"/>
      <c r="BP35" s="626"/>
      <c r="BQ35" s="627"/>
      <c r="BR35" s="622">
        <f>SE_TSLS_B</f>
        <v>100</v>
      </c>
      <c r="BS35" s="623"/>
      <c r="BT35" s="623"/>
      <c r="BU35" s="623"/>
      <c r="BV35" s="624"/>
      <c r="BW35" s="628">
        <f>SE_TSLS_H</f>
        <v>23</v>
      </c>
      <c r="BX35" s="629"/>
      <c r="BY35" s="629"/>
      <c r="BZ35" s="629"/>
      <c r="CA35" s="630"/>
      <c r="CB35" s="614">
        <f>BEZ_Dim_9_Anz*KI_N</f>
        <v>8</v>
      </c>
      <c r="CC35" s="615">
        <f>BEZ_Dim_9_L*BEZ_Dim_9_B*BEZ_Dim_9_H*BEZ_Dim_9_Anz /10^9</f>
        <v>9.0159999999999997E-3</v>
      </c>
      <c r="CD35" s="615"/>
      <c r="CE35" s="615"/>
      <c r="CF35" s="615"/>
      <c r="CG35" s="615"/>
      <c r="CH35" s="615"/>
      <c r="CI35" s="615"/>
      <c r="CJ35" s="616">
        <v>450</v>
      </c>
      <c r="CK35" s="616"/>
      <c r="CL35" s="616"/>
      <c r="CM35" s="616"/>
      <c r="CN35" s="616"/>
      <c r="CO35" s="616"/>
      <c r="CP35" s="616"/>
      <c r="CQ35" s="617">
        <f>BEZ_Dim_9_CBM*BEZ_Dim_9_SPGEW</f>
        <v>4.0571999999999999</v>
      </c>
      <c r="CR35" s="617"/>
      <c r="CS35" s="617"/>
      <c r="CT35" s="617"/>
      <c r="CU35" s="617"/>
      <c r="CV35" s="617"/>
      <c r="CW35" s="617"/>
      <c r="CX35" s="617"/>
      <c r="CY35" s="617"/>
      <c r="CZ35" s="617">
        <f>BEZ_Dim_9_L*BEZ_Dim_9_Anz/1000</f>
        <v>3.92</v>
      </c>
      <c r="DA35" s="617"/>
      <c r="DB35" s="617"/>
      <c r="DC35" s="617"/>
      <c r="DD35" s="617"/>
      <c r="DE35" s="617"/>
      <c r="DF35" s="617"/>
      <c r="DG35" s="618">
        <v>204</v>
      </c>
      <c r="DH35" s="619"/>
      <c r="DI35" s="619"/>
      <c r="DJ35" s="619"/>
      <c r="DK35" s="619"/>
      <c r="DL35" s="619"/>
      <c r="DM35" s="619"/>
      <c r="DN35" s="620"/>
      <c r="DO35" s="600">
        <v>15</v>
      </c>
      <c r="DP35" s="601"/>
      <c r="DQ35" s="601"/>
      <c r="DR35" s="601"/>
      <c r="DS35" s="601"/>
      <c r="DT35" s="602">
        <f>BEZ_Dim_9_CBM*BEZ_Dim_9_EuCBM*((BEZ_Dim_9_VAZ/100)+1)</f>
        <v>2.1151535999999997</v>
      </c>
      <c r="DU35" s="602"/>
      <c r="DV35" s="602"/>
      <c r="DW35" s="602"/>
      <c r="DX35" s="602"/>
      <c r="DY35" s="602"/>
      <c r="DZ35" s="602"/>
      <c r="EA35" s="602"/>
      <c r="EB35" s="602">
        <f>CC35*DG35*((DO35/100)+1)*KI_N</f>
        <v>2.1151535999999997</v>
      </c>
      <c r="EC35" s="602"/>
      <c r="ED35" s="602"/>
      <c r="EE35" s="602"/>
      <c r="EF35" s="602"/>
      <c r="EG35" s="602"/>
      <c r="EH35" s="602"/>
      <c r="EI35" s="602"/>
      <c r="EJ35" s="652"/>
      <c r="EK35" s="653"/>
      <c r="EL35" s="653"/>
      <c r="EM35" s="653"/>
      <c r="EN35" s="653"/>
      <c r="EO35" s="653"/>
      <c r="EP35" s="653"/>
      <c r="EQ35" s="653"/>
      <c r="ER35" s="653"/>
      <c r="ES35" s="653"/>
      <c r="ET35" s="653"/>
      <c r="EU35" s="653"/>
      <c r="EV35" s="653"/>
      <c r="EW35" s="653"/>
      <c r="EX35" s="653"/>
      <c r="EY35" s="653"/>
      <c r="EZ35" s="654"/>
      <c r="FA35" s="654"/>
      <c r="FB35" s="654"/>
      <c r="FC35" s="654"/>
      <c r="FD35" s="654"/>
      <c r="FE35" s="655"/>
      <c r="FF35" s="264"/>
      <c r="FM35" s="90"/>
      <c r="FN35" s="351"/>
      <c r="FO35" s="2"/>
      <c r="FP35" s="2"/>
      <c r="FQ35" s="38"/>
      <c r="FR35" s="38"/>
      <c r="FS35" s="38"/>
      <c r="FT35" s="38"/>
      <c r="FU35" s="38"/>
      <c r="FV35" s="38"/>
      <c r="FW35" s="38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1"/>
      <c r="M36" s="167"/>
      <c r="N36" s="606"/>
      <c r="O36" s="606"/>
      <c r="P36" s="606"/>
      <c r="Q36" s="607"/>
      <c r="R36" s="608"/>
      <c r="S36" s="609"/>
      <c r="T36" s="609"/>
      <c r="U36" s="609"/>
      <c r="V36" s="610"/>
      <c r="W36" s="610"/>
      <c r="X36" s="610"/>
      <c r="Y36" s="610"/>
      <c r="Z36" s="610"/>
      <c r="AA36" s="610"/>
      <c r="AB36" s="610"/>
      <c r="AC36" s="610"/>
      <c r="AD36" s="610"/>
      <c r="AE36" s="610"/>
      <c r="AF36" s="610"/>
      <c r="AG36" s="610"/>
      <c r="AH36" s="610"/>
      <c r="AI36" s="610"/>
      <c r="AJ36" s="610"/>
      <c r="AK36" s="611"/>
      <c r="AL36" s="612"/>
      <c r="AM36" s="613"/>
      <c r="AN36" s="613"/>
      <c r="AO36" s="613"/>
      <c r="AP36" s="613"/>
      <c r="AQ36" s="613"/>
      <c r="AR36" s="613"/>
      <c r="AS36" s="613"/>
      <c r="AT36" s="613"/>
      <c r="AU36" s="613"/>
      <c r="AV36" s="613"/>
      <c r="AW36" s="613"/>
      <c r="AX36" s="613"/>
      <c r="AY36" s="613"/>
      <c r="AZ36" s="613"/>
      <c r="BA36" s="613"/>
      <c r="BB36" s="613"/>
      <c r="BC36" s="613"/>
      <c r="BD36" s="613"/>
      <c r="BE36" s="613"/>
      <c r="BF36" s="613"/>
      <c r="BG36" s="621"/>
      <c r="BH36" s="622"/>
      <c r="BI36" s="623"/>
      <c r="BJ36" s="623"/>
      <c r="BK36" s="624"/>
      <c r="BL36" s="625"/>
      <c r="BM36" s="626"/>
      <c r="BN36" s="626"/>
      <c r="BO36" s="626"/>
      <c r="BP36" s="626"/>
      <c r="BQ36" s="627"/>
      <c r="BR36" s="622"/>
      <c r="BS36" s="623"/>
      <c r="BT36" s="623"/>
      <c r="BU36" s="623"/>
      <c r="BV36" s="624"/>
      <c r="BW36" s="628"/>
      <c r="BX36" s="629"/>
      <c r="BY36" s="629"/>
      <c r="BZ36" s="629"/>
      <c r="CA36" s="630"/>
      <c r="CB36" s="614"/>
      <c r="CC36" s="615"/>
      <c r="CD36" s="615"/>
      <c r="CE36" s="615"/>
      <c r="CF36" s="615"/>
      <c r="CG36" s="615"/>
      <c r="CH36" s="615"/>
      <c r="CI36" s="615"/>
      <c r="CJ36" s="616"/>
      <c r="CK36" s="616"/>
      <c r="CL36" s="616"/>
      <c r="CM36" s="616"/>
      <c r="CN36" s="616"/>
      <c r="CO36" s="616"/>
      <c r="CP36" s="616"/>
      <c r="CQ36" s="617"/>
      <c r="CR36" s="617"/>
      <c r="CS36" s="617"/>
      <c r="CT36" s="617"/>
      <c r="CU36" s="617"/>
      <c r="CV36" s="617"/>
      <c r="CW36" s="617"/>
      <c r="CX36" s="617"/>
      <c r="CY36" s="617"/>
      <c r="CZ36" s="617"/>
      <c r="DA36" s="617"/>
      <c r="DB36" s="617"/>
      <c r="DC36" s="617"/>
      <c r="DD36" s="617"/>
      <c r="DE36" s="617"/>
      <c r="DF36" s="617"/>
      <c r="DG36" s="618"/>
      <c r="DH36" s="619"/>
      <c r="DI36" s="619"/>
      <c r="DJ36" s="619"/>
      <c r="DK36" s="619"/>
      <c r="DL36" s="619"/>
      <c r="DM36" s="619"/>
      <c r="DN36" s="620"/>
      <c r="DO36" s="600"/>
      <c r="DP36" s="601"/>
      <c r="DQ36" s="601"/>
      <c r="DR36" s="601"/>
      <c r="DS36" s="601"/>
      <c r="DT36" s="602"/>
      <c r="DU36" s="602"/>
      <c r="DV36" s="602"/>
      <c r="DW36" s="602"/>
      <c r="DX36" s="602"/>
      <c r="DY36" s="602"/>
      <c r="DZ36" s="602"/>
      <c r="EA36" s="602"/>
      <c r="EB36" s="602"/>
      <c r="EC36" s="602"/>
      <c r="ED36" s="602"/>
      <c r="EE36" s="602"/>
      <c r="EF36" s="602"/>
      <c r="EG36" s="602"/>
      <c r="EH36" s="602"/>
      <c r="EI36" s="602"/>
      <c r="EJ36" s="652"/>
      <c r="EK36" s="653"/>
      <c r="EL36" s="653"/>
      <c r="EM36" s="653"/>
      <c r="EN36" s="653"/>
      <c r="EO36" s="653"/>
      <c r="EP36" s="653"/>
      <c r="EQ36" s="653"/>
      <c r="ER36" s="653"/>
      <c r="ES36" s="653"/>
      <c r="ET36" s="653"/>
      <c r="EU36" s="653"/>
      <c r="EV36" s="653"/>
      <c r="EW36" s="653"/>
      <c r="EX36" s="653"/>
      <c r="EY36" s="653"/>
      <c r="EZ36" s="654"/>
      <c r="FA36" s="654"/>
      <c r="FB36" s="654"/>
      <c r="FC36" s="654"/>
      <c r="FD36" s="654"/>
      <c r="FE36" s="655"/>
      <c r="FF36" s="264"/>
      <c r="FM36" s="90"/>
      <c r="FN36" s="2"/>
      <c r="FO36" s="2"/>
      <c r="FP36" s="2"/>
      <c r="FQ36" s="38"/>
      <c r="FR36" s="38"/>
      <c r="FS36" s="38"/>
      <c r="FT36" s="38"/>
      <c r="FU36" s="38"/>
      <c r="FV36" s="38"/>
      <c r="FW36" s="38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1"/>
      <c r="M37" s="167"/>
      <c r="N37" s="606">
        <v>10</v>
      </c>
      <c r="O37" s="606"/>
      <c r="P37" s="606"/>
      <c r="Q37" s="607" t="s">
        <v>397</v>
      </c>
      <c r="R37" s="608" t="s">
        <v>8</v>
      </c>
      <c r="S37" s="609"/>
      <c r="T37" s="609"/>
      <c r="U37" s="609" t="s">
        <v>6</v>
      </c>
      <c r="V37" s="610" t="s">
        <v>161</v>
      </c>
      <c r="W37" s="610"/>
      <c r="X37" s="610"/>
      <c r="Y37" s="610"/>
      <c r="Z37" s="610"/>
      <c r="AA37" s="610"/>
      <c r="AB37" s="610"/>
      <c r="AC37" s="610"/>
      <c r="AD37" s="610"/>
      <c r="AE37" s="610"/>
      <c r="AF37" s="610"/>
      <c r="AG37" s="610"/>
      <c r="AH37" s="610"/>
      <c r="AI37" s="610"/>
      <c r="AJ37" s="610"/>
      <c r="AK37" s="611"/>
      <c r="AL37" s="612" t="s">
        <v>15</v>
      </c>
      <c r="AM37" s="613"/>
      <c r="AN37" s="613"/>
      <c r="AO37" s="613" t="s">
        <v>6</v>
      </c>
      <c r="AP37" s="613" t="s">
        <v>406</v>
      </c>
      <c r="AQ37" s="613"/>
      <c r="AR37" s="613"/>
      <c r="AS37" s="613"/>
      <c r="AT37" s="613"/>
      <c r="AU37" s="613"/>
      <c r="AV37" s="613"/>
      <c r="AW37" s="613"/>
      <c r="AX37" s="613"/>
      <c r="AY37" s="613"/>
      <c r="AZ37" s="613"/>
      <c r="BA37" s="613"/>
      <c r="BB37" s="613"/>
      <c r="BC37" s="613"/>
      <c r="BD37" s="613"/>
      <c r="BE37" s="613"/>
      <c r="BF37" s="613"/>
      <c r="BG37" s="621"/>
      <c r="BH37" s="622">
        <f>SE_TSKW_N</f>
        <v>4</v>
      </c>
      <c r="BI37" s="623"/>
      <c r="BJ37" s="623"/>
      <c r="BK37" s="624"/>
      <c r="BL37" s="625">
        <f>SE_TSKW_L</f>
        <v>495</v>
      </c>
      <c r="BM37" s="626"/>
      <c r="BN37" s="626"/>
      <c r="BO37" s="626"/>
      <c r="BP37" s="626"/>
      <c r="BQ37" s="627"/>
      <c r="BR37" s="622">
        <f>SE_TSKW_B</f>
        <v>250</v>
      </c>
      <c r="BS37" s="623"/>
      <c r="BT37" s="623"/>
      <c r="BU37" s="623"/>
      <c r="BV37" s="624"/>
      <c r="BW37" s="628">
        <f>SE_TSKW_H</f>
        <v>50</v>
      </c>
      <c r="BX37" s="629"/>
      <c r="BY37" s="629"/>
      <c r="BZ37" s="629"/>
      <c r="CA37" s="630"/>
      <c r="CB37" s="614">
        <f>BEZ_Dim_10_Anz*KI_N</f>
        <v>4</v>
      </c>
      <c r="CC37" s="615">
        <f>BEZ_Dim_10_L*BEZ_Dim_10_B*BEZ_Dim_10_H*BEZ_Dim_10_Anz /10^9</f>
        <v>2.4750000000000001E-2</v>
      </c>
      <c r="CD37" s="615"/>
      <c r="CE37" s="615"/>
      <c r="CF37" s="615"/>
      <c r="CG37" s="615"/>
      <c r="CH37" s="615"/>
      <c r="CI37" s="615"/>
      <c r="CJ37" s="616">
        <v>455</v>
      </c>
      <c r="CK37" s="616"/>
      <c r="CL37" s="616"/>
      <c r="CM37" s="616"/>
      <c r="CN37" s="616"/>
      <c r="CO37" s="616"/>
      <c r="CP37" s="616"/>
      <c r="CQ37" s="617">
        <f>BEZ_Dim_10_CBM*BEZ_Dim_10_SPGEW</f>
        <v>11.26125</v>
      </c>
      <c r="CR37" s="617"/>
      <c r="CS37" s="617"/>
      <c r="CT37" s="617"/>
      <c r="CU37" s="617"/>
      <c r="CV37" s="617"/>
      <c r="CW37" s="617"/>
      <c r="CX37" s="617"/>
      <c r="CY37" s="617"/>
      <c r="CZ37" s="617">
        <f>BEZ_Dim_10_L*BEZ_Dim_10_Anz/1000</f>
        <v>1.98</v>
      </c>
      <c r="DA37" s="617"/>
      <c r="DB37" s="617"/>
      <c r="DC37" s="617"/>
      <c r="DD37" s="617"/>
      <c r="DE37" s="617"/>
      <c r="DF37" s="617"/>
      <c r="DG37" s="618">
        <v>210</v>
      </c>
      <c r="DH37" s="619"/>
      <c r="DI37" s="619"/>
      <c r="DJ37" s="619"/>
      <c r="DK37" s="619"/>
      <c r="DL37" s="619"/>
      <c r="DM37" s="619"/>
      <c r="DN37" s="620"/>
      <c r="DO37" s="600">
        <v>15</v>
      </c>
      <c r="DP37" s="601"/>
      <c r="DQ37" s="601"/>
      <c r="DR37" s="601"/>
      <c r="DS37" s="601"/>
      <c r="DT37" s="602">
        <f>BEZ_Dim_10_CBM*BEZ_Dim_10_EuCBM*((BEZ_Dim_10_VAZ/100)+1)</f>
        <v>5.977125</v>
      </c>
      <c r="DU37" s="602"/>
      <c r="DV37" s="602"/>
      <c r="DW37" s="602"/>
      <c r="DX37" s="602"/>
      <c r="DY37" s="602"/>
      <c r="DZ37" s="602"/>
      <c r="EA37" s="602"/>
      <c r="EB37" s="602">
        <f>CC37*DG37*((DO37/100)+1)*KI_N</f>
        <v>5.977125</v>
      </c>
      <c r="EC37" s="602"/>
      <c r="ED37" s="602"/>
      <c r="EE37" s="602"/>
      <c r="EF37" s="602"/>
      <c r="EG37" s="602"/>
      <c r="EH37" s="602"/>
      <c r="EI37" s="602"/>
      <c r="EJ37" s="652"/>
      <c r="EK37" s="653"/>
      <c r="EL37" s="653"/>
      <c r="EM37" s="653"/>
      <c r="EN37" s="653"/>
      <c r="EO37" s="653"/>
      <c r="EP37" s="653"/>
      <c r="EQ37" s="653"/>
      <c r="ER37" s="653"/>
      <c r="ES37" s="653"/>
      <c r="ET37" s="653"/>
      <c r="EU37" s="653"/>
      <c r="EV37" s="653"/>
      <c r="EW37" s="653"/>
      <c r="EX37" s="653"/>
      <c r="EY37" s="653"/>
      <c r="EZ37" s="654"/>
      <c r="FA37" s="654"/>
      <c r="FB37" s="654"/>
      <c r="FC37" s="654"/>
      <c r="FD37" s="654"/>
      <c r="FE37" s="655"/>
      <c r="FF37" s="265"/>
      <c r="FG37" s="201"/>
      <c r="FH37" s="201"/>
      <c r="FI37" s="201"/>
      <c r="FJ37" s="201"/>
      <c r="FK37" s="201"/>
      <c r="FL37" s="201"/>
      <c r="FM37" s="90"/>
      <c r="FN37" s="351"/>
      <c r="FO37" s="2"/>
      <c r="FP37" s="2"/>
      <c r="FQ37" s="38"/>
      <c r="FR37" s="38"/>
      <c r="FS37" s="38"/>
      <c r="FT37" s="38"/>
      <c r="FU37" s="38"/>
      <c r="FV37" s="38"/>
      <c r="FW37" s="38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1"/>
      <c r="M38" s="167"/>
      <c r="N38" s="606"/>
      <c r="O38" s="606"/>
      <c r="P38" s="606"/>
      <c r="Q38" s="607"/>
      <c r="R38" s="608"/>
      <c r="S38" s="609"/>
      <c r="T38" s="609"/>
      <c r="U38" s="609"/>
      <c r="V38" s="610"/>
      <c r="W38" s="610"/>
      <c r="X38" s="610"/>
      <c r="Y38" s="610"/>
      <c r="Z38" s="610"/>
      <c r="AA38" s="610"/>
      <c r="AB38" s="610"/>
      <c r="AC38" s="610"/>
      <c r="AD38" s="610"/>
      <c r="AE38" s="610"/>
      <c r="AF38" s="610"/>
      <c r="AG38" s="610"/>
      <c r="AH38" s="610"/>
      <c r="AI38" s="610"/>
      <c r="AJ38" s="610"/>
      <c r="AK38" s="611"/>
      <c r="AL38" s="612"/>
      <c r="AM38" s="613"/>
      <c r="AN38" s="613"/>
      <c r="AO38" s="613"/>
      <c r="AP38" s="613"/>
      <c r="AQ38" s="613"/>
      <c r="AR38" s="613"/>
      <c r="AS38" s="613"/>
      <c r="AT38" s="613"/>
      <c r="AU38" s="613"/>
      <c r="AV38" s="613"/>
      <c r="AW38" s="613"/>
      <c r="AX38" s="613"/>
      <c r="AY38" s="613"/>
      <c r="AZ38" s="613"/>
      <c r="BA38" s="613"/>
      <c r="BB38" s="613"/>
      <c r="BC38" s="613"/>
      <c r="BD38" s="613"/>
      <c r="BE38" s="613"/>
      <c r="BF38" s="613"/>
      <c r="BG38" s="621"/>
      <c r="BH38" s="622"/>
      <c r="BI38" s="623"/>
      <c r="BJ38" s="623"/>
      <c r="BK38" s="624"/>
      <c r="BL38" s="625"/>
      <c r="BM38" s="626"/>
      <c r="BN38" s="626"/>
      <c r="BO38" s="626"/>
      <c r="BP38" s="626"/>
      <c r="BQ38" s="627"/>
      <c r="BR38" s="622"/>
      <c r="BS38" s="623"/>
      <c r="BT38" s="623"/>
      <c r="BU38" s="623"/>
      <c r="BV38" s="624"/>
      <c r="BW38" s="628"/>
      <c r="BX38" s="629"/>
      <c r="BY38" s="629"/>
      <c r="BZ38" s="629"/>
      <c r="CA38" s="630"/>
      <c r="CB38" s="614"/>
      <c r="CC38" s="615"/>
      <c r="CD38" s="615"/>
      <c r="CE38" s="615"/>
      <c r="CF38" s="615"/>
      <c r="CG38" s="615"/>
      <c r="CH38" s="615"/>
      <c r="CI38" s="615"/>
      <c r="CJ38" s="616"/>
      <c r="CK38" s="616"/>
      <c r="CL38" s="616"/>
      <c r="CM38" s="616"/>
      <c r="CN38" s="616"/>
      <c r="CO38" s="616"/>
      <c r="CP38" s="616"/>
      <c r="CQ38" s="617"/>
      <c r="CR38" s="617"/>
      <c r="CS38" s="617"/>
      <c r="CT38" s="617"/>
      <c r="CU38" s="617"/>
      <c r="CV38" s="617"/>
      <c r="CW38" s="617"/>
      <c r="CX38" s="617"/>
      <c r="CY38" s="617"/>
      <c r="CZ38" s="617"/>
      <c r="DA38" s="617"/>
      <c r="DB38" s="617"/>
      <c r="DC38" s="617"/>
      <c r="DD38" s="617"/>
      <c r="DE38" s="617"/>
      <c r="DF38" s="617"/>
      <c r="DG38" s="618"/>
      <c r="DH38" s="619"/>
      <c r="DI38" s="619"/>
      <c r="DJ38" s="619"/>
      <c r="DK38" s="619"/>
      <c r="DL38" s="619"/>
      <c r="DM38" s="619"/>
      <c r="DN38" s="620"/>
      <c r="DO38" s="600"/>
      <c r="DP38" s="601"/>
      <c r="DQ38" s="601"/>
      <c r="DR38" s="601"/>
      <c r="DS38" s="601"/>
      <c r="DT38" s="602"/>
      <c r="DU38" s="602"/>
      <c r="DV38" s="602"/>
      <c r="DW38" s="602"/>
      <c r="DX38" s="602"/>
      <c r="DY38" s="602"/>
      <c r="DZ38" s="602"/>
      <c r="EA38" s="602"/>
      <c r="EB38" s="602"/>
      <c r="EC38" s="602"/>
      <c r="ED38" s="602"/>
      <c r="EE38" s="602"/>
      <c r="EF38" s="602"/>
      <c r="EG38" s="602"/>
      <c r="EH38" s="602"/>
      <c r="EI38" s="602"/>
      <c r="EJ38" s="652"/>
      <c r="EK38" s="653"/>
      <c r="EL38" s="653"/>
      <c r="EM38" s="653"/>
      <c r="EN38" s="653"/>
      <c r="EO38" s="653"/>
      <c r="EP38" s="653"/>
      <c r="EQ38" s="653"/>
      <c r="ER38" s="653"/>
      <c r="ES38" s="653"/>
      <c r="ET38" s="653"/>
      <c r="EU38" s="653"/>
      <c r="EV38" s="653"/>
      <c r="EW38" s="653"/>
      <c r="EX38" s="653"/>
      <c r="EY38" s="653"/>
      <c r="EZ38" s="654"/>
      <c r="FA38" s="654"/>
      <c r="FB38" s="654"/>
      <c r="FC38" s="654"/>
      <c r="FD38" s="654"/>
      <c r="FE38" s="655"/>
      <c r="FF38" s="265"/>
      <c r="FG38" s="201"/>
      <c r="FH38" s="201"/>
      <c r="FI38" s="201"/>
      <c r="FJ38" s="201"/>
      <c r="FK38" s="201"/>
      <c r="FL38" s="201"/>
      <c r="FM38" s="90"/>
      <c r="FN38" s="2"/>
      <c r="FO38" s="2"/>
      <c r="FP38" s="2"/>
      <c r="FQ38" s="38"/>
      <c r="FR38" s="38"/>
      <c r="FS38" s="38"/>
      <c r="FT38" s="38"/>
      <c r="FU38" s="38"/>
      <c r="FV38" s="38"/>
      <c r="FW38" s="38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1"/>
      <c r="M39" s="167"/>
      <c r="N39" s="606">
        <v>11</v>
      </c>
      <c r="O39" s="606"/>
      <c r="P39" s="606"/>
      <c r="Q39" s="607"/>
      <c r="R39" s="608" t="s">
        <v>15</v>
      </c>
      <c r="S39" s="609"/>
      <c r="T39" s="609"/>
      <c r="U39" s="609" t="s">
        <v>6</v>
      </c>
      <c r="V39" s="610" t="s">
        <v>335</v>
      </c>
      <c r="W39" s="610"/>
      <c r="X39" s="610"/>
      <c r="Y39" s="610"/>
      <c r="Z39" s="610"/>
      <c r="AA39" s="610"/>
      <c r="AB39" s="610"/>
      <c r="AC39" s="610"/>
      <c r="AD39" s="610"/>
      <c r="AE39" s="610"/>
      <c r="AF39" s="610"/>
      <c r="AG39" s="610"/>
      <c r="AH39" s="610"/>
      <c r="AI39" s="610"/>
      <c r="AJ39" s="610"/>
      <c r="AK39" s="611"/>
      <c r="AL39" s="612" t="s">
        <v>15</v>
      </c>
      <c r="AM39" s="613"/>
      <c r="AN39" s="613"/>
      <c r="AO39" s="613" t="s">
        <v>6</v>
      </c>
      <c r="AP39" s="613" t="s">
        <v>351</v>
      </c>
      <c r="AQ39" s="613"/>
      <c r="AR39" s="613"/>
      <c r="AS39" s="613"/>
      <c r="AT39" s="613"/>
      <c r="AU39" s="613"/>
      <c r="AV39" s="613"/>
      <c r="AW39" s="613"/>
      <c r="AX39" s="613"/>
      <c r="AY39" s="613"/>
      <c r="AZ39" s="613"/>
      <c r="BA39" s="613"/>
      <c r="BB39" s="613"/>
      <c r="BC39" s="613"/>
      <c r="BD39" s="613"/>
      <c r="BE39" s="613"/>
      <c r="BF39" s="613"/>
      <c r="BG39" s="621"/>
      <c r="BH39" s="622">
        <f>HO_KHL_N</f>
        <v>0</v>
      </c>
      <c r="BI39" s="623"/>
      <c r="BJ39" s="623"/>
      <c r="BK39" s="624"/>
      <c r="BL39" s="625">
        <f>HO_KHL_L</f>
        <v>0</v>
      </c>
      <c r="BM39" s="626"/>
      <c r="BN39" s="626"/>
      <c r="BO39" s="626"/>
      <c r="BP39" s="626"/>
      <c r="BQ39" s="627"/>
      <c r="BR39" s="622">
        <f>HO_KHL_B</f>
        <v>0</v>
      </c>
      <c r="BS39" s="623"/>
      <c r="BT39" s="623"/>
      <c r="BU39" s="623"/>
      <c r="BV39" s="624"/>
      <c r="BW39" s="628">
        <f>HO_KHL_H</f>
        <v>0</v>
      </c>
      <c r="BX39" s="629"/>
      <c r="BY39" s="629"/>
      <c r="BZ39" s="629"/>
      <c r="CA39" s="630"/>
      <c r="CB39" s="614">
        <f>BEZ_Dim_11_Anz*KI_N</f>
        <v>0</v>
      </c>
      <c r="CC39" s="615">
        <f>BEZ_Dim_11_L*BEZ_Dim_11_B*BEZ_Dim_11_H*BEZ_Dim_11_Anz /10^9</f>
        <v>0</v>
      </c>
      <c r="CD39" s="615"/>
      <c r="CE39" s="615"/>
      <c r="CF39" s="615"/>
      <c r="CG39" s="615"/>
      <c r="CH39" s="615"/>
      <c r="CI39" s="615"/>
      <c r="CJ39" s="616">
        <v>480</v>
      </c>
      <c r="CK39" s="616"/>
      <c r="CL39" s="616"/>
      <c r="CM39" s="616"/>
      <c r="CN39" s="616"/>
      <c r="CO39" s="616"/>
      <c r="CP39" s="616"/>
      <c r="CQ39" s="617">
        <f>BEZ_Dim_11_CBM*BEZ_Dim_11_SPGEW</f>
        <v>0</v>
      </c>
      <c r="CR39" s="617"/>
      <c r="CS39" s="617"/>
      <c r="CT39" s="617"/>
      <c r="CU39" s="617"/>
      <c r="CV39" s="617"/>
      <c r="CW39" s="617"/>
      <c r="CX39" s="617"/>
      <c r="CY39" s="617"/>
      <c r="CZ39" s="617">
        <f>BEZ_Dim_11_L*BEZ_Dim_11_Anz/1000</f>
        <v>0</v>
      </c>
      <c r="DA39" s="617"/>
      <c r="DB39" s="617"/>
      <c r="DC39" s="617"/>
      <c r="DD39" s="617"/>
      <c r="DE39" s="617"/>
      <c r="DF39" s="617"/>
      <c r="DG39" s="618">
        <v>270</v>
      </c>
      <c r="DH39" s="619"/>
      <c r="DI39" s="619"/>
      <c r="DJ39" s="619"/>
      <c r="DK39" s="619"/>
      <c r="DL39" s="619"/>
      <c r="DM39" s="619"/>
      <c r="DN39" s="620"/>
      <c r="DO39" s="600"/>
      <c r="DP39" s="601"/>
      <c r="DQ39" s="601"/>
      <c r="DR39" s="601"/>
      <c r="DS39" s="601"/>
      <c r="DT39" s="602">
        <f>BEZ_Dim_11_CBM*BEZ_Dim_11_EuCBM*((BEZ_Dim_11_VAZ/100)+1)</f>
        <v>0</v>
      </c>
      <c r="DU39" s="602"/>
      <c r="DV39" s="602"/>
      <c r="DW39" s="602"/>
      <c r="DX39" s="602"/>
      <c r="DY39" s="602"/>
      <c r="DZ39" s="602"/>
      <c r="EA39" s="602"/>
      <c r="EB39" s="602">
        <f>CC39*DG39*((DO39/100)+1)*KI_N</f>
        <v>0</v>
      </c>
      <c r="EC39" s="602"/>
      <c r="ED39" s="602"/>
      <c r="EE39" s="602"/>
      <c r="EF39" s="602"/>
      <c r="EG39" s="602"/>
      <c r="EH39" s="602"/>
      <c r="EI39" s="602"/>
      <c r="EJ39" s="656" t="s">
        <v>321</v>
      </c>
      <c r="EK39" s="657"/>
      <c r="EL39" s="657"/>
      <c r="EM39" s="657"/>
      <c r="EN39" s="657"/>
      <c r="EO39" s="657"/>
      <c r="EP39" s="657"/>
      <c r="EQ39" s="657"/>
      <c r="ER39" s="657"/>
      <c r="ES39" s="657"/>
      <c r="ET39" s="657"/>
      <c r="EU39" s="657"/>
      <c r="EV39" s="657"/>
      <c r="EW39" s="657"/>
      <c r="EX39" s="657"/>
      <c r="EY39" s="657"/>
      <c r="EZ39" s="657"/>
      <c r="FA39" s="657"/>
      <c r="FB39" s="657"/>
      <c r="FC39" s="657"/>
      <c r="FD39" s="657"/>
      <c r="FE39" s="658"/>
      <c r="FF39" s="264"/>
      <c r="FM39" s="90"/>
      <c r="FN39" s="351"/>
      <c r="FO39" s="2"/>
      <c r="FP39" s="2"/>
      <c r="FQ39" s="38"/>
      <c r="FR39" s="38"/>
      <c r="FS39" s="38"/>
      <c r="FT39" s="38"/>
      <c r="FU39" s="38"/>
      <c r="FV39" s="38"/>
      <c r="FW39" s="38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1"/>
      <c r="M40" s="167"/>
      <c r="N40" s="606"/>
      <c r="O40" s="606"/>
      <c r="P40" s="606"/>
      <c r="Q40" s="607"/>
      <c r="R40" s="608"/>
      <c r="S40" s="609"/>
      <c r="T40" s="609"/>
      <c r="U40" s="609"/>
      <c r="V40" s="610"/>
      <c r="W40" s="610"/>
      <c r="X40" s="610"/>
      <c r="Y40" s="610"/>
      <c r="Z40" s="610"/>
      <c r="AA40" s="610"/>
      <c r="AB40" s="610"/>
      <c r="AC40" s="610"/>
      <c r="AD40" s="610"/>
      <c r="AE40" s="610"/>
      <c r="AF40" s="610"/>
      <c r="AG40" s="610"/>
      <c r="AH40" s="610"/>
      <c r="AI40" s="610"/>
      <c r="AJ40" s="610"/>
      <c r="AK40" s="611"/>
      <c r="AL40" s="612"/>
      <c r="AM40" s="613"/>
      <c r="AN40" s="613"/>
      <c r="AO40" s="613"/>
      <c r="AP40" s="613"/>
      <c r="AQ40" s="613"/>
      <c r="AR40" s="613"/>
      <c r="AS40" s="613"/>
      <c r="AT40" s="613"/>
      <c r="AU40" s="613"/>
      <c r="AV40" s="613"/>
      <c r="AW40" s="613"/>
      <c r="AX40" s="613"/>
      <c r="AY40" s="613"/>
      <c r="AZ40" s="613"/>
      <c r="BA40" s="613"/>
      <c r="BB40" s="613"/>
      <c r="BC40" s="613"/>
      <c r="BD40" s="613"/>
      <c r="BE40" s="613"/>
      <c r="BF40" s="613"/>
      <c r="BG40" s="621"/>
      <c r="BH40" s="622"/>
      <c r="BI40" s="623"/>
      <c r="BJ40" s="623"/>
      <c r="BK40" s="624"/>
      <c r="BL40" s="625"/>
      <c r="BM40" s="626"/>
      <c r="BN40" s="626"/>
      <c r="BO40" s="626"/>
      <c r="BP40" s="626"/>
      <c r="BQ40" s="627"/>
      <c r="BR40" s="622"/>
      <c r="BS40" s="623"/>
      <c r="BT40" s="623"/>
      <c r="BU40" s="623"/>
      <c r="BV40" s="624"/>
      <c r="BW40" s="628"/>
      <c r="BX40" s="629"/>
      <c r="BY40" s="629"/>
      <c r="BZ40" s="629"/>
      <c r="CA40" s="630"/>
      <c r="CB40" s="614"/>
      <c r="CC40" s="615"/>
      <c r="CD40" s="615"/>
      <c r="CE40" s="615"/>
      <c r="CF40" s="615"/>
      <c r="CG40" s="615"/>
      <c r="CH40" s="615"/>
      <c r="CI40" s="615"/>
      <c r="CJ40" s="616"/>
      <c r="CK40" s="616"/>
      <c r="CL40" s="616"/>
      <c r="CM40" s="616"/>
      <c r="CN40" s="616"/>
      <c r="CO40" s="616"/>
      <c r="CP40" s="616"/>
      <c r="CQ40" s="617"/>
      <c r="CR40" s="617"/>
      <c r="CS40" s="617"/>
      <c r="CT40" s="617"/>
      <c r="CU40" s="617"/>
      <c r="CV40" s="617"/>
      <c r="CW40" s="617"/>
      <c r="CX40" s="617"/>
      <c r="CY40" s="617"/>
      <c r="CZ40" s="617"/>
      <c r="DA40" s="617"/>
      <c r="DB40" s="617"/>
      <c r="DC40" s="617"/>
      <c r="DD40" s="617"/>
      <c r="DE40" s="617"/>
      <c r="DF40" s="617"/>
      <c r="DG40" s="618"/>
      <c r="DH40" s="619"/>
      <c r="DI40" s="619"/>
      <c r="DJ40" s="619"/>
      <c r="DK40" s="619"/>
      <c r="DL40" s="619"/>
      <c r="DM40" s="619"/>
      <c r="DN40" s="620"/>
      <c r="DO40" s="600"/>
      <c r="DP40" s="601"/>
      <c r="DQ40" s="601"/>
      <c r="DR40" s="601"/>
      <c r="DS40" s="601"/>
      <c r="DT40" s="602"/>
      <c r="DU40" s="602"/>
      <c r="DV40" s="602"/>
      <c r="DW40" s="602"/>
      <c r="DX40" s="602"/>
      <c r="DY40" s="602"/>
      <c r="DZ40" s="602"/>
      <c r="EA40" s="602"/>
      <c r="EB40" s="602"/>
      <c r="EC40" s="602"/>
      <c r="ED40" s="602"/>
      <c r="EE40" s="602"/>
      <c r="EF40" s="602"/>
      <c r="EG40" s="602"/>
      <c r="EH40" s="602"/>
      <c r="EI40" s="602"/>
      <c r="EJ40" s="656"/>
      <c r="EK40" s="657"/>
      <c r="EL40" s="657"/>
      <c r="EM40" s="657"/>
      <c r="EN40" s="657"/>
      <c r="EO40" s="657"/>
      <c r="EP40" s="657"/>
      <c r="EQ40" s="657"/>
      <c r="ER40" s="657"/>
      <c r="ES40" s="657"/>
      <c r="ET40" s="657"/>
      <c r="EU40" s="657"/>
      <c r="EV40" s="657"/>
      <c r="EW40" s="657"/>
      <c r="EX40" s="657"/>
      <c r="EY40" s="657"/>
      <c r="EZ40" s="657"/>
      <c r="FA40" s="657"/>
      <c r="FB40" s="657"/>
      <c r="FC40" s="657"/>
      <c r="FD40" s="657"/>
      <c r="FE40" s="658"/>
      <c r="FF40" s="264"/>
      <c r="FM40" s="90"/>
      <c r="FN40" s="2"/>
      <c r="FO40" s="2"/>
      <c r="FP40" s="2"/>
      <c r="FQ40" s="38"/>
      <c r="FR40" s="38"/>
      <c r="FS40" s="38"/>
      <c r="FT40" s="38"/>
      <c r="FU40" s="38"/>
      <c r="FV40" s="38"/>
      <c r="FW40" s="38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1"/>
      <c r="M41" s="167"/>
      <c r="N41" s="606">
        <v>12</v>
      </c>
      <c r="O41" s="606"/>
      <c r="P41" s="606"/>
      <c r="Q41" s="607" t="s">
        <v>415</v>
      </c>
      <c r="R41" s="608" t="s">
        <v>336</v>
      </c>
      <c r="S41" s="609"/>
      <c r="T41" s="609"/>
      <c r="U41" s="609" t="s">
        <v>6</v>
      </c>
      <c r="V41" s="610" t="s">
        <v>147</v>
      </c>
      <c r="W41" s="610"/>
      <c r="X41" s="610"/>
      <c r="Y41" s="610"/>
      <c r="Z41" s="610"/>
      <c r="AA41" s="610"/>
      <c r="AB41" s="610"/>
      <c r="AC41" s="610"/>
      <c r="AD41" s="610"/>
      <c r="AE41" s="610"/>
      <c r="AF41" s="610"/>
      <c r="AG41" s="610"/>
      <c r="AH41" s="610"/>
      <c r="AI41" s="610"/>
      <c r="AJ41" s="610"/>
      <c r="AK41" s="611"/>
      <c r="AL41" s="612" t="s">
        <v>15</v>
      </c>
      <c r="AM41" s="613"/>
      <c r="AN41" s="613"/>
      <c r="AO41" s="613" t="s">
        <v>6</v>
      </c>
      <c r="AP41" s="613" t="s">
        <v>405</v>
      </c>
      <c r="AQ41" s="613"/>
      <c r="AR41" s="613"/>
      <c r="AS41" s="613"/>
      <c r="AT41" s="613"/>
      <c r="AU41" s="613"/>
      <c r="AV41" s="613"/>
      <c r="AW41" s="613"/>
      <c r="AX41" s="613"/>
      <c r="AY41" s="613"/>
      <c r="AZ41" s="613"/>
      <c r="BA41" s="613"/>
      <c r="BB41" s="613"/>
      <c r="BC41" s="613"/>
      <c r="BD41" s="613"/>
      <c r="BE41" s="613"/>
      <c r="BF41" s="613"/>
      <c r="BG41" s="621"/>
      <c r="BH41" s="622">
        <f>WKH_N</f>
        <v>0</v>
      </c>
      <c r="BI41" s="623"/>
      <c r="BJ41" s="623"/>
      <c r="BK41" s="624"/>
      <c r="BL41" s="625">
        <f>(INNEN_L-10)*WKH_OPT</f>
        <v>0</v>
      </c>
      <c r="BM41" s="626"/>
      <c r="BN41" s="626"/>
      <c r="BO41" s="626"/>
      <c r="BP41" s="626"/>
      <c r="BQ41" s="627"/>
      <c r="BR41" s="622">
        <f>WKH_B</f>
        <v>0</v>
      </c>
      <c r="BS41" s="623"/>
      <c r="BT41" s="623"/>
      <c r="BU41" s="623"/>
      <c r="BV41" s="624"/>
      <c r="BW41" s="628">
        <f>WKH_B</f>
        <v>0</v>
      </c>
      <c r="BX41" s="629"/>
      <c r="BY41" s="629"/>
      <c r="BZ41" s="629"/>
      <c r="CA41" s="630"/>
      <c r="CB41" s="614">
        <f>BEZ_Dim_12_Anz*KI_N</f>
        <v>0</v>
      </c>
      <c r="CC41" s="615">
        <f>BEZ_Dim_12_L*BEZ_Dim_12_B*BEZ_Dim_12_H*BEZ_Dim_12_Anz /10^9</f>
        <v>0</v>
      </c>
      <c r="CD41" s="615"/>
      <c r="CE41" s="615"/>
      <c r="CF41" s="615"/>
      <c r="CG41" s="615"/>
      <c r="CH41" s="615"/>
      <c r="CI41" s="615"/>
      <c r="CJ41" s="616">
        <v>480</v>
      </c>
      <c r="CK41" s="616"/>
      <c r="CL41" s="616"/>
      <c r="CM41" s="616"/>
      <c r="CN41" s="616"/>
      <c r="CO41" s="616"/>
      <c r="CP41" s="616"/>
      <c r="CQ41" s="617">
        <f>BEZ_Dim_12_CBM*BEZ_Dim_12_SPGEW</f>
        <v>0</v>
      </c>
      <c r="CR41" s="617"/>
      <c r="CS41" s="617"/>
      <c r="CT41" s="617"/>
      <c r="CU41" s="617"/>
      <c r="CV41" s="617"/>
      <c r="CW41" s="617"/>
      <c r="CX41" s="617"/>
      <c r="CY41" s="617"/>
      <c r="CZ41" s="617">
        <f>BEZ_Dim_12_L*BEZ_Dim_12_Anz/1000</f>
        <v>0</v>
      </c>
      <c r="DA41" s="617"/>
      <c r="DB41" s="617"/>
      <c r="DC41" s="617"/>
      <c r="DD41" s="617"/>
      <c r="DE41" s="617"/>
      <c r="DF41" s="617"/>
      <c r="DG41" s="618">
        <v>250</v>
      </c>
      <c r="DH41" s="619"/>
      <c r="DI41" s="619"/>
      <c r="DJ41" s="619"/>
      <c r="DK41" s="619"/>
      <c r="DL41" s="619"/>
      <c r="DM41" s="619"/>
      <c r="DN41" s="620"/>
      <c r="DO41" s="600">
        <v>15</v>
      </c>
      <c r="DP41" s="601"/>
      <c r="DQ41" s="601"/>
      <c r="DR41" s="601"/>
      <c r="DS41" s="601"/>
      <c r="DT41" s="602">
        <f>BEZ_Dim_12_CBM*BEZ_Dim_12_EuCBM*((BEZ_Dim_12_VAZ/100)+1)</f>
        <v>0</v>
      </c>
      <c r="DU41" s="602"/>
      <c r="DV41" s="602"/>
      <c r="DW41" s="602"/>
      <c r="DX41" s="602"/>
      <c r="DY41" s="602"/>
      <c r="DZ41" s="602"/>
      <c r="EA41" s="602"/>
      <c r="EB41" s="602">
        <f>CC41*DG41*((DO41/100)+1)*KI_N</f>
        <v>0</v>
      </c>
      <c r="EC41" s="602"/>
      <c r="ED41" s="602"/>
      <c r="EE41" s="602"/>
      <c r="EF41" s="602"/>
      <c r="EG41" s="602"/>
      <c r="EH41" s="602"/>
      <c r="EI41" s="602"/>
      <c r="EJ41" s="659">
        <f>SUM(CC19:CI110)</f>
        <v>0.14998196799999999</v>
      </c>
      <c r="EK41" s="660"/>
      <c r="EL41" s="660"/>
      <c r="EM41" s="660"/>
      <c r="EN41" s="660"/>
      <c r="EO41" s="660"/>
      <c r="EP41" s="660"/>
      <c r="EQ41" s="660"/>
      <c r="ER41" s="660"/>
      <c r="ES41" s="660"/>
      <c r="ET41" s="660"/>
      <c r="EU41" s="660"/>
      <c r="EV41" s="660"/>
      <c r="EW41" s="660"/>
      <c r="EX41" s="660"/>
      <c r="EY41" s="660"/>
      <c r="EZ41" s="661" t="s">
        <v>301</v>
      </c>
      <c r="FA41" s="661"/>
      <c r="FB41" s="661"/>
      <c r="FC41" s="661"/>
      <c r="FD41" s="661"/>
      <c r="FE41" s="662"/>
      <c r="FF41" s="264"/>
      <c r="FM41" s="90"/>
      <c r="FN41" s="351"/>
      <c r="FO41" s="2"/>
      <c r="FP41" s="2"/>
      <c r="FQ41" s="38"/>
      <c r="FR41" s="38"/>
      <c r="FS41" s="38"/>
      <c r="FT41" s="38"/>
      <c r="FU41" s="38"/>
      <c r="FV41" s="38"/>
      <c r="FW41" s="38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1"/>
      <c r="M42" s="167"/>
      <c r="N42" s="606"/>
      <c r="O42" s="606"/>
      <c r="P42" s="606"/>
      <c r="Q42" s="607"/>
      <c r="R42" s="608"/>
      <c r="S42" s="609"/>
      <c r="T42" s="609"/>
      <c r="U42" s="609"/>
      <c r="V42" s="610"/>
      <c r="W42" s="610"/>
      <c r="X42" s="610"/>
      <c r="Y42" s="610"/>
      <c r="Z42" s="610"/>
      <c r="AA42" s="610"/>
      <c r="AB42" s="610"/>
      <c r="AC42" s="610"/>
      <c r="AD42" s="610"/>
      <c r="AE42" s="610"/>
      <c r="AF42" s="610"/>
      <c r="AG42" s="610"/>
      <c r="AH42" s="610"/>
      <c r="AI42" s="610"/>
      <c r="AJ42" s="610"/>
      <c r="AK42" s="611"/>
      <c r="AL42" s="612"/>
      <c r="AM42" s="613"/>
      <c r="AN42" s="613"/>
      <c r="AO42" s="613"/>
      <c r="AP42" s="613"/>
      <c r="AQ42" s="613"/>
      <c r="AR42" s="613"/>
      <c r="AS42" s="613"/>
      <c r="AT42" s="613"/>
      <c r="AU42" s="613"/>
      <c r="AV42" s="613"/>
      <c r="AW42" s="613"/>
      <c r="AX42" s="613"/>
      <c r="AY42" s="613"/>
      <c r="AZ42" s="613"/>
      <c r="BA42" s="613"/>
      <c r="BB42" s="613"/>
      <c r="BC42" s="613"/>
      <c r="BD42" s="613"/>
      <c r="BE42" s="613"/>
      <c r="BF42" s="613"/>
      <c r="BG42" s="621"/>
      <c r="BH42" s="622"/>
      <c r="BI42" s="623"/>
      <c r="BJ42" s="623"/>
      <c r="BK42" s="624"/>
      <c r="BL42" s="625"/>
      <c r="BM42" s="626"/>
      <c r="BN42" s="626"/>
      <c r="BO42" s="626"/>
      <c r="BP42" s="626"/>
      <c r="BQ42" s="627"/>
      <c r="BR42" s="622"/>
      <c r="BS42" s="623"/>
      <c r="BT42" s="623"/>
      <c r="BU42" s="623"/>
      <c r="BV42" s="624"/>
      <c r="BW42" s="628"/>
      <c r="BX42" s="629"/>
      <c r="BY42" s="629"/>
      <c r="BZ42" s="629"/>
      <c r="CA42" s="630"/>
      <c r="CB42" s="614"/>
      <c r="CC42" s="615"/>
      <c r="CD42" s="615"/>
      <c r="CE42" s="615"/>
      <c r="CF42" s="615"/>
      <c r="CG42" s="615"/>
      <c r="CH42" s="615"/>
      <c r="CI42" s="615"/>
      <c r="CJ42" s="616"/>
      <c r="CK42" s="616"/>
      <c r="CL42" s="616"/>
      <c r="CM42" s="616"/>
      <c r="CN42" s="616"/>
      <c r="CO42" s="616"/>
      <c r="CP42" s="616"/>
      <c r="CQ42" s="617"/>
      <c r="CR42" s="617"/>
      <c r="CS42" s="617"/>
      <c r="CT42" s="617"/>
      <c r="CU42" s="617"/>
      <c r="CV42" s="617"/>
      <c r="CW42" s="617"/>
      <c r="CX42" s="617"/>
      <c r="CY42" s="617"/>
      <c r="CZ42" s="617"/>
      <c r="DA42" s="617"/>
      <c r="DB42" s="617"/>
      <c r="DC42" s="617"/>
      <c r="DD42" s="617"/>
      <c r="DE42" s="617"/>
      <c r="DF42" s="617"/>
      <c r="DG42" s="618"/>
      <c r="DH42" s="619"/>
      <c r="DI42" s="619"/>
      <c r="DJ42" s="619"/>
      <c r="DK42" s="619"/>
      <c r="DL42" s="619"/>
      <c r="DM42" s="619"/>
      <c r="DN42" s="620"/>
      <c r="DO42" s="600"/>
      <c r="DP42" s="601"/>
      <c r="DQ42" s="601"/>
      <c r="DR42" s="601"/>
      <c r="DS42" s="601"/>
      <c r="DT42" s="602"/>
      <c r="DU42" s="602"/>
      <c r="DV42" s="602"/>
      <c r="DW42" s="602"/>
      <c r="DX42" s="602"/>
      <c r="DY42" s="602"/>
      <c r="DZ42" s="602"/>
      <c r="EA42" s="602"/>
      <c r="EB42" s="602"/>
      <c r="EC42" s="602"/>
      <c r="ED42" s="602"/>
      <c r="EE42" s="602"/>
      <c r="EF42" s="602"/>
      <c r="EG42" s="602"/>
      <c r="EH42" s="602"/>
      <c r="EI42" s="602"/>
      <c r="EJ42" s="659"/>
      <c r="EK42" s="660"/>
      <c r="EL42" s="660"/>
      <c r="EM42" s="660"/>
      <c r="EN42" s="660"/>
      <c r="EO42" s="660"/>
      <c r="EP42" s="660"/>
      <c r="EQ42" s="660"/>
      <c r="ER42" s="660"/>
      <c r="ES42" s="660"/>
      <c r="ET42" s="660"/>
      <c r="EU42" s="660"/>
      <c r="EV42" s="660"/>
      <c r="EW42" s="660"/>
      <c r="EX42" s="660"/>
      <c r="EY42" s="660"/>
      <c r="EZ42" s="661"/>
      <c r="FA42" s="661"/>
      <c r="FB42" s="661"/>
      <c r="FC42" s="661"/>
      <c r="FD42" s="661"/>
      <c r="FE42" s="662"/>
      <c r="FF42" s="264"/>
      <c r="FM42" s="90"/>
      <c r="FN42" s="2"/>
      <c r="FO42" s="2"/>
      <c r="FP42" s="2"/>
      <c r="FQ42" s="38"/>
      <c r="FR42" s="38"/>
      <c r="FS42" s="38"/>
      <c r="FT42" s="38"/>
      <c r="FU42" s="38"/>
      <c r="FV42" s="38"/>
      <c r="FW42" s="38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1"/>
      <c r="M43" s="167"/>
      <c r="N43" s="606">
        <v>13</v>
      </c>
      <c r="O43" s="606"/>
      <c r="P43" s="606"/>
      <c r="Q43" s="607" t="s">
        <v>398</v>
      </c>
      <c r="R43" s="608" t="s">
        <v>336</v>
      </c>
      <c r="S43" s="609"/>
      <c r="T43" s="609"/>
      <c r="U43" s="609" t="s">
        <v>6</v>
      </c>
      <c r="V43" s="610" t="s">
        <v>169</v>
      </c>
      <c r="W43" s="610"/>
      <c r="X43" s="610"/>
      <c r="Y43" s="610"/>
      <c r="Z43" s="610"/>
      <c r="AA43" s="610"/>
      <c r="AB43" s="610"/>
      <c r="AC43" s="610"/>
      <c r="AD43" s="610"/>
      <c r="AE43" s="610"/>
      <c r="AF43" s="610"/>
      <c r="AG43" s="610"/>
      <c r="AH43" s="610"/>
      <c r="AI43" s="610"/>
      <c r="AJ43" s="610"/>
      <c r="AK43" s="611"/>
      <c r="AL43" s="612" t="s">
        <v>170</v>
      </c>
      <c r="AM43" s="613"/>
      <c r="AN43" s="613"/>
      <c r="AO43" s="613" t="s">
        <v>6</v>
      </c>
      <c r="AP43" s="613" t="s">
        <v>407</v>
      </c>
      <c r="AQ43" s="613"/>
      <c r="AR43" s="613"/>
      <c r="AS43" s="613"/>
      <c r="AT43" s="613"/>
      <c r="AU43" s="613"/>
      <c r="AV43" s="613"/>
      <c r="AW43" s="613"/>
      <c r="AX43" s="613"/>
      <c r="AY43" s="613"/>
      <c r="AZ43" s="613"/>
      <c r="BA43" s="613"/>
      <c r="BB43" s="613"/>
      <c r="BC43" s="613"/>
      <c r="BD43" s="613"/>
      <c r="BE43" s="613"/>
      <c r="BF43" s="613"/>
      <c r="BG43" s="621"/>
      <c r="BH43" s="622">
        <f>WKH_SCH_N</f>
        <v>0</v>
      </c>
      <c r="BI43" s="623"/>
      <c r="BJ43" s="623"/>
      <c r="BK43" s="624"/>
      <c r="BL43" s="625">
        <f>WKH_SCH_AD</f>
        <v>0</v>
      </c>
      <c r="BM43" s="626"/>
      <c r="BN43" s="626"/>
      <c r="BO43" s="626"/>
      <c r="BP43" s="626"/>
      <c r="BQ43" s="627"/>
      <c r="BR43" s="622">
        <f>WKH_SCH_AD</f>
        <v>0</v>
      </c>
      <c r="BS43" s="623"/>
      <c r="BT43" s="623"/>
      <c r="BU43" s="623"/>
      <c r="BV43" s="624"/>
      <c r="BW43" s="628">
        <f>WKH_SCH_H</f>
        <v>0</v>
      </c>
      <c r="BX43" s="629"/>
      <c r="BY43" s="629"/>
      <c r="BZ43" s="629"/>
      <c r="CA43" s="630"/>
      <c r="CB43" s="614">
        <f>BEZ_Dim_13_Anz*KI_N</f>
        <v>0</v>
      </c>
      <c r="CC43" s="615">
        <f>BEZ_Dim_13_L*BEZ_Dim_13_B*BEZ_Dim_13_H*BEZ_Dim_13_Anz /10^9</f>
        <v>0</v>
      </c>
      <c r="CD43" s="615"/>
      <c r="CE43" s="615"/>
      <c r="CF43" s="615"/>
      <c r="CG43" s="615"/>
      <c r="CH43" s="615"/>
      <c r="CI43" s="615"/>
      <c r="CJ43" s="616">
        <v>600</v>
      </c>
      <c r="CK43" s="616"/>
      <c r="CL43" s="616"/>
      <c r="CM43" s="616"/>
      <c r="CN43" s="616"/>
      <c r="CO43" s="616"/>
      <c r="CP43" s="616"/>
      <c r="CQ43" s="617">
        <f>BEZ_Dim_13_CBM*BEZ_Dim_13_SPGEW</f>
        <v>0</v>
      </c>
      <c r="CR43" s="617"/>
      <c r="CS43" s="617"/>
      <c r="CT43" s="617"/>
      <c r="CU43" s="617"/>
      <c r="CV43" s="617"/>
      <c r="CW43" s="617"/>
      <c r="CX43" s="617"/>
      <c r="CY43" s="617"/>
      <c r="CZ43" s="617">
        <f>BEZ_Dim_13_L*BEZ_Dim_13_Anz/1000</f>
        <v>0</v>
      </c>
      <c r="DA43" s="617"/>
      <c r="DB43" s="617"/>
      <c r="DC43" s="617"/>
      <c r="DD43" s="617"/>
      <c r="DE43" s="617"/>
      <c r="DF43" s="617"/>
      <c r="DG43" s="618">
        <v>475</v>
      </c>
      <c r="DH43" s="619"/>
      <c r="DI43" s="619"/>
      <c r="DJ43" s="619"/>
      <c r="DK43" s="619"/>
      <c r="DL43" s="619"/>
      <c r="DM43" s="619"/>
      <c r="DN43" s="620"/>
      <c r="DO43" s="600">
        <v>25</v>
      </c>
      <c r="DP43" s="601"/>
      <c r="DQ43" s="601"/>
      <c r="DR43" s="601"/>
      <c r="DS43" s="601"/>
      <c r="DT43" s="602">
        <f>BEZ_Dim_13_CBM*BEZ_Dim_13_EuCBM*((BEZ_Dim_13_VAZ/100)+1)</f>
        <v>0</v>
      </c>
      <c r="DU43" s="602"/>
      <c r="DV43" s="602"/>
      <c r="DW43" s="602"/>
      <c r="DX43" s="602"/>
      <c r="DY43" s="602"/>
      <c r="DZ43" s="602"/>
      <c r="EA43" s="602"/>
      <c r="EB43" s="602">
        <f>CC43*DG43*((DO43/100)+1)*KI_N</f>
        <v>0</v>
      </c>
      <c r="EC43" s="602"/>
      <c r="ED43" s="602"/>
      <c r="EE43" s="602"/>
      <c r="EF43" s="602"/>
      <c r="EG43" s="602"/>
      <c r="EH43" s="602"/>
      <c r="EI43" s="602"/>
      <c r="EJ43" s="663">
        <f>Bez_Dim_cbm_KI*KI_N</f>
        <v>0.14998196799999999</v>
      </c>
      <c r="EK43" s="664"/>
      <c r="EL43" s="664"/>
      <c r="EM43" s="664"/>
      <c r="EN43" s="664"/>
      <c r="EO43" s="664"/>
      <c r="EP43" s="664"/>
      <c r="EQ43" s="664"/>
      <c r="ER43" s="664"/>
      <c r="ES43" s="664"/>
      <c r="ET43" s="664"/>
      <c r="EU43" s="664"/>
      <c r="EV43" s="664"/>
      <c r="EW43" s="664"/>
      <c r="EX43" s="664"/>
      <c r="EY43" s="664"/>
      <c r="EZ43" s="665" t="s">
        <v>300</v>
      </c>
      <c r="FA43" s="665"/>
      <c r="FB43" s="665"/>
      <c r="FC43" s="665"/>
      <c r="FD43" s="665"/>
      <c r="FE43" s="666"/>
      <c r="FF43" s="264"/>
      <c r="FM43" s="90"/>
      <c r="FN43" s="351"/>
      <c r="FO43" s="2"/>
      <c r="FP43" s="2"/>
      <c r="FQ43" s="38"/>
      <c r="FR43" s="38"/>
      <c r="FS43" s="38"/>
      <c r="FT43" s="38"/>
      <c r="FU43" s="38"/>
      <c r="FV43" s="38"/>
      <c r="FW43" s="38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1"/>
      <c r="M44" s="167"/>
      <c r="N44" s="606"/>
      <c r="O44" s="606"/>
      <c r="P44" s="606"/>
      <c r="Q44" s="607"/>
      <c r="R44" s="608"/>
      <c r="S44" s="609"/>
      <c r="T44" s="609"/>
      <c r="U44" s="609"/>
      <c r="V44" s="610"/>
      <c r="W44" s="610"/>
      <c r="X44" s="610"/>
      <c r="Y44" s="610"/>
      <c r="Z44" s="610"/>
      <c r="AA44" s="610"/>
      <c r="AB44" s="610"/>
      <c r="AC44" s="610"/>
      <c r="AD44" s="610"/>
      <c r="AE44" s="610"/>
      <c r="AF44" s="610"/>
      <c r="AG44" s="610"/>
      <c r="AH44" s="610"/>
      <c r="AI44" s="610"/>
      <c r="AJ44" s="610"/>
      <c r="AK44" s="611"/>
      <c r="AL44" s="612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AX44" s="613"/>
      <c r="AY44" s="613"/>
      <c r="AZ44" s="613"/>
      <c r="BA44" s="613"/>
      <c r="BB44" s="613"/>
      <c r="BC44" s="613"/>
      <c r="BD44" s="613"/>
      <c r="BE44" s="613"/>
      <c r="BF44" s="613"/>
      <c r="BG44" s="621"/>
      <c r="BH44" s="622"/>
      <c r="BI44" s="623"/>
      <c r="BJ44" s="623"/>
      <c r="BK44" s="624"/>
      <c r="BL44" s="625"/>
      <c r="BM44" s="626"/>
      <c r="BN44" s="626"/>
      <c r="BO44" s="626"/>
      <c r="BP44" s="626"/>
      <c r="BQ44" s="627"/>
      <c r="BR44" s="622"/>
      <c r="BS44" s="623"/>
      <c r="BT44" s="623"/>
      <c r="BU44" s="623"/>
      <c r="BV44" s="624"/>
      <c r="BW44" s="628"/>
      <c r="BX44" s="629"/>
      <c r="BY44" s="629"/>
      <c r="BZ44" s="629"/>
      <c r="CA44" s="630"/>
      <c r="CB44" s="614"/>
      <c r="CC44" s="615"/>
      <c r="CD44" s="615"/>
      <c r="CE44" s="615"/>
      <c r="CF44" s="615"/>
      <c r="CG44" s="615"/>
      <c r="CH44" s="615"/>
      <c r="CI44" s="615"/>
      <c r="CJ44" s="616"/>
      <c r="CK44" s="616"/>
      <c r="CL44" s="616"/>
      <c r="CM44" s="616"/>
      <c r="CN44" s="616"/>
      <c r="CO44" s="616"/>
      <c r="CP44" s="616"/>
      <c r="CQ44" s="617"/>
      <c r="CR44" s="617"/>
      <c r="CS44" s="617"/>
      <c r="CT44" s="617"/>
      <c r="CU44" s="617"/>
      <c r="CV44" s="617"/>
      <c r="CW44" s="617"/>
      <c r="CX44" s="617"/>
      <c r="CY44" s="617"/>
      <c r="CZ44" s="617"/>
      <c r="DA44" s="617"/>
      <c r="DB44" s="617"/>
      <c r="DC44" s="617"/>
      <c r="DD44" s="617"/>
      <c r="DE44" s="617"/>
      <c r="DF44" s="617"/>
      <c r="DG44" s="618"/>
      <c r="DH44" s="619"/>
      <c r="DI44" s="619"/>
      <c r="DJ44" s="619"/>
      <c r="DK44" s="619"/>
      <c r="DL44" s="619"/>
      <c r="DM44" s="619"/>
      <c r="DN44" s="620"/>
      <c r="DO44" s="600"/>
      <c r="DP44" s="601"/>
      <c r="DQ44" s="601"/>
      <c r="DR44" s="601"/>
      <c r="DS44" s="601"/>
      <c r="DT44" s="602"/>
      <c r="DU44" s="602"/>
      <c r="DV44" s="602"/>
      <c r="DW44" s="602"/>
      <c r="DX44" s="602"/>
      <c r="DY44" s="602"/>
      <c r="DZ44" s="602"/>
      <c r="EA44" s="602"/>
      <c r="EB44" s="602"/>
      <c r="EC44" s="602"/>
      <c r="ED44" s="602"/>
      <c r="EE44" s="602"/>
      <c r="EF44" s="602"/>
      <c r="EG44" s="602"/>
      <c r="EH44" s="602"/>
      <c r="EI44" s="602"/>
      <c r="EJ44" s="663"/>
      <c r="EK44" s="664"/>
      <c r="EL44" s="664"/>
      <c r="EM44" s="664"/>
      <c r="EN44" s="664"/>
      <c r="EO44" s="664"/>
      <c r="EP44" s="664"/>
      <c r="EQ44" s="664"/>
      <c r="ER44" s="664"/>
      <c r="ES44" s="664"/>
      <c r="ET44" s="664"/>
      <c r="EU44" s="664"/>
      <c r="EV44" s="664"/>
      <c r="EW44" s="664"/>
      <c r="EX44" s="664"/>
      <c r="EY44" s="664"/>
      <c r="EZ44" s="665"/>
      <c r="FA44" s="665"/>
      <c r="FB44" s="665"/>
      <c r="FC44" s="665"/>
      <c r="FD44" s="665"/>
      <c r="FE44" s="666"/>
      <c r="FF44" s="264"/>
      <c r="FM44" s="90"/>
      <c r="FN44" s="2"/>
      <c r="FO44" s="2"/>
      <c r="FP44" s="2"/>
      <c r="FQ44" s="38"/>
      <c r="FR44" s="38"/>
      <c r="FS44" s="38"/>
      <c r="FT44" s="38"/>
      <c r="FU44" s="38"/>
      <c r="FV44" s="38"/>
      <c r="FW44" s="38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1"/>
      <c r="M45" s="167"/>
      <c r="N45" s="606">
        <v>14</v>
      </c>
      <c r="O45" s="606"/>
      <c r="P45" s="606"/>
      <c r="Q45" s="607" t="s">
        <v>396</v>
      </c>
      <c r="R45" s="672" t="s">
        <v>14</v>
      </c>
      <c r="S45" s="668"/>
      <c r="T45" s="668"/>
      <c r="U45" s="673"/>
      <c r="V45" s="674" t="s">
        <v>369</v>
      </c>
      <c r="W45" s="674"/>
      <c r="X45" s="674"/>
      <c r="Y45" s="674"/>
      <c r="Z45" s="674"/>
      <c r="AA45" s="674"/>
      <c r="AB45" s="674"/>
      <c r="AC45" s="674"/>
      <c r="AD45" s="674"/>
      <c r="AE45" s="674"/>
      <c r="AF45" s="674"/>
      <c r="AG45" s="674"/>
      <c r="AH45" s="674"/>
      <c r="AI45" s="674"/>
      <c r="AJ45" s="674"/>
      <c r="AK45" s="675"/>
      <c r="AL45" s="669" t="s">
        <v>15</v>
      </c>
      <c r="AM45" s="669"/>
      <c r="AN45" s="669"/>
      <c r="AO45" s="669"/>
      <c r="AP45" s="669" t="s">
        <v>405</v>
      </c>
      <c r="AQ45" s="669"/>
      <c r="AR45" s="669"/>
      <c r="AS45" s="669"/>
      <c r="AT45" s="669"/>
      <c r="AU45" s="669"/>
      <c r="AV45" s="669"/>
      <c r="AW45" s="669"/>
      <c r="AX45" s="669"/>
      <c r="AY45" s="669"/>
      <c r="AZ45" s="669"/>
      <c r="BA45" s="669"/>
      <c r="BB45" s="669"/>
      <c r="BC45" s="669"/>
      <c r="BD45" s="669"/>
      <c r="BE45" s="669"/>
      <c r="BF45" s="669"/>
      <c r="BG45" s="669"/>
      <c r="BH45" s="670">
        <f>BO_LKH_N</f>
        <v>0</v>
      </c>
      <c r="BI45" s="623"/>
      <c r="BJ45" s="623"/>
      <c r="BK45" s="671"/>
      <c r="BL45" s="622">
        <f>IF(BO_LKH_N =0,0,BO_LKH_L)</f>
        <v>0</v>
      </c>
      <c r="BM45" s="623"/>
      <c r="BN45" s="623"/>
      <c r="BO45" s="623"/>
      <c r="BP45" s="623"/>
      <c r="BQ45" s="624"/>
      <c r="BR45" s="670">
        <f>BO_LKH_B</f>
        <v>0</v>
      </c>
      <c r="BS45" s="623"/>
      <c r="BT45" s="623"/>
      <c r="BU45" s="623"/>
      <c r="BV45" s="624"/>
      <c r="BW45" s="628">
        <f>BO_LKH_H</f>
        <v>0</v>
      </c>
      <c r="BX45" s="629"/>
      <c r="BY45" s="629"/>
      <c r="BZ45" s="629"/>
      <c r="CA45" s="630"/>
      <c r="CB45" s="614">
        <f>BEZ_Dim_14_Anz*KI_N</f>
        <v>0</v>
      </c>
      <c r="CC45" s="615">
        <f>BEZ_Dim_14_L*BEZ_Dim_14_B*BEZ_Dim_14_H*BEZ_Dim_14_Anz /10^9</f>
        <v>0</v>
      </c>
      <c r="CD45" s="615"/>
      <c r="CE45" s="615"/>
      <c r="CF45" s="615"/>
      <c r="CG45" s="615"/>
      <c r="CH45" s="615"/>
      <c r="CI45" s="615"/>
      <c r="CJ45" s="616">
        <v>480</v>
      </c>
      <c r="CK45" s="616"/>
      <c r="CL45" s="616"/>
      <c r="CM45" s="616"/>
      <c r="CN45" s="616"/>
      <c r="CO45" s="616"/>
      <c r="CP45" s="616"/>
      <c r="CQ45" s="617">
        <f>BEZ_Dim_14_CBM*BEZ_Dim_14_SPGEW</f>
        <v>0</v>
      </c>
      <c r="CR45" s="617"/>
      <c r="CS45" s="617"/>
      <c r="CT45" s="617"/>
      <c r="CU45" s="617"/>
      <c r="CV45" s="617"/>
      <c r="CW45" s="617"/>
      <c r="CX45" s="617"/>
      <c r="CY45" s="617"/>
      <c r="CZ45" s="617">
        <f>BEZ_Dim_14_L*BEZ_Dim_14_Anz/1000</f>
        <v>0</v>
      </c>
      <c r="DA45" s="617"/>
      <c r="DB45" s="617"/>
      <c r="DC45" s="617"/>
      <c r="DD45" s="617"/>
      <c r="DE45" s="617"/>
      <c r="DF45" s="617"/>
      <c r="DG45" s="618">
        <v>235</v>
      </c>
      <c r="DH45" s="619"/>
      <c r="DI45" s="619"/>
      <c r="DJ45" s="619"/>
      <c r="DK45" s="619"/>
      <c r="DL45" s="619"/>
      <c r="DM45" s="619"/>
      <c r="DN45" s="620"/>
      <c r="DO45" s="600">
        <v>15</v>
      </c>
      <c r="DP45" s="601"/>
      <c r="DQ45" s="601"/>
      <c r="DR45" s="601"/>
      <c r="DS45" s="601"/>
      <c r="DT45" s="602">
        <f>BEZ_Dim_14_CBM*BEZ_Dim_14_EuCBM*((BEZ_Dim_14_VAZ/100)+1)</f>
        <v>0</v>
      </c>
      <c r="DU45" s="602"/>
      <c r="DV45" s="602"/>
      <c r="DW45" s="602"/>
      <c r="DX45" s="602"/>
      <c r="DY45" s="602"/>
      <c r="DZ45" s="602"/>
      <c r="EA45" s="602"/>
      <c r="EB45" s="602">
        <f>CC45*DG45*((DO45/100)+1)*KI_N</f>
        <v>0</v>
      </c>
      <c r="EC45" s="602"/>
      <c r="ED45" s="602"/>
      <c r="EE45" s="602"/>
      <c r="EF45" s="602"/>
      <c r="EG45" s="602"/>
      <c r="EH45" s="602"/>
      <c r="EI45" s="602"/>
      <c r="EJ45" s="652"/>
      <c r="EK45" s="653"/>
      <c r="EL45" s="653"/>
      <c r="EM45" s="653"/>
      <c r="EN45" s="653"/>
      <c r="EO45" s="653"/>
      <c r="EP45" s="653"/>
      <c r="EQ45" s="653"/>
      <c r="ER45" s="653"/>
      <c r="ES45" s="653"/>
      <c r="ET45" s="653"/>
      <c r="EU45" s="653"/>
      <c r="EV45" s="653"/>
      <c r="EW45" s="653"/>
      <c r="EX45" s="653"/>
      <c r="EY45" s="653"/>
      <c r="EZ45" s="654"/>
      <c r="FA45" s="654"/>
      <c r="FB45" s="654"/>
      <c r="FC45" s="654"/>
      <c r="FD45" s="654"/>
      <c r="FE45" s="655"/>
      <c r="FF45" s="264"/>
      <c r="FM45" s="90"/>
      <c r="FN45" s="351"/>
      <c r="FO45" s="2"/>
      <c r="FP45" s="2"/>
      <c r="FQ45" s="38"/>
      <c r="FR45" s="38"/>
      <c r="FS45" s="38"/>
      <c r="FT45" s="38"/>
      <c r="FU45" s="38"/>
      <c r="FV45" s="38"/>
      <c r="FW45" s="38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1"/>
      <c r="M46" s="167"/>
      <c r="N46" s="606"/>
      <c r="O46" s="606"/>
      <c r="P46" s="606"/>
      <c r="Q46" s="607"/>
      <c r="R46" s="672"/>
      <c r="S46" s="668"/>
      <c r="T46" s="668"/>
      <c r="U46" s="673"/>
      <c r="V46" s="674"/>
      <c r="W46" s="674"/>
      <c r="X46" s="674"/>
      <c r="Y46" s="674"/>
      <c r="Z46" s="674"/>
      <c r="AA46" s="674"/>
      <c r="AB46" s="674"/>
      <c r="AC46" s="674"/>
      <c r="AD46" s="674"/>
      <c r="AE46" s="674"/>
      <c r="AF46" s="674"/>
      <c r="AG46" s="674"/>
      <c r="AH46" s="674"/>
      <c r="AI46" s="674"/>
      <c r="AJ46" s="674"/>
      <c r="AK46" s="675"/>
      <c r="AL46" s="669"/>
      <c r="AM46" s="669"/>
      <c r="AN46" s="669"/>
      <c r="AO46" s="669"/>
      <c r="AP46" s="669"/>
      <c r="AQ46" s="669"/>
      <c r="AR46" s="669"/>
      <c r="AS46" s="669"/>
      <c r="AT46" s="669"/>
      <c r="AU46" s="669"/>
      <c r="AV46" s="669"/>
      <c r="AW46" s="669"/>
      <c r="AX46" s="669"/>
      <c r="AY46" s="669"/>
      <c r="AZ46" s="669"/>
      <c r="BA46" s="669"/>
      <c r="BB46" s="669"/>
      <c r="BC46" s="669"/>
      <c r="BD46" s="669"/>
      <c r="BE46" s="669"/>
      <c r="BF46" s="669"/>
      <c r="BG46" s="669"/>
      <c r="BH46" s="670"/>
      <c r="BI46" s="623"/>
      <c r="BJ46" s="623"/>
      <c r="BK46" s="671"/>
      <c r="BL46" s="622"/>
      <c r="BM46" s="623"/>
      <c r="BN46" s="623"/>
      <c r="BO46" s="623"/>
      <c r="BP46" s="623"/>
      <c r="BQ46" s="624"/>
      <c r="BR46" s="670"/>
      <c r="BS46" s="623"/>
      <c r="BT46" s="623"/>
      <c r="BU46" s="623"/>
      <c r="BV46" s="624"/>
      <c r="BW46" s="628"/>
      <c r="BX46" s="629"/>
      <c r="BY46" s="629"/>
      <c r="BZ46" s="629"/>
      <c r="CA46" s="630"/>
      <c r="CB46" s="614"/>
      <c r="CC46" s="615"/>
      <c r="CD46" s="615"/>
      <c r="CE46" s="615"/>
      <c r="CF46" s="615"/>
      <c r="CG46" s="615"/>
      <c r="CH46" s="615"/>
      <c r="CI46" s="615"/>
      <c r="CJ46" s="616"/>
      <c r="CK46" s="616"/>
      <c r="CL46" s="616"/>
      <c r="CM46" s="616"/>
      <c r="CN46" s="616"/>
      <c r="CO46" s="616"/>
      <c r="CP46" s="616"/>
      <c r="CQ46" s="617"/>
      <c r="CR46" s="617"/>
      <c r="CS46" s="617"/>
      <c r="CT46" s="617"/>
      <c r="CU46" s="617"/>
      <c r="CV46" s="617"/>
      <c r="CW46" s="617"/>
      <c r="CX46" s="617"/>
      <c r="CY46" s="617"/>
      <c r="CZ46" s="617"/>
      <c r="DA46" s="617"/>
      <c r="DB46" s="617"/>
      <c r="DC46" s="617"/>
      <c r="DD46" s="617"/>
      <c r="DE46" s="617"/>
      <c r="DF46" s="617"/>
      <c r="DG46" s="618"/>
      <c r="DH46" s="619"/>
      <c r="DI46" s="619"/>
      <c r="DJ46" s="619"/>
      <c r="DK46" s="619"/>
      <c r="DL46" s="619"/>
      <c r="DM46" s="619"/>
      <c r="DN46" s="620"/>
      <c r="DO46" s="600"/>
      <c r="DP46" s="601"/>
      <c r="DQ46" s="601"/>
      <c r="DR46" s="601"/>
      <c r="DS46" s="601"/>
      <c r="DT46" s="602"/>
      <c r="DU46" s="602"/>
      <c r="DV46" s="602"/>
      <c r="DW46" s="602"/>
      <c r="DX46" s="602"/>
      <c r="DY46" s="602"/>
      <c r="DZ46" s="602"/>
      <c r="EA46" s="602"/>
      <c r="EB46" s="602"/>
      <c r="EC46" s="602"/>
      <c r="ED46" s="602"/>
      <c r="EE46" s="602"/>
      <c r="EF46" s="602"/>
      <c r="EG46" s="602"/>
      <c r="EH46" s="602"/>
      <c r="EI46" s="602"/>
      <c r="EJ46" s="652"/>
      <c r="EK46" s="653"/>
      <c r="EL46" s="653"/>
      <c r="EM46" s="653"/>
      <c r="EN46" s="653"/>
      <c r="EO46" s="653"/>
      <c r="EP46" s="653"/>
      <c r="EQ46" s="653"/>
      <c r="ER46" s="653"/>
      <c r="ES46" s="653"/>
      <c r="ET46" s="653"/>
      <c r="EU46" s="653"/>
      <c r="EV46" s="653"/>
      <c r="EW46" s="653"/>
      <c r="EX46" s="653"/>
      <c r="EY46" s="653"/>
      <c r="EZ46" s="654"/>
      <c r="FA46" s="654"/>
      <c r="FB46" s="654"/>
      <c r="FC46" s="654"/>
      <c r="FD46" s="654"/>
      <c r="FE46" s="655"/>
      <c r="FF46" s="264"/>
      <c r="FM46" s="90"/>
      <c r="FN46" s="2"/>
      <c r="FO46" s="2"/>
      <c r="FP46" s="2"/>
      <c r="FQ46" s="38"/>
      <c r="FR46" s="38"/>
      <c r="FS46" s="38"/>
      <c r="FT46" s="38"/>
      <c r="FU46" s="38"/>
      <c r="FV46" s="38"/>
      <c r="FW46" s="38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1"/>
      <c r="M47" s="167"/>
      <c r="N47" s="606">
        <v>15</v>
      </c>
      <c r="O47" s="606"/>
      <c r="P47" s="606"/>
      <c r="Q47" s="607"/>
      <c r="R47" s="667"/>
      <c r="S47" s="668"/>
      <c r="T47" s="668"/>
      <c r="U47" s="609"/>
      <c r="V47" s="610"/>
      <c r="W47" s="610"/>
      <c r="X47" s="610"/>
      <c r="Y47" s="610"/>
      <c r="Z47" s="610"/>
      <c r="AA47" s="610"/>
      <c r="AB47" s="610"/>
      <c r="AC47" s="610"/>
      <c r="AD47" s="610"/>
      <c r="AE47" s="610"/>
      <c r="AF47" s="610"/>
      <c r="AG47" s="610"/>
      <c r="AH47" s="610"/>
      <c r="AI47" s="610"/>
      <c r="AJ47" s="610"/>
      <c r="AK47" s="611"/>
      <c r="AL47" s="679"/>
      <c r="AM47" s="680"/>
      <c r="AN47" s="680"/>
      <c r="AO47" s="613"/>
      <c r="AP47" s="681"/>
      <c r="AQ47" s="681"/>
      <c r="AR47" s="681"/>
      <c r="AS47" s="681"/>
      <c r="AT47" s="681"/>
      <c r="AU47" s="681"/>
      <c r="AV47" s="681"/>
      <c r="AW47" s="681"/>
      <c r="AX47" s="681"/>
      <c r="AY47" s="681"/>
      <c r="AZ47" s="681"/>
      <c r="BA47" s="681"/>
      <c r="BB47" s="681"/>
      <c r="BC47" s="681"/>
      <c r="BD47" s="681"/>
      <c r="BE47" s="681"/>
      <c r="BF47" s="681"/>
      <c r="BG47" s="682"/>
      <c r="BH47" s="685"/>
      <c r="BI47" s="686"/>
      <c r="BJ47" s="686"/>
      <c r="BK47" s="687"/>
      <c r="BL47" s="685"/>
      <c r="BM47" s="686"/>
      <c r="BN47" s="686"/>
      <c r="BO47" s="686"/>
      <c r="BP47" s="686"/>
      <c r="BQ47" s="687"/>
      <c r="BR47" s="685"/>
      <c r="BS47" s="686"/>
      <c r="BT47" s="686"/>
      <c r="BU47" s="686"/>
      <c r="BV47" s="687"/>
      <c r="BW47" s="676"/>
      <c r="BX47" s="677"/>
      <c r="BY47" s="677"/>
      <c r="BZ47" s="677"/>
      <c r="CA47" s="678"/>
      <c r="CB47" s="614">
        <f>BEZ_Dim_15_Anz*KI_N</f>
        <v>0</v>
      </c>
      <c r="CC47" s="615">
        <f>BEZ_Dim_15_L*BEZ_Dim_15_B*BEZ_Dim_15_H*BEZ_Dim_15_Anz /10^9</f>
        <v>0</v>
      </c>
      <c r="CD47" s="615"/>
      <c r="CE47" s="615"/>
      <c r="CF47" s="615"/>
      <c r="CG47" s="615"/>
      <c r="CH47" s="615"/>
      <c r="CI47" s="615"/>
      <c r="CJ47" s="616"/>
      <c r="CK47" s="616"/>
      <c r="CL47" s="616"/>
      <c r="CM47" s="616"/>
      <c r="CN47" s="616"/>
      <c r="CO47" s="616"/>
      <c r="CP47" s="616"/>
      <c r="CQ47" s="617">
        <f>BEZ_Dim_15_CBM*BEZ_Dim_15_SPGEW</f>
        <v>0</v>
      </c>
      <c r="CR47" s="617"/>
      <c r="CS47" s="617"/>
      <c r="CT47" s="617"/>
      <c r="CU47" s="617"/>
      <c r="CV47" s="617"/>
      <c r="CW47" s="617"/>
      <c r="CX47" s="617"/>
      <c r="CY47" s="617"/>
      <c r="CZ47" s="617">
        <f>BEZ_Dim_15_L*BEZ_Dim_15_Anz/1000</f>
        <v>0</v>
      </c>
      <c r="DA47" s="617"/>
      <c r="DB47" s="617"/>
      <c r="DC47" s="617"/>
      <c r="DD47" s="617"/>
      <c r="DE47" s="617"/>
      <c r="DF47" s="617"/>
      <c r="DG47" s="618"/>
      <c r="DH47" s="619"/>
      <c r="DI47" s="619"/>
      <c r="DJ47" s="619"/>
      <c r="DK47" s="619"/>
      <c r="DL47" s="619"/>
      <c r="DM47" s="619"/>
      <c r="DN47" s="620"/>
      <c r="DO47" s="600"/>
      <c r="DP47" s="601"/>
      <c r="DQ47" s="601"/>
      <c r="DR47" s="601"/>
      <c r="DS47" s="601"/>
      <c r="DT47" s="602">
        <f>BEZ_Dim_15_CBM*BEZ_Dim_15_EuCBM*((BEZ_Dim_15_VAZ/100)+1)</f>
        <v>0</v>
      </c>
      <c r="DU47" s="602"/>
      <c r="DV47" s="602"/>
      <c r="DW47" s="602"/>
      <c r="DX47" s="602"/>
      <c r="DY47" s="602"/>
      <c r="DZ47" s="602"/>
      <c r="EA47" s="602"/>
      <c r="EB47" s="602">
        <f>CC47*DG47*((DO47/100)+1)*KI_N</f>
        <v>0</v>
      </c>
      <c r="EC47" s="602"/>
      <c r="ED47" s="602"/>
      <c r="EE47" s="602"/>
      <c r="EF47" s="602"/>
      <c r="EG47" s="602"/>
      <c r="EH47" s="602"/>
      <c r="EI47" s="602"/>
      <c r="EJ47" s="652"/>
      <c r="EK47" s="653"/>
      <c r="EL47" s="653"/>
      <c r="EM47" s="653"/>
      <c r="EN47" s="653"/>
      <c r="EO47" s="653"/>
      <c r="EP47" s="653"/>
      <c r="EQ47" s="653"/>
      <c r="ER47" s="653"/>
      <c r="ES47" s="653"/>
      <c r="ET47" s="653"/>
      <c r="EU47" s="653"/>
      <c r="EV47" s="653"/>
      <c r="EW47" s="653"/>
      <c r="EX47" s="653"/>
      <c r="EY47" s="653"/>
      <c r="EZ47" s="654"/>
      <c r="FA47" s="654"/>
      <c r="FB47" s="654"/>
      <c r="FC47" s="654"/>
      <c r="FD47" s="654"/>
      <c r="FE47" s="655"/>
      <c r="FF47" s="264"/>
      <c r="FM47" s="90"/>
      <c r="FN47" s="351"/>
      <c r="FO47" s="2"/>
      <c r="FP47" s="2"/>
      <c r="FQ47" s="38"/>
      <c r="FR47" s="38"/>
      <c r="FS47" s="38"/>
      <c r="FT47" s="38"/>
      <c r="FU47" s="38"/>
      <c r="FV47" s="38"/>
      <c r="FW47" s="38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1"/>
      <c r="M48" s="167"/>
      <c r="N48" s="606"/>
      <c r="O48" s="606"/>
      <c r="P48" s="606"/>
      <c r="Q48" s="607"/>
      <c r="R48" s="667"/>
      <c r="S48" s="668"/>
      <c r="T48" s="668"/>
      <c r="U48" s="609"/>
      <c r="V48" s="610"/>
      <c r="W48" s="610"/>
      <c r="X48" s="610"/>
      <c r="Y48" s="610"/>
      <c r="Z48" s="610"/>
      <c r="AA48" s="610"/>
      <c r="AB48" s="610"/>
      <c r="AC48" s="610"/>
      <c r="AD48" s="610"/>
      <c r="AE48" s="610"/>
      <c r="AF48" s="610"/>
      <c r="AG48" s="610"/>
      <c r="AH48" s="610"/>
      <c r="AI48" s="610"/>
      <c r="AJ48" s="610"/>
      <c r="AK48" s="611"/>
      <c r="AL48" s="679"/>
      <c r="AM48" s="680"/>
      <c r="AN48" s="680"/>
      <c r="AO48" s="613"/>
      <c r="AP48" s="683"/>
      <c r="AQ48" s="683"/>
      <c r="AR48" s="683"/>
      <c r="AS48" s="683"/>
      <c r="AT48" s="683"/>
      <c r="AU48" s="683"/>
      <c r="AV48" s="683"/>
      <c r="AW48" s="683"/>
      <c r="AX48" s="683"/>
      <c r="AY48" s="683"/>
      <c r="AZ48" s="683"/>
      <c r="BA48" s="683"/>
      <c r="BB48" s="683"/>
      <c r="BC48" s="683"/>
      <c r="BD48" s="683"/>
      <c r="BE48" s="683"/>
      <c r="BF48" s="683"/>
      <c r="BG48" s="684"/>
      <c r="BH48" s="685"/>
      <c r="BI48" s="686"/>
      <c r="BJ48" s="686"/>
      <c r="BK48" s="687"/>
      <c r="BL48" s="685"/>
      <c r="BM48" s="686"/>
      <c r="BN48" s="686"/>
      <c r="BO48" s="686"/>
      <c r="BP48" s="686"/>
      <c r="BQ48" s="687"/>
      <c r="BR48" s="685"/>
      <c r="BS48" s="686"/>
      <c r="BT48" s="686"/>
      <c r="BU48" s="686"/>
      <c r="BV48" s="687"/>
      <c r="BW48" s="676"/>
      <c r="BX48" s="677"/>
      <c r="BY48" s="677"/>
      <c r="BZ48" s="677"/>
      <c r="CA48" s="678"/>
      <c r="CB48" s="614"/>
      <c r="CC48" s="615"/>
      <c r="CD48" s="615"/>
      <c r="CE48" s="615"/>
      <c r="CF48" s="615"/>
      <c r="CG48" s="615"/>
      <c r="CH48" s="615"/>
      <c r="CI48" s="615"/>
      <c r="CJ48" s="616"/>
      <c r="CK48" s="616"/>
      <c r="CL48" s="616"/>
      <c r="CM48" s="616"/>
      <c r="CN48" s="616"/>
      <c r="CO48" s="616"/>
      <c r="CP48" s="616"/>
      <c r="CQ48" s="617"/>
      <c r="CR48" s="617"/>
      <c r="CS48" s="617"/>
      <c r="CT48" s="617"/>
      <c r="CU48" s="617"/>
      <c r="CV48" s="617"/>
      <c r="CW48" s="617"/>
      <c r="CX48" s="617"/>
      <c r="CY48" s="617"/>
      <c r="CZ48" s="617"/>
      <c r="DA48" s="617"/>
      <c r="DB48" s="617"/>
      <c r="DC48" s="617"/>
      <c r="DD48" s="617"/>
      <c r="DE48" s="617"/>
      <c r="DF48" s="617"/>
      <c r="DG48" s="618"/>
      <c r="DH48" s="619"/>
      <c r="DI48" s="619"/>
      <c r="DJ48" s="619"/>
      <c r="DK48" s="619"/>
      <c r="DL48" s="619"/>
      <c r="DM48" s="619"/>
      <c r="DN48" s="620"/>
      <c r="DO48" s="600"/>
      <c r="DP48" s="601"/>
      <c r="DQ48" s="601"/>
      <c r="DR48" s="601"/>
      <c r="DS48" s="601"/>
      <c r="DT48" s="602"/>
      <c r="DU48" s="602"/>
      <c r="DV48" s="602"/>
      <c r="DW48" s="602"/>
      <c r="DX48" s="602"/>
      <c r="DY48" s="602"/>
      <c r="DZ48" s="602"/>
      <c r="EA48" s="602"/>
      <c r="EB48" s="602"/>
      <c r="EC48" s="602"/>
      <c r="ED48" s="602"/>
      <c r="EE48" s="602"/>
      <c r="EF48" s="602"/>
      <c r="EG48" s="602"/>
      <c r="EH48" s="602"/>
      <c r="EI48" s="602"/>
      <c r="EJ48" s="652"/>
      <c r="EK48" s="653"/>
      <c r="EL48" s="653"/>
      <c r="EM48" s="653"/>
      <c r="EN48" s="653"/>
      <c r="EO48" s="653"/>
      <c r="EP48" s="653"/>
      <c r="EQ48" s="653"/>
      <c r="ER48" s="653"/>
      <c r="ES48" s="653"/>
      <c r="ET48" s="653"/>
      <c r="EU48" s="653"/>
      <c r="EV48" s="653"/>
      <c r="EW48" s="653"/>
      <c r="EX48" s="653"/>
      <c r="EY48" s="653"/>
      <c r="EZ48" s="654"/>
      <c r="FA48" s="654"/>
      <c r="FB48" s="654"/>
      <c r="FC48" s="654"/>
      <c r="FD48" s="654"/>
      <c r="FE48" s="655"/>
      <c r="FF48" s="264"/>
      <c r="FM48" s="90"/>
      <c r="FN48" s="2"/>
      <c r="FO48" s="2"/>
      <c r="FP48" s="2"/>
      <c r="FQ48" s="38"/>
      <c r="FR48" s="38"/>
      <c r="FS48" s="38"/>
      <c r="FT48" s="38"/>
      <c r="FU48" s="38"/>
      <c r="FV48" s="38"/>
      <c r="FW48" s="38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1"/>
      <c r="M49" s="167"/>
      <c r="N49" s="606">
        <v>16</v>
      </c>
      <c r="O49" s="606"/>
      <c r="P49" s="606"/>
      <c r="Q49" s="688">
        <v>10002643</v>
      </c>
      <c r="R49" s="667" t="str">
        <f>IF(SE_KTS_OPT=0,"","SE")</f>
        <v/>
      </c>
      <c r="S49" s="668"/>
      <c r="T49" s="668"/>
      <c r="U49" s="609" t="s">
        <v>6</v>
      </c>
      <c r="V49" s="690" t="str">
        <f>IF(SE_KTS_OPT=0,"","Kombitransportsicherung")</f>
        <v/>
      </c>
      <c r="W49" s="690"/>
      <c r="X49" s="690"/>
      <c r="Y49" s="690"/>
      <c r="Z49" s="690"/>
      <c r="AA49" s="690"/>
      <c r="AB49" s="690"/>
      <c r="AC49" s="690"/>
      <c r="AD49" s="690"/>
      <c r="AE49" s="690"/>
      <c r="AF49" s="690"/>
      <c r="AG49" s="690"/>
      <c r="AH49" s="690"/>
      <c r="AI49" s="690"/>
      <c r="AJ49" s="690"/>
      <c r="AK49" s="691"/>
      <c r="AL49" s="679" t="s">
        <v>170</v>
      </c>
      <c r="AM49" s="680"/>
      <c r="AN49" s="680"/>
      <c r="AO49" s="613" t="s">
        <v>6</v>
      </c>
      <c r="AP49" s="680" t="s">
        <v>472</v>
      </c>
      <c r="AQ49" s="680"/>
      <c r="AR49" s="680"/>
      <c r="AS49" s="680"/>
      <c r="AT49" s="680"/>
      <c r="AU49" s="680"/>
      <c r="AV49" s="680"/>
      <c r="AW49" s="680"/>
      <c r="AX49" s="680"/>
      <c r="AY49" s="680"/>
      <c r="AZ49" s="680"/>
      <c r="BA49" s="680"/>
      <c r="BB49" s="680"/>
      <c r="BC49" s="680"/>
      <c r="BD49" s="680"/>
      <c r="BE49" s="680"/>
      <c r="BF49" s="680"/>
      <c r="BG49" s="692"/>
      <c r="BH49" s="685">
        <f>SE_TSKW_N * 2 *SE_KTS_OPT</f>
        <v>0</v>
      </c>
      <c r="BI49" s="686"/>
      <c r="BJ49" s="686"/>
      <c r="BK49" s="687"/>
      <c r="BL49" s="685">
        <f>SE_TSKW_L *SE_KTS_OPT</f>
        <v>0</v>
      </c>
      <c r="BM49" s="686"/>
      <c r="BN49" s="686"/>
      <c r="BO49" s="686"/>
      <c r="BP49" s="686"/>
      <c r="BQ49" s="687"/>
      <c r="BR49" s="685">
        <f>SE_TSKW_B*SE_KTS_OPT</f>
        <v>0</v>
      </c>
      <c r="BS49" s="686"/>
      <c r="BT49" s="686"/>
      <c r="BU49" s="686"/>
      <c r="BV49" s="687"/>
      <c r="BW49" s="676">
        <f>SE_KTS_H*SE_KTS_OPT</f>
        <v>0</v>
      </c>
      <c r="BX49" s="677"/>
      <c r="BY49" s="677"/>
      <c r="BZ49" s="677"/>
      <c r="CA49" s="678"/>
      <c r="CB49" s="614">
        <f>BEZ_Dim_16_Anz*KI_N</f>
        <v>0</v>
      </c>
      <c r="CC49" s="615">
        <f>BEZ_Dim_16_L*BEZ_Dim_16_B*BEZ_Dim_16_H*BEZ_Dim_16_Anz /10^9</f>
        <v>0</v>
      </c>
      <c r="CD49" s="615"/>
      <c r="CE49" s="615"/>
      <c r="CF49" s="615"/>
      <c r="CG49" s="615"/>
      <c r="CH49" s="615"/>
      <c r="CI49" s="615"/>
      <c r="CJ49" s="616">
        <v>600</v>
      </c>
      <c r="CK49" s="616"/>
      <c r="CL49" s="616"/>
      <c r="CM49" s="616"/>
      <c r="CN49" s="616"/>
      <c r="CO49" s="616"/>
      <c r="CP49" s="616"/>
      <c r="CQ49" s="617">
        <f>BEZ_Dim_16_CBM*BEZ_Dim_16_SPGEW</f>
        <v>0</v>
      </c>
      <c r="CR49" s="617"/>
      <c r="CS49" s="617"/>
      <c r="CT49" s="617"/>
      <c r="CU49" s="617"/>
      <c r="CV49" s="617"/>
      <c r="CW49" s="617"/>
      <c r="CX49" s="617"/>
      <c r="CY49" s="617"/>
      <c r="CZ49" s="617">
        <f>BEZ_Dim_16_L*BEZ_Dim_16_Anz/1000</f>
        <v>0</v>
      </c>
      <c r="DA49" s="617"/>
      <c r="DB49" s="617"/>
      <c r="DC49" s="617"/>
      <c r="DD49" s="617"/>
      <c r="DE49" s="617"/>
      <c r="DF49" s="617"/>
      <c r="DG49" s="618">
        <v>640</v>
      </c>
      <c r="DH49" s="619"/>
      <c r="DI49" s="619"/>
      <c r="DJ49" s="619"/>
      <c r="DK49" s="619"/>
      <c r="DL49" s="619"/>
      <c r="DM49" s="619"/>
      <c r="DN49" s="620"/>
      <c r="DO49" s="600">
        <v>25</v>
      </c>
      <c r="DP49" s="601"/>
      <c r="DQ49" s="601"/>
      <c r="DR49" s="601"/>
      <c r="DS49" s="601"/>
      <c r="DT49" s="602">
        <f>BEZ_Dim_16_CBM*BEZ_Dim_16_EuCBM*((BEZ_Dim_16_VAZ/100)+1)</f>
        <v>0</v>
      </c>
      <c r="DU49" s="602"/>
      <c r="DV49" s="602"/>
      <c r="DW49" s="602"/>
      <c r="DX49" s="602"/>
      <c r="DY49" s="602"/>
      <c r="DZ49" s="602"/>
      <c r="EA49" s="602"/>
      <c r="EB49" s="602">
        <f>CC49*DG49*((DO49/100)+1)*KI_N</f>
        <v>0</v>
      </c>
      <c r="EC49" s="602"/>
      <c r="ED49" s="602"/>
      <c r="EE49" s="602"/>
      <c r="EF49" s="602"/>
      <c r="EG49" s="602"/>
      <c r="EH49" s="602"/>
      <c r="EI49" s="602"/>
      <c r="EJ49" s="656" t="s">
        <v>322</v>
      </c>
      <c r="EK49" s="657"/>
      <c r="EL49" s="657"/>
      <c r="EM49" s="657"/>
      <c r="EN49" s="657"/>
      <c r="EO49" s="657"/>
      <c r="EP49" s="657"/>
      <c r="EQ49" s="657"/>
      <c r="ER49" s="657"/>
      <c r="ES49" s="657"/>
      <c r="ET49" s="657"/>
      <c r="EU49" s="657"/>
      <c r="EV49" s="657"/>
      <c r="EW49" s="657"/>
      <c r="EX49" s="657"/>
      <c r="EY49" s="657"/>
      <c r="EZ49" s="657"/>
      <c r="FA49" s="657"/>
      <c r="FB49" s="657"/>
      <c r="FC49" s="657"/>
      <c r="FD49" s="657"/>
      <c r="FE49" s="658"/>
      <c r="FF49" s="264"/>
      <c r="FM49" s="90"/>
      <c r="FN49" s="351"/>
      <c r="FO49" s="2"/>
      <c r="FP49" s="2"/>
      <c r="FQ49" s="38"/>
      <c r="FR49" s="38"/>
      <c r="FS49" s="38"/>
      <c r="FT49" s="38"/>
      <c r="FU49" s="38"/>
      <c r="FV49" s="38"/>
      <c r="FW49" s="38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1"/>
      <c r="M50" s="167"/>
      <c r="N50" s="606"/>
      <c r="O50" s="606"/>
      <c r="P50" s="606"/>
      <c r="Q50" s="689"/>
      <c r="R50" s="667"/>
      <c r="S50" s="668"/>
      <c r="T50" s="668"/>
      <c r="U50" s="609"/>
      <c r="V50" s="690"/>
      <c r="W50" s="690"/>
      <c r="X50" s="690"/>
      <c r="Y50" s="690"/>
      <c r="Z50" s="690"/>
      <c r="AA50" s="690"/>
      <c r="AB50" s="690"/>
      <c r="AC50" s="690"/>
      <c r="AD50" s="690"/>
      <c r="AE50" s="690"/>
      <c r="AF50" s="690"/>
      <c r="AG50" s="690"/>
      <c r="AH50" s="690"/>
      <c r="AI50" s="690"/>
      <c r="AJ50" s="690"/>
      <c r="AK50" s="691"/>
      <c r="AL50" s="679"/>
      <c r="AM50" s="680"/>
      <c r="AN50" s="680"/>
      <c r="AO50" s="613"/>
      <c r="AP50" s="680"/>
      <c r="AQ50" s="680"/>
      <c r="AR50" s="680"/>
      <c r="AS50" s="680"/>
      <c r="AT50" s="680"/>
      <c r="AU50" s="680"/>
      <c r="AV50" s="680"/>
      <c r="AW50" s="680"/>
      <c r="AX50" s="680"/>
      <c r="AY50" s="680"/>
      <c r="AZ50" s="680"/>
      <c r="BA50" s="680"/>
      <c r="BB50" s="680"/>
      <c r="BC50" s="680"/>
      <c r="BD50" s="680"/>
      <c r="BE50" s="680"/>
      <c r="BF50" s="680"/>
      <c r="BG50" s="692"/>
      <c r="BH50" s="685"/>
      <c r="BI50" s="686"/>
      <c r="BJ50" s="686"/>
      <c r="BK50" s="687"/>
      <c r="BL50" s="685"/>
      <c r="BM50" s="686"/>
      <c r="BN50" s="686"/>
      <c r="BO50" s="686"/>
      <c r="BP50" s="686"/>
      <c r="BQ50" s="687"/>
      <c r="BR50" s="685"/>
      <c r="BS50" s="686"/>
      <c r="BT50" s="686"/>
      <c r="BU50" s="686"/>
      <c r="BV50" s="687"/>
      <c r="BW50" s="676"/>
      <c r="BX50" s="677"/>
      <c r="BY50" s="677"/>
      <c r="BZ50" s="677"/>
      <c r="CA50" s="678"/>
      <c r="CB50" s="614"/>
      <c r="CC50" s="615"/>
      <c r="CD50" s="615"/>
      <c r="CE50" s="615"/>
      <c r="CF50" s="615"/>
      <c r="CG50" s="615"/>
      <c r="CH50" s="615"/>
      <c r="CI50" s="615"/>
      <c r="CJ50" s="616"/>
      <c r="CK50" s="616"/>
      <c r="CL50" s="616"/>
      <c r="CM50" s="616"/>
      <c r="CN50" s="616"/>
      <c r="CO50" s="616"/>
      <c r="CP50" s="616"/>
      <c r="CQ50" s="617"/>
      <c r="CR50" s="617"/>
      <c r="CS50" s="617"/>
      <c r="CT50" s="617"/>
      <c r="CU50" s="617"/>
      <c r="CV50" s="617"/>
      <c r="CW50" s="617"/>
      <c r="CX50" s="617"/>
      <c r="CY50" s="617"/>
      <c r="CZ50" s="617"/>
      <c r="DA50" s="617"/>
      <c r="DB50" s="617"/>
      <c r="DC50" s="617"/>
      <c r="DD50" s="617"/>
      <c r="DE50" s="617"/>
      <c r="DF50" s="617"/>
      <c r="DG50" s="618"/>
      <c r="DH50" s="619"/>
      <c r="DI50" s="619"/>
      <c r="DJ50" s="619"/>
      <c r="DK50" s="619"/>
      <c r="DL50" s="619"/>
      <c r="DM50" s="619"/>
      <c r="DN50" s="620"/>
      <c r="DO50" s="600"/>
      <c r="DP50" s="601"/>
      <c r="DQ50" s="601"/>
      <c r="DR50" s="601"/>
      <c r="DS50" s="601"/>
      <c r="DT50" s="602"/>
      <c r="DU50" s="602"/>
      <c r="DV50" s="602"/>
      <c r="DW50" s="602"/>
      <c r="DX50" s="602"/>
      <c r="DY50" s="602"/>
      <c r="DZ50" s="602"/>
      <c r="EA50" s="602"/>
      <c r="EB50" s="602"/>
      <c r="EC50" s="602"/>
      <c r="ED50" s="602"/>
      <c r="EE50" s="602"/>
      <c r="EF50" s="602"/>
      <c r="EG50" s="602"/>
      <c r="EH50" s="602"/>
      <c r="EI50" s="602"/>
      <c r="EJ50" s="656"/>
      <c r="EK50" s="657"/>
      <c r="EL50" s="657"/>
      <c r="EM50" s="657"/>
      <c r="EN50" s="657"/>
      <c r="EO50" s="657"/>
      <c r="EP50" s="657"/>
      <c r="EQ50" s="657"/>
      <c r="ER50" s="657"/>
      <c r="ES50" s="657"/>
      <c r="ET50" s="657"/>
      <c r="EU50" s="657"/>
      <c r="EV50" s="657"/>
      <c r="EW50" s="657"/>
      <c r="EX50" s="657"/>
      <c r="EY50" s="657"/>
      <c r="EZ50" s="657"/>
      <c r="FA50" s="657"/>
      <c r="FB50" s="657"/>
      <c r="FC50" s="657"/>
      <c r="FD50" s="657"/>
      <c r="FE50" s="658"/>
      <c r="FF50" s="264"/>
      <c r="FM50" s="90"/>
      <c r="FN50" s="2"/>
      <c r="FO50" s="2"/>
      <c r="FP50" s="2"/>
      <c r="FQ50" s="38"/>
      <c r="FR50" s="38"/>
      <c r="FS50" s="38"/>
      <c r="FT50" s="38"/>
      <c r="FU50" s="38"/>
      <c r="FV50" s="38"/>
      <c r="FW50" s="38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1"/>
      <c r="M51" s="167"/>
      <c r="N51" s="606">
        <v>17</v>
      </c>
      <c r="O51" s="606"/>
      <c r="P51" s="606"/>
      <c r="Q51" s="688" t="str">
        <f>IF(SE_FHW_OPT=0,"",BEZ_Dim_8_SAGEID)</f>
        <v/>
      </c>
      <c r="R51" s="667" t="str">
        <f>IF(SE_FHW_OPT=0,"","SE")</f>
        <v/>
      </c>
      <c r="S51" s="668"/>
      <c r="T51" s="668"/>
      <c r="U51" s="609" t="s">
        <v>6</v>
      </c>
      <c r="V51" s="690" t="str">
        <f>IF(SE_FHW_OPT=0,"","Abstützung Kombi-TS Links")</f>
        <v/>
      </c>
      <c r="W51" s="690"/>
      <c r="X51" s="690"/>
      <c r="Y51" s="690"/>
      <c r="Z51" s="690"/>
      <c r="AA51" s="690"/>
      <c r="AB51" s="690"/>
      <c r="AC51" s="690"/>
      <c r="AD51" s="690"/>
      <c r="AE51" s="690"/>
      <c r="AF51" s="690"/>
      <c r="AG51" s="690"/>
      <c r="AH51" s="690"/>
      <c r="AI51" s="690"/>
      <c r="AJ51" s="690"/>
      <c r="AK51" s="691"/>
      <c r="AL51" s="679" t="str">
        <f>IF(SE_FHW_OPT=0,"",BEZ_Dim_8_MG)</f>
        <v/>
      </c>
      <c r="AM51" s="680"/>
      <c r="AN51" s="680"/>
      <c r="AO51" s="613" t="s">
        <v>6</v>
      </c>
      <c r="AP51" s="680" t="str">
        <f>IF(SE_FHW_OPT=0,"",BEZ_Dim_8_MB)</f>
        <v/>
      </c>
      <c r="AQ51" s="680"/>
      <c r="AR51" s="680"/>
      <c r="AS51" s="680"/>
      <c r="AT51" s="680"/>
      <c r="AU51" s="680"/>
      <c r="AV51" s="680"/>
      <c r="AW51" s="680"/>
      <c r="AX51" s="680"/>
      <c r="AY51" s="680"/>
      <c r="AZ51" s="680"/>
      <c r="BA51" s="680"/>
      <c r="BB51" s="680"/>
      <c r="BC51" s="680"/>
      <c r="BD51" s="680"/>
      <c r="BE51" s="680"/>
      <c r="BF51" s="680"/>
      <c r="BG51" s="692"/>
      <c r="BH51" s="685" t="str">
        <f>IF(SE_FHW_OPT=0,"",SE_FHW_N)</f>
        <v/>
      </c>
      <c r="BI51" s="686"/>
      <c r="BJ51" s="686"/>
      <c r="BK51" s="687"/>
      <c r="BL51" s="685" t="str">
        <f>IF(SE_FHW_OPT=0,"",SE_EI_L)</f>
        <v/>
      </c>
      <c r="BM51" s="686"/>
      <c r="BN51" s="686"/>
      <c r="BO51" s="686"/>
      <c r="BP51" s="686"/>
      <c r="BQ51" s="687"/>
      <c r="BR51" s="685" t="str">
        <f>IF(SE_FHW_OPT=0,"",SE_SHS_B)</f>
        <v/>
      </c>
      <c r="BS51" s="686"/>
      <c r="BT51" s="686"/>
      <c r="BU51" s="686"/>
      <c r="BV51" s="687"/>
      <c r="BW51" s="676" t="str">
        <f>IF(SE_FHW_OPT=0,"",SE_SHS_H)</f>
        <v/>
      </c>
      <c r="BX51" s="677"/>
      <c r="BY51" s="677"/>
      <c r="BZ51" s="677"/>
      <c r="CA51" s="678"/>
      <c r="CB51" s="614" t="e">
        <f>BEZ_Dim_17_Anz*KI_N</f>
        <v>#VALUE!</v>
      </c>
      <c r="CC51" s="615" t="str">
        <f>IF(SE_FHW_OPT=0,"",BEZ_Dim_17_L*BEZ_Dim_17_B*BEZ_Dim_17_H*BEZ_Dim_17_Anz /10^9)</f>
        <v/>
      </c>
      <c r="CD51" s="615"/>
      <c r="CE51" s="615"/>
      <c r="CF51" s="615"/>
      <c r="CG51" s="615"/>
      <c r="CH51" s="615"/>
      <c r="CI51" s="615"/>
      <c r="CJ51" s="695" t="str">
        <f>IF(SE_FHW_OPT=0,"",BEZ_Dim_8_SPGEW)</f>
        <v/>
      </c>
      <c r="CK51" s="695"/>
      <c r="CL51" s="695"/>
      <c r="CM51" s="695"/>
      <c r="CN51" s="695"/>
      <c r="CO51" s="695"/>
      <c r="CP51" s="695"/>
      <c r="CQ51" s="617" t="str">
        <f>IF(SE_FHW_OPT=0,"",BEZ_Dim_17_CBM*BEZ_Dim_17_SPGEW)</f>
        <v/>
      </c>
      <c r="CR51" s="617"/>
      <c r="CS51" s="617"/>
      <c r="CT51" s="617"/>
      <c r="CU51" s="617"/>
      <c r="CV51" s="617"/>
      <c r="CW51" s="617"/>
      <c r="CX51" s="617"/>
      <c r="CY51" s="617"/>
      <c r="CZ51" s="617" t="str">
        <f>IF(SE_FHW_OPT=0,"",BEZ_Dim_17_L*BEZ_Dim_17_Anz/1000)</f>
        <v/>
      </c>
      <c r="DA51" s="617"/>
      <c r="DB51" s="617"/>
      <c r="DC51" s="617"/>
      <c r="DD51" s="617"/>
      <c r="DE51" s="617"/>
      <c r="DF51" s="617"/>
      <c r="DG51" s="696" t="str">
        <f>IF(SE_FHW_OPT=0,"",BEZ_Dim_8_EuCBM)</f>
        <v/>
      </c>
      <c r="DH51" s="697"/>
      <c r="DI51" s="697"/>
      <c r="DJ51" s="697"/>
      <c r="DK51" s="697"/>
      <c r="DL51" s="697"/>
      <c r="DM51" s="697"/>
      <c r="DN51" s="698"/>
      <c r="DO51" s="693" t="str">
        <f>IF(SE_FHW_OPT=0,"",BEZ_Dim_8_VAZ)</f>
        <v/>
      </c>
      <c r="DP51" s="694"/>
      <c r="DQ51" s="694"/>
      <c r="DR51" s="694"/>
      <c r="DS51" s="694"/>
      <c r="DT51" s="602" t="str">
        <f>IF(SE_FHW_OPT=0,"",BEZ_Dim_17_CBM*BEZ_Dim_17_EuCBM*((BEZ_Dim_17_VAZ/100)+1))</f>
        <v/>
      </c>
      <c r="DU51" s="602"/>
      <c r="DV51" s="602"/>
      <c r="DW51" s="602"/>
      <c r="DX51" s="602"/>
      <c r="DY51" s="602"/>
      <c r="DZ51" s="602"/>
      <c r="EA51" s="602"/>
      <c r="EB51" s="602" t="e">
        <f>CC51*DG51*((DO51/100)+1)*KI_N</f>
        <v>#VALUE!</v>
      </c>
      <c r="EC51" s="602"/>
      <c r="ED51" s="602"/>
      <c r="EE51" s="602"/>
      <c r="EF51" s="602"/>
      <c r="EG51" s="602"/>
      <c r="EH51" s="602"/>
      <c r="EI51" s="602"/>
      <c r="EJ51" s="659">
        <f>SUM(CZ19:DF110)</f>
        <v>20.291999999999998</v>
      </c>
      <c r="EK51" s="660"/>
      <c r="EL51" s="660"/>
      <c r="EM51" s="660"/>
      <c r="EN51" s="660"/>
      <c r="EO51" s="660"/>
      <c r="EP51" s="660"/>
      <c r="EQ51" s="660"/>
      <c r="ER51" s="660"/>
      <c r="ES51" s="660"/>
      <c r="ET51" s="660"/>
      <c r="EU51" s="660"/>
      <c r="EV51" s="660"/>
      <c r="EW51" s="660"/>
      <c r="EX51" s="660"/>
      <c r="EY51" s="660"/>
      <c r="EZ51" s="661" t="s">
        <v>301</v>
      </c>
      <c r="FA51" s="661"/>
      <c r="FB51" s="661"/>
      <c r="FC51" s="661"/>
      <c r="FD51" s="661"/>
      <c r="FE51" s="662"/>
      <c r="FF51" s="264"/>
      <c r="FM51" s="90"/>
      <c r="FN51" s="351"/>
      <c r="FO51" s="2"/>
      <c r="FP51" s="2"/>
      <c r="FQ51" s="38"/>
      <c r="FR51" s="38"/>
      <c r="FS51" s="38"/>
      <c r="FT51" s="38"/>
      <c r="FU51" s="38"/>
      <c r="FV51" s="38"/>
      <c r="FW51" s="38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1"/>
      <c r="M52" s="167"/>
      <c r="N52" s="606"/>
      <c r="O52" s="606"/>
      <c r="P52" s="606"/>
      <c r="Q52" s="689"/>
      <c r="R52" s="667"/>
      <c r="S52" s="668"/>
      <c r="T52" s="668"/>
      <c r="U52" s="609"/>
      <c r="V52" s="690"/>
      <c r="W52" s="690"/>
      <c r="X52" s="690"/>
      <c r="Y52" s="690"/>
      <c r="Z52" s="690"/>
      <c r="AA52" s="690"/>
      <c r="AB52" s="690"/>
      <c r="AC52" s="690"/>
      <c r="AD52" s="690"/>
      <c r="AE52" s="690"/>
      <c r="AF52" s="690"/>
      <c r="AG52" s="690"/>
      <c r="AH52" s="690"/>
      <c r="AI52" s="690"/>
      <c r="AJ52" s="690"/>
      <c r="AK52" s="691"/>
      <c r="AL52" s="679"/>
      <c r="AM52" s="680"/>
      <c r="AN52" s="680"/>
      <c r="AO52" s="613"/>
      <c r="AP52" s="680"/>
      <c r="AQ52" s="680"/>
      <c r="AR52" s="680"/>
      <c r="AS52" s="680"/>
      <c r="AT52" s="680"/>
      <c r="AU52" s="680"/>
      <c r="AV52" s="680"/>
      <c r="AW52" s="680"/>
      <c r="AX52" s="680"/>
      <c r="AY52" s="680"/>
      <c r="AZ52" s="680"/>
      <c r="BA52" s="680"/>
      <c r="BB52" s="680"/>
      <c r="BC52" s="680"/>
      <c r="BD52" s="680"/>
      <c r="BE52" s="680"/>
      <c r="BF52" s="680"/>
      <c r="BG52" s="692"/>
      <c r="BH52" s="685"/>
      <c r="BI52" s="686"/>
      <c r="BJ52" s="686"/>
      <c r="BK52" s="687"/>
      <c r="BL52" s="685"/>
      <c r="BM52" s="686"/>
      <c r="BN52" s="686"/>
      <c r="BO52" s="686"/>
      <c r="BP52" s="686"/>
      <c r="BQ52" s="687"/>
      <c r="BR52" s="685"/>
      <c r="BS52" s="686"/>
      <c r="BT52" s="686"/>
      <c r="BU52" s="686"/>
      <c r="BV52" s="687"/>
      <c r="BW52" s="676"/>
      <c r="BX52" s="677"/>
      <c r="BY52" s="677"/>
      <c r="BZ52" s="677"/>
      <c r="CA52" s="678"/>
      <c r="CB52" s="614"/>
      <c r="CC52" s="615"/>
      <c r="CD52" s="615"/>
      <c r="CE52" s="615"/>
      <c r="CF52" s="615"/>
      <c r="CG52" s="615"/>
      <c r="CH52" s="615"/>
      <c r="CI52" s="615"/>
      <c r="CJ52" s="695"/>
      <c r="CK52" s="695"/>
      <c r="CL52" s="695"/>
      <c r="CM52" s="695"/>
      <c r="CN52" s="695"/>
      <c r="CO52" s="695"/>
      <c r="CP52" s="695"/>
      <c r="CQ52" s="617"/>
      <c r="CR52" s="617"/>
      <c r="CS52" s="617"/>
      <c r="CT52" s="617"/>
      <c r="CU52" s="617"/>
      <c r="CV52" s="617"/>
      <c r="CW52" s="617"/>
      <c r="CX52" s="617"/>
      <c r="CY52" s="617"/>
      <c r="CZ52" s="617"/>
      <c r="DA52" s="617"/>
      <c r="DB52" s="617"/>
      <c r="DC52" s="617"/>
      <c r="DD52" s="617"/>
      <c r="DE52" s="617"/>
      <c r="DF52" s="617"/>
      <c r="DG52" s="696"/>
      <c r="DH52" s="697"/>
      <c r="DI52" s="697"/>
      <c r="DJ52" s="697"/>
      <c r="DK52" s="697"/>
      <c r="DL52" s="697"/>
      <c r="DM52" s="697"/>
      <c r="DN52" s="698"/>
      <c r="DO52" s="693"/>
      <c r="DP52" s="694"/>
      <c r="DQ52" s="694"/>
      <c r="DR52" s="694"/>
      <c r="DS52" s="694"/>
      <c r="DT52" s="602"/>
      <c r="DU52" s="602"/>
      <c r="DV52" s="602"/>
      <c r="DW52" s="602"/>
      <c r="DX52" s="602"/>
      <c r="DY52" s="602"/>
      <c r="DZ52" s="602"/>
      <c r="EA52" s="602"/>
      <c r="EB52" s="602"/>
      <c r="EC52" s="602"/>
      <c r="ED52" s="602"/>
      <c r="EE52" s="602"/>
      <c r="EF52" s="602"/>
      <c r="EG52" s="602"/>
      <c r="EH52" s="602"/>
      <c r="EI52" s="602"/>
      <c r="EJ52" s="659"/>
      <c r="EK52" s="660"/>
      <c r="EL52" s="660"/>
      <c r="EM52" s="660"/>
      <c r="EN52" s="660"/>
      <c r="EO52" s="660"/>
      <c r="EP52" s="660"/>
      <c r="EQ52" s="660"/>
      <c r="ER52" s="660"/>
      <c r="ES52" s="660"/>
      <c r="ET52" s="660"/>
      <c r="EU52" s="660"/>
      <c r="EV52" s="660"/>
      <c r="EW52" s="660"/>
      <c r="EX52" s="660"/>
      <c r="EY52" s="660"/>
      <c r="EZ52" s="661"/>
      <c r="FA52" s="661"/>
      <c r="FB52" s="661"/>
      <c r="FC52" s="661"/>
      <c r="FD52" s="661"/>
      <c r="FE52" s="662"/>
      <c r="FF52" s="264"/>
      <c r="FM52" s="90"/>
      <c r="FN52" s="2"/>
      <c r="FO52" s="2"/>
      <c r="FP52" s="2"/>
      <c r="FQ52" s="38"/>
      <c r="FR52" s="38"/>
      <c r="FS52" s="38"/>
      <c r="FT52" s="38"/>
      <c r="FU52" s="38"/>
      <c r="FV52" s="38"/>
      <c r="FW52" s="38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1"/>
      <c r="M53" s="167"/>
      <c r="N53" s="606">
        <v>18</v>
      </c>
      <c r="O53" s="606"/>
      <c r="P53" s="606"/>
      <c r="Q53" s="689" t="str">
        <f>IF(SE_FHW_OPT=0,"",BEZ_Dim_8_SAGEID)</f>
        <v/>
      </c>
      <c r="R53" s="667" t="str">
        <f>IF(SE_FHW_OPT=0,"","SE")</f>
        <v/>
      </c>
      <c r="S53" s="668"/>
      <c r="T53" s="668"/>
      <c r="U53" s="609" t="s">
        <v>6</v>
      </c>
      <c r="V53" s="690" t="str">
        <f>IF(SE_FHW_OPT=0,"","Abstützung Kombi-TS Rechts")</f>
        <v/>
      </c>
      <c r="W53" s="690"/>
      <c r="X53" s="690"/>
      <c r="Y53" s="690"/>
      <c r="Z53" s="690"/>
      <c r="AA53" s="690"/>
      <c r="AB53" s="690"/>
      <c r="AC53" s="690"/>
      <c r="AD53" s="690"/>
      <c r="AE53" s="690"/>
      <c r="AF53" s="690"/>
      <c r="AG53" s="690"/>
      <c r="AH53" s="690"/>
      <c r="AI53" s="690"/>
      <c r="AJ53" s="690"/>
      <c r="AK53" s="691"/>
      <c r="AL53" s="679" t="str">
        <f>IF(SE_FHW_OPT=0,"",BEZ_Dim_8_MG)</f>
        <v/>
      </c>
      <c r="AM53" s="680"/>
      <c r="AN53" s="680"/>
      <c r="AO53" s="613" t="s">
        <v>6</v>
      </c>
      <c r="AP53" s="680" t="str">
        <f>IF(SE_FHW_OPT=0,"",BEZ_Dim_8_MB)</f>
        <v/>
      </c>
      <c r="AQ53" s="680"/>
      <c r="AR53" s="680"/>
      <c r="AS53" s="680"/>
      <c r="AT53" s="680"/>
      <c r="AU53" s="680"/>
      <c r="AV53" s="680"/>
      <c r="AW53" s="680"/>
      <c r="AX53" s="680"/>
      <c r="AY53" s="680"/>
      <c r="AZ53" s="680"/>
      <c r="BA53" s="680"/>
      <c r="BB53" s="680"/>
      <c r="BC53" s="680"/>
      <c r="BD53" s="680"/>
      <c r="BE53" s="680"/>
      <c r="BF53" s="680"/>
      <c r="BG53" s="692"/>
      <c r="BH53" s="685" t="str">
        <f>IF(SE_FHW_OPT=0,"",SE_FHW_N)</f>
        <v/>
      </c>
      <c r="BI53" s="686"/>
      <c r="BJ53" s="686"/>
      <c r="BK53" s="687"/>
      <c r="BL53" s="685" t="str">
        <f>IF(SE_FHW_OPT=0,"",SE_EI_R)</f>
        <v/>
      </c>
      <c r="BM53" s="686"/>
      <c r="BN53" s="686"/>
      <c r="BO53" s="686"/>
      <c r="BP53" s="686"/>
      <c r="BQ53" s="687"/>
      <c r="BR53" s="685" t="str">
        <f>IF(SE_FHW_OPT=0,"",SE_SHS_B)</f>
        <v/>
      </c>
      <c r="BS53" s="686"/>
      <c r="BT53" s="686"/>
      <c r="BU53" s="686"/>
      <c r="BV53" s="687"/>
      <c r="BW53" s="676" t="str">
        <f>IF(SE_FHW_OPT=0,"",SE_SHS_H)</f>
        <v/>
      </c>
      <c r="BX53" s="677"/>
      <c r="BY53" s="677"/>
      <c r="BZ53" s="677"/>
      <c r="CA53" s="678"/>
      <c r="CB53" s="614" t="e">
        <f>BEZ_Dim_18_Anz*KI_N</f>
        <v>#VALUE!</v>
      </c>
      <c r="CC53" s="615" t="str">
        <f>IF(SE_FHW_OPT=0,"",BEZ_Dim_18_L*BEZ_Dim_18_B*BEZ_Dim_18_H*BEZ_Dim_18_Anz /10^9)</f>
        <v/>
      </c>
      <c r="CD53" s="615"/>
      <c r="CE53" s="615"/>
      <c r="CF53" s="615"/>
      <c r="CG53" s="615"/>
      <c r="CH53" s="615"/>
      <c r="CI53" s="615"/>
      <c r="CJ53" s="695" t="str">
        <f>IF(SE_FHW_OPT=0,"",BEZ_Dim_8_SPGEW)</f>
        <v/>
      </c>
      <c r="CK53" s="695"/>
      <c r="CL53" s="695"/>
      <c r="CM53" s="695"/>
      <c r="CN53" s="695"/>
      <c r="CO53" s="695"/>
      <c r="CP53" s="695"/>
      <c r="CQ53" s="617" t="str">
        <f>IF(SE_FHW_OPT=0,"",BEZ_Dim_18_CBM*BEZ_Dim_18_SPGEW)</f>
        <v/>
      </c>
      <c r="CR53" s="617"/>
      <c r="CS53" s="617"/>
      <c r="CT53" s="617"/>
      <c r="CU53" s="617"/>
      <c r="CV53" s="617"/>
      <c r="CW53" s="617"/>
      <c r="CX53" s="617"/>
      <c r="CY53" s="617"/>
      <c r="CZ53" s="617" t="str">
        <f>IF(SE_FHW_OPT=0,"",BEZ_Dim_18_L*BEZ_Dim_18_Anz/1000)</f>
        <v/>
      </c>
      <c r="DA53" s="617"/>
      <c r="DB53" s="617"/>
      <c r="DC53" s="617"/>
      <c r="DD53" s="617"/>
      <c r="DE53" s="617"/>
      <c r="DF53" s="617"/>
      <c r="DG53" s="696" t="str">
        <f>IF(SE_FHW_OPT=0,"",BEZ_Dim_8_EuCBM)</f>
        <v/>
      </c>
      <c r="DH53" s="697"/>
      <c r="DI53" s="697"/>
      <c r="DJ53" s="697"/>
      <c r="DK53" s="697"/>
      <c r="DL53" s="697"/>
      <c r="DM53" s="697"/>
      <c r="DN53" s="698"/>
      <c r="DO53" s="693" t="str">
        <f>IF(SE_FHW_OPT=0,"",BEZ_Dim_8_VAZ)</f>
        <v/>
      </c>
      <c r="DP53" s="694"/>
      <c r="DQ53" s="694"/>
      <c r="DR53" s="694"/>
      <c r="DS53" s="694"/>
      <c r="DT53" s="602" t="str">
        <f>IF(SE_FHW_OPT=0,"",BEZ_Dim_18_CBM*BEZ_Dim_18_EuCBM*((BEZ_Dim_18_VAZ/100)+1))</f>
        <v/>
      </c>
      <c r="DU53" s="602"/>
      <c r="DV53" s="602"/>
      <c r="DW53" s="602"/>
      <c r="DX53" s="602"/>
      <c r="DY53" s="602"/>
      <c r="DZ53" s="602"/>
      <c r="EA53" s="602"/>
      <c r="EB53" s="602" t="e">
        <f>CC53*DG53*((DO53/100)+1)*KI_N</f>
        <v>#VALUE!</v>
      </c>
      <c r="EC53" s="602"/>
      <c r="ED53" s="602"/>
      <c r="EE53" s="602"/>
      <c r="EF53" s="602"/>
      <c r="EG53" s="602"/>
      <c r="EH53" s="602"/>
      <c r="EI53" s="602"/>
      <c r="EJ53" s="663">
        <f>Bez_Dim_lfd_KI*KI_N</f>
        <v>20.291999999999998</v>
      </c>
      <c r="EK53" s="664"/>
      <c r="EL53" s="664"/>
      <c r="EM53" s="664"/>
      <c r="EN53" s="664"/>
      <c r="EO53" s="664"/>
      <c r="EP53" s="664"/>
      <c r="EQ53" s="664"/>
      <c r="ER53" s="664"/>
      <c r="ES53" s="664"/>
      <c r="ET53" s="664"/>
      <c r="EU53" s="664"/>
      <c r="EV53" s="664"/>
      <c r="EW53" s="664"/>
      <c r="EX53" s="664"/>
      <c r="EY53" s="664"/>
      <c r="EZ53" s="665" t="s">
        <v>300</v>
      </c>
      <c r="FA53" s="665"/>
      <c r="FB53" s="665"/>
      <c r="FC53" s="665"/>
      <c r="FD53" s="665"/>
      <c r="FE53" s="666"/>
      <c r="FF53" s="264"/>
      <c r="FM53" s="90"/>
      <c r="FN53" s="351"/>
      <c r="FO53" s="2"/>
      <c r="FP53" s="2"/>
      <c r="FQ53" s="38"/>
      <c r="FR53" s="38"/>
      <c r="FS53" s="38"/>
      <c r="FT53" s="38"/>
      <c r="FU53" s="38"/>
      <c r="FV53" s="38"/>
      <c r="FW53" s="38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1"/>
      <c r="M54" s="167"/>
      <c r="N54" s="606"/>
      <c r="O54" s="606"/>
      <c r="P54" s="606"/>
      <c r="Q54" s="689"/>
      <c r="R54" s="667"/>
      <c r="S54" s="668"/>
      <c r="T54" s="668"/>
      <c r="U54" s="609"/>
      <c r="V54" s="690"/>
      <c r="W54" s="690"/>
      <c r="X54" s="690"/>
      <c r="Y54" s="690"/>
      <c r="Z54" s="690"/>
      <c r="AA54" s="690"/>
      <c r="AB54" s="690"/>
      <c r="AC54" s="690"/>
      <c r="AD54" s="690"/>
      <c r="AE54" s="690"/>
      <c r="AF54" s="690"/>
      <c r="AG54" s="690"/>
      <c r="AH54" s="690"/>
      <c r="AI54" s="690"/>
      <c r="AJ54" s="690"/>
      <c r="AK54" s="691"/>
      <c r="AL54" s="679"/>
      <c r="AM54" s="680"/>
      <c r="AN54" s="680"/>
      <c r="AO54" s="613"/>
      <c r="AP54" s="680"/>
      <c r="AQ54" s="680"/>
      <c r="AR54" s="680"/>
      <c r="AS54" s="680"/>
      <c r="AT54" s="680"/>
      <c r="AU54" s="680"/>
      <c r="AV54" s="680"/>
      <c r="AW54" s="680"/>
      <c r="AX54" s="680"/>
      <c r="AY54" s="680"/>
      <c r="AZ54" s="680"/>
      <c r="BA54" s="680"/>
      <c r="BB54" s="680"/>
      <c r="BC54" s="680"/>
      <c r="BD54" s="680"/>
      <c r="BE54" s="680"/>
      <c r="BF54" s="680"/>
      <c r="BG54" s="692"/>
      <c r="BH54" s="685"/>
      <c r="BI54" s="686"/>
      <c r="BJ54" s="686"/>
      <c r="BK54" s="687"/>
      <c r="BL54" s="685"/>
      <c r="BM54" s="686"/>
      <c r="BN54" s="686"/>
      <c r="BO54" s="686"/>
      <c r="BP54" s="686"/>
      <c r="BQ54" s="687"/>
      <c r="BR54" s="685"/>
      <c r="BS54" s="686"/>
      <c r="BT54" s="686"/>
      <c r="BU54" s="686"/>
      <c r="BV54" s="687"/>
      <c r="BW54" s="676"/>
      <c r="BX54" s="677"/>
      <c r="BY54" s="677"/>
      <c r="BZ54" s="677"/>
      <c r="CA54" s="678"/>
      <c r="CB54" s="614"/>
      <c r="CC54" s="615"/>
      <c r="CD54" s="615"/>
      <c r="CE54" s="615"/>
      <c r="CF54" s="615"/>
      <c r="CG54" s="615"/>
      <c r="CH54" s="615"/>
      <c r="CI54" s="615"/>
      <c r="CJ54" s="695"/>
      <c r="CK54" s="695"/>
      <c r="CL54" s="695"/>
      <c r="CM54" s="695"/>
      <c r="CN54" s="695"/>
      <c r="CO54" s="695"/>
      <c r="CP54" s="695"/>
      <c r="CQ54" s="617"/>
      <c r="CR54" s="617"/>
      <c r="CS54" s="617"/>
      <c r="CT54" s="617"/>
      <c r="CU54" s="617"/>
      <c r="CV54" s="617"/>
      <c r="CW54" s="617"/>
      <c r="CX54" s="617"/>
      <c r="CY54" s="617"/>
      <c r="CZ54" s="617"/>
      <c r="DA54" s="617"/>
      <c r="DB54" s="617"/>
      <c r="DC54" s="617"/>
      <c r="DD54" s="617"/>
      <c r="DE54" s="617"/>
      <c r="DF54" s="617"/>
      <c r="DG54" s="696"/>
      <c r="DH54" s="697"/>
      <c r="DI54" s="697"/>
      <c r="DJ54" s="697"/>
      <c r="DK54" s="697"/>
      <c r="DL54" s="697"/>
      <c r="DM54" s="697"/>
      <c r="DN54" s="698"/>
      <c r="DO54" s="693"/>
      <c r="DP54" s="694"/>
      <c r="DQ54" s="694"/>
      <c r="DR54" s="694"/>
      <c r="DS54" s="694"/>
      <c r="DT54" s="602"/>
      <c r="DU54" s="602"/>
      <c r="DV54" s="602"/>
      <c r="DW54" s="602"/>
      <c r="DX54" s="602"/>
      <c r="DY54" s="602"/>
      <c r="DZ54" s="602"/>
      <c r="EA54" s="602"/>
      <c r="EB54" s="602"/>
      <c r="EC54" s="602"/>
      <c r="ED54" s="602"/>
      <c r="EE54" s="602"/>
      <c r="EF54" s="602"/>
      <c r="EG54" s="602"/>
      <c r="EH54" s="602"/>
      <c r="EI54" s="602"/>
      <c r="EJ54" s="663"/>
      <c r="EK54" s="664"/>
      <c r="EL54" s="664"/>
      <c r="EM54" s="664"/>
      <c r="EN54" s="664"/>
      <c r="EO54" s="664"/>
      <c r="EP54" s="664"/>
      <c r="EQ54" s="664"/>
      <c r="ER54" s="664"/>
      <c r="ES54" s="664"/>
      <c r="ET54" s="664"/>
      <c r="EU54" s="664"/>
      <c r="EV54" s="664"/>
      <c r="EW54" s="664"/>
      <c r="EX54" s="664"/>
      <c r="EY54" s="664"/>
      <c r="EZ54" s="665"/>
      <c r="FA54" s="665"/>
      <c r="FB54" s="665"/>
      <c r="FC54" s="665"/>
      <c r="FD54" s="665"/>
      <c r="FE54" s="666"/>
      <c r="FF54" s="264"/>
      <c r="FM54" s="90"/>
      <c r="FN54" s="2"/>
      <c r="FO54" s="2"/>
      <c r="FP54" s="2"/>
      <c r="FQ54" s="38"/>
      <c r="FR54" s="38"/>
      <c r="FS54" s="38"/>
      <c r="FT54" s="38"/>
      <c r="FU54" s="38"/>
      <c r="FV54" s="38"/>
      <c r="FW54" s="38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1"/>
      <c r="M55" s="167"/>
      <c r="N55" s="606">
        <v>19</v>
      </c>
      <c r="O55" s="606"/>
      <c r="P55" s="606"/>
      <c r="Q55" s="607"/>
      <c r="R55" s="699"/>
      <c r="S55" s="700"/>
      <c r="T55" s="700"/>
      <c r="U55" s="701" t="s">
        <v>6</v>
      </c>
      <c r="V55" s="702"/>
      <c r="W55" s="702"/>
      <c r="X55" s="702"/>
      <c r="Y55" s="702"/>
      <c r="Z55" s="702"/>
      <c r="AA55" s="702"/>
      <c r="AB55" s="702"/>
      <c r="AC55" s="702"/>
      <c r="AD55" s="702"/>
      <c r="AE55" s="702"/>
      <c r="AF55" s="702"/>
      <c r="AG55" s="702"/>
      <c r="AH55" s="702"/>
      <c r="AI55" s="702"/>
      <c r="AJ55" s="702"/>
      <c r="AK55" s="703"/>
      <c r="AL55" s="713"/>
      <c r="AM55" s="705"/>
      <c r="AN55" s="705"/>
      <c r="AO55" s="704" t="s">
        <v>6</v>
      </c>
      <c r="AP55" s="705"/>
      <c r="AQ55" s="705"/>
      <c r="AR55" s="705"/>
      <c r="AS55" s="705"/>
      <c r="AT55" s="705"/>
      <c r="AU55" s="705"/>
      <c r="AV55" s="705"/>
      <c r="AW55" s="705"/>
      <c r="AX55" s="705"/>
      <c r="AY55" s="705"/>
      <c r="AZ55" s="705"/>
      <c r="BA55" s="705"/>
      <c r="BB55" s="705"/>
      <c r="BC55" s="705"/>
      <c r="BD55" s="705"/>
      <c r="BE55" s="705"/>
      <c r="BF55" s="705"/>
      <c r="BG55" s="706"/>
      <c r="BH55" s="707"/>
      <c r="BI55" s="708"/>
      <c r="BJ55" s="708"/>
      <c r="BK55" s="709"/>
      <c r="BL55" s="707"/>
      <c r="BM55" s="708"/>
      <c r="BN55" s="708"/>
      <c r="BO55" s="708"/>
      <c r="BP55" s="708"/>
      <c r="BQ55" s="709"/>
      <c r="BR55" s="707"/>
      <c r="BS55" s="708"/>
      <c r="BT55" s="708"/>
      <c r="BU55" s="708"/>
      <c r="BV55" s="709"/>
      <c r="BW55" s="710"/>
      <c r="BX55" s="711"/>
      <c r="BY55" s="711"/>
      <c r="BZ55" s="711"/>
      <c r="CA55" s="712"/>
      <c r="CB55" s="614">
        <f>BEZ_Dim_19_Anz*KI_N</f>
        <v>0</v>
      </c>
      <c r="CC55" s="615">
        <f>BEZ_Dim_19_L*BEZ_Dim_19_B*BEZ_Dim_19_H*BEZ_Dim_19_Anz /10^9</f>
        <v>0</v>
      </c>
      <c r="CD55" s="615"/>
      <c r="CE55" s="615"/>
      <c r="CF55" s="615"/>
      <c r="CG55" s="615"/>
      <c r="CH55" s="615"/>
      <c r="CI55" s="615"/>
      <c r="CJ55" s="616"/>
      <c r="CK55" s="616"/>
      <c r="CL55" s="616"/>
      <c r="CM55" s="616"/>
      <c r="CN55" s="616"/>
      <c r="CO55" s="616"/>
      <c r="CP55" s="616"/>
      <c r="CQ55" s="617">
        <f>BEZ_Dim_19_CBM*BEZ_Dim_19_SPGEW</f>
        <v>0</v>
      </c>
      <c r="CR55" s="617"/>
      <c r="CS55" s="617"/>
      <c r="CT55" s="617"/>
      <c r="CU55" s="617"/>
      <c r="CV55" s="617"/>
      <c r="CW55" s="617"/>
      <c r="CX55" s="617"/>
      <c r="CY55" s="617"/>
      <c r="CZ55" s="617">
        <f>BEZ_Dim_19_L*BEZ_Dim_19_Anz/1000</f>
        <v>0</v>
      </c>
      <c r="DA55" s="617"/>
      <c r="DB55" s="617"/>
      <c r="DC55" s="617"/>
      <c r="DD55" s="617"/>
      <c r="DE55" s="617"/>
      <c r="DF55" s="617"/>
      <c r="DG55" s="618"/>
      <c r="DH55" s="619"/>
      <c r="DI55" s="619"/>
      <c r="DJ55" s="619"/>
      <c r="DK55" s="619"/>
      <c r="DL55" s="619"/>
      <c r="DM55" s="619"/>
      <c r="DN55" s="620"/>
      <c r="DO55" s="600"/>
      <c r="DP55" s="601"/>
      <c r="DQ55" s="601"/>
      <c r="DR55" s="601"/>
      <c r="DS55" s="601"/>
      <c r="DT55" s="602">
        <f>BEZ_Dim_19_CBM*BEZ_Dim_19_EuCBM*((BEZ_Dim_19_VAZ/100)+1)</f>
        <v>0</v>
      </c>
      <c r="DU55" s="602"/>
      <c r="DV55" s="602"/>
      <c r="DW55" s="602"/>
      <c r="DX55" s="602"/>
      <c r="DY55" s="602"/>
      <c r="DZ55" s="602"/>
      <c r="EA55" s="602"/>
      <c r="EB55" s="602">
        <f>CC55*DG55*((DO55/100)+1)*KI_N</f>
        <v>0</v>
      </c>
      <c r="EC55" s="602"/>
      <c r="ED55" s="602"/>
      <c r="EE55" s="602"/>
      <c r="EF55" s="602"/>
      <c r="EG55" s="602"/>
      <c r="EH55" s="602"/>
      <c r="EI55" s="602"/>
      <c r="EJ55" s="652"/>
      <c r="EK55" s="653"/>
      <c r="EL55" s="653"/>
      <c r="EM55" s="653"/>
      <c r="EN55" s="653"/>
      <c r="EO55" s="653"/>
      <c r="EP55" s="653"/>
      <c r="EQ55" s="653"/>
      <c r="ER55" s="653"/>
      <c r="ES55" s="653"/>
      <c r="ET55" s="653"/>
      <c r="EU55" s="653"/>
      <c r="EV55" s="653"/>
      <c r="EW55" s="653"/>
      <c r="EX55" s="653"/>
      <c r="EY55" s="653"/>
      <c r="EZ55" s="654"/>
      <c r="FA55" s="654"/>
      <c r="FB55" s="654"/>
      <c r="FC55" s="654"/>
      <c r="FD55" s="654"/>
      <c r="FE55" s="655"/>
      <c r="FF55" s="264"/>
      <c r="FM55" s="90"/>
      <c r="FN55" s="351"/>
      <c r="FO55" s="2"/>
      <c r="FP55" s="2"/>
      <c r="FQ55" s="38"/>
      <c r="FR55" s="38"/>
      <c r="FS55" s="38"/>
      <c r="FT55" s="38"/>
      <c r="FU55" s="38"/>
      <c r="FV55" s="38"/>
      <c r="FW55" s="38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1"/>
      <c r="M56" s="167"/>
      <c r="N56" s="606"/>
      <c r="O56" s="606"/>
      <c r="P56" s="606"/>
      <c r="Q56" s="607"/>
      <c r="R56" s="699"/>
      <c r="S56" s="700"/>
      <c r="T56" s="700"/>
      <c r="U56" s="701"/>
      <c r="V56" s="702"/>
      <c r="W56" s="702"/>
      <c r="X56" s="702"/>
      <c r="Y56" s="702"/>
      <c r="Z56" s="702"/>
      <c r="AA56" s="702"/>
      <c r="AB56" s="702"/>
      <c r="AC56" s="702"/>
      <c r="AD56" s="702"/>
      <c r="AE56" s="702"/>
      <c r="AF56" s="702"/>
      <c r="AG56" s="702"/>
      <c r="AH56" s="702"/>
      <c r="AI56" s="702"/>
      <c r="AJ56" s="702"/>
      <c r="AK56" s="703"/>
      <c r="AL56" s="713"/>
      <c r="AM56" s="705"/>
      <c r="AN56" s="705"/>
      <c r="AO56" s="704"/>
      <c r="AP56" s="705"/>
      <c r="AQ56" s="705"/>
      <c r="AR56" s="705"/>
      <c r="AS56" s="705"/>
      <c r="AT56" s="705"/>
      <c r="AU56" s="705"/>
      <c r="AV56" s="705"/>
      <c r="AW56" s="705"/>
      <c r="AX56" s="705"/>
      <c r="AY56" s="705"/>
      <c r="AZ56" s="705"/>
      <c r="BA56" s="705"/>
      <c r="BB56" s="705"/>
      <c r="BC56" s="705"/>
      <c r="BD56" s="705"/>
      <c r="BE56" s="705"/>
      <c r="BF56" s="705"/>
      <c r="BG56" s="706"/>
      <c r="BH56" s="707"/>
      <c r="BI56" s="708"/>
      <c r="BJ56" s="708"/>
      <c r="BK56" s="709"/>
      <c r="BL56" s="707"/>
      <c r="BM56" s="708"/>
      <c r="BN56" s="708"/>
      <c r="BO56" s="708"/>
      <c r="BP56" s="708"/>
      <c r="BQ56" s="709"/>
      <c r="BR56" s="707"/>
      <c r="BS56" s="708"/>
      <c r="BT56" s="708"/>
      <c r="BU56" s="708"/>
      <c r="BV56" s="709"/>
      <c r="BW56" s="710"/>
      <c r="BX56" s="711"/>
      <c r="BY56" s="711"/>
      <c r="BZ56" s="711"/>
      <c r="CA56" s="712"/>
      <c r="CB56" s="614"/>
      <c r="CC56" s="615"/>
      <c r="CD56" s="615"/>
      <c r="CE56" s="615"/>
      <c r="CF56" s="615"/>
      <c r="CG56" s="615"/>
      <c r="CH56" s="615"/>
      <c r="CI56" s="615"/>
      <c r="CJ56" s="616"/>
      <c r="CK56" s="616"/>
      <c r="CL56" s="616"/>
      <c r="CM56" s="616"/>
      <c r="CN56" s="616"/>
      <c r="CO56" s="616"/>
      <c r="CP56" s="616"/>
      <c r="CQ56" s="617"/>
      <c r="CR56" s="617"/>
      <c r="CS56" s="617"/>
      <c r="CT56" s="617"/>
      <c r="CU56" s="617"/>
      <c r="CV56" s="617"/>
      <c r="CW56" s="617"/>
      <c r="CX56" s="617"/>
      <c r="CY56" s="617"/>
      <c r="CZ56" s="617"/>
      <c r="DA56" s="617"/>
      <c r="DB56" s="617"/>
      <c r="DC56" s="617"/>
      <c r="DD56" s="617"/>
      <c r="DE56" s="617"/>
      <c r="DF56" s="617"/>
      <c r="DG56" s="618"/>
      <c r="DH56" s="619"/>
      <c r="DI56" s="619"/>
      <c r="DJ56" s="619"/>
      <c r="DK56" s="619"/>
      <c r="DL56" s="619"/>
      <c r="DM56" s="619"/>
      <c r="DN56" s="620"/>
      <c r="DO56" s="600"/>
      <c r="DP56" s="601"/>
      <c r="DQ56" s="601"/>
      <c r="DR56" s="601"/>
      <c r="DS56" s="601"/>
      <c r="DT56" s="602"/>
      <c r="DU56" s="602"/>
      <c r="DV56" s="602"/>
      <c r="DW56" s="602"/>
      <c r="DX56" s="602"/>
      <c r="DY56" s="602"/>
      <c r="DZ56" s="602"/>
      <c r="EA56" s="602"/>
      <c r="EB56" s="602"/>
      <c r="EC56" s="602"/>
      <c r="ED56" s="602"/>
      <c r="EE56" s="602"/>
      <c r="EF56" s="602"/>
      <c r="EG56" s="602"/>
      <c r="EH56" s="602"/>
      <c r="EI56" s="602"/>
      <c r="EJ56" s="652"/>
      <c r="EK56" s="653"/>
      <c r="EL56" s="653"/>
      <c r="EM56" s="653"/>
      <c r="EN56" s="653"/>
      <c r="EO56" s="653"/>
      <c r="EP56" s="653"/>
      <c r="EQ56" s="653"/>
      <c r="ER56" s="653"/>
      <c r="ES56" s="653"/>
      <c r="ET56" s="653"/>
      <c r="EU56" s="653"/>
      <c r="EV56" s="653"/>
      <c r="EW56" s="653"/>
      <c r="EX56" s="653"/>
      <c r="EY56" s="653"/>
      <c r="EZ56" s="654"/>
      <c r="FA56" s="654"/>
      <c r="FB56" s="654"/>
      <c r="FC56" s="654"/>
      <c r="FD56" s="654"/>
      <c r="FE56" s="655"/>
      <c r="FF56" s="264"/>
      <c r="FM56" s="90"/>
      <c r="FN56" s="2"/>
      <c r="FO56" s="2"/>
      <c r="FP56" s="2"/>
      <c r="FQ56" s="38"/>
      <c r="FR56" s="38"/>
      <c r="FS56" s="38"/>
      <c r="FT56" s="38"/>
      <c r="FU56" s="38"/>
      <c r="FV56" s="38"/>
      <c r="FW56" s="38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2"/>
      <c r="M57" s="188"/>
      <c r="N57" s="606">
        <v>20</v>
      </c>
      <c r="O57" s="606"/>
      <c r="P57" s="606"/>
      <c r="Q57" s="607"/>
      <c r="R57" s="699"/>
      <c r="S57" s="700"/>
      <c r="T57" s="700"/>
      <c r="U57" s="701" t="s">
        <v>6</v>
      </c>
      <c r="V57" s="702"/>
      <c r="W57" s="702"/>
      <c r="X57" s="702"/>
      <c r="Y57" s="702"/>
      <c r="Z57" s="702"/>
      <c r="AA57" s="702"/>
      <c r="AB57" s="702"/>
      <c r="AC57" s="702"/>
      <c r="AD57" s="702"/>
      <c r="AE57" s="702"/>
      <c r="AF57" s="702"/>
      <c r="AG57" s="702"/>
      <c r="AH57" s="702"/>
      <c r="AI57" s="702"/>
      <c r="AJ57" s="702"/>
      <c r="AK57" s="703"/>
      <c r="AL57" s="713"/>
      <c r="AM57" s="705"/>
      <c r="AN57" s="705"/>
      <c r="AO57" s="704" t="s">
        <v>6</v>
      </c>
      <c r="AP57" s="705"/>
      <c r="AQ57" s="705"/>
      <c r="AR57" s="705"/>
      <c r="AS57" s="705"/>
      <c r="AT57" s="705"/>
      <c r="AU57" s="705"/>
      <c r="AV57" s="705"/>
      <c r="AW57" s="705"/>
      <c r="AX57" s="705"/>
      <c r="AY57" s="705"/>
      <c r="AZ57" s="705"/>
      <c r="BA57" s="705"/>
      <c r="BB57" s="705"/>
      <c r="BC57" s="705"/>
      <c r="BD57" s="705"/>
      <c r="BE57" s="705"/>
      <c r="BF57" s="705"/>
      <c r="BG57" s="706"/>
      <c r="BH57" s="707"/>
      <c r="BI57" s="708"/>
      <c r="BJ57" s="708"/>
      <c r="BK57" s="709"/>
      <c r="BL57" s="707"/>
      <c r="BM57" s="708"/>
      <c r="BN57" s="708"/>
      <c r="BO57" s="708"/>
      <c r="BP57" s="708"/>
      <c r="BQ57" s="709"/>
      <c r="BR57" s="707"/>
      <c r="BS57" s="708"/>
      <c r="BT57" s="708"/>
      <c r="BU57" s="708"/>
      <c r="BV57" s="709"/>
      <c r="BW57" s="710"/>
      <c r="BX57" s="711"/>
      <c r="BY57" s="711"/>
      <c r="BZ57" s="711"/>
      <c r="CA57" s="712"/>
      <c r="CB57" s="614">
        <f>BEZ_Dim_20_Anz*KI_N</f>
        <v>0</v>
      </c>
      <c r="CC57" s="615">
        <f>BEZ_Dim_20_L*BEZ_Dim_20_B*BEZ_Dim_20_H*BEZ_Dim_20_Anz /10^9</f>
        <v>0</v>
      </c>
      <c r="CD57" s="615"/>
      <c r="CE57" s="615"/>
      <c r="CF57" s="615"/>
      <c r="CG57" s="615"/>
      <c r="CH57" s="615"/>
      <c r="CI57" s="615"/>
      <c r="CJ57" s="616"/>
      <c r="CK57" s="616"/>
      <c r="CL57" s="616"/>
      <c r="CM57" s="616"/>
      <c r="CN57" s="616"/>
      <c r="CO57" s="616"/>
      <c r="CP57" s="616"/>
      <c r="CQ57" s="617">
        <f>BEZ_Dim_20_CBM*BEZ_Dim_20_SPGEW</f>
        <v>0</v>
      </c>
      <c r="CR57" s="617"/>
      <c r="CS57" s="617"/>
      <c r="CT57" s="617"/>
      <c r="CU57" s="617"/>
      <c r="CV57" s="617"/>
      <c r="CW57" s="617"/>
      <c r="CX57" s="617"/>
      <c r="CY57" s="617"/>
      <c r="CZ57" s="617">
        <f>BEZ_Dim_20_L*BEZ_Dim_20_Anz/1000</f>
        <v>0</v>
      </c>
      <c r="DA57" s="617"/>
      <c r="DB57" s="617"/>
      <c r="DC57" s="617"/>
      <c r="DD57" s="617"/>
      <c r="DE57" s="617"/>
      <c r="DF57" s="617"/>
      <c r="DG57" s="618"/>
      <c r="DH57" s="619"/>
      <c r="DI57" s="619"/>
      <c r="DJ57" s="619"/>
      <c r="DK57" s="619"/>
      <c r="DL57" s="619"/>
      <c r="DM57" s="619"/>
      <c r="DN57" s="620"/>
      <c r="DO57" s="600"/>
      <c r="DP57" s="601"/>
      <c r="DQ57" s="601"/>
      <c r="DR57" s="601"/>
      <c r="DS57" s="601"/>
      <c r="DT57" s="602">
        <f>BEZ_Dim_20_CBM*BEZ_Dim_20_EuCBM*((BEZ_Dim_20_VAZ/100)+1)</f>
        <v>0</v>
      </c>
      <c r="DU57" s="602"/>
      <c r="DV57" s="602"/>
      <c r="DW57" s="602"/>
      <c r="DX57" s="602"/>
      <c r="DY57" s="602"/>
      <c r="DZ57" s="602"/>
      <c r="EA57" s="602"/>
      <c r="EB57" s="602">
        <f>CC57*DG57*((DO57/100)+1)*KI_N</f>
        <v>0</v>
      </c>
      <c r="EC57" s="602"/>
      <c r="ED57" s="602"/>
      <c r="EE57" s="602"/>
      <c r="EF57" s="602"/>
      <c r="EG57" s="602"/>
      <c r="EH57" s="602"/>
      <c r="EI57" s="602"/>
      <c r="EJ57" s="652"/>
      <c r="EK57" s="653"/>
      <c r="EL57" s="653"/>
      <c r="EM57" s="653"/>
      <c r="EN57" s="653"/>
      <c r="EO57" s="653"/>
      <c r="EP57" s="653"/>
      <c r="EQ57" s="653"/>
      <c r="ER57" s="653"/>
      <c r="ES57" s="653"/>
      <c r="ET57" s="653"/>
      <c r="EU57" s="653"/>
      <c r="EV57" s="653"/>
      <c r="EW57" s="653"/>
      <c r="EX57" s="653"/>
      <c r="EY57" s="653"/>
      <c r="EZ57" s="654"/>
      <c r="FA57" s="654"/>
      <c r="FB57" s="654"/>
      <c r="FC57" s="654"/>
      <c r="FD57" s="654"/>
      <c r="FE57" s="655"/>
      <c r="FF57" s="265"/>
      <c r="FG57" s="201"/>
      <c r="FH57" s="201"/>
      <c r="FI57" s="201"/>
      <c r="FJ57" s="201"/>
      <c r="FK57" s="201"/>
      <c r="FL57" s="201"/>
      <c r="FM57" s="90"/>
      <c r="FN57" s="351"/>
      <c r="FO57" s="2"/>
      <c r="FP57" s="2"/>
      <c r="FQ57" s="38"/>
      <c r="FR57" s="38"/>
      <c r="FS57" s="38"/>
      <c r="FT57" s="38"/>
      <c r="FU57" s="38"/>
      <c r="FV57" s="38"/>
      <c r="FW57" s="38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2"/>
      <c r="M58" s="188"/>
      <c r="N58" s="606"/>
      <c r="O58" s="606"/>
      <c r="P58" s="606"/>
      <c r="Q58" s="607"/>
      <c r="R58" s="699"/>
      <c r="S58" s="700"/>
      <c r="T58" s="700"/>
      <c r="U58" s="701"/>
      <c r="V58" s="702"/>
      <c r="W58" s="702"/>
      <c r="X58" s="702"/>
      <c r="Y58" s="702"/>
      <c r="Z58" s="702"/>
      <c r="AA58" s="702"/>
      <c r="AB58" s="702"/>
      <c r="AC58" s="702"/>
      <c r="AD58" s="702"/>
      <c r="AE58" s="702"/>
      <c r="AF58" s="702"/>
      <c r="AG58" s="702"/>
      <c r="AH58" s="702"/>
      <c r="AI58" s="702"/>
      <c r="AJ58" s="702"/>
      <c r="AK58" s="703"/>
      <c r="AL58" s="713"/>
      <c r="AM58" s="705"/>
      <c r="AN58" s="705"/>
      <c r="AO58" s="704"/>
      <c r="AP58" s="705"/>
      <c r="AQ58" s="705"/>
      <c r="AR58" s="705"/>
      <c r="AS58" s="705"/>
      <c r="AT58" s="705"/>
      <c r="AU58" s="705"/>
      <c r="AV58" s="705"/>
      <c r="AW58" s="705"/>
      <c r="AX58" s="705"/>
      <c r="AY58" s="705"/>
      <c r="AZ58" s="705"/>
      <c r="BA58" s="705"/>
      <c r="BB58" s="705"/>
      <c r="BC58" s="705"/>
      <c r="BD58" s="705"/>
      <c r="BE58" s="705"/>
      <c r="BF58" s="705"/>
      <c r="BG58" s="706"/>
      <c r="BH58" s="707"/>
      <c r="BI58" s="708"/>
      <c r="BJ58" s="708"/>
      <c r="BK58" s="709"/>
      <c r="BL58" s="707"/>
      <c r="BM58" s="708"/>
      <c r="BN58" s="708"/>
      <c r="BO58" s="708"/>
      <c r="BP58" s="708"/>
      <c r="BQ58" s="709"/>
      <c r="BR58" s="707"/>
      <c r="BS58" s="708"/>
      <c r="BT58" s="708"/>
      <c r="BU58" s="708"/>
      <c r="BV58" s="709"/>
      <c r="BW58" s="710"/>
      <c r="BX58" s="711"/>
      <c r="BY58" s="711"/>
      <c r="BZ58" s="711"/>
      <c r="CA58" s="712"/>
      <c r="CB58" s="614"/>
      <c r="CC58" s="615"/>
      <c r="CD58" s="615"/>
      <c r="CE58" s="615"/>
      <c r="CF58" s="615"/>
      <c r="CG58" s="615"/>
      <c r="CH58" s="615"/>
      <c r="CI58" s="615"/>
      <c r="CJ58" s="616"/>
      <c r="CK58" s="616"/>
      <c r="CL58" s="616"/>
      <c r="CM58" s="616"/>
      <c r="CN58" s="616"/>
      <c r="CO58" s="616"/>
      <c r="CP58" s="616"/>
      <c r="CQ58" s="617"/>
      <c r="CR58" s="617"/>
      <c r="CS58" s="617"/>
      <c r="CT58" s="617"/>
      <c r="CU58" s="617"/>
      <c r="CV58" s="617"/>
      <c r="CW58" s="617"/>
      <c r="CX58" s="617"/>
      <c r="CY58" s="617"/>
      <c r="CZ58" s="617"/>
      <c r="DA58" s="617"/>
      <c r="DB58" s="617"/>
      <c r="DC58" s="617"/>
      <c r="DD58" s="617"/>
      <c r="DE58" s="617"/>
      <c r="DF58" s="617"/>
      <c r="DG58" s="618"/>
      <c r="DH58" s="619"/>
      <c r="DI58" s="619"/>
      <c r="DJ58" s="619"/>
      <c r="DK58" s="619"/>
      <c r="DL58" s="619"/>
      <c r="DM58" s="619"/>
      <c r="DN58" s="620"/>
      <c r="DO58" s="600"/>
      <c r="DP58" s="601"/>
      <c r="DQ58" s="601"/>
      <c r="DR58" s="601"/>
      <c r="DS58" s="601"/>
      <c r="DT58" s="602"/>
      <c r="DU58" s="602"/>
      <c r="DV58" s="602"/>
      <c r="DW58" s="602"/>
      <c r="DX58" s="602"/>
      <c r="DY58" s="602"/>
      <c r="DZ58" s="602"/>
      <c r="EA58" s="602"/>
      <c r="EB58" s="602"/>
      <c r="EC58" s="602"/>
      <c r="ED58" s="602"/>
      <c r="EE58" s="602"/>
      <c r="EF58" s="602"/>
      <c r="EG58" s="602"/>
      <c r="EH58" s="602"/>
      <c r="EI58" s="602"/>
      <c r="EJ58" s="652"/>
      <c r="EK58" s="653"/>
      <c r="EL58" s="653"/>
      <c r="EM58" s="653"/>
      <c r="EN58" s="653"/>
      <c r="EO58" s="653"/>
      <c r="EP58" s="653"/>
      <c r="EQ58" s="653"/>
      <c r="ER58" s="653"/>
      <c r="ES58" s="653"/>
      <c r="ET58" s="653"/>
      <c r="EU58" s="653"/>
      <c r="EV58" s="653"/>
      <c r="EW58" s="653"/>
      <c r="EX58" s="653"/>
      <c r="EY58" s="653"/>
      <c r="EZ58" s="654"/>
      <c r="FA58" s="654"/>
      <c r="FB58" s="654"/>
      <c r="FC58" s="654"/>
      <c r="FD58" s="654"/>
      <c r="FE58" s="655"/>
      <c r="FF58" s="265"/>
      <c r="FG58" s="201"/>
      <c r="FH58" s="201"/>
      <c r="FI58" s="201"/>
      <c r="FJ58" s="201"/>
      <c r="FK58" s="201"/>
      <c r="FL58" s="201"/>
      <c r="FM58" s="90"/>
      <c r="FN58" s="2"/>
      <c r="FO58" s="2"/>
      <c r="FP58" s="2"/>
      <c r="FQ58" s="38"/>
      <c r="FR58" s="38"/>
      <c r="FS58" s="38"/>
      <c r="FT58" s="38"/>
      <c r="FU58" s="38"/>
      <c r="FV58" s="38"/>
      <c r="FW58" s="38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2"/>
      <c r="M59" s="188"/>
      <c r="N59" s="606">
        <v>21</v>
      </c>
      <c r="O59" s="606"/>
      <c r="P59" s="606"/>
      <c r="Q59" s="607"/>
      <c r="R59" s="699"/>
      <c r="S59" s="700"/>
      <c r="T59" s="700"/>
      <c r="U59" s="701" t="s">
        <v>6</v>
      </c>
      <c r="V59" s="702"/>
      <c r="W59" s="702"/>
      <c r="X59" s="702"/>
      <c r="Y59" s="702"/>
      <c r="Z59" s="702"/>
      <c r="AA59" s="702"/>
      <c r="AB59" s="702"/>
      <c r="AC59" s="702"/>
      <c r="AD59" s="702"/>
      <c r="AE59" s="702"/>
      <c r="AF59" s="702"/>
      <c r="AG59" s="702"/>
      <c r="AH59" s="702"/>
      <c r="AI59" s="702"/>
      <c r="AJ59" s="702"/>
      <c r="AK59" s="703"/>
      <c r="AL59" s="713"/>
      <c r="AM59" s="705"/>
      <c r="AN59" s="705"/>
      <c r="AO59" s="704" t="s">
        <v>6</v>
      </c>
      <c r="AP59" s="723"/>
      <c r="AQ59" s="723"/>
      <c r="AR59" s="723"/>
      <c r="AS59" s="723"/>
      <c r="AT59" s="723"/>
      <c r="AU59" s="723"/>
      <c r="AV59" s="723"/>
      <c r="AW59" s="723"/>
      <c r="AX59" s="723"/>
      <c r="AY59" s="723"/>
      <c r="AZ59" s="723"/>
      <c r="BA59" s="723"/>
      <c r="BB59" s="723"/>
      <c r="BC59" s="723"/>
      <c r="BD59" s="723"/>
      <c r="BE59" s="723"/>
      <c r="BF59" s="723"/>
      <c r="BG59" s="724"/>
      <c r="BH59" s="707"/>
      <c r="BI59" s="708"/>
      <c r="BJ59" s="708"/>
      <c r="BK59" s="709"/>
      <c r="BL59" s="707"/>
      <c r="BM59" s="708"/>
      <c r="BN59" s="708"/>
      <c r="BO59" s="708"/>
      <c r="BP59" s="708"/>
      <c r="BQ59" s="709"/>
      <c r="BR59" s="707"/>
      <c r="BS59" s="708"/>
      <c r="BT59" s="708"/>
      <c r="BU59" s="708"/>
      <c r="BV59" s="709"/>
      <c r="BW59" s="710"/>
      <c r="BX59" s="711"/>
      <c r="BY59" s="711"/>
      <c r="BZ59" s="711"/>
      <c r="CA59" s="712"/>
      <c r="CB59" s="614">
        <f>BEZ_Dim_21_Anz*KI_N</f>
        <v>0</v>
      </c>
      <c r="CC59" s="615">
        <f>BEZ_Dim_21_L*BEZ_Dim_21_B*BEZ_Dim_21_H*BEZ_Dim_21_Anz /10^9</f>
        <v>0</v>
      </c>
      <c r="CD59" s="615"/>
      <c r="CE59" s="615"/>
      <c r="CF59" s="615"/>
      <c r="CG59" s="615"/>
      <c r="CH59" s="615"/>
      <c r="CI59" s="615"/>
      <c r="CJ59" s="616"/>
      <c r="CK59" s="616"/>
      <c r="CL59" s="616"/>
      <c r="CM59" s="616"/>
      <c r="CN59" s="616"/>
      <c r="CO59" s="616"/>
      <c r="CP59" s="616"/>
      <c r="CQ59" s="617">
        <f>BEZ_Dim_21_CBM*BEZ_Dim_21_SPGEW</f>
        <v>0</v>
      </c>
      <c r="CR59" s="617"/>
      <c r="CS59" s="617"/>
      <c r="CT59" s="617"/>
      <c r="CU59" s="617"/>
      <c r="CV59" s="617"/>
      <c r="CW59" s="617"/>
      <c r="CX59" s="617"/>
      <c r="CY59" s="617"/>
      <c r="CZ59" s="617">
        <f>BEZ_Dim_21_L*BEZ_Dim_21_Anz/1000</f>
        <v>0</v>
      </c>
      <c r="DA59" s="617"/>
      <c r="DB59" s="617"/>
      <c r="DC59" s="617"/>
      <c r="DD59" s="617"/>
      <c r="DE59" s="617"/>
      <c r="DF59" s="617"/>
      <c r="DG59" s="618"/>
      <c r="DH59" s="619"/>
      <c r="DI59" s="619"/>
      <c r="DJ59" s="619"/>
      <c r="DK59" s="619"/>
      <c r="DL59" s="619"/>
      <c r="DM59" s="619"/>
      <c r="DN59" s="620"/>
      <c r="DO59" s="600"/>
      <c r="DP59" s="601"/>
      <c r="DQ59" s="601"/>
      <c r="DR59" s="601"/>
      <c r="DS59" s="601"/>
      <c r="DT59" s="602">
        <f>BEZ_Dim_21_CBM*BEZ_Dim_21_EuCBM*((BEZ_Dim_21_VAZ/100)+1)</f>
        <v>0</v>
      </c>
      <c r="DU59" s="602"/>
      <c r="DV59" s="602"/>
      <c r="DW59" s="602"/>
      <c r="DX59" s="602"/>
      <c r="DY59" s="602"/>
      <c r="DZ59" s="602"/>
      <c r="EA59" s="602"/>
      <c r="EB59" s="602">
        <f>CC59*DG59*((DO59/100)+1)*KI_N</f>
        <v>0</v>
      </c>
      <c r="EC59" s="602"/>
      <c r="ED59" s="602"/>
      <c r="EE59" s="602"/>
      <c r="EF59" s="602"/>
      <c r="EG59" s="602"/>
      <c r="EH59" s="602"/>
      <c r="EI59" s="602"/>
      <c r="EJ59" s="714" t="s">
        <v>284</v>
      </c>
      <c r="EK59" s="715"/>
      <c r="EL59" s="715"/>
      <c r="EM59" s="715"/>
      <c r="EN59" s="715"/>
      <c r="EO59" s="715"/>
      <c r="EP59" s="715"/>
      <c r="EQ59" s="715"/>
      <c r="ER59" s="715"/>
      <c r="ES59" s="715"/>
      <c r="ET59" s="715"/>
      <c r="EU59" s="715"/>
      <c r="EV59" s="715"/>
      <c r="EW59" s="715"/>
      <c r="EX59" s="715"/>
      <c r="EY59" s="715"/>
      <c r="EZ59" s="715"/>
      <c r="FA59" s="715"/>
      <c r="FB59" s="715"/>
      <c r="FC59" s="715"/>
      <c r="FD59" s="715"/>
      <c r="FE59" s="716"/>
      <c r="FF59" s="264"/>
      <c r="FM59" s="90"/>
      <c r="FN59" s="351"/>
      <c r="FO59" s="2"/>
      <c r="FP59" s="2"/>
      <c r="FQ59" s="38"/>
      <c r="FR59" s="38"/>
      <c r="FS59" s="38"/>
      <c r="FT59" s="38"/>
      <c r="FU59" s="38"/>
      <c r="FV59" s="38"/>
      <c r="FW59" s="38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2"/>
      <c r="M60" s="188"/>
      <c r="N60" s="606"/>
      <c r="O60" s="606"/>
      <c r="P60" s="606"/>
      <c r="Q60" s="607"/>
      <c r="R60" s="699"/>
      <c r="S60" s="700"/>
      <c r="T60" s="700"/>
      <c r="U60" s="701"/>
      <c r="V60" s="702"/>
      <c r="W60" s="702"/>
      <c r="X60" s="702"/>
      <c r="Y60" s="702"/>
      <c r="Z60" s="702"/>
      <c r="AA60" s="702"/>
      <c r="AB60" s="702"/>
      <c r="AC60" s="702"/>
      <c r="AD60" s="702"/>
      <c r="AE60" s="702"/>
      <c r="AF60" s="702"/>
      <c r="AG60" s="702"/>
      <c r="AH60" s="702"/>
      <c r="AI60" s="702"/>
      <c r="AJ60" s="702"/>
      <c r="AK60" s="703"/>
      <c r="AL60" s="713"/>
      <c r="AM60" s="705"/>
      <c r="AN60" s="705"/>
      <c r="AO60" s="704"/>
      <c r="AP60" s="725"/>
      <c r="AQ60" s="725"/>
      <c r="AR60" s="725"/>
      <c r="AS60" s="725"/>
      <c r="AT60" s="725"/>
      <c r="AU60" s="725"/>
      <c r="AV60" s="725"/>
      <c r="AW60" s="725"/>
      <c r="AX60" s="725"/>
      <c r="AY60" s="725"/>
      <c r="AZ60" s="725"/>
      <c r="BA60" s="725"/>
      <c r="BB60" s="725"/>
      <c r="BC60" s="725"/>
      <c r="BD60" s="725"/>
      <c r="BE60" s="725"/>
      <c r="BF60" s="725"/>
      <c r="BG60" s="726"/>
      <c r="BH60" s="707"/>
      <c r="BI60" s="708"/>
      <c r="BJ60" s="708"/>
      <c r="BK60" s="709"/>
      <c r="BL60" s="707"/>
      <c r="BM60" s="708"/>
      <c r="BN60" s="708"/>
      <c r="BO60" s="708"/>
      <c r="BP60" s="708"/>
      <c r="BQ60" s="709"/>
      <c r="BR60" s="707"/>
      <c r="BS60" s="708"/>
      <c r="BT60" s="708"/>
      <c r="BU60" s="708"/>
      <c r="BV60" s="709"/>
      <c r="BW60" s="710"/>
      <c r="BX60" s="711"/>
      <c r="BY60" s="711"/>
      <c r="BZ60" s="711"/>
      <c r="CA60" s="712"/>
      <c r="CB60" s="614"/>
      <c r="CC60" s="615"/>
      <c r="CD60" s="615"/>
      <c r="CE60" s="615"/>
      <c r="CF60" s="615"/>
      <c r="CG60" s="615"/>
      <c r="CH60" s="615"/>
      <c r="CI60" s="615"/>
      <c r="CJ60" s="616"/>
      <c r="CK60" s="616"/>
      <c r="CL60" s="616"/>
      <c r="CM60" s="616"/>
      <c r="CN60" s="616"/>
      <c r="CO60" s="616"/>
      <c r="CP60" s="616"/>
      <c r="CQ60" s="617"/>
      <c r="CR60" s="617"/>
      <c r="CS60" s="617"/>
      <c r="CT60" s="617"/>
      <c r="CU60" s="617"/>
      <c r="CV60" s="617"/>
      <c r="CW60" s="617"/>
      <c r="CX60" s="617"/>
      <c r="CY60" s="617"/>
      <c r="CZ60" s="617"/>
      <c r="DA60" s="617"/>
      <c r="DB60" s="617"/>
      <c r="DC60" s="617"/>
      <c r="DD60" s="617"/>
      <c r="DE60" s="617"/>
      <c r="DF60" s="617"/>
      <c r="DG60" s="618"/>
      <c r="DH60" s="619"/>
      <c r="DI60" s="619"/>
      <c r="DJ60" s="619"/>
      <c r="DK60" s="619"/>
      <c r="DL60" s="619"/>
      <c r="DM60" s="619"/>
      <c r="DN60" s="620"/>
      <c r="DO60" s="600"/>
      <c r="DP60" s="601"/>
      <c r="DQ60" s="601"/>
      <c r="DR60" s="601"/>
      <c r="DS60" s="601"/>
      <c r="DT60" s="602"/>
      <c r="DU60" s="602"/>
      <c r="DV60" s="602"/>
      <c r="DW60" s="602"/>
      <c r="DX60" s="602"/>
      <c r="DY60" s="602"/>
      <c r="DZ60" s="602"/>
      <c r="EA60" s="602"/>
      <c r="EB60" s="602"/>
      <c r="EC60" s="602"/>
      <c r="ED60" s="602"/>
      <c r="EE60" s="602"/>
      <c r="EF60" s="602"/>
      <c r="EG60" s="602"/>
      <c r="EH60" s="602"/>
      <c r="EI60" s="602"/>
      <c r="EJ60" s="714"/>
      <c r="EK60" s="715"/>
      <c r="EL60" s="715"/>
      <c r="EM60" s="715"/>
      <c r="EN60" s="715"/>
      <c r="EO60" s="715"/>
      <c r="EP60" s="715"/>
      <c r="EQ60" s="715"/>
      <c r="ER60" s="715"/>
      <c r="ES60" s="715"/>
      <c r="ET60" s="715"/>
      <c r="EU60" s="715"/>
      <c r="EV60" s="715"/>
      <c r="EW60" s="715"/>
      <c r="EX60" s="715"/>
      <c r="EY60" s="715"/>
      <c r="EZ60" s="715"/>
      <c r="FA60" s="715"/>
      <c r="FB60" s="715"/>
      <c r="FC60" s="715"/>
      <c r="FD60" s="715"/>
      <c r="FE60" s="716"/>
      <c r="FF60" s="264"/>
      <c r="FM60" s="90"/>
      <c r="FN60" s="2"/>
      <c r="FO60" s="2"/>
      <c r="FP60" s="2"/>
      <c r="FQ60" s="38"/>
      <c r="FR60" s="38"/>
      <c r="FS60" s="38"/>
      <c r="FT60" s="38"/>
      <c r="FU60" s="38"/>
      <c r="FV60" s="38"/>
      <c r="FW60" s="38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2"/>
      <c r="M61" s="188"/>
      <c r="N61" s="606">
        <v>22</v>
      </c>
      <c r="O61" s="606"/>
      <c r="P61" s="606"/>
      <c r="Q61" s="717"/>
      <c r="R61" s="718"/>
      <c r="S61" s="718"/>
      <c r="T61" s="719"/>
      <c r="U61" s="701" t="s">
        <v>6</v>
      </c>
      <c r="V61" s="720"/>
      <c r="W61" s="721"/>
      <c r="X61" s="721"/>
      <c r="Y61" s="721"/>
      <c r="Z61" s="721"/>
      <c r="AA61" s="721"/>
      <c r="AB61" s="721"/>
      <c r="AC61" s="721"/>
      <c r="AD61" s="721"/>
      <c r="AE61" s="721"/>
      <c r="AF61" s="721"/>
      <c r="AG61" s="721"/>
      <c r="AH61" s="721"/>
      <c r="AI61" s="721"/>
      <c r="AJ61" s="721"/>
      <c r="AK61" s="721"/>
      <c r="AL61" s="721"/>
      <c r="AM61" s="721"/>
      <c r="AN61" s="722"/>
      <c r="AO61" s="704" t="s">
        <v>6</v>
      </c>
      <c r="AP61" s="720"/>
      <c r="AQ61" s="721"/>
      <c r="AR61" s="721"/>
      <c r="AS61" s="721"/>
      <c r="AT61" s="721"/>
      <c r="AU61" s="721"/>
      <c r="AV61" s="721"/>
      <c r="AW61" s="721"/>
      <c r="AX61" s="721"/>
      <c r="AY61" s="721"/>
      <c r="AZ61" s="721"/>
      <c r="BA61" s="721"/>
      <c r="BB61" s="721"/>
      <c r="BC61" s="721"/>
      <c r="BD61" s="721"/>
      <c r="BE61" s="721"/>
      <c r="BF61" s="721"/>
      <c r="BG61" s="721"/>
      <c r="BH61" s="601"/>
      <c r="BI61" s="601"/>
      <c r="BJ61" s="601"/>
      <c r="BK61" s="601"/>
      <c r="BL61" s="601"/>
      <c r="BM61" s="601"/>
      <c r="BN61" s="601"/>
      <c r="BO61" s="601"/>
      <c r="BP61" s="601"/>
      <c r="BQ61" s="601"/>
      <c r="BR61" s="601"/>
      <c r="BS61" s="601"/>
      <c r="BT61" s="601"/>
      <c r="BU61" s="601"/>
      <c r="BV61" s="601"/>
      <c r="BW61" s="730"/>
      <c r="BX61" s="730"/>
      <c r="BY61" s="730"/>
      <c r="BZ61" s="730"/>
      <c r="CA61" s="731"/>
      <c r="CB61" s="614">
        <f>BEZ_Dim_22_Anz*KI_N</f>
        <v>0</v>
      </c>
      <c r="CC61" s="615">
        <f>BEZ_Dim_22_L*BEZ_Dim_22_B*BEZ_Dim_22_H*BEZ_Dim_22_Anz /10^9</f>
        <v>0</v>
      </c>
      <c r="CD61" s="615"/>
      <c r="CE61" s="615"/>
      <c r="CF61" s="615"/>
      <c r="CG61" s="615"/>
      <c r="CH61" s="615"/>
      <c r="CI61" s="615"/>
      <c r="CJ61" s="616"/>
      <c r="CK61" s="616"/>
      <c r="CL61" s="616"/>
      <c r="CM61" s="616"/>
      <c r="CN61" s="616"/>
      <c r="CO61" s="616"/>
      <c r="CP61" s="616"/>
      <c r="CQ61" s="617">
        <f>BEZ_Dim_22_CBM*BEZ_Dim_22_SPGEW</f>
        <v>0</v>
      </c>
      <c r="CR61" s="617"/>
      <c r="CS61" s="617"/>
      <c r="CT61" s="617"/>
      <c r="CU61" s="617"/>
      <c r="CV61" s="617"/>
      <c r="CW61" s="617"/>
      <c r="CX61" s="617"/>
      <c r="CY61" s="617"/>
      <c r="CZ61" s="617">
        <f>BEZ_Dim_22_L*BEZ_Dim_22_Anz/1000</f>
        <v>0</v>
      </c>
      <c r="DA61" s="617"/>
      <c r="DB61" s="617"/>
      <c r="DC61" s="617"/>
      <c r="DD61" s="617"/>
      <c r="DE61" s="617"/>
      <c r="DF61" s="617"/>
      <c r="DG61" s="729"/>
      <c r="DH61" s="729"/>
      <c r="DI61" s="729"/>
      <c r="DJ61" s="729"/>
      <c r="DK61" s="729"/>
      <c r="DL61" s="729"/>
      <c r="DM61" s="729"/>
      <c r="DN61" s="729"/>
      <c r="DO61" s="600"/>
      <c r="DP61" s="601"/>
      <c r="DQ61" s="601"/>
      <c r="DR61" s="601"/>
      <c r="DS61" s="601"/>
      <c r="DT61" s="602">
        <f>BEZ_Dim_22_CBM*BEZ_Dim_22_EuCBM*((BEZ_Dim_22_VAZ/100)+1)</f>
        <v>0</v>
      </c>
      <c r="DU61" s="602"/>
      <c r="DV61" s="602"/>
      <c r="DW61" s="602"/>
      <c r="DX61" s="602"/>
      <c r="DY61" s="602"/>
      <c r="DZ61" s="602"/>
      <c r="EA61" s="602"/>
      <c r="EB61" s="602">
        <f>CC61*DG61*((DO61/100)+1)*KI_N</f>
        <v>0</v>
      </c>
      <c r="EC61" s="602"/>
      <c r="ED61" s="602"/>
      <c r="EE61" s="602"/>
      <c r="EF61" s="602"/>
      <c r="EG61" s="602"/>
      <c r="EH61" s="602"/>
      <c r="EI61" s="602"/>
      <c r="EJ61" s="727">
        <f>(100/Kalkulation!AN177)*Bez_Dim_EUR_KI</f>
        <v>69.27382978766741</v>
      </c>
      <c r="EK61" s="728"/>
      <c r="EL61" s="728"/>
      <c r="EM61" s="728"/>
      <c r="EN61" s="728"/>
      <c r="EO61" s="728"/>
      <c r="EP61" s="728"/>
      <c r="EQ61" s="728"/>
      <c r="ER61" s="728"/>
      <c r="ES61" s="728"/>
      <c r="ET61" s="728"/>
      <c r="EU61" s="728"/>
      <c r="EV61" s="728"/>
      <c r="EW61" s="728"/>
      <c r="EX61" s="728"/>
      <c r="EY61" s="728"/>
      <c r="EZ61" s="665" t="s">
        <v>285</v>
      </c>
      <c r="FA61" s="665"/>
      <c r="FB61" s="665"/>
      <c r="FC61" s="665"/>
      <c r="FD61" s="665"/>
      <c r="FE61" s="666"/>
      <c r="FF61" s="265"/>
      <c r="FG61" s="201"/>
      <c r="FH61" s="201"/>
      <c r="FI61" s="201"/>
      <c r="FJ61" s="201"/>
      <c r="FK61" s="201"/>
      <c r="FL61" s="201"/>
      <c r="FM61" s="90"/>
      <c r="FN61" s="351"/>
      <c r="FO61" s="2"/>
      <c r="FP61" s="2"/>
      <c r="FQ61" s="38"/>
      <c r="FR61" s="38"/>
      <c r="FS61" s="38"/>
      <c r="FT61" s="38"/>
      <c r="FU61" s="38"/>
      <c r="FV61" s="38"/>
      <c r="FW61" s="38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1"/>
      <c r="M62" s="167"/>
      <c r="N62" s="606"/>
      <c r="O62" s="606"/>
      <c r="P62" s="606"/>
      <c r="Q62" s="717"/>
      <c r="R62" s="718"/>
      <c r="S62" s="718"/>
      <c r="T62" s="719"/>
      <c r="U62" s="701"/>
      <c r="V62" s="720"/>
      <c r="W62" s="721"/>
      <c r="X62" s="721"/>
      <c r="Y62" s="721"/>
      <c r="Z62" s="721"/>
      <c r="AA62" s="721"/>
      <c r="AB62" s="721"/>
      <c r="AC62" s="721"/>
      <c r="AD62" s="721"/>
      <c r="AE62" s="721"/>
      <c r="AF62" s="721"/>
      <c r="AG62" s="721"/>
      <c r="AH62" s="721"/>
      <c r="AI62" s="721"/>
      <c r="AJ62" s="721"/>
      <c r="AK62" s="721"/>
      <c r="AL62" s="721"/>
      <c r="AM62" s="721"/>
      <c r="AN62" s="722"/>
      <c r="AO62" s="704"/>
      <c r="AP62" s="720"/>
      <c r="AQ62" s="721"/>
      <c r="AR62" s="721"/>
      <c r="AS62" s="721"/>
      <c r="AT62" s="721"/>
      <c r="AU62" s="721"/>
      <c r="AV62" s="721"/>
      <c r="AW62" s="721"/>
      <c r="AX62" s="721"/>
      <c r="AY62" s="721"/>
      <c r="AZ62" s="721"/>
      <c r="BA62" s="721"/>
      <c r="BB62" s="721"/>
      <c r="BC62" s="721"/>
      <c r="BD62" s="721"/>
      <c r="BE62" s="721"/>
      <c r="BF62" s="721"/>
      <c r="BG62" s="721"/>
      <c r="BH62" s="601"/>
      <c r="BI62" s="601"/>
      <c r="BJ62" s="601"/>
      <c r="BK62" s="601"/>
      <c r="BL62" s="601"/>
      <c r="BM62" s="601"/>
      <c r="BN62" s="601"/>
      <c r="BO62" s="601"/>
      <c r="BP62" s="601"/>
      <c r="BQ62" s="601"/>
      <c r="BR62" s="601"/>
      <c r="BS62" s="601"/>
      <c r="BT62" s="601"/>
      <c r="BU62" s="601"/>
      <c r="BV62" s="601"/>
      <c r="BW62" s="730"/>
      <c r="BX62" s="730"/>
      <c r="BY62" s="730"/>
      <c r="BZ62" s="730"/>
      <c r="CA62" s="731"/>
      <c r="CB62" s="614"/>
      <c r="CC62" s="615"/>
      <c r="CD62" s="615"/>
      <c r="CE62" s="615"/>
      <c r="CF62" s="615"/>
      <c r="CG62" s="615"/>
      <c r="CH62" s="615"/>
      <c r="CI62" s="615"/>
      <c r="CJ62" s="616"/>
      <c r="CK62" s="616"/>
      <c r="CL62" s="616"/>
      <c r="CM62" s="616"/>
      <c r="CN62" s="616"/>
      <c r="CO62" s="616"/>
      <c r="CP62" s="616"/>
      <c r="CQ62" s="617"/>
      <c r="CR62" s="617"/>
      <c r="CS62" s="617"/>
      <c r="CT62" s="617"/>
      <c r="CU62" s="617"/>
      <c r="CV62" s="617"/>
      <c r="CW62" s="617"/>
      <c r="CX62" s="617"/>
      <c r="CY62" s="617"/>
      <c r="CZ62" s="617"/>
      <c r="DA62" s="617"/>
      <c r="DB62" s="617"/>
      <c r="DC62" s="617"/>
      <c r="DD62" s="617"/>
      <c r="DE62" s="617"/>
      <c r="DF62" s="617"/>
      <c r="DG62" s="729"/>
      <c r="DH62" s="729"/>
      <c r="DI62" s="729"/>
      <c r="DJ62" s="729"/>
      <c r="DK62" s="729"/>
      <c r="DL62" s="729"/>
      <c r="DM62" s="729"/>
      <c r="DN62" s="729"/>
      <c r="DO62" s="600"/>
      <c r="DP62" s="601"/>
      <c r="DQ62" s="601"/>
      <c r="DR62" s="601"/>
      <c r="DS62" s="601"/>
      <c r="DT62" s="602"/>
      <c r="DU62" s="602"/>
      <c r="DV62" s="602"/>
      <c r="DW62" s="602"/>
      <c r="DX62" s="602"/>
      <c r="DY62" s="602"/>
      <c r="DZ62" s="602"/>
      <c r="EA62" s="602"/>
      <c r="EB62" s="602"/>
      <c r="EC62" s="602"/>
      <c r="ED62" s="602"/>
      <c r="EE62" s="602"/>
      <c r="EF62" s="602"/>
      <c r="EG62" s="602"/>
      <c r="EH62" s="602"/>
      <c r="EI62" s="602"/>
      <c r="EJ62" s="727"/>
      <c r="EK62" s="728"/>
      <c r="EL62" s="728"/>
      <c r="EM62" s="728"/>
      <c r="EN62" s="728"/>
      <c r="EO62" s="728"/>
      <c r="EP62" s="728"/>
      <c r="EQ62" s="728"/>
      <c r="ER62" s="728"/>
      <c r="ES62" s="728"/>
      <c r="ET62" s="728"/>
      <c r="EU62" s="728"/>
      <c r="EV62" s="728"/>
      <c r="EW62" s="728"/>
      <c r="EX62" s="728"/>
      <c r="EY62" s="728"/>
      <c r="EZ62" s="665"/>
      <c r="FA62" s="665"/>
      <c r="FB62" s="665"/>
      <c r="FC62" s="665"/>
      <c r="FD62" s="665"/>
      <c r="FE62" s="666"/>
      <c r="FF62" s="265"/>
      <c r="FG62" s="201"/>
      <c r="FH62" s="201"/>
      <c r="FI62" s="201"/>
      <c r="FJ62" s="201"/>
      <c r="FK62" s="201"/>
      <c r="FL62" s="201"/>
      <c r="FM62" s="90"/>
      <c r="FN62" s="2"/>
      <c r="FO62" s="2"/>
      <c r="FP62" s="2"/>
      <c r="FQ62" s="38"/>
      <c r="FR62" s="38"/>
      <c r="FS62" s="38"/>
      <c r="FT62" s="38"/>
      <c r="FU62" s="38"/>
      <c r="FV62" s="38"/>
      <c r="FW62" s="38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2"/>
      <c r="M63" s="188"/>
      <c r="N63" s="606">
        <v>23</v>
      </c>
      <c r="O63" s="606"/>
      <c r="P63" s="606"/>
      <c r="Q63" s="717"/>
      <c r="R63" s="718"/>
      <c r="S63" s="718"/>
      <c r="T63" s="719"/>
      <c r="U63" s="701" t="s">
        <v>6</v>
      </c>
      <c r="V63" s="720"/>
      <c r="W63" s="721"/>
      <c r="X63" s="721"/>
      <c r="Y63" s="721"/>
      <c r="Z63" s="721"/>
      <c r="AA63" s="721"/>
      <c r="AB63" s="721"/>
      <c r="AC63" s="721"/>
      <c r="AD63" s="721"/>
      <c r="AE63" s="721"/>
      <c r="AF63" s="721"/>
      <c r="AG63" s="721"/>
      <c r="AH63" s="721"/>
      <c r="AI63" s="721"/>
      <c r="AJ63" s="721"/>
      <c r="AK63" s="721"/>
      <c r="AL63" s="721"/>
      <c r="AM63" s="721"/>
      <c r="AN63" s="722"/>
      <c r="AO63" s="704" t="s">
        <v>6</v>
      </c>
      <c r="AP63" s="720"/>
      <c r="AQ63" s="721"/>
      <c r="AR63" s="721"/>
      <c r="AS63" s="721"/>
      <c r="AT63" s="721"/>
      <c r="AU63" s="721"/>
      <c r="AV63" s="721"/>
      <c r="AW63" s="721"/>
      <c r="AX63" s="721"/>
      <c r="AY63" s="721"/>
      <c r="AZ63" s="721"/>
      <c r="BA63" s="721"/>
      <c r="BB63" s="721"/>
      <c r="BC63" s="721"/>
      <c r="BD63" s="721"/>
      <c r="BE63" s="721"/>
      <c r="BF63" s="721"/>
      <c r="BG63" s="721"/>
      <c r="BH63" s="601"/>
      <c r="BI63" s="601"/>
      <c r="BJ63" s="601"/>
      <c r="BK63" s="601"/>
      <c r="BL63" s="601"/>
      <c r="BM63" s="601"/>
      <c r="BN63" s="601"/>
      <c r="BO63" s="601"/>
      <c r="BP63" s="601"/>
      <c r="BQ63" s="601"/>
      <c r="BR63" s="601"/>
      <c r="BS63" s="601"/>
      <c r="BT63" s="601"/>
      <c r="BU63" s="601"/>
      <c r="BV63" s="601"/>
      <c r="BW63" s="730"/>
      <c r="BX63" s="730"/>
      <c r="BY63" s="730"/>
      <c r="BZ63" s="730"/>
      <c r="CA63" s="730"/>
      <c r="CB63" s="614">
        <f>BEZ_Dim_23_Anz*KI_N</f>
        <v>0</v>
      </c>
      <c r="CC63" s="615">
        <f>BEZ_Dim_23_L*BEZ_Dim_23_B*BEZ_Dim_23_H*BEZ_Dim_23_Anz /10^9</f>
        <v>0</v>
      </c>
      <c r="CD63" s="615"/>
      <c r="CE63" s="615"/>
      <c r="CF63" s="615"/>
      <c r="CG63" s="615"/>
      <c r="CH63" s="615"/>
      <c r="CI63" s="615"/>
      <c r="CJ63" s="616"/>
      <c r="CK63" s="616"/>
      <c r="CL63" s="616"/>
      <c r="CM63" s="616"/>
      <c r="CN63" s="616"/>
      <c r="CO63" s="616"/>
      <c r="CP63" s="616"/>
      <c r="CQ63" s="617">
        <f>BEZ_Dim_23_CBM*BEZ_Dim_23_SPGEW</f>
        <v>0</v>
      </c>
      <c r="CR63" s="617"/>
      <c r="CS63" s="617"/>
      <c r="CT63" s="617"/>
      <c r="CU63" s="617"/>
      <c r="CV63" s="617"/>
      <c r="CW63" s="617"/>
      <c r="CX63" s="617"/>
      <c r="CY63" s="617"/>
      <c r="CZ63" s="617">
        <f>BEZ_Dim_23_L*BEZ_Dim_23_Anz/1000</f>
        <v>0</v>
      </c>
      <c r="DA63" s="617"/>
      <c r="DB63" s="617"/>
      <c r="DC63" s="617"/>
      <c r="DD63" s="617"/>
      <c r="DE63" s="617"/>
      <c r="DF63" s="617"/>
      <c r="DG63" s="729"/>
      <c r="DH63" s="729"/>
      <c r="DI63" s="729"/>
      <c r="DJ63" s="729"/>
      <c r="DK63" s="729"/>
      <c r="DL63" s="729"/>
      <c r="DM63" s="729"/>
      <c r="DN63" s="729"/>
      <c r="DO63" s="601"/>
      <c r="DP63" s="601"/>
      <c r="DQ63" s="601"/>
      <c r="DR63" s="601"/>
      <c r="DS63" s="601"/>
      <c r="DT63" s="602">
        <f>BEZ_Dim_23_CBM*BEZ_Dim_23_EuCBM*((BEZ_Dim_23_VAZ/100)+1)</f>
        <v>0</v>
      </c>
      <c r="DU63" s="602"/>
      <c r="DV63" s="602"/>
      <c r="DW63" s="602"/>
      <c r="DX63" s="602"/>
      <c r="DY63" s="602"/>
      <c r="DZ63" s="602"/>
      <c r="EA63" s="602"/>
      <c r="EB63" s="602">
        <f>CC63*DG63*((DO63/100)+1)*KI_N</f>
        <v>0</v>
      </c>
      <c r="EC63" s="602"/>
      <c r="ED63" s="602"/>
      <c r="EE63" s="602"/>
      <c r="EF63" s="602"/>
      <c r="EG63" s="602"/>
      <c r="EH63" s="602"/>
      <c r="EI63" s="602"/>
      <c r="EJ63" s="652"/>
      <c r="EK63" s="653"/>
      <c r="EL63" s="653"/>
      <c r="EM63" s="653"/>
      <c r="EN63" s="653"/>
      <c r="EO63" s="653"/>
      <c r="EP63" s="653"/>
      <c r="EQ63" s="653"/>
      <c r="ER63" s="653"/>
      <c r="ES63" s="653"/>
      <c r="ET63" s="653"/>
      <c r="EU63" s="653"/>
      <c r="EV63" s="653"/>
      <c r="EW63" s="653"/>
      <c r="EX63" s="653"/>
      <c r="EY63" s="653"/>
      <c r="EZ63" s="654"/>
      <c r="FA63" s="654"/>
      <c r="FB63" s="654"/>
      <c r="FC63" s="654"/>
      <c r="FD63" s="654"/>
      <c r="FE63" s="655"/>
      <c r="FF63" s="264"/>
      <c r="FM63" s="90"/>
      <c r="FN63" s="351"/>
      <c r="FO63" s="2"/>
      <c r="FP63" s="2"/>
      <c r="FQ63" s="38"/>
      <c r="FR63" s="38"/>
      <c r="FS63" s="38"/>
      <c r="FT63" s="38"/>
      <c r="FU63" s="38"/>
      <c r="FV63" s="38"/>
      <c r="FW63" s="38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2"/>
      <c r="M64" s="188"/>
      <c r="N64" s="606"/>
      <c r="O64" s="606"/>
      <c r="P64" s="606"/>
      <c r="Q64" s="717"/>
      <c r="R64" s="718"/>
      <c r="S64" s="718"/>
      <c r="T64" s="719"/>
      <c r="U64" s="701"/>
      <c r="V64" s="720"/>
      <c r="W64" s="721"/>
      <c r="X64" s="721"/>
      <c r="Y64" s="721"/>
      <c r="Z64" s="721"/>
      <c r="AA64" s="721"/>
      <c r="AB64" s="721"/>
      <c r="AC64" s="721"/>
      <c r="AD64" s="721"/>
      <c r="AE64" s="721"/>
      <c r="AF64" s="721"/>
      <c r="AG64" s="721"/>
      <c r="AH64" s="721"/>
      <c r="AI64" s="721"/>
      <c r="AJ64" s="721"/>
      <c r="AK64" s="721"/>
      <c r="AL64" s="721"/>
      <c r="AM64" s="721"/>
      <c r="AN64" s="722"/>
      <c r="AO64" s="704"/>
      <c r="AP64" s="720"/>
      <c r="AQ64" s="721"/>
      <c r="AR64" s="721"/>
      <c r="AS64" s="721"/>
      <c r="AT64" s="721"/>
      <c r="AU64" s="721"/>
      <c r="AV64" s="721"/>
      <c r="AW64" s="721"/>
      <c r="AX64" s="721"/>
      <c r="AY64" s="721"/>
      <c r="AZ64" s="721"/>
      <c r="BA64" s="721"/>
      <c r="BB64" s="721"/>
      <c r="BC64" s="721"/>
      <c r="BD64" s="721"/>
      <c r="BE64" s="721"/>
      <c r="BF64" s="721"/>
      <c r="BG64" s="721"/>
      <c r="BH64" s="601"/>
      <c r="BI64" s="601"/>
      <c r="BJ64" s="601"/>
      <c r="BK64" s="601"/>
      <c r="BL64" s="601"/>
      <c r="BM64" s="601"/>
      <c r="BN64" s="601"/>
      <c r="BO64" s="601"/>
      <c r="BP64" s="601"/>
      <c r="BQ64" s="601"/>
      <c r="BR64" s="601"/>
      <c r="BS64" s="601"/>
      <c r="BT64" s="601"/>
      <c r="BU64" s="601"/>
      <c r="BV64" s="601"/>
      <c r="BW64" s="730"/>
      <c r="BX64" s="730"/>
      <c r="BY64" s="730"/>
      <c r="BZ64" s="730"/>
      <c r="CA64" s="730"/>
      <c r="CB64" s="614"/>
      <c r="CC64" s="615"/>
      <c r="CD64" s="615"/>
      <c r="CE64" s="615"/>
      <c r="CF64" s="615"/>
      <c r="CG64" s="615"/>
      <c r="CH64" s="615"/>
      <c r="CI64" s="615"/>
      <c r="CJ64" s="616"/>
      <c r="CK64" s="616"/>
      <c r="CL64" s="616"/>
      <c r="CM64" s="616"/>
      <c r="CN64" s="616"/>
      <c r="CO64" s="616"/>
      <c r="CP64" s="616"/>
      <c r="CQ64" s="617"/>
      <c r="CR64" s="617"/>
      <c r="CS64" s="617"/>
      <c r="CT64" s="617"/>
      <c r="CU64" s="617"/>
      <c r="CV64" s="617"/>
      <c r="CW64" s="617"/>
      <c r="CX64" s="617"/>
      <c r="CY64" s="617"/>
      <c r="CZ64" s="617"/>
      <c r="DA64" s="617"/>
      <c r="DB64" s="617"/>
      <c r="DC64" s="617"/>
      <c r="DD64" s="617"/>
      <c r="DE64" s="617"/>
      <c r="DF64" s="617"/>
      <c r="DG64" s="729"/>
      <c r="DH64" s="729"/>
      <c r="DI64" s="729"/>
      <c r="DJ64" s="729"/>
      <c r="DK64" s="729"/>
      <c r="DL64" s="729"/>
      <c r="DM64" s="729"/>
      <c r="DN64" s="729"/>
      <c r="DO64" s="601"/>
      <c r="DP64" s="601"/>
      <c r="DQ64" s="601"/>
      <c r="DR64" s="601"/>
      <c r="DS64" s="601"/>
      <c r="DT64" s="602"/>
      <c r="DU64" s="602"/>
      <c r="DV64" s="602"/>
      <c r="DW64" s="602"/>
      <c r="DX64" s="602"/>
      <c r="DY64" s="602"/>
      <c r="DZ64" s="602"/>
      <c r="EA64" s="602"/>
      <c r="EB64" s="602"/>
      <c r="EC64" s="602"/>
      <c r="ED64" s="602"/>
      <c r="EE64" s="602"/>
      <c r="EF64" s="602"/>
      <c r="EG64" s="602"/>
      <c r="EH64" s="602"/>
      <c r="EI64" s="602"/>
      <c r="EJ64" s="652"/>
      <c r="EK64" s="653"/>
      <c r="EL64" s="653"/>
      <c r="EM64" s="653"/>
      <c r="EN64" s="653"/>
      <c r="EO64" s="653"/>
      <c r="EP64" s="653"/>
      <c r="EQ64" s="653"/>
      <c r="ER64" s="653"/>
      <c r="ES64" s="653"/>
      <c r="ET64" s="653"/>
      <c r="EU64" s="653"/>
      <c r="EV64" s="653"/>
      <c r="EW64" s="653"/>
      <c r="EX64" s="653"/>
      <c r="EY64" s="653"/>
      <c r="EZ64" s="654"/>
      <c r="FA64" s="654"/>
      <c r="FB64" s="654"/>
      <c r="FC64" s="654"/>
      <c r="FD64" s="654"/>
      <c r="FE64" s="655"/>
      <c r="FF64" s="264"/>
      <c r="FM64" s="90"/>
      <c r="FN64" s="2"/>
      <c r="FO64" s="2"/>
      <c r="FP64" s="2"/>
      <c r="FQ64" s="38"/>
      <c r="FR64" s="38"/>
      <c r="FS64" s="38"/>
      <c r="FT64" s="38"/>
      <c r="FU64" s="38"/>
      <c r="FV64" s="38"/>
      <c r="FW64" s="38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3"/>
      <c r="M65" s="203"/>
      <c r="N65" s="606">
        <v>24</v>
      </c>
      <c r="O65" s="606"/>
      <c r="P65" s="606"/>
      <c r="Q65" s="717"/>
      <c r="R65" s="718"/>
      <c r="S65" s="718"/>
      <c r="T65" s="719"/>
      <c r="U65" s="701" t="s">
        <v>6</v>
      </c>
      <c r="V65" s="720"/>
      <c r="W65" s="721"/>
      <c r="X65" s="721"/>
      <c r="Y65" s="721"/>
      <c r="Z65" s="721"/>
      <c r="AA65" s="721"/>
      <c r="AB65" s="721"/>
      <c r="AC65" s="721"/>
      <c r="AD65" s="721"/>
      <c r="AE65" s="721"/>
      <c r="AF65" s="721"/>
      <c r="AG65" s="721"/>
      <c r="AH65" s="721"/>
      <c r="AI65" s="721"/>
      <c r="AJ65" s="721"/>
      <c r="AK65" s="721"/>
      <c r="AL65" s="721"/>
      <c r="AM65" s="721"/>
      <c r="AN65" s="722"/>
      <c r="AO65" s="704" t="s">
        <v>6</v>
      </c>
      <c r="AP65" s="720"/>
      <c r="AQ65" s="721"/>
      <c r="AR65" s="721"/>
      <c r="AS65" s="721"/>
      <c r="AT65" s="721"/>
      <c r="AU65" s="721"/>
      <c r="AV65" s="721"/>
      <c r="AW65" s="721"/>
      <c r="AX65" s="721"/>
      <c r="AY65" s="721"/>
      <c r="AZ65" s="721"/>
      <c r="BA65" s="721"/>
      <c r="BB65" s="721"/>
      <c r="BC65" s="721"/>
      <c r="BD65" s="721"/>
      <c r="BE65" s="721"/>
      <c r="BF65" s="721"/>
      <c r="BG65" s="721"/>
      <c r="BH65" s="601"/>
      <c r="BI65" s="601"/>
      <c r="BJ65" s="601"/>
      <c r="BK65" s="601"/>
      <c r="BL65" s="601"/>
      <c r="BM65" s="601"/>
      <c r="BN65" s="601"/>
      <c r="BO65" s="601"/>
      <c r="BP65" s="601"/>
      <c r="BQ65" s="601"/>
      <c r="BR65" s="601"/>
      <c r="BS65" s="601"/>
      <c r="BT65" s="601"/>
      <c r="BU65" s="601"/>
      <c r="BV65" s="601"/>
      <c r="BW65" s="730"/>
      <c r="BX65" s="730"/>
      <c r="BY65" s="730"/>
      <c r="BZ65" s="730"/>
      <c r="CA65" s="730"/>
      <c r="CB65" s="614">
        <f>BEZ_Dim_24_Anz*KI_N</f>
        <v>0</v>
      </c>
      <c r="CC65" s="615">
        <f>BEZ_Dim_24_L*BEZ_Dim_24_B*BEZ_Dim_24_H*BEZ_Dim_24_Anz /10^9</f>
        <v>0</v>
      </c>
      <c r="CD65" s="615"/>
      <c r="CE65" s="615"/>
      <c r="CF65" s="615"/>
      <c r="CG65" s="615"/>
      <c r="CH65" s="615"/>
      <c r="CI65" s="615"/>
      <c r="CJ65" s="616"/>
      <c r="CK65" s="616"/>
      <c r="CL65" s="616"/>
      <c r="CM65" s="616"/>
      <c r="CN65" s="616"/>
      <c r="CO65" s="616"/>
      <c r="CP65" s="616"/>
      <c r="CQ65" s="617">
        <f>BEZ_Dim_24_CBM*BEZ_Dim_24_SPGEW</f>
        <v>0</v>
      </c>
      <c r="CR65" s="617"/>
      <c r="CS65" s="617"/>
      <c r="CT65" s="617"/>
      <c r="CU65" s="617"/>
      <c r="CV65" s="617"/>
      <c r="CW65" s="617"/>
      <c r="CX65" s="617"/>
      <c r="CY65" s="617"/>
      <c r="CZ65" s="617">
        <f>BEZ_Dim_24_L*BEZ_Dim_24_Anz/1000</f>
        <v>0</v>
      </c>
      <c r="DA65" s="617"/>
      <c r="DB65" s="617"/>
      <c r="DC65" s="617"/>
      <c r="DD65" s="617"/>
      <c r="DE65" s="617"/>
      <c r="DF65" s="617"/>
      <c r="DG65" s="729"/>
      <c r="DH65" s="729"/>
      <c r="DI65" s="729"/>
      <c r="DJ65" s="729"/>
      <c r="DK65" s="729"/>
      <c r="DL65" s="729"/>
      <c r="DM65" s="729"/>
      <c r="DN65" s="729"/>
      <c r="DO65" s="601"/>
      <c r="DP65" s="601"/>
      <c r="DQ65" s="601"/>
      <c r="DR65" s="601"/>
      <c r="DS65" s="601"/>
      <c r="DT65" s="602">
        <f>BEZ_Dim_24_CBM*BEZ_Dim_24_EuCBM*((BEZ_Dim_24_VAZ/100)+1)</f>
        <v>0</v>
      </c>
      <c r="DU65" s="602"/>
      <c r="DV65" s="602"/>
      <c r="DW65" s="602"/>
      <c r="DX65" s="602"/>
      <c r="DY65" s="602"/>
      <c r="DZ65" s="602"/>
      <c r="EA65" s="602"/>
      <c r="EB65" s="602">
        <f>CC65*DG65*((DO65/100)+1)*KI_N</f>
        <v>0</v>
      </c>
      <c r="EC65" s="602"/>
      <c r="ED65" s="602"/>
      <c r="EE65" s="602"/>
      <c r="EF65" s="602"/>
      <c r="EG65" s="602"/>
      <c r="EH65" s="602"/>
      <c r="EI65" s="602"/>
      <c r="EJ65" s="769" t="s">
        <v>421</v>
      </c>
      <c r="EK65" s="770"/>
      <c r="EL65" s="770"/>
      <c r="EM65" s="770"/>
      <c r="EN65" s="770"/>
      <c r="EO65" s="770"/>
      <c r="EP65" s="770"/>
      <c r="EQ65" s="770"/>
      <c r="ER65" s="770"/>
      <c r="ES65" s="770"/>
      <c r="ET65" s="770"/>
      <c r="EU65" s="770"/>
      <c r="EV65" s="770"/>
      <c r="EW65" s="770"/>
      <c r="EX65" s="770"/>
      <c r="EY65" s="770"/>
      <c r="EZ65" s="770"/>
      <c r="FA65" s="770"/>
      <c r="FB65" s="770"/>
      <c r="FC65" s="770"/>
      <c r="FD65" s="770"/>
      <c r="FE65" s="771"/>
      <c r="FF65" s="264"/>
      <c r="FM65" s="90"/>
      <c r="FN65" s="351"/>
      <c r="FO65" s="2"/>
      <c r="FP65" s="2"/>
      <c r="FQ65" s="38"/>
      <c r="FR65" s="38"/>
      <c r="FS65" s="38"/>
      <c r="FT65" s="38"/>
      <c r="FU65" s="38"/>
      <c r="FV65" s="38"/>
      <c r="FW65" s="38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1"/>
      <c r="M66" s="167"/>
      <c r="N66" s="606"/>
      <c r="O66" s="606"/>
      <c r="P66" s="606"/>
      <c r="Q66" s="717"/>
      <c r="R66" s="718"/>
      <c r="S66" s="718"/>
      <c r="T66" s="719"/>
      <c r="U66" s="701"/>
      <c r="V66" s="720"/>
      <c r="W66" s="721"/>
      <c r="X66" s="721"/>
      <c r="Y66" s="721"/>
      <c r="Z66" s="721"/>
      <c r="AA66" s="721"/>
      <c r="AB66" s="721"/>
      <c r="AC66" s="721"/>
      <c r="AD66" s="721"/>
      <c r="AE66" s="721"/>
      <c r="AF66" s="721"/>
      <c r="AG66" s="721"/>
      <c r="AH66" s="721"/>
      <c r="AI66" s="721"/>
      <c r="AJ66" s="721"/>
      <c r="AK66" s="721"/>
      <c r="AL66" s="721"/>
      <c r="AM66" s="721"/>
      <c r="AN66" s="722"/>
      <c r="AO66" s="704"/>
      <c r="AP66" s="720"/>
      <c r="AQ66" s="721"/>
      <c r="AR66" s="721"/>
      <c r="AS66" s="721"/>
      <c r="AT66" s="721"/>
      <c r="AU66" s="721"/>
      <c r="AV66" s="721"/>
      <c r="AW66" s="721"/>
      <c r="AX66" s="721"/>
      <c r="AY66" s="721"/>
      <c r="AZ66" s="721"/>
      <c r="BA66" s="721"/>
      <c r="BB66" s="721"/>
      <c r="BC66" s="721"/>
      <c r="BD66" s="721"/>
      <c r="BE66" s="721"/>
      <c r="BF66" s="721"/>
      <c r="BG66" s="721"/>
      <c r="BH66" s="601"/>
      <c r="BI66" s="601"/>
      <c r="BJ66" s="601"/>
      <c r="BK66" s="601"/>
      <c r="BL66" s="601"/>
      <c r="BM66" s="601"/>
      <c r="BN66" s="601"/>
      <c r="BO66" s="601"/>
      <c r="BP66" s="601"/>
      <c r="BQ66" s="601"/>
      <c r="BR66" s="601"/>
      <c r="BS66" s="601"/>
      <c r="BT66" s="601"/>
      <c r="BU66" s="601"/>
      <c r="BV66" s="601"/>
      <c r="BW66" s="730"/>
      <c r="BX66" s="730"/>
      <c r="BY66" s="730"/>
      <c r="BZ66" s="730"/>
      <c r="CA66" s="730"/>
      <c r="CB66" s="614"/>
      <c r="CC66" s="615"/>
      <c r="CD66" s="615"/>
      <c r="CE66" s="615"/>
      <c r="CF66" s="615"/>
      <c r="CG66" s="615"/>
      <c r="CH66" s="615"/>
      <c r="CI66" s="615"/>
      <c r="CJ66" s="616"/>
      <c r="CK66" s="616"/>
      <c r="CL66" s="616"/>
      <c r="CM66" s="616"/>
      <c r="CN66" s="616"/>
      <c r="CO66" s="616"/>
      <c r="CP66" s="616"/>
      <c r="CQ66" s="617"/>
      <c r="CR66" s="617"/>
      <c r="CS66" s="617"/>
      <c r="CT66" s="617"/>
      <c r="CU66" s="617"/>
      <c r="CV66" s="617"/>
      <c r="CW66" s="617"/>
      <c r="CX66" s="617"/>
      <c r="CY66" s="617"/>
      <c r="CZ66" s="617"/>
      <c r="DA66" s="617"/>
      <c r="DB66" s="617"/>
      <c r="DC66" s="617"/>
      <c r="DD66" s="617"/>
      <c r="DE66" s="617"/>
      <c r="DF66" s="617"/>
      <c r="DG66" s="729"/>
      <c r="DH66" s="729"/>
      <c r="DI66" s="729"/>
      <c r="DJ66" s="729"/>
      <c r="DK66" s="729"/>
      <c r="DL66" s="729"/>
      <c r="DM66" s="729"/>
      <c r="DN66" s="729"/>
      <c r="DO66" s="601"/>
      <c r="DP66" s="601"/>
      <c r="DQ66" s="601"/>
      <c r="DR66" s="601"/>
      <c r="DS66" s="601"/>
      <c r="DT66" s="602"/>
      <c r="DU66" s="602"/>
      <c r="DV66" s="602"/>
      <c r="DW66" s="602"/>
      <c r="DX66" s="602"/>
      <c r="DY66" s="602"/>
      <c r="DZ66" s="602"/>
      <c r="EA66" s="602"/>
      <c r="EB66" s="602"/>
      <c r="EC66" s="602"/>
      <c r="ED66" s="602"/>
      <c r="EE66" s="602"/>
      <c r="EF66" s="602"/>
      <c r="EG66" s="602"/>
      <c r="EH66" s="602"/>
      <c r="EI66" s="602"/>
      <c r="EJ66" s="769"/>
      <c r="EK66" s="770"/>
      <c r="EL66" s="770"/>
      <c r="EM66" s="770"/>
      <c r="EN66" s="770"/>
      <c r="EO66" s="770"/>
      <c r="EP66" s="770"/>
      <c r="EQ66" s="770"/>
      <c r="ER66" s="770"/>
      <c r="ES66" s="770"/>
      <c r="ET66" s="770"/>
      <c r="EU66" s="770"/>
      <c r="EV66" s="770"/>
      <c r="EW66" s="770"/>
      <c r="EX66" s="770"/>
      <c r="EY66" s="770"/>
      <c r="EZ66" s="770"/>
      <c r="FA66" s="770"/>
      <c r="FB66" s="770"/>
      <c r="FC66" s="770"/>
      <c r="FD66" s="770"/>
      <c r="FE66" s="771"/>
      <c r="FF66" s="264"/>
      <c r="FM66" s="90"/>
      <c r="FN66" s="2"/>
      <c r="FO66" s="2"/>
      <c r="FP66" s="2"/>
      <c r="FQ66" s="38"/>
      <c r="FR66" s="38"/>
      <c r="FS66" s="38"/>
      <c r="FT66" s="38"/>
      <c r="FU66" s="38"/>
      <c r="FV66" s="38"/>
      <c r="FW66" s="38"/>
    </row>
    <row r="67" spans="1:179" ht="3.75" customHeight="1" x14ac:dyDescent="0.2">
      <c r="A67" s="42"/>
      <c r="B67" s="42"/>
      <c r="C67" s="42"/>
      <c r="D67" s="42"/>
      <c r="E67" s="42"/>
      <c r="F67" s="42"/>
      <c r="G67" s="43"/>
      <c r="H67" s="43"/>
      <c r="I67" s="43"/>
      <c r="J67" s="43"/>
      <c r="K67" s="44"/>
      <c r="L67" s="101"/>
      <c r="M67" s="167"/>
      <c r="N67" s="606">
        <v>25</v>
      </c>
      <c r="O67" s="606"/>
      <c r="P67" s="606"/>
      <c r="Q67" s="717"/>
      <c r="R67" s="718"/>
      <c r="S67" s="718"/>
      <c r="T67" s="719"/>
      <c r="U67" s="701" t="s">
        <v>6</v>
      </c>
      <c r="V67" s="720"/>
      <c r="W67" s="721"/>
      <c r="X67" s="721"/>
      <c r="Y67" s="721"/>
      <c r="Z67" s="721"/>
      <c r="AA67" s="721"/>
      <c r="AB67" s="721"/>
      <c r="AC67" s="721"/>
      <c r="AD67" s="721"/>
      <c r="AE67" s="721"/>
      <c r="AF67" s="721"/>
      <c r="AG67" s="721"/>
      <c r="AH67" s="721"/>
      <c r="AI67" s="721"/>
      <c r="AJ67" s="721"/>
      <c r="AK67" s="721"/>
      <c r="AL67" s="721"/>
      <c r="AM67" s="721"/>
      <c r="AN67" s="722"/>
      <c r="AO67" s="704" t="s">
        <v>6</v>
      </c>
      <c r="AP67" s="720"/>
      <c r="AQ67" s="721"/>
      <c r="AR67" s="721"/>
      <c r="AS67" s="721"/>
      <c r="AT67" s="721"/>
      <c r="AU67" s="721"/>
      <c r="AV67" s="721"/>
      <c r="AW67" s="721"/>
      <c r="AX67" s="721"/>
      <c r="AY67" s="721"/>
      <c r="AZ67" s="721"/>
      <c r="BA67" s="721"/>
      <c r="BB67" s="721"/>
      <c r="BC67" s="721"/>
      <c r="BD67" s="721"/>
      <c r="BE67" s="721"/>
      <c r="BF67" s="721"/>
      <c r="BG67" s="721"/>
      <c r="BH67" s="601"/>
      <c r="BI67" s="601"/>
      <c r="BJ67" s="601"/>
      <c r="BK67" s="601"/>
      <c r="BL67" s="601"/>
      <c r="BM67" s="601"/>
      <c r="BN67" s="601"/>
      <c r="BO67" s="601"/>
      <c r="BP67" s="601"/>
      <c r="BQ67" s="601"/>
      <c r="BR67" s="601"/>
      <c r="BS67" s="601"/>
      <c r="BT67" s="601"/>
      <c r="BU67" s="601"/>
      <c r="BV67" s="601"/>
      <c r="BW67" s="730"/>
      <c r="BX67" s="730"/>
      <c r="BY67" s="730"/>
      <c r="BZ67" s="730"/>
      <c r="CA67" s="730"/>
      <c r="CB67" s="614">
        <f>BEZ_Dim_25_Anz*KI_N</f>
        <v>0</v>
      </c>
      <c r="CC67" s="615">
        <f>BEZ_Dim_25_L*BEZ_Dim_25_B*BEZ_Dim_25_H*BEZ_Dim_25_Anz /10^9</f>
        <v>0</v>
      </c>
      <c r="CD67" s="615"/>
      <c r="CE67" s="615"/>
      <c r="CF67" s="615"/>
      <c r="CG67" s="615"/>
      <c r="CH67" s="615"/>
      <c r="CI67" s="615"/>
      <c r="CJ67" s="616"/>
      <c r="CK67" s="616"/>
      <c r="CL67" s="616"/>
      <c r="CM67" s="616"/>
      <c r="CN67" s="616"/>
      <c r="CO67" s="616"/>
      <c r="CP67" s="616"/>
      <c r="CQ67" s="617">
        <f>BEZ_Dim_25_CBM*BEZ_Dim_25_SPGEW</f>
        <v>0</v>
      </c>
      <c r="CR67" s="617"/>
      <c r="CS67" s="617"/>
      <c r="CT67" s="617"/>
      <c r="CU67" s="617"/>
      <c r="CV67" s="617"/>
      <c r="CW67" s="617"/>
      <c r="CX67" s="617"/>
      <c r="CY67" s="617"/>
      <c r="CZ67" s="617">
        <f>BEZ_Dim_25_L*BEZ_Dim_25_Anz/1000</f>
        <v>0</v>
      </c>
      <c r="DA67" s="617"/>
      <c r="DB67" s="617"/>
      <c r="DC67" s="617"/>
      <c r="DD67" s="617"/>
      <c r="DE67" s="617"/>
      <c r="DF67" s="617"/>
      <c r="DG67" s="729"/>
      <c r="DH67" s="729"/>
      <c r="DI67" s="729"/>
      <c r="DJ67" s="729"/>
      <c r="DK67" s="729"/>
      <c r="DL67" s="729"/>
      <c r="DM67" s="729"/>
      <c r="DN67" s="729"/>
      <c r="DO67" s="601"/>
      <c r="DP67" s="601"/>
      <c r="DQ67" s="601"/>
      <c r="DR67" s="601"/>
      <c r="DS67" s="601"/>
      <c r="DT67" s="602">
        <f>BEZ_Dim_25_CBM*BEZ_Dim_25_EuCBM*((BEZ_Dim_25_VAZ/100)+1)</f>
        <v>0</v>
      </c>
      <c r="DU67" s="602"/>
      <c r="DV67" s="602"/>
      <c r="DW67" s="602"/>
      <c r="DX67" s="602"/>
      <c r="DY67" s="602"/>
      <c r="DZ67" s="602"/>
      <c r="EA67" s="602"/>
      <c r="EB67" s="602">
        <f>CC67*DG67*((DO67/100)+1)*KI_N</f>
        <v>0</v>
      </c>
      <c r="EC67" s="602"/>
      <c r="ED67" s="602"/>
      <c r="EE67" s="602"/>
      <c r="EF67" s="602"/>
      <c r="EG67" s="602"/>
      <c r="EH67" s="602"/>
      <c r="EI67" s="602"/>
      <c r="EJ67" s="732">
        <f>Bez_Dim_EUR_KI/Bez_Dim_cbm_KI</f>
        <v>238.84198594327017</v>
      </c>
      <c r="EK67" s="733"/>
      <c r="EL67" s="733"/>
      <c r="EM67" s="733"/>
      <c r="EN67" s="733"/>
      <c r="EO67" s="733"/>
      <c r="EP67" s="733"/>
      <c r="EQ67" s="733"/>
      <c r="ER67" s="733"/>
      <c r="ES67" s="733"/>
      <c r="ET67" s="733"/>
      <c r="EU67" s="733"/>
      <c r="EV67" s="733"/>
      <c r="EW67" s="733"/>
      <c r="EX67" s="733"/>
      <c r="EY67" s="733"/>
      <c r="EZ67" s="654"/>
      <c r="FA67" s="654"/>
      <c r="FB67" s="654"/>
      <c r="FC67" s="654"/>
      <c r="FD67" s="654"/>
      <c r="FE67" s="655"/>
      <c r="FF67" s="264"/>
      <c r="FM67" s="90"/>
      <c r="FN67" s="351"/>
      <c r="FO67" s="2"/>
      <c r="FP67" s="2"/>
      <c r="FQ67" s="38"/>
      <c r="FR67" s="38"/>
      <c r="FS67" s="38"/>
      <c r="FT67" s="38"/>
      <c r="FU67" s="38"/>
      <c r="FV67" s="38"/>
      <c r="FW67" s="38"/>
    </row>
    <row r="68" spans="1:179" ht="3.75" customHeight="1" x14ac:dyDescent="0.2">
      <c r="A68" s="42"/>
      <c r="B68" s="42"/>
      <c r="C68" s="42"/>
      <c r="D68" s="42"/>
      <c r="E68" s="42"/>
      <c r="F68" s="42"/>
      <c r="G68" s="43"/>
      <c r="H68" s="43"/>
      <c r="I68" s="43"/>
      <c r="J68" s="43"/>
      <c r="K68" s="44"/>
      <c r="L68" s="101"/>
      <c r="M68" s="167"/>
      <c r="N68" s="606"/>
      <c r="O68" s="606"/>
      <c r="P68" s="606"/>
      <c r="Q68" s="717"/>
      <c r="R68" s="718"/>
      <c r="S68" s="718"/>
      <c r="T68" s="719"/>
      <c r="U68" s="701"/>
      <c r="V68" s="720"/>
      <c r="W68" s="721"/>
      <c r="X68" s="721"/>
      <c r="Y68" s="721"/>
      <c r="Z68" s="721"/>
      <c r="AA68" s="721"/>
      <c r="AB68" s="721"/>
      <c r="AC68" s="721"/>
      <c r="AD68" s="721"/>
      <c r="AE68" s="721"/>
      <c r="AF68" s="721"/>
      <c r="AG68" s="721"/>
      <c r="AH68" s="721"/>
      <c r="AI68" s="721"/>
      <c r="AJ68" s="721"/>
      <c r="AK68" s="721"/>
      <c r="AL68" s="721"/>
      <c r="AM68" s="721"/>
      <c r="AN68" s="722"/>
      <c r="AO68" s="704"/>
      <c r="AP68" s="720"/>
      <c r="AQ68" s="721"/>
      <c r="AR68" s="721"/>
      <c r="AS68" s="721"/>
      <c r="AT68" s="721"/>
      <c r="AU68" s="721"/>
      <c r="AV68" s="721"/>
      <c r="AW68" s="721"/>
      <c r="AX68" s="721"/>
      <c r="AY68" s="721"/>
      <c r="AZ68" s="721"/>
      <c r="BA68" s="721"/>
      <c r="BB68" s="721"/>
      <c r="BC68" s="721"/>
      <c r="BD68" s="721"/>
      <c r="BE68" s="721"/>
      <c r="BF68" s="721"/>
      <c r="BG68" s="721"/>
      <c r="BH68" s="601"/>
      <c r="BI68" s="601"/>
      <c r="BJ68" s="601"/>
      <c r="BK68" s="601"/>
      <c r="BL68" s="601"/>
      <c r="BM68" s="601"/>
      <c r="BN68" s="601"/>
      <c r="BO68" s="601"/>
      <c r="BP68" s="601"/>
      <c r="BQ68" s="601"/>
      <c r="BR68" s="601"/>
      <c r="BS68" s="601"/>
      <c r="BT68" s="601"/>
      <c r="BU68" s="601"/>
      <c r="BV68" s="601"/>
      <c r="BW68" s="730"/>
      <c r="BX68" s="730"/>
      <c r="BY68" s="730"/>
      <c r="BZ68" s="730"/>
      <c r="CA68" s="730"/>
      <c r="CB68" s="614"/>
      <c r="CC68" s="615"/>
      <c r="CD68" s="615"/>
      <c r="CE68" s="615"/>
      <c r="CF68" s="615"/>
      <c r="CG68" s="615"/>
      <c r="CH68" s="615"/>
      <c r="CI68" s="615"/>
      <c r="CJ68" s="616"/>
      <c r="CK68" s="616"/>
      <c r="CL68" s="616"/>
      <c r="CM68" s="616"/>
      <c r="CN68" s="616"/>
      <c r="CO68" s="616"/>
      <c r="CP68" s="616"/>
      <c r="CQ68" s="617"/>
      <c r="CR68" s="617"/>
      <c r="CS68" s="617"/>
      <c r="CT68" s="617"/>
      <c r="CU68" s="617"/>
      <c r="CV68" s="617"/>
      <c r="CW68" s="617"/>
      <c r="CX68" s="617"/>
      <c r="CY68" s="617"/>
      <c r="CZ68" s="617"/>
      <c r="DA68" s="617"/>
      <c r="DB68" s="617"/>
      <c r="DC68" s="617"/>
      <c r="DD68" s="617"/>
      <c r="DE68" s="617"/>
      <c r="DF68" s="617"/>
      <c r="DG68" s="729"/>
      <c r="DH68" s="729"/>
      <c r="DI68" s="729"/>
      <c r="DJ68" s="729"/>
      <c r="DK68" s="729"/>
      <c r="DL68" s="729"/>
      <c r="DM68" s="729"/>
      <c r="DN68" s="729"/>
      <c r="DO68" s="601"/>
      <c r="DP68" s="601"/>
      <c r="DQ68" s="601"/>
      <c r="DR68" s="601"/>
      <c r="DS68" s="601"/>
      <c r="DT68" s="602"/>
      <c r="DU68" s="602"/>
      <c r="DV68" s="602"/>
      <c r="DW68" s="602"/>
      <c r="DX68" s="602"/>
      <c r="DY68" s="602"/>
      <c r="DZ68" s="602"/>
      <c r="EA68" s="602"/>
      <c r="EB68" s="602"/>
      <c r="EC68" s="602"/>
      <c r="ED68" s="602"/>
      <c r="EE68" s="602"/>
      <c r="EF68" s="602"/>
      <c r="EG68" s="602"/>
      <c r="EH68" s="602"/>
      <c r="EI68" s="602"/>
      <c r="EJ68" s="732"/>
      <c r="EK68" s="733"/>
      <c r="EL68" s="733"/>
      <c r="EM68" s="733"/>
      <c r="EN68" s="733"/>
      <c r="EO68" s="733"/>
      <c r="EP68" s="733"/>
      <c r="EQ68" s="733"/>
      <c r="ER68" s="733"/>
      <c r="ES68" s="733"/>
      <c r="ET68" s="733"/>
      <c r="EU68" s="733"/>
      <c r="EV68" s="733"/>
      <c r="EW68" s="733"/>
      <c r="EX68" s="733"/>
      <c r="EY68" s="733"/>
      <c r="EZ68" s="654"/>
      <c r="FA68" s="654"/>
      <c r="FB68" s="654"/>
      <c r="FC68" s="654"/>
      <c r="FD68" s="654"/>
      <c r="FE68" s="655"/>
      <c r="FF68" s="264"/>
      <c r="FM68" s="90"/>
      <c r="FN68" s="2"/>
      <c r="FO68" s="2"/>
      <c r="FP68" s="2"/>
      <c r="FQ68" s="38"/>
      <c r="FR68" s="38"/>
      <c r="FS68" s="38"/>
      <c r="FT68" s="38"/>
      <c r="FU68" s="38"/>
      <c r="FV68" s="38"/>
      <c r="FW68" s="38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1"/>
      <c r="M69" s="167"/>
      <c r="N69" s="606">
        <v>26</v>
      </c>
      <c r="O69" s="606"/>
      <c r="P69" s="606"/>
      <c r="Q69" s="717"/>
      <c r="R69" s="718"/>
      <c r="S69" s="718"/>
      <c r="T69" s="719"/>
      <c r="U69" s="701" t="s">
        <v>6</v>
      </c>
      <c r="V69" s="720"/>
      <c r="W69" s="721"/>
      <c r="X69" s="721"/>
      <c r="Y69" s="721"/>
      <c r="Z69" s="721"/>
      <c r="AA69" s="721"/>
      <c r="AB69" s="721"/>
      <c r="AC69" s="721"/>
      <c r="AD69" s="721"/>
      <c r="AE69" s="721"/>
      <c r="AF69" s="721"/>
      <c r="AG69" s="721"/>
      <c r="AH69" s="721"/>
      <c r="AI69" s="721"/>
      <c r="AJ69" s="721"/>
      <c r="AK69" s="721"/>
      <c r="AL69" s="721"/>
      <c r="AM69" s="721"/>
      <c r="AN69" s="722"/>
      <c r="AO69" s="704" t="s">
        <v>6</v>
      </c>
      <c r="AP69" s="720"/>
      <c r="AQ69" s="721"/>
      <c r="AR69" s="721"/>
      <c r="AS69" s="721"/>
      <c r="AT69" s="721"/>
      <c r="AU69" s="721"/>
      <c r="AV69" s="721"/>
      <c r="AW69" s="721"/>
      <c r="AX69" s="721"/>
      <c r="AY69" s="721"/>
      <c r="AZ69" s="721"/>
      <c r="BA69" s="721"/>
      <c r="BB69" s="721"/>
      <c r="BC69" s="721"/>
      <c r="BD69" s="721"/>
      <c r="BE69" s="721"/>
      <c r="BF69" s="721"/>
      <c r="BG69" s="721"/>
      <c r="BH69" s="601"/>
      <c r="BI69" s="601"/>
      <c r="BJ69" s="601"/>
      <c r="BK69" s="601"/>
      <c r="BL69" s="601"/>
      <c r="BM69" s="601"/>
      <c r="BN69" s="601"/>
      <c r="BO69" s="601"/>
      <c r="BP69" s="601"/>
      <c r="BQ69" s="601"/>
      <c r="BR69" s="601"/>
      <c r="BS69" s="601"/>
      <c r="BT69" s="601"/>
      <c r="BU69" s="601"/>
      <c r="BV69" s="601"/>
      <c r="BW69" s="730"/>
      <c r="BX69" s="730"/>
      <c r="BY69" s="730"/>
      <c r="BZ69" s="730"/>
      <c r="CA69" s="730"/>
      <c r="CB69" s="614">
        <f>BEZ_Dim_26_Anz*KI_N</f>
        <v>0</v>
      </c>
      <c r="CC69" s="615">
        <f>BEZ_Dim_26_L*BEZ_Dim_26_B*BEZ_Dim_26_H*BEZ_Dim_26_Anz /10^9</f>
        <v>0</v>
      </c>
      <c r="CD69" s="615"/>
      <c r="CE69" s="615"/>
      <c r="CF69" s="615"/>
      <c r="CG69" s="615"/>
      <c r="CH69" s="615"/>
      <c r="CI69" s="615"/>
      <c r="CJ69" s="616"/>
      <c r="CK69" s="616"/>
      <c r="CL69" s="616"/>
      <c r="CM69" s="616"/>
      <c r="CN69" s="616"/>
      <c r="CO69" s="616"/>
      <c r="CP69" s="616"/>
      <c r="CQ69" s="617">
        <f>BEZ_Dim_26_CBM*BEZ_Dim_26_SPGEW</f>
        <v>0</v>
      </c>
      <c r="CR69" s="617"/>
      <c r="CS69" s="617"/>
      <c r="CT69" s="617"/>
      <c r="CU69" s="617"/>
      <c r="CV69" s="617"/>
      <c r="CW69" s="617"/>
      <c r="CX69" s="617"/>
      <c r="CY69" s="617"/>
      <c r="CZ69" s="617">
        <f>BEZ_Dim_26_L*BEZ_Dim_26_Anz/1000</f>
        <v>0</v>
      </c>
      <c r="DA69" s="617"/>
      <c r="DB69" s="617"/>
      <c r="DC69" s="617"/>
      <c r="DD69" s="617"/>
      <c r="DE69" s="617"/>
      <c r="DF69" s="617"/>
      <c r="DG69" s="729"/>
      <c r="DH69" s="729"/>
      <c r="DI69" s="729"/>
      <c r="DJ69" s="729"/>
      <c r="DK69" s="729"/>
      <c r="DL69" s="729"/>
      <c r="DM69" s="729"/>
      <c r="DN69" s="729"/>
      <c r="DO69" s="601"/>
      <c r="DP69" s="601"/>
      <c r="DQ69" s="601"/>
      <c r="DR69" s="601"/>
      <c r="DS69" s="601"/>
      <c r="DT69" s="602">
        <f>BEZ_Dim_26_CBM*BEZ_Dim_26_EuCBM*((BEZ_Dim_26_VAZ/100)+1)</f>
        <v>0</v>
      </c>
      <c r="DU69" s="602"/>
      <c r="DV69" s="602"/>
      <c r="DW69" s="602"/>
      <c r="DX69" s="602"/>
      <c r="DY69" s="602"/>
      <c r="DZ69" s="602"/>
      <c r="EA69" s="602"/>
      <c r="EB69" s="602">
        <f>CC69*DG69*((DO69/100)+1)*KI_N</f>
        <v>0</v>
      </c>
      <c r="EC69" s="602"/>
      <c r="ED69" s="602"/>
      <c r="EE69" s="602"/>
      <c r="EF69" s="602"/>
      <c r="EG69" s="602"/>
      <c r="EH69" s="602"/>
      <c r="EI69" s="602"/>
      <c r="EJ69" s="734" t="s">
        <v>79</v>
      </c>
      <c r="EK69" s="735"/>
      <c r="EL69" s="735"/>
      <c r="EM69" s="735"/>
      <c r="EN69" s="735"/>
      <c r="EO69" s="735"/>
      <c r="EP69" s="735"/>
      <c r="EQ69" s="735"/>
      <c r="ER69" s="735"/>
      <c r="ES69" s="735"/>
      <c r="ET69" s="735"/>
      <c r="EU69" s="735"/>
      <c r="EV69" s="735"/>
      <c r="EW69" s="735"/>
      <c r="EX69" s="735"/>
      <c r="EY69" s="735"/>
      <c r="EZ69" s="735"/>
      <c r="FA69" s="735"/>
      <c r="FB69" s="735"/>
      <c r="FC69" s="735"/>
      <c r="FD69" s="735"/>
      <c r="FE69" s="736"/>
      <c r="FF69" s="264"/>
      <c r="FM69" s="90"/>
      <c r="FN69" s="351"/>
      <c r="FO69" s="2"/>
      <c r="FP69" s="2"/>
      <c r="FQ69" s="38"/>
      <c r="FR69" s="38"/>
      <c r="FS69" s="38"/>
      <c r="FT69" s="38"/>
      <c r="FU69" s="38"/>
      <c r="FV69" s="38"/>
      <c r="FW69" s="38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1"/>
      <c r="M70" s="167"/>
      <c r="N70" s="606"/>
      <c r="O70" s="606"/>
      <c r="P70" s="606"/>
      <c r="Q70" s="717"/>
      <c r="R70" s="718"/>
      <c r="S70" s="718"/>
      <c r="T70" s="719"/>
      <c r="U70" s="701"/>
      <c r="V70" s="720"/>
      <c r="W70" s="721"/>
      <c r="X70" s="721"/>
      <c r="Y70" s="721"/>
      <c r="Z70" s="721"/>
      <c r="AA70" s="721"/>
      <c r="AB70" s="721"/>
      <c r="AC70" s="721"/>
      <c r="AD70" s="721"/>
      <c r="AE70" s="721"/>
      <c r="AF70" s="721"/>
      <c r="AG70" s="721"/>
      <c r="AH70" s="721"/>
      <c r="AI70" s="721"/>
      <c r="AJ70" s="721"/>
      <c r="AK70" s="721"/>
      <c r="AL70" s="721"/>
      <c r="AM70" s="721"/>
      <c r="AN70" s="722"/>
      <c r="AO70" s="704"/>
      <c r="AP70" s="720"/>
      <c r="AQ70" s="721"/>
      <c r="AR70" s="721"/>
      <c r="AS70" s="721"/>
      <c r="AT70" s="721"/>
      <c r="AU70" s="721"/>
      <c r="AV70" s="721"/>
      <c r="AW70" s="721"/>
      <c r="AX70" s="721"/>
      <c r="AY70" s="721"/>
      <c r="AZ70" s="721"/>
      <c r="BA70" s="721"/>
      <c r="BB70" s="721"/>
      <c r="BC70" s="721"/>
      <c r="BD70" s="721"/>
      <c r="BE70" s="721"/>
      <c r="BF70" s="721"/>
      <c r="BG70" s="721"/>
      <c r="BH70" s="601"/>
      <c r="BI70" s="601"/>
      <c r="BJ70" s="601"/>
      <c r="BK70" s="601"/>
      <c r="BL70" s="601"/>
      <c r="BM70" s="601"/>
      <c r="BN70" s="601"/>
      <c r="BO70" s="601"/>
      <c r="BP70" s="601"/>
      <c r="BQ70" s="601"/>
      <c r="BR70" s="601"/>
      <c r="BS70" s="601"/>
      <c r="BT70" s="601"/>
      <c r="BU70" s="601"/>
      <c r="BV70" s="601"/>
      <c r="BW70" s="730"/>
      <c r="BX70" s="730"/>
      <c r="BY70" s="730"/>
      <c r="BZ70" s="730"/>
      <c r="CA70" s="730"/>
      <c r="CB70" s="614"/>
      <c r="CC70" s="615"/>
      <c r="CD70" s="615"/>
      <c r="CE70" s="615"/>
      <c r="CF70" s="615"/>
      <c r="CG70" s="615"/>
      <c r="CH70" s="615"/>
      <c r="CI70" s="615"/>
      <c r="CJ70" s="616"/>
      <c r="CK70" s="616"/>
      <c r="CL70" s="616"/>
      <c r="CM70" s="616"/>
      <c r="CN70" s="616"/>
      <c r="CO70" s="616"/>
      <c r="CP70" s="616"/>
      <c r="CQ70" s="617"/>
      <c r="CR70" s="617"/>
      <c r="CS70" s="617"/>
      <c r="CT70" s="617"/>
      <c r="CU70" s="617"/>
      <c r="CV70" s="617"/>
      <c r="CW70" s="617"/>
      <c r="CX70" s="617"/>
      <c r="CY70" s="617"/>
      <c r="CZ70" s="617"/>
      <c r="DA70" s="617"/>
      <c r="DB70" s="617"/>
      <c r="DC70" s="617"/>
      <c r="DD70" s="617"/>
      <c r="DE70" s="617"/>
      <c r="DF70" s="617"/>
      <c r="DG70" s="729"/>
      <c r="DH70" s="729"/>
      <c r="DI70" s="729"/>
      <c r="DJ70" s="729"/>
      <c r="DK70" s="729"/>
      <c r="DL70" s="729"/>
      <c r="DM70" s="729"/>
      <c r="DN70" s="729"/>
      <c r="DO70" s="601"/>
      <c r="DP70" s="601"/>
      <c r="DQ70" s="601"/>
      <c r="DR70" s="601"/>
      <c r="DS70" s="601"/>
      <c r="DT70" s="602"/>
      <c r="DU70" s="602"/>
      <c r="DV70" s="602"/>
      <c r="DW70" s="602"/>
      <c r="DX70" s="602"/>
      <c r="DY70" s="602"/>
      <c r="DZ70" s="602"/>
      <c r="EA70" s="602"/>
      <c r="EB70" s="602"/>
      <c r="EC70" s="602"/>
      <c r="ED70" s="602"/>
      <c r="EE70" s="602"/>
      <c r="EF70" s="602"/>
      <c r="EG70" s="602"/>
      <c r="EH70" s="602"/>
      <c r="EI70" s="602"/>
      <c r="EJ70" s="734"/>
      <c r="EK70" s="735"/>
      <c r="EL70" s="735"/>
      <c r="EM70" s="735"/>
      <c r="EN70" s="735"/>
      <c r="EO70" s="735"/>
      <c r="EP70" s="735"/>
      <c r="EQ70" s="735"/>
      <c r="ER70" s="735"/>
      <c r="ES70" s="735"/>
      <c r="ET70" s="735"/>
      <c r="EU70" s="735"/>
      <c r="EV70" s="735"/>
      <c r="EW70" s="735"/>
      <c r="EX70" s="735"/>
      <c r="EY70" s="735"/>
      <c r="EZ70" s="735"/>
      <c r="FA70" s="735"/>
      <c r="FB70" s="735"/>
      <c r="FC70" s="735"/>
      <c r="FD70" s="735"/>
      <c r="FE70" s="736"/>
      <c r="FF70" s="264"/>
      <c r="FM70" s="90"/>
      <c r="FN70" s="2"/>
      <c r="FO70" s="2"/>
      <c r="FP70" s="2"/>
      <c r="FQ70" s="38"/>
      <c r="FR70" s="38"/>
      <c r="FS70" s="38"/>
      <c r="FT70" s="38"/>
      <c r="FU70" s="38"/>
      <c r="FV70" s="38"/>
      <c r="FW70" s="38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1"/>
      <c r="M71" s="167"/>
      <c r="N71" s="606">
        <v>27</v>
      </c>
      <c r="O71" s="606"/>
      <c r="P71" s="606"/>
      <c r="Q71" s="717"/>
      <c r="R71" s="718"/>
      <c r="S71" s="718"/>
      <c r="T71" s="719"/>
      <c r="U71" s="701" t="s">
        <v>6</v>
      </c>
      <c r="V71" s="720"/>
      <c r="W71" s="721"/>
      <c r="X71" s="721"/>
      <c r="Y71" s="721"/>
      <c r="Z71" s="721"/>
      <c r="AA71" s="721"/>
      <c r="AB71" s="721"/>
      <c r="AC71" s="721"/>
      <c r="AD71" s="721"/>
      <c r="AE71" s="721"/>
      <c r="AF71" s="721"/>
      <c r="AG71" s="721"/>
      <c r="AH71" s="721"/>
      <c r="AI71" s="721"/>
      <c r="AJ71" s="721"/>
      <c r="AK71" s="721"/>
      <c r="AL71" s="721"/>
      <c r="AM71" s="721"/>
      <c r="AN71" s="722"/>
      <c r="AO71" s="704" t="s">
        <v>6</v>
      </c>
      <c r="AP71" s="720"/>
      <c r="AQ71" s="721"/>
      <c r="AR71" s="721"/>
      <c r="AS71" s="721"/>
      <c r="AT71" s="721"/>
      <c r="AU71" s="721"/>
      <c r="AV71" s="721"/>
      <c r="AW71" s="721"/>
      <c r="AX71" s="721"/>
      <c r="AY71" s="721"/>
      <c r="AZ71" s="721"/>
      <c r="BA71" s="721"/>
      <c r="BB71" s="721"/>
      <c r="BC71" s="721"/>
      <c r="BD71" s="721"/>
      <c r="BE71" s="721"/>
      <c r="BF71" s="721"/>
      <c r="BG71" s="721"/>
      <c r="BH71" s="601"/>
      <c r="BI71" s="601"/>
      <c r="BJ71" s="601"/>
      <c r="BK71" s="601"/>
      <c r="BL71" s="601"/>
      <c r="BM71" s="601"/>
      <c r="BN71" s="601"/>
      <c r="BO71" s="601"/>
      <c r="BP71" s="601"/>
      <c r="BQ71" s="601"/>
      <c r="BR71" s="601"/>
      <c r="BS71" s="601"/>
      <c r="BT71" s="601"/>
      <c r="BU71" s="601"/>
      <c r="BV71" s="601"/>
      <c r="BW71" s="730"/>
      <c r="BX71" s="730"/>
      <c r="BY71" s="730"/>
      <c r="BZ71" s="730"/>
      <c r="CA71" s="730"/>
      <c r="CB71" s="614">
        <f>BEZ_Dim_27_Anz*KI_N</f>
        <v>0</v>
      </c>
      <c r="CC71" s="615">
        <f>BEZ_Dim_27_L*BEZ_Dim_27_B*BEZ_Dim_27_H*BEZ_Dim_27_Anz /10^9</f>
        <v>0</v>
      </c>
      <c r="CD71" s="615"/>
      <c r="CE71" s="615"/>
      <c r="CF71" s="615"/>
      <c r="CG71" s="615"/>
      <c r="CH71" s="615"/>
      <c r="CI71" s="615"/>
      <c r="CJ71" s="616"/>
      <c r="CK71" s="616"/>
      <c r="CL71" s="616"/>
      <c r="CM71" s="616"/>
      <c r="CN71" s="616"/>
      <c r="CO71" s="616"/>
      <c r="CP71" s="616"/>
      <c r="CQ71" s="617">
        <f>BEZ_Dim_27_CBM*BEZ_Dim_27_SPGEW</f>
        <v>0</v>
      </c>
      <c r="CR71" s="617"/>
      <c r="CS71" s="617"/>
      <c r="CT71" s="617"/>
      <c r="CU71" s="617"/>
      <c r="CV71" s="617"/>
      <c r="CW71" s="617"/>
      <c r="CX71" s="617"/>
      <c r="CY71" s="617"/>
      <c r="CZ71" s="617">
        <f>BEZ_Dim_27_L*BEZ_Dim_27_Anz/1000</f>
        <v>0</v>
      </c>
      <c r="DA71" s="617"/>
      <c r="DB71" s="617"/>
      <c r="DC71" s="617"/>
      <c r="DD71" s="617"/>
      <c r="DE71" s="617"/>
      <c r="DF71" s="617"/>
      <c r="DG71" s="729"/>
      <c r="DH71" s="729"/>
      <c r="DI71" s="729"/>
      <c r="DJ71" s="729"/>
      <c r="DK71" s="729"/>
      <c r="DL71" s="729"/>
      <c r="DM71" s="729"/>
      <c r="DN71" s="729"/>
      <c r="DO71" s="601"/>
      <c r="DP71" s="601"/>
      <c r="DQ71" s="601"/>
      <c r="DR71" s="601"/>
      <c r="DS71" s="601"/>
      <c r="DT71" s="602">
        <f>BEZ_Dim_27_CBM*BEZ_Dim_27_EuCBM*((BEZ_Dim_27_VAZ/100)+1)</f>
        <v>0</v>
      </c>
      <c r="DU71" s="602"/>
      <c r="DV71" s="602"/>
      <c r="DW71" s="602"/>
      <c r="DX71" s="602"/>
      <c r="DY71" s="602"/>
      <c r="DZ71" s="602"/>
      <c r="EA71" s="602"/>
      <c r="EB71" s="602">
        <f>CC71*DG71*((DO71/100)+1)*KI_N</f>
        <v>0</v>
      </c>
      <c r="EC71" s="602"/>
      <c r="ED71" s="602"/>
      <c r="EE71" s="602"/>
      <c r="EF71" s="602"/>
      <c r="EG71" s="602"/>
      <c r="EH71" s="602"/>
      <c r="EI71" s="602"/>
      <c r="EJ71" s="737">
        <f>SUM(CC19:CI110) / SUM(BH19:BK110)</f>
        <v>4.9993989333333329E-3</v>
      </c>
      <c r="EK71" s="738"/>
      <c r="EL71" s="738"/>
      <c r="EM71" s="738"/>
      <c r="EN71" s="738"/>
      <c r="EO71" s="738"/>
      <c r="EP71" s="738"/>
      <c r="EQ71" s="738"/>
      <c r="ER71" s="738"/>
      <c r="ES71" s="738"/>
      <c r="ET71" s="738"/>
      <c r="EU71" s="738"/>
      <c r="EV71" s="738"/>
      <c r="EW71" s="738"/>
      <c r="EX71" s="738"/>
      <c r="EY71" s="738"/>
      <c r="EZ71" s="654"/>
      <c r="FA71" s="654"/>
      <c r="FB71" s="654"/>
      <c r="FC71" s="654"/>
      <c r="FD71" s="654"/>
      <c r="FE71" s="655"/>
      <c r="FF71" s="264"/>
      <c r="FM71" s="90"/>
      <c r="FN71" s="351"/>
      <c r="FO71" s="2"/>
      <c r="FP71" s="2"/>
      <c r="FQ71" s="38"/>
      <c r="FR71" s="38"/>
      <c r="FS71" s="38"/>
      <c r="FT71" s="38"/>
      <c r="FU71" s="38"/>
      <c r="FV71" s="38"/>
      <c r="FW71" s="38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1"/>
      <c r="M72" s="167"/>
      <c r="N72" s="606"/>
      <c r="O72" s="606"/>
      <c r="P72" s="606"/>
      <c r="Q72" s="717"/>
      <c r="R72" s="718"/>
      <c r="S72" s="718"/>
      <c r="T72" s="719"/>
      <c r="U72" s="701"/>
      <c r="V72" s="720"/>
      <c r="W72" s="721"/>
      <c r="X72" s="721"/>
      <c r="Y72" s="721"/>
      <c r="Z72" s="721"/>
      <c r="AA72" s="721"/>
      <c r="AB72" s="721"/>
      <c r="AC72" s="721"/>
      <c r="AD72" s="721"/>
      <c r="AE72" s="721"/>
      <c r="AF72" s="721"/>
      <c r="AG72" s="721"/>
      <c r="AH72" s="721"/>
      <c r="AI72" s="721"/>
      <c r="AJ72" s="721"/>
      <c r="AK72" s="721"/>
      <c r="AL72" s="721"/>
      <c r="AM72" s="721"/>
      <c r="AN72" s="722"/>
      <c r="AO72" s="704"/>
      <c r="AP72" s="720"/>
      <c r="AQ72" s="721"/>
      <c r="AR72" s="721"/>
      <c r="AS72" s="721"/>
      <c r="AT72" s="721"/>
      <c r="AU72" s="721"/>
      <c r="AV72" s="721"/>
      <c r="AW72" s="721"/>
      <c r="AX72" s="721"/>
      <c r="AY72" s="721"/>
      <c r="AZ72" s="721"/>
      <c r="BA72" s="721"/>
      <c r="BB72" s="721"/>
      <c r="BC72" s="721"/>
      <c r="BD72" s="721"/>
      <c r="BE72" s="721"/>
      <c r="BF72" s="721"/>
      <c r="BG72" s="721"/>
      <c r="BH72" s="601"/>
      <c r="BI72" s="601"/>
      <c r="BJ72" s="601"/>
      <c r="BK72" s="601"/>
      <c r="BL72" s="601"/>
      <c r="BM72" s="601"/>
      <c r="BN72" s="601"/>
      <c r="BO72" s="601"/>
      <c r="BP72" s="601"/>
      <c r="BQ72" s="601"/>
      <c r="BR72" s="601"/>
      <c r="BS72" s="601"/>
      <c r="BT72" s="601"/>
      <c r="BU72" s="601"/>
      <c r="BV72" s="601"/>
      <c r="BW72" s="730"/>
      <c r="BX72" s="730"/>
      <c r="BY72" s="730"/>
      <c r="BZ72" s="730"/>
      <c r="CA72" s="730"/>
      <c r="CB72" s="614"/>
      <c r="CC72" s="615"/>
      <c r="CD72" s="615"/>
      <c r="CE72" s="615"/>
      <c r="CF72" s="615"/>
      <c r="CG72" s="615"/>
      <c r="CH72" s="615"/>
      <c r="CI72" s="615"/>
      <c r="CJ72" s="616"/>
      <c r="CK72" s="616"/>
      <c r="CL72" s="616"/>
      <c r="CM72" s="616"/>
      <c r="CN72" s="616"/>
      <c r="CO72" s="616"/>
      <c r="CP72" s="616"/>
      <c r="CQ72" s="617"/>
      <c r="CR72" s="617"/>
      <c r="CS72" s="617"/>
      <c r="CT72" s="617"/>
      <c r="CU72" s="617"/>
      <c r="CV72" s="617"/>
      <c r="CW72" s="617"/>
      <c r="CX72" s="617"/>
      <c r="CY72" s="617"/>
      <c r="CZ72" s="617"/>
      <c r="DA72" s="617"/>
      <c r="DB72" s="617"/>
      <c r="DC72" s="617"/>
      <c r="DD72" s="617"/>
      <c r="DE72" s="617"/>
      <c r="DF72" s="617"/>
      <c r="DG72" s="729"/>
      <c r="DH72" s="729"/>
      <c r="DI72" s="729"/>
      <c r="DJ72" s="729"/>
      <c r="DK72" s="729"/>
      <c r="DL72" s="729"/>
      <c r="DM72" s="729"/>
      <c r="DN72" s="729"/>
      <c r="DO72" s="601"/>
      <c r="DP72" s="601"/>
      <c r="DQ72" s="601"/>
      <c r="DR72" s="601"/>
      <c r="DS72" s="601"/>
      <c r="DT72" s="602"/>
      <c r="DU72" s="602"/>
      <c r="DV72" s="602"/>
      <c r="DW72" s="602"/>
      <c r="DX72" s="602"/>
      <c r="DY72" s="602"/>
      <c r="DZ72" s="602"/>
      <c r="EA72" s="602"/>
      <c r="EB72" s="602"/>
      <c r="EC72" s="602"/>
      <c r="ED72" s="602"/>
      <c r="EE72" s="602"/>
      <c r="EF72" s="602"/>
      <c r="EG72" s="602"/>
      <c r="EH72" s="602"/>
      <c r="EI72" s="602"/>
      <c r="EJ72" s="737"/>
      <c r="EK72" s="738"/>
      <c r="EL72" s="738"/>
      <c r="EM72" s="738"/>
      <c r="EN72" s="738"/>
      <c r="EO72" s="738"/>
      <c r="EP72" s="738"/>
      <c r="EQ72" s="738"/>
      <c r="ER72" s="738"/>
      <c r="ES72" s="738"/>
      <c r="ET72" s="738"/>
      <c r="EU72" s="738"/>
      <c r="EV72" s="738"/>
      <c r="EW72" s="738"/>
      <c r="EX72" s="738"/>
      <c r="EY72" s="738"/>
      <c r="EZ72" s="654"/>
      <c r="FA72" s="654"/>
      <c r="FB72" s="654"/>
      <c r="FC72" s="654"/>
      <c r="FD72" s="654"/>
      <c r="FE72" s="655"/>
      <c r="FF72" s="264"/>
      <c r="FM72" s="90"/>
      <c r="FN72" s="2"/>
      <c r="FO72" s="2"/>
      <c r="FP72" s="2"/>
      <c r="FQ72" s="38"/>
      <c r="FR72" s="38"/>
      <c r="FS72" s="38"/>
      <c r="FT72" s="38"/>
      <c r="FU72" s="38"/>
      <c r="FV72" s="38"/>
      <c r="FW72" s="38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1"/>
      <c r="M73" s="167"/>
      <c r="N73" s="606">
        <v>28</v>
      </c>
      <c r="O73" s="606"/>
      <c r="P73" s="606"/>
      <c r="Q73" s="717"/>
      <c r="R73" s="718"/>
      <c r="S73" s="718"/>
      <c r="T73" s="719"/>
      <c r="U73" s="701" t="s">
        <v>6</v>
      </c>
      <c r="V73" s="720"/>
      <c r="W73" s="721"/>
      <c r="X73" s="721"/>
      <c r="Y73" s="721"/>
      <c r="Z73" s="721"/>
      <c r="AA73" s="721"/>
      <c r="AB73" s="721"/>
      <c r="AC73" s="721"/>
      <c r="AD73" s="721"/>
      <c r="AE73" s="721"/>
      <c r="AF73" s="721"/>
      <c r="AG73" s="721"/>
      <c r="AH73" s="721"/>
      <c r="AI73" s="721"/>
      <c r="AJ73" s="721"/>
      <c r="AK73" s="721"/>
      <c r="AL73" s="721"/>
      <c r="AM73" s="721"/>
      <c r="AN73" s="722"/>
      <c r="AO73" s="704" t="s">
        <v>6</v>
      </c>
      <c r="AP73" s="720"/>
      <c r="AQ73" s="721"/>
      <c r="AR73" s="721"/>
      <c r="AS73" s="721"/>
      <c r="AT73" s="721"/>
      <c r="AU73" s="721"/>
      <c r="AV73" s="721"/>
      <c r="AW73" s="721"/>
      <c r="AX73" s="721"/>
      <c r="AY73" s="721"/>
      <c r="AZ73" s="721"/>
      <c r="BA73" s="721"/>
      <c r="BB73" s="721"/>
      <c r="BC73" s="721"/>
      <c r="BD73" s="721"/>
      <c r="BE73" s="721"/>
      <c r="BF73" s="721"/>
      <c r="BG73" s="721"/>
      <c r="BH73" s="601"/>
      <c r="BI73" s="601"/>
      <c r="BJ73" s="601"/>
      <c r="BK73" s="601"/>
      <c r="BL73" s="601"/>
      <c r="BM73" s="601"/>
      <c r="BN73" s="601"/>
      <c r="BO73" s="601"/>
      <c r="BP73" s="601"/>
      <c r="BQ73" s="601"/>
      <c r="BR73" s="601"/>
      <c r="BS73" s="601"/>
      <c r="BT73" s="601"/>
      <c r="BU73" s="601"/>
      <c r="BV73" s="601"/>
      <c r="BW73" s="730"/>
      <c r="BX73" s="730"/>
      <c r="BY73" s="730"/>
      <c r="BZ73" s="730"/>
      <c r="CA73" s="730"/>
      <c r="CB73" s="614">
        <f>BEZ_Dim_28_Anz*KI_N</f>
        <v>0</v>
      </c>
      <c r="CC73" s="615">
        <f>BEZ_Dim_28_L*BEZ_Dim_28_B*BEZ_Dim_28_H*BEZ_Dim_28_Anz /10^9</f>
        <v>0</v>
      </c>
      <c r="CD73" s="615"/>
      <c r="CE73" s="615"/>
      <c r="CF73" s="615"/>
      <c r="CG73" s="615"/>
      <c r="CH73" s="615"/>
      <c r="CI73" s="615"/>
      <c r="CJ73" s="616"/>
      <c r="CK73" s="616"/>
      <c r="CL73" s="616"/>
      <c r="CM73" s="616"/>
      <c r="CN73" s="616"/>
      <c r="CO73" s="616"/>
      <c r="CP73" s="616"/>
      <c r="CQ73" s="617">
        <f>BEZ_Dim_28_CBM*BEZ_Dim_28_SPGEW</f>
        <v>0</v>
      </c>
      <c r="CR73" s="617"/>
      <c r="CS73" s="617"/>
      <c r="CT73" s="617"/>
      <c r="CU73" s="617"/>
      <c r="CV73" s="617"/>
      <c r="CW73" s="617"/>
      <c r="CX73" s="617"/>
      <c r="CY73" s="617"/>
      <c r="CZ73" s="617">
        <f>BEZ_Dim_28_L*BEZ_Dim_28_Anz/1000</f>
        <v>0</v>
      </c>
      <c r="DA73" s="617"/>
      <c r="DB73" s="617"/>
      <c r="DC73" s="617"/>
      <c r="DD73" s="617"/>
      <c r="DE73" s="617"/>
      <c r="DF73" s="617"/>
      <c r="DG73" s="729"/>
      <c r="DH73" s="729"/>
      <c r="DI73" s="729"/>
      <c r="DJ73" s="729"/>
      <c r="DK73" s="729"/>
      <c r="DL73" s="729"/>
      <c r="DM73" s="729"/>
      <c r="DN73" s="729"/>
      <c r="DO73" s="601"/>
      <c r="DP73" s="601"/>
      <c r="DQ73" s="601"/>
      <c r="DR73" s="601"/>
      <c r="DS73" s="601"/>
      <c r="DT73" s="602">
        <f>BEZ_Dim_28_CBM*BEZ_Dim_28_EuCBM*((BEZ_Dim_28_VAZ/100)+1)</f>
        <v>0</v>
      </c>
      <c r="DU73" s="602"/>
      <c r="DV73" s="602"/>
      <c r="DW73" s="602"/>
      <c r="DX73" s="602"/>
      <c r="DY73" s="602"/>
      <c r="DZ73" s="602"/>
      <c r="EA73" s="602"/>
      <c r="EB73" s="602">
        <f>CC73*DG73*((DO73/100)+1)*KI_N</f>
        <v>0</v>
      </c>
      <c r="EC73" s="602"/>
      <c r="ED73" s="602"/>
      <c r="EE73" s="602"/>
      <c r="EF73" s="602"/>
      <c r="EG73" s="602"/>
      <c r="EH73" s="602"/>
      <c r="EI73" s="602"/>
      <c r="EJ73" s="734" t="s">
        <v>80</v>
      </c>
      <c r="EK73" s="735"/>
      <c r="EL73" s="735"/>
      <c r="EM73" s="735"/>
      <c r="EN73" s="735"/>
      <c r="EO73" s="735"/>
      <c r="EP73" s="735"/>
      <c r="EQ73" s="735"/>
      <c r="ER73" s="735"/>
      <c r="ES73" s="735"/>
      <c r="ET73" s="735"/>
      <c r="EU73" s="735"/>
      <c r="EV73" s="735"/>
      <c r="EW73" s="735"/>
      <c r="EX73" s="735"/>
      <c r="EY73" s="735"/>
      <c r="EZ73" s="735"/>
      <c r="FA73" s="735"/>
      <c r="FB73" s="735"/>
      <c r="FC73" s="735"/>
      <c r="FD73" s="735"/>
      <c r="FE73" s="736"/>
      <c r="FF73" s="264"/>
      <c r="FM73" s="90"/>
      <c r="FN73" s="351"/>
      <c r="FO73" s="2"/>
      <c r="FP73" s="2"/>
      <c r="FQ73" s="38"/>
      <c r="FR73" s="38"/>
      <c r="FS73" s="38"/>
      <c r="FT73" s="38"/>
      <c r="FU73" s="38"/>
      <c r="FV73" s="38"/>
      <c r="FW73" s="38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1"/>
      <c r="M74" s="167"/>
      <c r="N74" s="606"/>
      <c r="O74" s="606"/>
      <c r="P74" s="606"/>
      <c r="Q74" s="717"/>
      <c r="R74" s="718"/>
      <c r="S74" s="718"/>
      <c r="T74" s="719"/>
      <c r="U74" s="701"/>
      <c r="V74" s="720"/>
      <c r="W74" s="721"/>
      <c r="X74" s="721"/>
      <c r="Y74" s="721"/>
      <c r="Z74" s="721"/>
      <c r="AA74" s="721"/>
      <c r="AB74" s="721"/>
      <c r="AC74" s="721"/>
      <c r="AD74" s="721"/>
      <c r="AE74" s="721"/>
      <c r="AF74" s="721"/>
      <c r="AG74" s="721"/>
      <c r="AH74" s="721"/>
      <c r="AI74" s="721"/>
      <c r="AJ74" s="721"/>
      <c r="AK74" s="721"/>
      <c r="AL74" s="721"/>
      <c r="AM74" s="721"/>
      <c r="AN74" s="722"/>
      <c r="AO74" s="704"/>
      <c r="AP74" s="720"/>
      <c r="AQ74" s="721"/>
      <c r="AR74" s="721"/>
      <c r="AS74" s="721"/>
      <c r="AT74" s="721"/>
      <c r="AU74" s="721"/>
      <c r="AV74" s="721"/>
      <c r="AW74" s="721"/>
      <c r="AX74" s="721"/>
      <c r="AY74" s="721"/>
      <c r="AZ74" s="721"/>
      <c r="BA74" s="721"/>
      <c r="BB74" s="721"/>
      <c r="BC74" s="721"/>
      <c r="BD74" s="721"/>
      <c r="BE74" s="721"/>
      <c r="BF74" s="721"/>
      <c r="BG74" s="721"/>
      <c r="BH74" s="601"/>
      <c r="BI74" s="601"/>
      <c r="BJ74" s="601"/>
      <c r="BK74" s="601"/>
      <c r="BL74" s="601"/>
      <c r="BM74" s="601"/>
      <c r="BN74" s="601"/>
      <c r="BO74" s="601"/>
      <c r="BP74" s="601"/>
      <c r="BQ74" s="601"/>
      <c r="BR74" s="601"/>
      <c r="BS74" s="601"/>
      <c r="BT74" s="601"/>
      <c r="BU74" s="601"/>
      <c r="BV74" s="601"/>
      <c r="BW74" s="730"/>
      <c r="BX74" s="730"/>
      <c r="BY74" s="730"/>
      <c r="BZ74" s="730"/>
      <c r="CA74" s="730"/>
      <c r="CB74" s="614"/>
      <c r="CC74" s="615"/>
      <c r="CD74" s="615"/>
      <c r="CE74" s="615"/>
      <c r="CF74" s="615"/>
      <c r="CG74" s="615"/>
      <c r="CH74" s="615"/>
      <c r="CI74" s="615"/>
      <c r="CJ74" s="616"/>
      <c r="CK74" s="616"/>
      <c r="CL74" s="616"/>
      <c r="CM74" s="616"/>
      <c r="CN74" s="616"/>
      <c r="CO74" s="616"/>
      <c r="CP74" s="616"/>
      <c r="CQ74" s="617"/>
      <c r="CR74" s="617"/>
      <c r="CS74" s="617"/>
      <c r="CT74" s="617"/>
      <c r="CU74" s="617"/>
      <c r="CV74" s="617"/>
      <c r="CW74" s="617"/>
      <c r="CX74" s="617"/>
      <c r="CY74" s="617"/>
      <c r="CZ74" s="617"/>
      <c r="DA74" s="617"/>
      <c r="DB74" s="617"/>
      <c r="DC74" s="617"/>
      <c r="DD74" s="617"/>
      <c r="DE74" s="617"/>
      <c r="DF74" s="617"/>
      <c r="DG74" s="729"/>
      <c r="DH74" s="729"/>
      <c r="DI74" s="729"/>
      <c r="DJ74" s="729"/>
      <c r="DK74" s="729"/>
      <c r="DL74" s="729"/>
      <c r="DM74" s="729"/>
      <c r="DN74" s="729"/>
      <c r="DO74" s="601"/>
      <c r="DP74" s="601"/>
      <c r="DQ74" s="601"/>
      <c r="DR74" s="601"/>
      <c r="DS74" s="601"/>
      <c r="DT74" s="602"/>
      <c r="DU74" s="602"/>
      <c r="DV74" s="602"/>
      <c r="DW74" s="602"/>
      <c r="DX74" s="602"/>
      <c r="DY74" s="602"/>
      <c r="DZ74" s="602"/>
      <c r="EA74" s="602"/>
      <c r="EB74" s="602"/>
      <c r="EC74" s="602"/>
      <c r="ED74" s="602"/>
      <c r="EE74" s="602"/>
      <c r="EF74" s="602"/>
      <c r="EG74" s="602"/>
      <c r="EH74" s="602"/>
      <c r="EI74" s="602"/>
      <c r="EJ74" s="734"/>
      <c r="EK74" s="735"/>
      <c r="EL74" s="735"/>
      <c r="EM74" s="735"/>
      <c r="EN74" s="735"/>
      <c r="EO74" s="735"/>
      <c r="EP74" s="735"/>
      <c r="EQ74" s="735"/>
      <c r="ER74" s="735"/>
      <c r="ES74" s="735"/>
      <c r="ET74" s="735"/>
      <c r="EU74" s="735"/>
      <c r="EV74" s="735"/>
      <c r="EW74" s="735"/>
      <c r="EX74" s="735"/>
      <c r="EY74" s="735"/>
      <c r="EZ74" s="735"/>
      <c r="FA74" s="735"/>
      <c r="FB74" s="735"/>
      <c r="FC74" s="735"/>
      <c r="FD74" s="735"/>
      <c r="FE74" s="736"/>
      <c r="FF74" s="264"/>
      <c r="FM74" s="90"/>
      <c r="FN74" s="2"/>
      <c r="FO74" s="2"/>
      <c r="FP74" s="2"/>
      <c r="FQ74" s="38"/>
      <c r="FR74" s="38"/>
      <c r="FS74" s="38"/>
      <c r="FT74" s="38"/>
      <c r="FU74" s="38"/>
      <c r="FV74" s="38"/>
      <c r="FW74" s="38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1"/>
      <c r="M75" s="167"/>
      <c r="N75" s="606">
        <v>29</v>
      </c>
      <c r="O75" s="606"/>
      <c r="P75" s="606"/>
      <c r="Q75" s="717"/>
      <c r="R75" s="718"/>
      <c r="S75" s="718"/>
      <c r="T75" s="719"/>
      <c r="U75" s="701" t="s">
        <v>6</v>
      </c>
      <c r="V75" s="720"/>
      <c r="W75" s="721"/>
      <c r="X75" s="721"/>
      <c r="Y75" s="721"/>
      <c r="Z75" s="721"/>
      <c r="AA75" s="721"/>
      <c r="AB75" s="721"/>
      <c r="AC75" s="721"/>
      <c r="AD75" s="721"/>
      <c r="AE75" s="721"/>
      <c r="AF75" s="721"/>
      <c r="AG75" s="721"/>
      <c r="AH75" s="721"/>
      <c r="AI75" s="721"/>
      <c r="AJ75" s="721"/>
      <c r="AK75" s="721"/>
      <c r="AL75" s="721"/>
      <c r="AM75" s="721"/>
      <c r="AN75" s="722"/>
      <c r="AO75" s="704" t="s">
        <v>6</v>
      </c>
      <c r="AP75" s="720"/>
      <c r="AQ75" s="721"/>
      <c r="AR75" s="721"/>
      <c r="AS75" s="721"/>
      <c r="AT75" s="721"/>
      <c r="AU75" s="721"/>
      <c r="AV75" s="721"/>
      <c r="AW75" s="721"/>
      <c r="AX75" s="721"/>
      <c r="AY75" s="721"/>
      <c r="AZ75" s="721"/>
      <c r="BA75" s="721"/>
      <c r="BB75" s="721"/>
      <c r="BC75" s="721"/>
      <c r="BD75" s="721"/>
      <c r="BE75" s="721"/>
      <c r="BF75" s="721"/>
      <c r="BG75" s="721"/>
      <c r="BH75" s="601"/>
      <c r="BI75" s="601"/>
      <c r="BJ75" s="601"/>
      <c r="BK75" s="601"/>
      <c r="BL75" s="601"/>
      <c r="BM75" s="601"/>
      <c r="BN75" s="601"/>
      <c r="BO75" s="601"/>
      <c r="BP75" s="601"/>
      <c r="BQ75" s="601"/>
      <c r="BR75" s="601"/>
      <c r="BS75" s="601"/>
      <c r="BT75" s="601"/>
      <c r="BU75" s="601"/>
      <c r="BV75" s="601"/>
      <c r="BW75" s="730"/>
      <c r="BX75" s="730"/>
      <c r="BY75" s="730"/>
      <c r="BZ75" s="730"/>
      <c r="CA75" s="730"/>
      <c r="CB75" s="614">
        <f>BEZ_Dim_29_Anz*KI_N</f>
        <v>0</v>
      </c>
      <c r="CC75" s="615">
        <f>BEZ_Dim_29_L*BEZ_Dim_29_B*BEZ_Dim_29_H*BEZ_Dim_29_Anz /10^9</f>
        <v>0</v>
      </c>
      <c r="CD75" s="615"/>
      <c r="CE75" s="615"/>
      <c r="CF75" s="615"/>
      <c r="CG75" s="615"/>
      <c r="CH75" s="615"/>
      <c r="CI75" s="615"/>
      <c r="CJ75" s="616"/>
      <c r="CK75" s="616"/>
      <c r="CL75" s="616"/>
      <c r="CM75" s="616"/>
      <c r="CN75" s="616"/>
      <c r="CO75" s="616"/>
      <c r="CP75" s="616"/>
      <c r="CQ75" s="617">
        <f>BEZ_Dim_29_CBM*BEZ_Dim_29_SPGEW</f>
        <v>0</v>
      </c>
      <c r="CR75" s="617"/>
      <c r="CS75" s="617"/>
      <c r="CT75" s="617"/>
      <c r="CU75" s="617"/>
      <c r="CV75" s="617"/>
      <c r="CW75" s="617"/>
      <c r="CX75" s="617"/>
      <c r="CY75" s="617"/>
      <c r="CZ75" s="617">
        <f>BEZ_Dim_29_L*BEZ_Dim_29_Anz/1000</f>
        <v>0</v>
      </c>
      <c r="DA75" s="617"/>
      <c r="DB75" s="617"/>
      <c r="DC75" s="617"/>
      <c r="DD75" s="617"/>
      <c r="DE75" s="617"/>
      <c r="DF75" s="617"/>
      <c r="DG75" s="729"/>
      <c r="DH75" s="729"/>
      <c r="DI75" s="729"/>
      <c r="DJ75" s="729"/>
      <c r="DK75" s="729"/>
      <c r="DL75" s="729"/>
      <c r="DM75" s="729"/>
      <c r="DN75" s="729"/>
      <c r="DO75" s="601"/>
      <c r="DP75" s="601"/>
      <c r="DQ75" s="601"/>
      <c r="DR75" s="601"/>
      <c r="DS75" s="601"/>
      <c r="DT75" s="602">
        <f>BEZ_Dim_29_CBM*BEZ_Dim_29_EuCBM*((BEZ_Dim_29_VAZ/100)+1)</f>
        <v>0</v>
      </c>
      <c r="DU75" s="602"/>
      <c r="DV75" s="602"/>
      <c r="DW75" s="602"/>
      <c r="DX75" s="602"/>
      <c r="DY75" s="602"/>
      <c r="DZ75" s="602"/>
      <c r="EA75" s="602"/>
      <c r="EB75" s="602">
        <f>CC75*DG75*((DO75/100)+1)*KI_N</f>
        <v>0</v>
      </c>
      <c r="EC75" s="602"/>
      <c r="ED75" s="602"/>
      <c r="EE75" s="602"/>
      <c r="EF75" s="602"/>
      <c r="EG75" s="602"/>
      <c r="EH75" s="602"/>
      <c r="EI75" s="602"/>
      <c r="EJ75" s="663">
        <f>SUM(CZ19:DF110)/SUM(BH19:BK110)</f>
        <v>0.67639999999999989</v>
      </c>
      <c r="EK75" s="664"/>
      <c r="EL75" s="664"/>
      <c r="EM75" s="664"/>
      <c r="EN75" s="664"/>
      <c r="EO75" s="664"/>
      <c r="EP75" s="664"/>
      <c r="EQ75" s="664"/>
      <c r="ER75" s="664"/>
      <c r="ES75" s="664"/>
      <c r="ET75" s="664"/>
      <c r="EU75" s="664"/>
      <c r="EV75" s="664"/>
      <c r="EW75" s="664"/>
      <c r="EX75" s="664"/>
      <c r="EY75" s="664"/>
      <c r="EZ75" s="654"/>
      <c r="FA75" s="654"/>
      <c r="FB75" s="654"/>
      <c r="FC75" s="654"/>
      <c r="FD75" s="654"/>
      <c r="FE75" s="655"/>
      <c r="FF75" s="264"/>
      <c r="FM75" s="90"/>
      <c r="FN75" s="351"/>
      <c r="FO75" s="2"/>
      <c r="FP75" s="2"/>
      <c r="FQ75" s="38"/>
      <c r="FR75" s="38"/>
      <c r="FS75" s="38"/>
      <c r="FT75" s="38"/>
      <c r="FU75" s="38"/>
      <c r="FV75" s="38"/>
      <c r="FW75" s="38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1"/>
      <c r="M76" s="167"/>
      <c r="N76" s="606"/>
      <c r="O76" s="606"/>
      <c r="P76" s="606"/>
      <c r="Q76" s="717"/>
      <c r="R76" s="718"/>
      <c r="S76" s="718"/>
      <c r="T76" s="719"/>
      <c r="U76" s="701"/>
      <c r="V76" s="720"/>
      <c r="W76" s="721"/>
      <c r="X76" s="721"/>
      <c r="Y76" s="721"/>
      <c r="Z76" s="721"/>
      <c r="AA76" s="721"/>
      <c r="AB76" s="721"/>
      <c r="AC76" s="721"/>
      <c r="AD76" s="721"/>
      <c r="AE76" s="721"/>
      <c r="AF76" s="721"/>
      <c r="AG76" s="721"/>
      <c r="AH76" s="721"/>
      <c r="AI76" s="721"/>
      <c r="AJ76" s="721"/>
      <c r="AK76" s="721"/>
      <c r="AL76" s="721"/>
      <c r="AM76" s="721"/>
      <c r="AN76" s="722"/>
      <c r="AO76" s="704"/>
      <c r="AP76" s="720"/>
      <c r="AQ76" s="721"/>
      <c r="AR76" s="721"/>
      <c r="AS76" s="721"/>
      <c r="AT76" s="721"/>
      <c r="AU76" s="721"/>
      <c r="AV76" s="721"/>
      <c r="AW76" s="721"/>
      <c r="AX76" s="721"/>
      <c r="AY76" s="721"/>
      <c r="AZ76" s="721"/>
      <c r="BA76" s="721"/>
      <c r="BB76" s="721"/>
      <c r="BC76" s="721"/>
      <c r="BD76" s="721"/>
      <c r="BE76" s="721"/>
      <c r="BF76" s="721"/>
      <c r="BG76" s="721"/>
      <c r="BH76" s="601"/>
      <c r="BI76" s="601"/>
      <c r="BJ76" s="601"/>
      <c r="BK76" s="601"/>
      <c r="BL76" s="601"/>
      <c r="BM76" s="601"/>
      <c r="BN76" s="601"/>
      <c r="BO76" s="601"/>
      <c r="BP76" s="601"/>
      <c r="BQ76" s="601"/>
      <c r="BR76" s="601"/>
      <c r="BS76" s="601"/>
      <c r="BT76" s="601"/>
      <c r="BU76" s="601"/>
      <c r="BV76" s="601"/>
      <c r="BW76" s="730"/>
      <c r="BX76" s="730"/>
      <c r="BY76" s="730"/>
      <c r="BZ76" s="730"/>
      <c r="CA76" s="730"/>
      <c r="CB76" s="614"/>
      <c r="CC76" s="615"/>
      <c r="CD76" s="615"/>
      <c r="CE76" s="615"/>
      <c r="CF76" s="615"/>
      <c r="CG76" s="615"/>
      <c r="CH76" s="615"/>
      <c r="CI76" s="615"/>
      <c r="CJ76" s="616"/>
      <c r="CK76" s="616"/>
      <c r="CL76" s="616"/>
      <c r="CM76" s="616"/>
      <c r="CN76" s="616"/>
      <c r="CO76" s="616"/>
      <c r="CP76" s="616"/>
      <c r="CQ76" s="617"/>
      <c r="CR76" s="617"/>
      <c r="CS76" s="617"/>
      <c r="CT76" s="617"/>
      <c r="CU76" s="617"/>
      <c r="CV76" s="617"/>
      <c r="CW76" s="617"/>
      <c r="CX76" s="617"/>
      <c r="CY76" s="617"/>
      <c r="CZ76" s="617"/>
      <c r="DA76" s="617"/>
      <c r="DB76" s="617"/>
      <c r="DC76" s="617"/>
      <c r="DD76" s="617"/>
      <c r="DE76" s="617"/>
      <c r="DF76" s="617"/>
      <c r="DG76" s="729"/>
      <c r="DH76" s="729"/>
      <c r="DI76" s="729"/>
      <c r="DJ76" s="729"/>
      <c r="DK76" s="729"/>
      <c r="DL76" s="729"/>
      <c r="DM76" s="729"/>
      <c r="DN76" s="729"/>
      <c r="DO76" s="601"/>
      <c r="DP76" s="601"/>
      <c r="DQ76" s="601"/>
      <c r="DR76" s="601"/>
      <c r="DS76" s="601"/>
      <c r="DT76" s="602"/>
      <c r="DU76" s="602"/>
      <c r="DV76" s="602"/>
      <c r="DW76" s="602"/>
      <c r="DX76" s="602"/>
      <c r="DY76" s="602"/>
      <c r="DZ76" s="602"/>
      <c r="EA76" s="602"/>
      <c r="EB76" s="602"/>
      <c r="EC76" s="602"/>
      <c r="ED76" s="602"/>
      <c r="EE76" s="602"/>
      <c r="EF76" s="602"/>
      <c r="EG76" s="602"/>
      <c r="EH76" s="602"/>
      <c r="EI76" s="602"/>
      <c r="EJ76" s="663"/>
      <c r="EK76" s="664"/>
      <c r="EL76" s="664"/>
      <c r="EM76" s="664"/>
      <c r="EN76" s="664"/>
      <c r="EO76" s="664"/>
      <c r="EP76" s="664"/>
      <c r="EQ76" s="664"/>
      <c r="ER76" s="664"/>
      <c r="ES76" s="664"/>
      <c r="ET76" s="664"/>
      <c r="EU76" s="664"/>
      <c r="EV76" s="664"/>
      <c r="EW76" s="664"/>
      <c r="EX76" s="664"/>
      <c r="EY76" s="664"/>
      <c r="EZ76" s="654"/>
      <c r="FA76" s="654"/>
      <c r="FB76" s="654"/>
      <c r="FC76" s="654"/>
      <c r="FD76" s="654"/>
      <c r="FE76" s="655"/>
      <c r="FF76" s="264"/>
      <c r="FM76" s="90"/>
      <c r="FN76" s="2"/>
      <c r="FO76" s="2"/>
      <c r="FP76" s="2"/>
      <c r="FQ76" s="38"/>
      <c r="FR76" s="38"/>
      <c r="FS76" s="38"/>
      <c r="FT76" s="38"/>
      <c r="FU76" s="38"/>
      <c r="FV76" s="38"/>
      <c r="FW76" s="38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2"/>
      <c r="M77" s="188"/>
      <c r="N77" s="606">
        <v>30</v>
      </c>
      <c r="O77" s="606"/>
      <c r="P77" s="606"/>
      <c r="Q77" s="717"/>
      <c r="R77" s="718"/>
      <c r="S77" s="718"/>
      <c r="T77" s="719"/>
      <c r="U77" s="701" t="s">
        <v>6</v>
      </c>
      <c r="V77" s="720"/>
      <c r="W77" s="721"/>
      <c r="X77" s="721"/>
      <c r="Y77" s="721"/>
      <c r="Z77" s="721"/>
      <c r="AA77" s="721"/>
      <c r="AB77" s="721"/>
      <c r="AC77" s="721"/>
      <c r="AD77" s="721"/>
      <c r="AE77" s="721"/>
      <c r="AF77" s="721"/>
      <c r="AG77" s="721"/>
      <c r="AH77" s="721"/>
      <c r="AI77" s="721"/>
      <c r="AJ77" s="721"/>
      <c r="AK77" s="721"/>
      <c r="AL77" s="721"/>
      <c r="AM77" s="721"/>
      <c r="AN77" s="722"/>
      <c r="AO77" s="704" t="s">
        <v>6</v>
      </c>
      <c r="AP77" s="720"/>
      <c r="AQ77" s="721"/>
      <c r="AR77" s="721"/>
      <c r="AS77" s="721"/>
      <c r="AT77" s="721"/>
      <c r="AU77" s="721"/>
      <c r="AV77" s="721"/>
      <c r="AW77" s="721"/>
      <c r="AX77" s="721"/>
      <c r="AY77" s="721"/>
      <c r="AZ77" s="721"/>
      <c r="BA77" s="721"/>
      <c r="BB77" s="721"/>
      <c r="BC77" s="721"/>
      <c r="BD77" s="721"/>
      <c r="BE77" s="721"/>
      <c r="BF77" s="721"/>
      <c r="BG77" s="721"/>
      <c r="BH77" s="601"/>
      <c r="BI77" s="601"/>
      <c r="BJ77" s="601"/>
      <c r="BK77" s="601"/>
      <c r="BL77" s="601"/>
      <c r="BM77" s="601"/>
      <c r="BN77" s="601"/>
      <c r="BO77" s="601"/>
      <c r="BP77" s="601"/>
      <c r="BQ77" s="601"/>
      <c r="BR77" s="601"/>
      <c r="BS77" s="601"/>
      <c r="BT77" s="601"/>
      <c r="BU77" s="601"/>
      <c r="BV77" s="601"/>
      <c r="BW77" s="730"/>
      <c r="BX77" s="730"/>
      <c r="BY77" s="730"/>
      <c r="BZ77" s="730"/>
      <c r="CA77" s="730"/>
      <c r="CB77" s="614">
        <f>BEZ_Dim_30_Anz*KI_N</f>
        <v>0</v>
      </c>
      <c r="CC77" s="615">
        <f>BEZ_Dim_30_L*BEZ_Dim_30_B*BEZ_Dim_30_H*BEZ_Dim_30_Anz /10^9</f>
        <v>0</v>
      </c>
      <c r="CD77" s="615"/>
      <c r="CE77" s="615"/>
      <c r="CF77" s="615"/>
      <c r="CG77" s="615"/>
      <c r="CH77" s="615"/>
      <c r="CI77" s="615"/>
      <c r="CJ77" s="616"/>
      <c r="CK77" s="616"/>
      <c r="CL77" s="616"/>
      <c r="CM77" s="616"/>
      <c r="CN77" s="616"/>
      <c r="CO77" s="616"/>
      <c r="CP77" s="616"/>
      <c r="CQ77" s="617">
        <f>BEZ_Dim_30_CBM*BEZ_Dim_30_SPGEW</f>
        <v>0</v>
      </c>
      <c r="CR77" s="617"/>
      <c r="CS77" s="617"/>
      <c r="CT77" s="617"/>
      <c r="CU77" s="617"/>
      <c r="CV77" s="617"/>
      <c r="CW77" s="617"/>
      <c r="CX77" s="617"/>
      <c r="CY77" s="617"/>
      <c r="CZ77" s="617">
        <f>BEZ_Dim_30_L*BEZ_Dim_30_Anz/1000</f>
        <v>0</v>
      </c>
      <c r="DA77" s="617"/>
      <c r="DB77" s="617"/>
      <c r="DC77" s="617"/>
      <c r="DD77" s="617"/>
      <c r="DE77" s="617"/>
      <c r="DF77" s="617"/>
      <c r="DG77" s="729"/>
      <c r="DH77" s="729"/>
      <c r="DI77" s="729"/>
      <c r="DJ77" s="729"/>
      <c r="DK77" s="729"/>
      <c r="DL77" s="729"/>
      <c r="DM77" s="729"/>
      <c r="DN77" s="729"/>
      <c r="DO77" s="601"/>
      <c r="DP77" s="601"/>
      <c r="DQ77" s="601"/>
      <c r="DR77" s="601"/>
      <c r="DS77" s="601"/>
      <c r="DT77" s="602">
        <f>BEZ_Dim_30_CBM*BEZ_Dim_30_EuCBM*((BEZ_Dim_30_VAZ/100)+1)</f>
        <v>0</v>
      </c>
      <c r="DU77" s="602"/>
      <c r="DV77" s="602"/>
      <c r="DW77" s="602"/>
      <c r="DX77" s="602"/>
      <c r="DY77" s="602"/>
      <c r="DZ77" s="602"/>
      <c r="EA77" s="602"/>
      <c r="EB77" s="602">
        <f>CC77*DG77*((DO77/100)+1)*KI_N</f>
        <v>0</v>
      </c>
      <c r="EC77" s="602"/>
      <c r="ED77" s="602"/>
      <c r="EE77" s="602"/>
      <c r="EF77" s="602"/>
      <c r="EG77" s="602"/>
      <c r="EH77" s="602"/>
      <c r="EI77" s="602"/>
      <c r="EJ77" s="734" t="s">
        <v>78</v>
      </c>
      <c r="EK77" s="735"/>
      <c r="EL77" s="735"/>
      <c r="EM77" s="735"/>
      <c r="EN77" s="735"/>
      <c r="EO77" s="735"/>
      <c r="EP77" s="735"/>
      <c r="EQ77" s="735"/>
      <c r="ER77" s="735"/>
      <c r="ES77" s="735"/>
      <c r="ET77" s="735"/>
      <c r="EU77" s="735"/>
      <c r="EV77" s="735"/>
      <c r="EW77" s="735"/>
      <c r="EX77" s="735"/>
      <c r="EY77" s="735"/>
      <c r="EZ77" s="735"/>
      <c r="FA77" s="735"/>
      <c r="FB77" s="735"/>
      <c r="FC77" s="735"/>
      <c r="FD77" s="735"/>
      <c r="FE77" s="736"/>
      <c r="FF77" s="264"/>
      <c r="FM77" s="90"/>
      <c r="FN77" s="351"/>
      <c r="FO77" s="2"/>
      <c r="FP77" s="2"/>
      <c r="FQ77" s="38"/>
      <c r="FR77" s="38"/>
      <c r="FS77" s="38"/>
      <c r="FT77" s="38"/>
      <c r="FU77" s="38"/>
      <c r="FV77" s="38"/>
      <c r="FW77" s="38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2"/>
      <c r="M78" s="188"/>
      <c r="N78" s="606"/>
      <c r="O78" s="606"/>
      <c r="P78" s="606"/>
      <c r="Q78" s="717"/>
      <c r="R78" s="718"/>
      <c r="S78" s="718"/>
      <c r="T78" s="719"/>
      <c r="U78" s="701"/>
      <c r="V78" s="720"/>
      <c r="W78" s="721"/>
      <c r="X78" s="721"/>
      <c r="Y78" s="721"/>
      <c r="Z78" s="721"/>
      <c r="AA78" s="721"/>
      <c r="AB78" s="721"/>
      <c r="AC78" s="721"/>
      <c r="AD78" s="721"/>
      <c r="AE78" s="721"/>
      <c r="AF78" s="721"/>
      <c r="AG78" s="721"/>
      <c r="AH78" s="721"/>
      <c r="AI78" s="721"/>
      <c r="AJ78" s="721"/>
      <c r="AK78" s="721"/>
      <c r="AL78" s="721"/>
      <c r="AM78" s="721"/>
      <c r="AN78" s="722"/>
      <c r="AO78" s="704"/>
      <c r="AP78" s="720"/>
      <c r="AQ78" s="721"/>
      <c r="AR78" s="721"/>
      <c r="AS78" s="721"/>
      <c r="AT78" s="721"/>
      <c r="AU78" s="721"/>
      <c r="AV78" s="721"/>
      <c r="AW78" s="721"/>
      <c r="AX78" s="721"/>
      <c r="AY78" s="721"/>
      <c r="AZ78" s="721"/>
      <c r="BA78" s="721"/>
      <c r="BB78" s="721"/>
      <c r="BC78" s="721"/>
      <c r="BD78" s="721"/>
      <c r="BE78" s="721"/>
      <c r="BF78" s="721"/>
      <c r="BG78" s="721"/>
      <c r="BH78" s="601"/>
      <c r="BI78" s="601"/>
      <c r="BJ78" s="601"/>
      <c r="BK78" s="601"/>
      <c r="BL78" s="601"/>
      <c r="BM78" s="601"/>
      <c r="BN78" s="601"/>
      <c r="BO78" s="601"/>
      <c r="BP78" s="601"/>
      <c r="BQ78" s="601"/>
      <c r="BR78" s="601"/>
      <c r="BS78" s="601"/>
      <c r="BT78" s="601"/>
      <c r="BU78" s="601"/>
      <c r="BV78" s="601"/>
      <c r="BW78" s="730"/>
      <c r="BX78" s="730"/>
      <c r="BY78" s="730"/>
      <c r="BZ78" s="730"/>
      <c r="CA78" s="730"/>
      <c r="CB78" s="614"/>
      <c r="CC78" s="615"/>
      <c r="CD78" s="615"/>
      <c r="CE78" s="615"/>
      <c r="CF78" s="615"/>
      <c r="CG78" s="615"/>
      <c r="CH78" s="615"/>
      <c r="CI78" s="615"/>
      <c r="CJ78" s="616"/>
      <c r="CK78" s="616"/>
      <c r="CL78" s="616"/>
      <c r="CM78" s="616"/>
      <c r="CN78" s="616"/>
      <c r="CO78" s="616"/>
      <c r="CP78" s="616"/>
      <c r="CQ78" s="617"/>
      <c r="CR78" s="617"/>
      <c r="CS78" s="617"/>
      <c r="CT78" s="617"/>
      <c r="CU78" s="617"/>
      <c r="CV78" s="617"/>
      <c r="CW78" s="617"/>
      <c r="CX78" s="617"/>
      <c r="CY78" s="617"/>
      <c r="CZ78" s="617"/>
      <c r="DA78" s="617"/>
      <c r="DB78" s="617"/>
      <c r="DC78" s="617"/>
      <c r="DD78" s="617"/>
      <c r="DE78" s="617"/>
      <c r="DF78" s="617"/>
      <c r="DG78" s="729"/>
      <c r="DH78" s="729"/>
      <c r="DI78" s="729"/>
      <c r="DJ78" s="729"/>
      <c r="DK78" s="729"/>
      <c r="DL78" s="729"/>
      <c r="DM78" s="729"/>
      <c r="DN78" s="729"/>
      <c r="DO78" s="601"/>
      <c r="DP78" s="601"/>
      <c r="DQ78" s="601"/>
      <c r="DR78" s="601"/>
      <c r="DS78" s="601"/>
      <c r="DT78" s="602"/>
      <c r="DU78" s="602"/>
      <c r="DV78" s="602"/>
      <c r="DW78" s="602"/>
      <c r="DX78" s="602"/>
      <c r="DY78" s="602"/>
      <c r="DZ78" s="602"/>
      <c r="EA78" s="602"/>
      <c r="EB78" s="602"/>
      <c r="EC78" s="602"/>
      <c r="ED78" s="602"/>
      <c r="EE78" s="602"/>
      <c r="EF78" s="602"/>
      <c r="EG78" s="602"/>
      <c r="EH78" s="602"/>
      <c r="EI78" s="602"/>
      <c r="EJ78" s="734"/>
      <c r="EK78" s="735"/>
      <c r="EL78" s="735"/>
      <c r="EM78" s="735"/>
      <c r="EN78" s="735"/>
      <c r="EO78" s="735"/>
      <c r="EP78" s="735"/>
      <c r="EQ78" s="735"/>
      <c r="ER78" s="735"/>
      <c r="ES78" s="735"/>
      <c r="ET78" s="735"/>
      <c r="EU78" s="735"/>
      <c r="EV78" s="735"/>
      <c r="EW78" s="735"/>
      <c r="EX78" s="735"/>
      <c r="EY78" s="735"/>
      <c r="EZ78" s="735"/>
      <c r="FA78" s="735"/>
      <c r="FB78" s="735"/>
      <c r="FC78" s="735"/>
      <c r="FD78" s="735"/>
      <c r="FE78" s="736"/>
      <c r="FF78" s="264"/>
      <c r="FM78" s="90"/>
      <c r="FN78" s="2"/>
      <c r="FO78" s="2"/>
      <c r="FP78" s="2"/>
      <c r="FQ78" s="38"/>
      <c r="FR78" s="38"/>
      <c r="FS78" s="38"/>
      <c r="FT78" s="38"/>
      <c r="FU78" s="38"/>
      <c r="FV78" s="38"/>
      <c r="FW78" s="38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2"/>
      <c r="M79" s="188"/>
      <c r="N79" s="606">
        <v>31</v>
      </c>
      <c r="O79" s="606"/>
      <c r="P79" s="606"/>
      <c r="Q79" s="717"/>
      <c r="R79" s="718"/>
      <c r="S79" s="718"/>
      <c r="T79" s="719"/>
      <c r="U79" s="701" t="s">
        <v>6</v>
      </c>
      <c r="V79" s="720"/>
      <c r="W79" s="721"/>
      <c r="X79" s="721"/>
      <c r="Y79" s="721"/>
      <c r="Z79" s="721"/>
      <c r="AA79" s="721"/>
      <c r="AB79" s="721"/>
      <c r="AC79" s="721"/>
      <c r="AD79" s="721"/>
      <c r="AE79" s="721"/>
      <c r="AF79" s="721"/>
      <c r="AG79" s="721"/>
      <c r="AH79" s="721"/>
      <c r="AI79" s="721"/>
      <c r="AJ79" s="721"/>
      <c r="AK79" s="721"/>
      <c r="AL79" s="721"/>
      <c r="AM79" s="721"/>
      <c r="AN79" s="722"/>
      <c r="AO79" s="704" t="s">
        <v>6</v>
      </c>
      <c r="AP79" s="720"/>
      <c r="AQ79" s="721"/>
      <c r="AR79" s="721"/>
      <c r="AS79" s="721"/>
      <c r="AT79" s="721"/>
      <c r="AU79" s="721"/>
      <c r="AV79" s="721"/>
      <c r="AW79" s="721"/>
      <c r="AX79" s="721"/>
      <c r="AY79" s="721"/>
      <c r="AZ79" s="721"/>
      <c r="BA79" s="721"/>
      <c r="BB79" s="721"/>
      <c r="BC79" s="721"/>
      <c r="BD79" s="721"/>
      <c r="BE79" s="721"/>
      <c r="BF79" s="721"/>
      <c r="BG79" s="721"/>
      <c r="BH79" s="601"/>
      <c r="BI79" s="601"/>
      <c r="BJ79" s="601"/>
      <c r="BK79" s="601"/>
      <c r="BL79" s="601"/>
      <c r="BM79" s="601"/>
      <c r="BN79" s="601"/>
      <c r="BO79" s="601"/>
      <c r="BP79" s="601"/>
      <c r="BQ79" s="601"/>
      <c r="BR79" s="601"/>
      <c r="BS79" s="601"/>
      <c r="BT79" s="601"/>
      <c r="BU79" s="601"/>
      <c r="BV79" s="601"/>
      <c r="BW79" s="730"/>
      <c r="BX79" s="730"/>
      <c r="BY79" s="730"/>
      <c r="BZ79" s="730"/>
      <c r="CA79" s="730"/>
      <c r="CB79" s="614">
        <f>BEZ_Dim_31_Anz*KI_N</f>
        <v>0</v>
      </c>
      <c r="CC79" s="615">
        <f>BEZ_Dim_31_L*BEZ_Dim_31_B*BEZ_Dim_31_H*BEZ_Dim_31_Anz /10^9</f>
        <v>0</v>
      </c>
      <c r="CD79" s="615"/>
      <c r="CE79" s="615"/>
      <c r="CF79" s="615"/>
      <c r="CG79" s="615"/>
      <c r="CH79" s="615"/>
      <c r="CI79" s="615"/>
      <c r="CJ79" s="616"/>
      <c r="CK79" s="616"/>
      <c r="CL79" s="616"/>
      <c r="CM79" s="616"/>
      <c r="CN79" s="616"/>
      <c r="CO79" s="616"/>
      <c r="CP79" s="616"/>
      <c r="CQ79" s="617">
        <f>BEZ_Dim_31_CBM*BEZ_Dim_31_SPGEW</f>
        <v>0</v>
      </c>
      <c r="CR79" s="617"/>
      <c r="CS79" s="617"/>
      <c r="CT79" s="617"/>
      <c r="CU79" s="617"/>
      <c r="CV79" s="617"/>
      <c r="CW79" s="617"/>
      <c r="CX79" s="617"/>
      <c r="CY79" s="617"/>
      <c r="CZ79" s="617">
        <f>BEZ_Dim_31_L*BEZ_Dim_31_Anz/1000</f>
        <v>0</v>
      </c>
      <c r="DA79" s="617"/>
      <c r="DB79" s="617"/>
      <c r="DC79" s="617"/>
      <c r="DD79" s="617"/>
      <c r="DE79" s="617"/>
      <c r="DF79" s="617"/>
      <c r="DG79" s="729"/>
      <c r="DH79" s="729"/>
      <c r="DI79" s="729"/>
      <c r="DJ79" s="729"/>
      <c r="DK79" s="729"/>
      <c r="DL79" s="729"/>
      <c r="DM79" s="729"/>
      <c r="DN79" s="729"/>
      <c r="DO79" s="601"/>
      <c r="DP79" s="601"/>
      <c r="DQ79" s="601"/>
      <c r="DR79" s="601"/>
      <c r="DS79" s="601"/>
      <c r="DT79" s="602">
        <f>BEZ_Dim_31_CBM*BEZ_Dim_31_EuCBM*((BEZ_Dim_31_VAZ/100)+1)</f>
        <v>0</v>
      </c>
      <c r="DU79" s="602"/>
      <c r="DV79" s="602"/>
      <c r="DW79" s="602"/>
      <c r="DX79" s="602"/>
      <c r="DY79" s="602"/>
      <c r="DZ79" s="602"/>
      <c r="EA79" s="602"/>
      <c r="EB79" s="602">
        <f>CC79*DG79*((DO79/100)+1)*KI_N</f>
        <v>0</v>
      </c>
      <c r="EC79" s="602"/>
      <c r="ED79" s="602"/>
      <c r="EE79" s="602"/>
      <c r="EF79" s="602"/>
      <c r="EG79" s="602"/>
      <c r="EH79" s="602"/>
      <c r="EI79" s="602"/>
      <c r="EJ79" s="739">
        <f>SUM(CQ19:CY110)/SUM(BH19:BK110)</f>
        <v>2.2669105200000006</v>
      </c>
      <c r="EK79" s="740"/>
      <c r="EL79" s="740"/>
      <c r="EM79" s="740"/>
      <c r="EN79" s="740"/>
      <c r="EO79" s="740"/>
      <c r="EP79" s="740"/>
      <c r="EQ79" s="740"/>
      <c r="ER79" s="740"/>
      <c r="ES79" s="740"/>
      <c r="ET79" s="740"/>
      <c r="EU79" s="740"/>
      <c r="EV79" s="740"/>
      <c r="EW79" s="740"/>
      <c r="EX79" s="740"/>
      <c r="EY79" s="740"/>
      <c r="EZ79" s="654"/>
      <c r="FA79" s="654"/>
      <c r="FB79" s="654"/>
      <c r="FC79" s="654"/>
      <c r="FD79" s="654"/>
      <c r="FE79" s="655"/>
      <c r="FF79" s="264"/>
      <c r="FM79" s="90"/>
      <c r="FN79" s="351"/>
      <c r="FO79" s="2"/>
      <c r="FP79" s="2"/>
      <c r="FQ79" s="38"/>
      <c r="FR79" s="38"/>
      <c r="FS79" s="38"/>
      <c r="FT79" s="38"/>
      <c r="FU79" s="38"/>
      <c r="FV79" s="38"/>
      <c r="FW79" s="38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2"/>
      <c r="M80" s="188"/>
      <c r="N80" s="606"/>
      <c r="O80" s="606"/>
      <c r="P80" s="606"/>
      <c r="Q80" s="717"/>
      <c r="R80" s="718"/>
      <c r="S80" s="718"/>
      <c r="T80" s="719"/>
      <c r="U80" s="701"/>
      <c r="V80" s="720"/>
      <c r="W80" s="721"/>
      <c r="X80" s="721"/>
      <c r="Y80" s="721"/>
      <c r="Z80" s="721"/>
      <c r="AA80" s="721"/>
      <c r="AB80" s="721"/>
      <c r="AC80" s="721"/>
      <c r="AD80" s="721"/>
      <c r="AE80" s="721"/>
      <c r="AF80" s="721"/>
      <c r="AG80" s="721"/>
      <c r="AH80" s="721"/>
      <c r="AI80" s="721"/>
      <c r="AJ80" s="721"/>
      <c r="AK80" s="721"/>
      <c r="AL80" s="721"/>
      <c r="AM80" s="721"/>
      <c r="AN80" s="722"/>
      <c r="AO80" s="704"/>
      <c r="AP80" s="720"/>
      <c r="AQ80" s="721"/>
      <c r="AR80" s="721"/>
      <c r="AS80" s="721"/>
      <c r="AT80" s="721"/>
      <c r="AU80" s="721"/>
      <c r="AV80" s="721"/>
      <c r="AW80" s="721"/>
      <c r="AX80" s="721"/>
      <c r="AY80" s="721"/>
      <c r="AZ80" s="721"/>
      <c r="BA80" s="721"/>
      <c r="BB80" s="721"/>
      <c r="BC80" s="721"/>
      <c r="BD80" s="721"/>
      <c r="BE80" s="721"/>
      <c r="BF80" s="721"/>
      <c r="BG80" s="721"/>
      <c r="BH80" s="601"/>
      <c r="BI80" s="601"/>
      <c r="BJ80" s="601"/>
      <c r="BK80" s="601"/>
      <c r="BL80" s="601"/>
      <c r="BM80" s="601"/>
      <c r="BN80" s="601"/>
      <c r="BO80" s="601"/>
      <c r="BP80" s="601"/>
      <c r="BQ80" s="601"/>
      <c r="BR80" s="601"/>
      <c r="BS80" s="601"/>
      <c r="BT80" s="601"/>
      <c r="BU80" s="601"/>
      <c r="BV80" s="601"/>
      <c r="BW80" s="730"/>
      <c r="BX80" s="730"/>
      <c r="BY80" s="730"/>
      <c r="BZ80" s="730"/>
      <c r="CA80" s="730"/>
      <c r="CB80" s="614"/>
      <c r="CC80" s="615"/>
      <c r="CD80" s="615"/>
      <c r="CE80" s="615"/>
      <c r="CF80" s="615"/>
      <c r="CG80" s="615"/>
      <c r="CH80" s="615"/>
      <c r="CI80" s="615"/>
      <c r="CJ80" s="616"/>
      <c r="CK80" s="616"/>
      <c r="CL80" s="616"/>
      <c r="CM80" s="616"/>
      <c r="CN80" s="616"/>
      <c r="CO80" s="616"/>
      <c r="CP80" s="616"/>
      <c r="CQ80" s="617"/>
      <c r="CR80" s="617"/>
      <c r="CS80" s="617"/>
      <c r="CT80" s="617"/>
      <c r="CU80" s="617"/>
      <c r="CV80" s="617"/>
      <c r="CW80" s="617"/>
      <c r="CX80" s="617"/>
      <c r="CY80" s="617"/>
      <c r="CZ80" s="617"/>
      <c r="DA80" s="617"/>
      <c r="DB80" s="617"/>
      <c r="DC80" s="617"/>
      <c r="DD80" s="617"/>
      <c r="DE80" s="617"/>
      <c r="DF80" s="617"/>
      <c r="DG80" s="729"/>
      <c r="DH80" s="729"/>
      <c r="DI80" s="729"/>
      <c r="DJ80" s="729"/>
      <c r="DK80" s="729"/>
      <c r="DL80" s="729"/>
      <c r="DM80" s="729"/>
      <c r="DN80" s="729"/>
      <c r="DO80" s="601"/>
      <c r="DP80" s="601"/>
      <c r="DQ80" s="601"/>
      <c r="DR80" s="601"/>
      <c r="DS80" s="601"/>
      <c r="DT80" s="602"/>
      <c r="DU80" s="602"/>
      <c r="DV80" s="602"/>
      <c r="DW80" s="602"/>
      <c r="DX80" s="602"/>
      <c r="DY80" s="602"/>
      <c r="DZ80" s="602"/>
      <c r="EA80" s="602"/>
      <c r="EB80" s="602"/>
      <c r="EC80" s="602"/>
      <c r="ED80" s="602"/>
      <c r="EE80" s="602"/>
      <c r="EF80" s="602"/>
      <c r="EG80" s="602"/>
      <c r="EH80" s="602"/>
      <c r="EI80" s="602"/>
      <c r="EJ80" s="739"/>
      <c r="EK80" s="740"/>
      <c r="EL80" s="740"/>
      <c r="EM80" s="740"/>
      <c r="EN80" s="740"/>
      <c r="EO80" s="740"/>
      <c r="EP80" s="740"/>
      <c r="EQ80" s="740"/>
      <c r="ER80" s="740"/>
      <c r="ES80" s="740"/>
      <c r="ET80" s="740"/>
      <c r="EU80" s="740"/>
      <c r="EV80" s="740"/>
      <c r="EW80" s="740"/>
      <c r="EX80" s="740"/>
      <c r="EY80" s="740"/>
      <c r="EZ80" s="654"/>
      <c r="FA80" s="654"/>
      <c r="FB80" s="654"/>
      <c r="FC80" s="654"/>
      <c r="FD80" s="654"/>
      <c r="FE80" s="655"/>
      <c r="FF80" s="264"/>
      <c r="FM80" s="90"/>
      <c r="FN80" s="2"/>
      <c r="FO80" s="2"/>
      <c r="FP80" s="2"/>
      <c r="FQ80" s="38"/>
      <c r="FR80" s="38"/>
      <c r="FS80" s="38"/>
      <c r="FT80" s="38"/>
      <c r="FU80" s="38"/>
      <c r="FV80" s="38"/>
      <c r="FW80" s="38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2"/>
      <c r="M81" s="188"/>
      <c r="N81" s="606">
        <v>32</v>
      </c>
      <c r="O81" s="606"/>
      <c r="P81" s="606"/>
      <c r="Q81" s="717"/>
      <c r="R81" s="718"/>
      <c r="S81" s="718"/>
      <c r="T81" s="719"/>
      <c r="U81" s="701" t="s">
        <v>6</v>
      </c>
      <c r="V81" s="720"/>
      <c r="W81" s="721"/>
      <c r="X81" s="721"/>
      <c r="Y81" s="721"/>
      <c r="Z81" s="721"/>
      <c r="AA81" s="721"/>
      <c r="AB81" s="721"/>
      <c r="AC81" s="721"/>
      <c r="AD81" s="721"/>
      <c r="AE81" s="721"/>
      <c r="AF81" s="721"/>
      <c r="AG81" s="721"/>
      <c r="AH81" s="721"/>
      <c r="AI81" s="721"/>
      <c r="AJ81" s="721"/>
      <c r="AK81" s="721"/>
      <c r="AL81" s="721"/>
      <c r="AM81" s="721"/>
      <c r="AN81" s="722"/>
      <c r="AO81" s="704" t="s">
        <v>6</v>
      </c>
      <c r="AP81" s="720"/>
      <c r="AQ81" s="721"/>
      <c r="AR81" s="721"/>
      <c r="AS81" s="721"/>
      <c r="AT81" s="721"/>
      <c r="AU81" s="721"/>
      <c r="AV81" s="721"/>
      <c r="AW81" s="721"/>
      <c r="AX81" s="721"/>
      <c r="AY81" s="721"/>
      <c r="AZ81" s="721"/>
      <c r="BA81" s="721"/>
      <c r="BB81" s="721"/>
      <c r="BC81" s="721"/>
      <c r="BD81" s="721"/>
      <c r="BE81" s="721"/>
      <c r="BF81" s="721"/>
      <c r="BG81" s="721"/>
      <c r="BH81" s="601"/>
      <c r="BI81" s="601"/>
      <c r="BJ81" s="601"/>
      <c r="BK81" s="601"/>
      <c r="BL81" s="601"/>
      <c r="BM81" s="601"/>
      <c r="BN81" s="601"/>
      <c r="BO81" s="601"/>
      <c r="BP81" s="601"/>
      <c r="BQ81" s="601"/>
      <c r="BR81" s="601"/>
      <c r="BS81" s="601"/>
      <c r="BT81" s="601"/>
      <c r="BU81" s="601"/>
      <c r="BV81" s="601"/>
      <c r="BW81" s="730"/>
      <c r="BX81" s="730"/>
      <c r="BY81" s="730"/>
      <c r="BZ81" s="730"/>
      <c r="CA81" s="730"/>
      <c r="CB81" s="614">
        <f>BEZ_Dim_32_Anz*KI_N</f>
        <v>0</v>
      </c>
      <c r="CC81" s="615">
        <f>BEZ_Dim_32_L*BEZ_Dim_32_B*BEZ_Dim_32_H*BEZ_Dim_32_Anz /10^9</f>
        <v>0</v>
      </c>
      <c r="CD81" s="615"/>
      <c r="CE81" s="615"/>
      <c r="CF81" s="615"/>
      <c r="CG81" s="615"/>
      <c r="CH81" s="615"/>
      <c r="CI81" s="615"/>
      <c r="CJ81" s="616"/>
      <c r="CK81" s="616"/>
      <c r="CL81" s="616"/>
      <c r="CM81" s="616"/>
      <c r="CN81" s="616"/>
      <c r="CO81" s="616"/>
      <c r="CP81" s="616"/>
      <c r="CQ81" s="617">
        <f>BEZ_Dim_32_CBM*BEZ_Dim_32_SPGEW</f>
        <v>0</v>
      </c>
      <c r="CR81" s="617"/>
      <c r="CS81" s="617"/>
      <c r="CT81" s="617"/>
      <c r="CU81" s="617"/>
      <c r="CV81" s="617"/>
      <c r="CW81" s="617"/>
      <c r="CX81" s="617"/>
      <c r="CY81" s="617"/>
      <c r="CZ81" s="617">
        <f>BEZ_Dim_32_L*BEZ_Dim_32_Anz/1000</f>
        <v>0</v>
      </c>
      <c r="DA81" s="617"/>
      <c r="DB81" s="617"/>
      <c r="DC81" s="617"/>
      <c r="DD81" s="617"/>
      <c r="DE81" s="617"/>
      <c r="DF81" s="617"/>
      <c r="DG81" s="729"/>
      <c r="DH81" s="729"/>
      <c r="DI81" s="729"/>
      <c r="DJ81" s="729"/>
      <c r="DK81" s="729"/>
      <c r="DL81" s="729"/>
      <c r="DM81" s="729"/>
      <c r="DN81" s="729"/>
      <c r="DO81" s="601"/>
      <c r="DP81" s="601"/>
      <c r="DQ81" s="601"/>
      <c r="DR81" s="601"/>
      <c r="DS81" s="601"/>
      <c r="DT81" s="602">
        <f>BEZ_Dim_32_CBM*BEZ_Dim_32_EuCBM*((BEZ_Dim_32_VAZ/100)+1)</f>
        <v>0</v>
      </c>
      <c r="DU81" s="602"/>
      <c r="DV81" s="602"/>
      <c r="DW81" s="602"/>
      <c r="DX81" s="602"/>
      <c r="DY81" s="602"/>
      <c r="DZ81" s="602"/>
      <c r="EA81" s="602"/>
      <c r="EB81" s="602">
        <f>CC81*DG81*((DO81/100)+1)*KI_N</f>
        <v>0</v>
      </c>
      <c r="EC81" s="602"/>
      <c r="ED81" s="602"/>
      <c r="EE81" s="602"/>
      <c r="EF81" s="602"/>
      <c r="EG81" s="602"/>
      <c r="EH81" s="602"/>
      <c r="EI81" s="602"/>
      <c r="EJ81" s="734" t="s">
        <v>81</v>
      </c>
      <c r="EK81" s="735"/>
      <c r="EL81" s="735"/>
      <c r="EM81" s="735"/>
      <c r="EN81" s="735"/>
      <c r="EO81" s="735"/>
      <c r="EP81" s="735"/>
      <c r="EQ81" s="735"/>
      <c r="ER81" s="735"/>
      <c r="ES81" s="735"/>
      <c r="ET81" s="735"/>
      <c r="EU81" s="735"/>
      <c r="EV81" s="735"/>
      <c r="EW81" s="735"/>
      <c r="EX81" s="735"/>
      <c r="EY81" s="735"/>
      <c r="EZ81" s="735"/>
      <c r="FA81" s="735"/>
      <c r="FB81" s="735"/>
      <c r="FC81" s="735"/>
      <c r="FD81" s="735"/>
      <c r="FE81" s="736"/>
      <c r="FF81" s="264"/>
      <c r="FM81" s="90"/>
      <c r="FN81" s="351"/>
      <c r="FO81" s="2"/>
      <c r="FP81" s="2"/>
      <c r="FQ81" s="38"/>
      <c r="FR81" s="38"/>
      <c r="FS81" s="38"/>
      <c r="FT81" s="38"/>
      <c r="FU81" s="38"/>
      <c r="FV81" s="38"/>
      <c r="FW81" s="38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1"/>
      <c r="M82" s="167"/>
      <c r="N82" s="606"/>
      <c r="O82" s="606"/>
      <c r="P82" s="606"/>
      <c r="Q82" s="717"/>
      <c r="R82" s="718"/>
      <c r="S82" s="718"/>
      <c r="T82" s="719"/>
      <c r="U82" s="701"/>
      <c r="V82" s="720"/>
      <c r="W82" s="721"/>
      <c r="X82" s="721"/>
      <c r="Y82" s="721"/>
      <c r="Z82" s="721"/>
      <c r="AA82" s="721"/>
      <c r="AB82" s="721"/>
      <c r="AC82" s="721"/>
      <c r="AD82" s="721"/>
      <c r="AE82" s="721"/>
      <c r="AF82" s="721"/>
      <c r="AG82" s="721"/>
      <c r="AH82" s="721"/>
      <c r="AI82" s="721"/>
      <c r="AJ82" s="721"/>
      <c r="AK82" s="721"/>
      <c r="AL82" s="721"/>
      <c r="AM82" s="721"/>
      <c r="AN82" s="722"/>
      <c r="AO82" s="704"/>
      <c r="AP82" s="720"/>
      <c r="AQ82" s="721"/>
      <c r="AR82" s="721"/>
      <c r="AS82" s="721"/>
      <c r="AT82" s="721"/>
      <c r="AU82" s="721"/>
      <c r="AV82" s="721"/>
      <c r="AW82" s="721"/>
      <c r="AX82" s="721"/>
      <c r="AY82" s="721"/>
      <c r="AZ82" s="721"/>
      <c r="BA82" s="721"/>
      <c r="BB82" s="721"/>
      <c r="BC82" s="721"/>
      <c r="BD82" s="721"/>
      <c r="BE82" s="721"/>
      <c r="BF82" s="721"/>
      <c r="BG82" s="721"/>
      <c r="BH82" s="601"/>
      <c r="BI82" s="601"/>
      <c r="BJ82" s="601"/>
      <c r="BK82" s="601"/>
      <c r="BL82" s="601"/>
      <c r="BM82" s="601"/>
      <c r="BN82" s="601"/>
      <c r="BO82" s="601"/>
      <c r="BP82" s="601"/>
      <c r="BQ82" s="601"/>
      <c r="BR82" s="601"/>
      <c r="BS82" s="601"/>
      <c r="BT82" s="601"/>
      <c r="BU82" s="601"/>
      <c r="BV82" s="601"/>
      <c r="BW82" s="730"/>
      <c r="BX82" s="730"/>
      <c r="BY82" s="730"/>
      <c r="BZ82" s="730"/>
      <c r="CA82" s="730"/>
      <c r="CB82" s="614"/>
      <c r="CC82" s="615"/>
      <c r="CD82" s="615"/>
      <c r="CE82" s="615"/>
      <c r="CF82" s="615"/>
      <c r="CG82" s="615"/>
      <c r="CH82" s="615"/>
      <c r="CI82" s="615"/>
      <c r="CJ82" s="616"/>
      <c r="CK82" s="616"/>
      <c r="CL82" s="616"/>
      <c r="CM82" s="616"/>
      <c r="CN82" s="616"/>
      <c r="CO82" s="616"/>
      <c r="CP82" s="616"/>
      <c r="CQ82" s="617"/>
      <c r="CR82" s="617"/>
      <c r="CS82" s="617"/>
      <c r="CT82" s="617"/>
      <c r="CU82" s="617"/>
      <c r="CV82" s="617"/>
      <c r="CW82" s="617"/>
      <c r="CX82" s="617"/>
      <c r="CY82" s="617"/>
      <c r="CZ82" s="617"/>
      <c r="DA82" s="617"/>
      <c r="DB82" s="617"/>
      <c r="DC82" s="617"/>
      <c r="DD82" s="617"/>
      <c r="DE82" s="617"/>
      <c r="DF82" s="617"/>
      <c r="DG82" s="729"/>
      <c r="DH82" s="729"/>
      <c r="DI82" s="729"/>
      <c r="DJ82" s="729"/>
      <c r="DK82" s="729"/>
      <c r="DL82" s="729"/>
      <c r="DM82" s="729"/>
      <c r="DN82" s="729"/>
      <c r="DO82" s="601"/>
      <c r="DP82" s="601"/>
      <c r="DQ82" s="601"/>
      <c r="DR82" s="601"/>
      <c r="DS82" s="601"/>
      <c r="DT82" s="602"/>
      <c r="DU82" s="602"/>
      <c r="DV82" s="602"/>
      <c r="DW82" s="602"/>
      <c r="DX82" s="602"/>
      <c r="DY82" s="602"/>
      <c r="DZ82" s="602"/>
      <c r="EA82" s="602"/>
      <c r="EB82" s="602"/>
      <c r="EC82" s="602"/>
      <c r="ED82" s="602"/>
      <c r="EE82" s="602"/>
      <c r="EF82" s="602"/>
      <c r="EG82" s="602"/>
      <c r="EH82" s="602"/>
      <c r="EI82" s="602"/>
      <c r="EJ82" s="734"/>
      <c r="EK82" s="735"/>
      <c r="EL82" s="735"/>
      <c r="EM82" s="735"/>
      <c r="EN82" s="735"/>
      <c r="EO82" s="735"/>
      <c r="EP82" s="735"/>
      <c r="EQ82" s="735"/>
      <c r="ER82" s="735"/>
      <c r="ES82" s="735"/>
      <c r="ET82" s="735"/>
      <c r="EU82" s="735"/>
      <c r="EV82" s="735"/>
      <c r="EW82" s="735"/>
      <c r="EX82" s="735"/>
      <c r="EY82" s="735"/>
      <c r="EZ82" s="735"/>
      <c r="FA82" s="735"/>
      <c r="FB82" s="735"/>
      <c r="FC82" s="735"/>
      <c r="FD82" s="735"/>
      <c r="FE82" s="736"/>
      <c r="FF82" s="264"/>
      <c r="FM82" s="90"/>
      <c r="FN82" s="2"/>
      <c r="FO82" s="2"/>
      <c r="FP82" s="2"/>
      <c r="FQ82" s="38"/>
      <c r="FR82" s="38"/>
      <c r="FS82" s="38"/>
      <c r="FT82" s="38"/>
      <c r="FU82" s="38"/>
      <c r="FV82" s="38"/>
      <c r="FW82" s="38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2"/>
      <c r="M83" s="188"/>
      <c r="N83" s="606">
        <v>33</v>
      </c>
      <c r="O83" s="606"/>
      <c r="P83" s="606"/>
      <c r="Q83" s="717"/>
      <c r="R83" s="718"/>
      <c r="S83" s="718"/>
      <c r="T83" s="719"/>
      <c r="U83" s="701" t="s">
        <v>6</v>
      </c>
      <c r="V83" s="720"/>
      <c r="W83" s="721"/>
      <c r="X83" s="721"/>
      <c r="Y83" s="721"/>
      <c r="Z83" s="721"/>
      <c r="AA83" s="721"/>
      <c r="AB83" s="721"/>
      <c r="AC83" s="721"/>
      <c r="AD83" s="721"/>
      <c r="AE83" s="721"/>
      <c r="AF83" s="721"/>
      <c r="AG83" s="721"/>
      <c r="AH83" s="721"/>
      <c r="AI83" s="721"/>
      <c r="AJ83" s="721"/>
      <c r="AK83" s="721"/>
      <c r="AL83" s="721"/>
      <c r="AM83" s="721"/>
      <c r="AN83" s="722"/>
      <c r="AO83" s="704" t="s">
        <v>6</v>
      </c>
      <c r="AP83" s="720"/>
      <c r="AQ83" s="721"/>
      <c r="AR83" s="721"/>
      <c r="AS83" s="721"/>
      <c r="AT83" s="721"/>
      <c r="AU83" s="721"/>
      <c r="AV83" s="721"/>
      <c r="AW83" s="721"/>
      <c r="AX83" s="721"/>
      <c r="AY83" s="721"/>
      <c r="AZ83" s="721"/>
      <c r="BA83" s="721"/>
      <c r="BB83" s="721"/>
      <c r="BC83" s="721"/>
      <c r="BD83" s="721"/>
      <c r="BE83" s="721"/>
      <c r="BF83" s="721"/>
      <c r="BG83" s="721"/>
      <c r="BH83" s="601"/>
      <c r="BI83" s="601"/>
      <c r="BJ83" s="601"/>
      <c r="BK83" s="601"/>
      <c r="BL83" s="601"/>
      <c r="BM83" s="601"/>
      <c r="BN83" s="601"/>
      <c r="BO83" s="601"/>
      <c r="BP83" s="601"/>
      <c r="BQ83" s="601"/>
      <c r="BR83" s="601"/>
      <c r="BS83" s="601"/>
      <c r="BT83" s="601"/>
      <c r="BU83" s="601"/>
      <c r="BV83" s="601"/>
      <c r="BW83" s="730"/>
      <c r="BX83" s="730"/>
      <c r="BY83" s="730"/>
      <c r="BZ83" s="730"/>
      <c r="CA83" s="730"/>
      <c r="CB83" s="614">
        <f>BEZ_Dim_33_Anz*KI_N</f>
        <v>0</v>
      </c>
      <c r="CC83" s="615">
        <f>BEZ_Dim_33_L*BEZ_Dim_33_B*BEZ_Dim_33_H*BEZ_Dim_33_Anz /10^9</f>
        <v>0</v>
      </c>
      <c r="CD83" s="615"/>
      <c r="CE83" s="615"/>
      <c r="CF83" s="615"/>
      <c r="CG83" s="615"/>
      <c r="CH83" s="615"/>
      <c r="CI83" s="615"/>
      <c r="CJ83" s="616"/>
      <c r="CK83" s="616"/>
      <c r="CL83" s="616"/>
      <c r="CM83" s="616"/>
      <c r="CN83" s="616"/>
      <c r="CO83" s="616"/>
      <c r="CP83" s="616"/>
      <c r="CQ83" s="617">
        <f>BEZ_Dim_33_CBM*BEZ_Dim_33_SPGEW</f>
        <v>0</v>
      </c>
      <c r="CR83" s="617"/>
      <c r="CS83" s="617"/>
      <c r="CT83" s="617"/>
      <c r="CU83" s="617"/>
      <c r="CV83" s="617"/>
      <c r="CW83" s="617"/>
      <c r="CX83" s="617"/>
      <c r="CY83" s="617"/>
      <c r="CZ83" s="617">
        <f>BEZ_Dim_33_L*BEZ_Dim_33_Anz/1000</f>
        <v>0</v>
      </c>
      <c r="DA83" s="617"/>
      <c r="DB83" s="617"/>
      <c r="DC83" s="617"/>
      <c r="DD83" s="617"/>
      <c r="DE83" s="617"/>
      <c r="DF83" s="617"/>
      <c r="DG83" s="729"/>
      <c r="DH83" s="729"/>
      <c r="DI83" s="729"/>
      <c r="DJ83" s="729"/>
      <c r="DK83" s="729"/>
      <c r="DL83" s="729"/>
      <c r="DM83" s="729"/>
      <c r="DN83" s="729"/>
      <c r="DO83" s="601"/>
      <c r="DP83" s="601"/>
      <c r="DQ83" s="601"/>
      <c r="DR83" s="601"/>
      <c r="DS83" s="601"/>
      <c r="DT83" s="602">
        <f>BEZ_Dim_33_CBM*BEZ_Dim_33_EuCBM*((BEZ_Dim_33_VAZ/100)+1)</f>
        <v>0</v>
      </c>
      <c r="DU83" s="602"/>
      <c r="DV83" s="602"/>
      <c r="DW83" s="602"/>
      <c r="DX83" s="602"/>
      <c r="DY83" s="602"/>
      <c r="DZ83" s="602"/>
      <c r="EA83" s="602"/>
      <c r="EB83" s="602">
        <f>CC83*DG83*((DO83/100)+1)*KI_N</f>
        <v>0</v>
      </c>
      <c r="EC83" s="602"/>
      <c r="ED83" s="602"/>
      <c r="EE83" s="602"/>
      <c r="EF83" s="602"/>
      <c r="EG83" s="602"/>
      <c r="EH83" s="602"/>
      <c r="EI83" s="602"/>
      <c r="EJ83" s="741">
        <f>SUM(DT19:EA110)/SUM(BH19:BK110)</f>
        <v>1.19406636976</v>
      </c>
      <c r="EK83" s="742"/>
      <c r="EL83" s="742"/>
      <c r="EM83" s="742"/>
      <c r="EN83" s="742"/>
      <c r="EO83" s="742"/>
      <c r="EP83" s="742"/>
      <c r="EQ83" s="742"/>
      <c r="ER83" s="742"/>
      <c r="ES83" s="742"/>
      <c r="ET83" s="742"/>
      <c r="EU83" s="742"/>
      <c r="EV83" s="742"/>
      <c r="EW83" s="742"/>
      <c r="EX83" s="742"/>
      <c r="EY83" s="742"/>
      <c r="EZ83" s="654"/>
      <c r="FA83" s="654"/>
      <c r="FB83" s="654"/>
      <c r="FC83" s="654"/>
      <c r="FD83" s="654"/>
      <c r="FE83" s="655"/>
      <c r="FF83" s="264"/>
      <c r="FM83" s="90"/>
      <c r="FN83" s="351"/>
      <c r="FO83" s="2"/>
      <c r="FP83" s="2"/>
      <c r="FQ83" s="38"/>
      <c r="FR83" s="38"/>
      <c r="FS83" s="38"/>
      <c r="FT83" s="38"/>
      <c r="FU83" s="38"/>
      <c r="FV83" s="38"/>
      <c r="FW83" s="38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2"/>
      <c r="M84" s="188"/>
      <c r="N84" s="606"/>
      <c r="O84" s="606"/>
      <c r="P84" s="606"/>
      <c r="Q84" s="717"/>
      <c r="R84" s="718"/>
      <c r="S84" s="718"/>
      <c r="T84" s="719"/>
      <c r="U84" s="701"/>
      <c r="V84" s="720"/>
      <c r="W84" s="721"/>
      <c r="X84" s="721"/>
      <c r="Y84" s="721"/>
      <c r="Z84" s="721"/>
      <c r="AA84" s="721"/>
      <c r="AB84" s="721"/>
      <c r="AC84" s="721"/>
      <c r="AD84" s="721"/>
      <c r="AE84" s="721"/>
      <c r="AF84" s="721"/>
      <c r="AG84" s="721"/>
      <c r="AH84" s="721"/>
      <c r="AI84" s="721"/>
      <c r="AJ84" s="721"/>
      <c r="AK84" s="721"/>
      <c r="AL84" s="721"/>
      <c r="AM84" s="721"/>
      <c r="AN84" s="722"/>
      <c r="AO84" s="704"/>
      <c r="AP84" s="720"/>
      <c r="AQ84" s="721"/>
      <c r="AR84" s="721"/>
      <c r="AS84" s="721"/>
      <c r="AT84" s="721"/>
      <c r="AU84" s="721"/>
      <c r="AV84" s="721"/>
      <c r="AW84" s="721"/>
      <c r="AX84" s="721"/>
      <c r="AY84" s="721"/>
      <c r="AZ84" s="721"/>
      <c r="BA84" s="721"/>
      <c r="BB84" s="721"/>
      <c r="BC84" s="721"/>
      <c r="BD84" s="721"/>
      <c r="BE84" s="721"/>
      <c r="BF84" s="721"/>
      <c r="BG84" s="721"/>
      <c r="BH84" s="601"/>
      <c r="BI84" s="601"/>
      <c r="BJ84" s="601"/>
      <c r="BK84" s="601"/>
      <c r="BL84" s="601"/>
      <c r="BM84" s="601"/>
      <c r="BN84" s="601"/>
      <c r="BO84" s="601"/>
      <c r="BP84" s="601"/>
      <c r="BQ84" s="601"/>
      <c r="BR84" s="601"/>
      <c r="BS84" s="601"/>
      <c r="BT84" s="601"/>
      <c r="BU84" s="601"/>
      <c r="BV84" s="601"/>
      <c r="BW84" s="730"/>
      <c r="BX84" s="730"/>
      <c r="BY84" s="730"/>
      <c r="BZ84" s="730"/>
      <c r="CA84" s="730"/>
      <c r="CB84" s="614"/>
      <c r="CC84" s="615"/>
      <c r="CD84" s="615"/>
      <c r="CE84" s="615"/>
      <c r="CF84" s="615"/>
      <c r="CG84" s="615"/>
      <c r="CH84" s="615"/>
      <c r="CI84" s="615"/>
      <c r="CJ84" s="616"/>
      <c r="CK84" s="616"/>
      <c r="CL84" s="616"/>
      <c r="CM84" s="616"/>
      <c r="CN84" s="616"/>
      <c r="CO84" s="616"/>
      <c r="CP84" s="616"/>
      <c r="CQ84" s="617"/>
      <c r="CR84" s="617"/>
      <c r="CS84" s="617"/>
      <c r="CT84" s="617"/>
      <c r="CU84" s="617"/>
      <c r="CV84" s="617"/>
      <c r="CW84" s="617"/>
      <c r="CX84" s="617"/>
      <c r="CY84" s="617"/>
      <c r="CZ84" s="617"/>
      <c r="DA84" s="617"/>
      <c r="DB84" s="617"/>
      <c r="DC84" s="617"/>
      <c r="DD84" s="617"/>
      <c r="DE84" s="617"/>
      <c r="DF84" s="617"/>
      <c r="DG84" s="729"/>
      <c r="DH84" s="729"/>
      <c r="DI84" s="729"/>
      <c r="DJ84" s="729"/>
      <c r="DK84" s="729"/>
      <c r="DL84" s="729"/>
      <c r="DM84" s="729"/>
      <c r="DN84" s="729"/>
      <c r="DO84" s="601"/>
      <c r="DP84" s="601"/>
      <c r="DQ84" s="601"/>
      <c r="DR84" s="601"/>
      <c r="DS84" s="601"/>
      <c r="DT84" s="602"/>
      <c r="DU84" s="602"/>
      <c r="DV84" s="602"/>
      <c r="DW84" s="602"/>
      <c r="DX84" s="602"/>
      <c r="DY84" s="602"/>
      <c r="DZ84" s="602"/>
      <c r="EA84" s="602"/>
      <c r="EB84" s="602"/>
      <c r="EC84" s="602"/>
      <c r="ED84" s="602"/>
      <c r="EE84" s="602"/>
      <c r="EF84" s="602"/>
      <c r="EG84" s="602"/>
      <c r="EH84" s="602"/>
      <c r="EI84" s="602"/>
      <c r="EJ84" s="741"/>
      <c r="EK84" s="742"/>
      <c r="EL84" s="742"/>
      <c r="EM84" s="742"/>
      <c r="EN84" s="742"/>
      <c r="EO84" s="742"/>
      <c r="EP84" s="742"/>
      <c r="EQ84" s="742"/>
      <c r="ER84" s="742"/>
      <c r="ES84" s="742"/>
      <c r="ET84" s="742"/>
      <c r="EU84" s="742"/>
      <c r="EV84" s="742"/>
      <c r="EW84" s="742"/>
      <c r="EX84" s="742"/>
      <c r="EY84" s="742"/>
      <c r="EZ84" s="654"/>
      <c r="FA84" s="654"/>
      <c r="FB84" s="654"/>
      <c r="FC84" s="654"/>
      <c r="FD84" s="654"/>
      <c r="FE84" s="655"/>
      <c r="FF84" s="264"/>
      <c r="FM84" s="90"/>
      <c r="FN84" s="2"/>
      <c r="FO84" s="2"/>
      <c r="FP84" s="2"/>
      <c r="FQ84" s="38"/>
      <c r="FR84" s="38"/>
      <c r="FS84" s="38"/>
      <c r="FT84" s="38"/>
      <c r="FU84" s="38"/>
      <c r="FV84" s="38"/>
      <c r="FW84" s="38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3"/>
      <c r="M85" s="203"/>
      <c r="N85" s="606">
        <v>34</v>
      </c>
      <c r="O85" s="606"/>
      <c r="P85" s="606"/>
      <c r="Q85" s="717"/>
      <c r="R85" s="718"/>
      <c r="S85" s="718"/>
      <c r="T85" s="719"/>
      <c r="U85" s="701" t="s">
        <v>6</v>
      </c>
      <c r="V85" s="720"/>
      <c r="W85" s="721"/>
      <c r="X85" s="721"/>
      <c r="Y85" s="721"/>
      <c r="Z85" s="721"/>
      <c r="AA85" s="721"/>
      <c r="AB85" s="721"/>
      <c r="AC85" s="721"/>
      <c r="AD85" s="721"/>
      <c r="AE85" s="721"/>
      <c r="AF85" s="721"/>
      <c r="AG85" s="721"/>
      <c r="AH85" s="721"/>
      <c r="AI85" s="721"/>
      <c r="AJ85" s="721"/>
      <c r="AK85" s="721"/>
      <c r="AL85" s="721"/>
      <c r="AM85" s="721"/>
      <c r="AN85" s="722"/>
      <c r="AO85" s="704" t="s">
        <v>6</v>
      </c>
      <c r="AP85" s="720"/>
      <c r="AQ85" s="721"/>
      <c r="AR85" s="721"/>
      <c r="AS85" s="721"/>
      <c r="AT85" s="721"/>
      <c r="AU85" s="721"/>
      <c r="AV85" s="721"/>
      <c r="AW85" s="721"/>
      <c r="AX85" s="721"/>
      <c r="AY85" s="721"/>
      <c r="AZ85" s="721"/>
      <c r="BA85" s="721"/>
      <c r="BB85" s="721"/>
      <c r="BC85" s="721"/>
      <c r="BD85" s="721"/>
      <c r="BE85" s="721"/>
      <c r="BF85" s="721"/>
      <c r="BG85" s="721"/>
      <c r="BH85" s="601"/>
      <c r="BI85" s="601"/>
      <c r="BJ85" s="601"/>
      <c r="BK85" s="601"/>
      <c r="BL85" s="601"/>
      <c r="BM85" s="601"/>
      <c r="BN85" s="601"/>
      <c r="BO85" s="601"/>
      <c r="BP85" s="601"/>
      <c r="BQ85" s="601"/>
      <c r="BR85" s="601"/>
      <c r="BS85" s="601"/>
      <c r="BT85" s="601"/>
      <c r="BU85" s="601"/>
      <c r="BV85" s="601"/>
      <c r="BW85" s="730"/>
      <c r="BX85" s="730"/>
      <c r="BY85" s="730"/>
      <c r="BZ85" s="730"/>
      <c r="CA85" s="730"/>
      <c r="CB85" s="614">
        <f>BEZ_Dim_34_Anz*KI_N</f>
        <v>0</v>
      </c>
      <c r="CC85" s="615">
        <f>BEZ_Dim_34_L*BEZ_Dim_34_B*BEZ_Dim_34_H*BEZ_Dim_34_Anz /10^9</f>
        <v>0</v>
      </c>
      <c r="CD85" s="615"/>
      <c r="CE85" s="615"/>
      <c r="CF85" s="615"/>
      <c r="CG85" s="615"/>
      <c r="CH85" s="615"/>
      <c r="CI85" s="615"/>
      <c r="CJ85" s="616"/>
      <c r="CK85" s="616"/>
      <c r="CL85" s="616"/>
      <c r="CM85" s="616"/>
      <c r="CN85" s="616"/>
      <c r="CO85" s="616"/>
      <c r="CP85" s="616"/>
      <c r="CQ85" s="617">
        <f>BEZ_Dim_34_CBM*BEZ_Dim_34_SPGEW</f>
        <v>0</v>
      </c>
      <c r="CR85" s="617"/>
      <c r="CS85" s="617"/>
      <c r="CT85" s="617"/>
      <c r="CU85" s="617"/>
      <c r="CV85" s="617"/>
      <c r="CW85" s="617"/>
      <c r="CX85" s="617"/>
      <c r="CY85" s="617"/>
      <c r="CZ85" s="617">
        <f>BEZ_Dim_34_L*BEZ_Dim_34_Anz/1000</f>
        <v>0</v>
      </c>
      <c r="DA85" s="617"/>
      <c r="DB85" s="617"/>
      <c r="DC85" s="617"/>
      <c r="DD85" s="617"/>
      <c r="DE85" s="617"/>
      <c r="DF85" s="617"/>
      <c r="DG85" s="729"/>
      <c r="DH85" s="729"/>
      <c r="DI85" s="729"/>
      <c r="DJ85" s="729"/>
      <c r="DK85" s="729"/>
      <c r="DL85" s="729"/>
      <c r="DM85" s="729"/>
      <c r="DN85" s="729"/>
      <c r="DO85" s="601"/>
      <c r="DP85" s="601"/>
      <c r="DQ85" s="601"/>
      <c r="DR85" s="601"/>
      <c r="DS85" s="601"/>
      <c r="DT85" s="602">
        <f>BEZ_Dim_34_CBM*BEZ_Dim_34_EuCBM*((BEZ_Dim_34_VAZ/100)+1)</f>
        <v>0</v>
      </c>
      <c r="DU85" s="602"/>
      <c r="DV85" s="602"/>
      <c r="DW85" s="602"/>
      <c r="DX85" s="602"/>
      <c r="DY85" s="602"/>
      <c r="DZ85" s="602"/>
      <c r="EA85" s="602"/>
      <c r="EB85" s="602">
        <f>CC85*DG85*((DO85/100)+1)*KI_N</f>
        <v>0</v>
      </c>
      <c r="EC85" s="602"/>
      <c r="ED85" s="602"/>
      <c r="EE85" s="602"/>
      <c r="EF85" s="602"/>
      <c r="EG85" s="602"/>
      <c r="EH85" s="602"/>
      <c r="EI85" s="602"/>
      <c r="EJ85" s="652"/>
      <c r="EK85" s="653"/>
      <c r="EL85" s="653"/>
      <c r="EM85" s="653"/>
      <c r="EN85" s="653"/>
      <c r="EO85" s="653"/>
      <c r="EP85" s="653"/>
      <c r="EQ85" s="653"/>
      <c r="ER85" s="653"/>
      <c r="ES85" s="653"/>
      <c r="ET85" s="653"/>
      <c r="EU85" s="653"/>
      <c r="EV85" s="653"/>
      <c r="EW85" s="653"/>
      <c r="EX85" s="653"/>
      <c r="EY85" s="653"/>
      <c r="EZ85" s="654"/>
      <c r="FA85" s="654"/>
      <c r="FB85" s="654"/>
      <c r="FC85" s="654"/>
      <c r="FD85" s="654"/>
      <c r="FE85" s="655"/>
      <c r="FF85" s="264"/>
      <c r="FM85" s="90"/>
      <c r="FN85" s="351"/>
      <c r="FO85" s="2"/>
      <c r="FP85" s="2"/>
      <c r="FQ85" s="38"/>
      <c r="FR85" s="38"/>
      <c r="FS85" s="38"/>
      <c r="FT85" s="38"/>
      <c r="FU85" s="38"/>
      <c r="FV85" s="38"/>
      <c r="FW85" s="38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1"/>
      <c r="M86" s="167"/>
      <c r="N86" s="606"/>
      <c r="O86" s="606"/>
      <c r="P86" s="606"/>
      <c r="Q86" s="717"/>
      <c r="R86" s="718"/>
      <c r="S86" s="718"/>
      <c r="T86" s="719"/>
      <c r="U86" s="701"/>
      <c r="V86" s="720"/>
      <c r="W86" s="721"/>
      <c r="X86" s="721"/>
      <c r="Y86" s="721"/>
      <c r="Z86" s="721"/>
      <c r="AA86" s="721"/>
      <c r="AB86" s="721"/>
      <c r="AC86" s="721"/>
      <c r="AD86" s="721"/>
      <c r="AE86" s="721"/>
      <c r="AF86" s="721"/>
      <c r="AG86" s="721"/>
      <c r="AH86" s="721"/>
      <c r="AI86" s="721"/>
      <c r="AJ86" s="721"/>
      <c r="AK86" s="721"/>
      <c r="AL86" s="721"/>
      <c r="AM86" s="721"/>
      <c r="AN86" s="722"/>
      <c r="AO86" s="704"/>
      <c r="AP86" s="720"/>
      <c r="AQ86" s="721"/>
      <c r="AR86" s="721"/>
      <c r="AS86" s="721"/>
      <c r="AT86" s="721"/>
      <c r="AU86" s="721"/>
      <c r="AV86" s="721"/>
      <c r="AW86" s="721"/>
      <c r="AX86" s="721"/>
      <c r="AY86" s="721"/>
      <c r="AZ86" s="721"/>
      <c r="BA86" s="721"/>
      <c r="BB86" s="721"/>
      <c r="BC86" s="721"/>
      <c r="BD86" s="721"/>
      <c r="BE86" s="721"/>
      <c r="BF86" s="721"/>
      <c r="BG86" s="721"/>
      <c r="BH86" s="601"/>
      <c r="BI86" s="601"/>
      <c r="BJ86" s="601"/>
      <c r="BK86" s="601"/>
      <c r="BL86" s="601"/>
      <c r="BM86" s="601"/>
      <c r="BN86" s="601"/>
      <c r="BO86" s="601"/>
      <c r="BP86" s="601"/>
      <c r="BQ86" s="601"/>
      <c r="BR86" s="601"/>
      <c r="BS86" s="601"/>
      <c r="BT86" s="601"/>
      <c r="BU86" s="601"/>
      <c r="BV86" s="601"/>
      <c r="BW86" s="730"/>
      <c r="BX86" s="730"/>
      <c r="BY86" s="730"/>
      <c r="BZ86" s="730"/>
      <c r="CA86" s="730"/>
      <c r="CB86" s="614"/>
      <c r="CC86" s="615"/>
      <c r="CD86" s="615"/>
      <c r="CE86" s="615"/>
      <c r="CF86" s="615"/>
      <c r="CG86" s="615"/>
      <c r="CH86" s="615"/>
      <c r="CI86" s="615"/>
      <c r="CJ86" s="616"/>
      <c r="CK86" s="616"/>
      <c r="CL86" s="616"/>
      <c r="CM86" s="616"/>
      <c r="CN86" s="616"/>
      <c r="CO86" s="616"/>
      <c r="CP86" s="616"/>
      <c r="CQ86" s="617"/>
      <c r="CR86" s="617"/>
      <c r="CS86" s="617"/>
      <c r="CT86" s="617"/>
      <c r="CU86" s="617"/>
      <c r="CV86" s="617"/>
      <c r="CW86" s="617"/>
      <c r="CX86" s="617"/>
      <c r="CY86" s="617"/>
      <c r="CZ86" s="617"/>
      <c r="DA86" s="617"/>
      <c r="DB86" s="617"/>
      <c r="DC86" s="617"/>
      <c r="DD86" s="617"/>
      <c r="DE86" s="617"/>
      <c r="DF86" s="617"/>
      <c r="DG86" s="729"/>
      <c r="DH86" s="729"/>
      <c r="DI86" s="729"/>
      <c r="DJ86" s="729"/>
      <c r="DK86" s="729"/>
      <c r="DL86" s="729"/>
      <c r="DM86" s="729"/>
      <c r="DN86" s="729"/>
      <c r="DO86" s="601"/>
      <c r="DP86" s="601"/>
      <c r="DQ86" s="601"/>
      <c r="DR86" s="601"/>
      <c r="DS86" s="601"/>
      <c r="DT86" s="602"/>
      <c r="DU86" s="602"/>
      <c r="DV86" s="602"/>
      <c r="DW86" s="602"/>
      <c r="DX86" s="602"/>
      <c r="DY86" s="602"/>
      <c r="DZ86" s="602"/>
      <c r="EA86" s="602"/>
      <c r="EB86" s="602"/>
      <c r="EC86" s="602"/>
      <c r="ED86" s="602"/>
      <c r="EE86" s="602"/>
      <c r="EF86" s="602"/>
      <c r="EG86" s="602"/>
      <c r="EH86" s="602"/>
      <c r="EI86" s="602"/>
      <c r="EJ86" s="652"/>
      <c r="EK86" s="653"/>
      <c r="EL86" s="653"/>
      <c r="EM86" s="653"/>
      <c r="EN86" s="653"/>
      <c r="EO86" s="653"/>
      <c r="EP86" s="653"/>
      <c r="EQ86" s="653"/>
      <c r="ER86" s="653"/>
      <c r="ES86" s="653"/>
      <c r="ET86" s="653"/>
      <c r="EU86" s="653"/>
      <c r="EV86" s="653"/>
      <c r="EW86" s="653"/>
      <c r="EX86" s="653"/>
      <c r="EY86" s="653"/>
      <c r="EZ86" s="654"/>
      <c r="FA86" s="654"/>
      <c r="FB86" s="654"/>
      <c r="FC86" s="654"/>
      <c r="FD86" s="654"/>
      <c r="FE86" s="655"/>
      <c r="FF86" s="264"/>
      <c r="FM86" s="90"/>
      <c r="FN86" s="2"/>
      <c r="FO86" s="2"/>
      <c r="FP86" s="2"/>
      <c r="FQ86" s="38"/>
      <c r="FR86" s="38"/>
      <c r="FS86" s="38"/>
      <c r="FT86" s="38"/>
      <c r="FU86" s="38"/>
      <c r="FV86" s="38"/>
      <c r="FW86" s="38"/>
    </row>
    <row r="87" spans="1:179" ht="3.75" customHeight="1" x14ac:dyDescent="0.2">
      <c r="A87" s="42"/>
      <c r="B87" s="42"/>
      <c r="C87" s="42"/>
      <c r="D87" s="42"/>
      <c r="E87" s="42"/>
      <c r="F87" s="42"/>
      <c r="G87" s="43"/>
      <c r="H87" s="43"/>
      <c r="I87" s="43"/>
      <c r="J87" s="43"/>
      <c r="K87" s="44"/>
      <c r="L87" s="101"/>
      <c r="M87" s="167"/>
      <c r="N87" s="606">
        <v>35</v>
      </c>
      <c r="O87" s="606"/>
      <c r="P87" s="606"/>
      <c r="Q87" s="717"/>
      <c r="R87" s="718"/>
      <c r="S87" s="718"/>
      <c r="T87" s="719"/>
      <c r="U87" s="701" t="s">
        <v>6</v>
      </c>
      <c r="V87" s="720"/>
      <c r="W87" s="721"/>
      <c r="X87" s="721"/>
      <c r="Y87" s="721"/>
      <c r="Z87" s="721"/>
      <c r="AA87" s="721"/>
      <c r="AB87" s="721"/>
      <c r="AC87" s="721"/>
      <c r="AD87" s="721"/>
      <c r="AE87" s="721"/>
      <c r="AF87" s="721"/>
      <c r="AG87" s="721"/>
      <c r="AH87" s="721"/>
      <c r="AI87" s="721"/>
      <c r="AJ87" s="721"/>
      <c r="AK87" s="721"/>
      <c r="AL87" s="721"/>
      <c r="AM87" s="721"/>
      <c r="AN87" s="722"/>
      <c r="AO87" s="704" t="s">
        <v>6</v>
      </c>
      <c r="AP87" s="720"/>
      <c r="AQ87" s="721"/>
      <c r="AR87" s="721"/>
      <c r="AS87" s="721"/>
      <c r="AT87" s="721"/>
      <c r="AU87" s="721"/>
      <c r="AV87" s="721"/>
      <c r="AW87" s="721"/>
      <c r="AX87" s="721"/>
      <c r="AY87" s="721"/>
      <c r="AZ87" s="721"/>
      <c r="BA87" s="721"/>
      <c r="BB87" s="721"/>
      <c r="BC87" s="721"/>
      <c r="BD87" s="721"/>
      <c r="BE87" s="721"/>
      <c r="BF87" s="721"/>
      <c r="BG87" s="721"/>
      <c r="BH87" s="601"/>
      <c r="BI87" s="601"/>
      <c r="BJ87" s="601"/>
      <c r="BK87" s="601"/>
      <c r="BL87" s="601"/>
      <c r="BM87" s="601"/>
      <c r="BN87" s="601"/>
      <c r="BO87" s="601"/>
      <c r="BP87" s="601"/>
      <c r="BQ87" s="601"/>
      <c r="BR87" s="601"/>
      <c r="BS87" s="601"/>
      <c r="BT87" s="601"/>
      <c r="BU87" s="601"/>
      <c r="BV87" s="601"/>
      <c r="BW87" s="730"/>
      <c r="BX87" s="730"/>
      <c r="BY87" s="730"/>
      <c r="BZ87" s="730"/>
      <c r="CA87" s="730"/>
      <c r="CB87" s="614">
        <f>BEZ_Dim_35_Anz*KI_N</f>
        <v>0</v>
      </c>
      <c r="CC87" s="615">
        <f>BEZ_Dim_35_L*BEZ_Dim_35_B*BEZ_Dim_35_H*BEZ_Dim_35_Anz /10^9</f>
        <v>0</v>
      </c>
      <c r="CD87" s="615"/>
      <c r="CE87" s="615"/>
      <c r="CF87" s="615"/>
      <c r="CG87" s="615"/>
      <c r="CH87" s="615"/>
      <c r="CI87" s="615"/>
      <c r="CJ87" s="616"/>
      <c r="CK87" s="616"/>
      <c r="CL87" s="616"/>
      <c r="CM87" s="616"/>
      <c r="CN87" s="616"/>
      <c r="CO87" s="616"/>
      <c r="CP87" s="616"/>
      <c r="CQ87" s="617">
        <f>BEZ_Dim_35_CBM*BEZ_Dim_35_SPGEW</f>
        <v>0</v>
      </c>
      <c r="CR87" s="617"/>
      <c r="CS87" s="617"/>
      <c r="CT87" s="617"/>
      <c r="CU87" s="617"/>
      <c r="CV87" s="617"/>
      <c r="CW87" s="617"/>
      <c r="CX87" s="617"/>
      <c r="CY87" s="617"/>
      <c r="CZ87" s="617">
        <f>BEZ_Dim_35_L*BEZ_Dim_35_Anz/1000</f>
        <v>0</v>
      </c>
      <c r="DA87" s="617"/>
      <c r="DB87" s="617"/>
      <c r="DC87" s="617"/>
      <c r="DD87" s="617"/>
      <c r="DE87" s="617"/>
      <c r="DF87" s="617"/>
      <c r="DG87" s="729"/>
      <c r="DH87" s="729"/>
      <c r="DI87" s="729"/>
      <c r="DJ87" s="729"/>
      <c r="DK87" s="729"/>
      <c r="DL87" s="729"/>
      <c r="DM87" s="729"/>
      <c r="DN87" s="729"/>
      <c r="DO87" s="601"/>
      <c r="DP87" s="601"/>
      <c r="DQ87" s="601"/>
      <c r="DR87" s="601"/>
      <c r="DS87" s="601"/>
      <c r="DT87" s="602">
        <f>BEZ_Dim_35_CBM*BEZ_Dim_35_EuCBM*((BEZ_Dim_35_VAZ/100)+1)</f>
        <v>0</v>
      </c>
      <c r="DU87" s="602"/>
      <c r="DV87" s="602"/>
      <c r="DW87" s="602"/>
      <c r="DX87" s="602"/>
      <c r="DY87" s="602"/>
      <c r="DZ87" s="602"/>
      <c r="EA87" s="602"/>
      <c r="EB87" s="602">
        <f>CC87*DG87*((DO87/100)+1)*KI_N</f>
        <v>0</v>
      </c>
      <c r="EC87" s="602"/>
      <c r="ED87" s="602"/>
      <c r="EE87" s="602"/>
      <c r="EF87" s="602"/>
      <c r="EG87" s="602"/>
      <c r="EH87" s="602"/>
      <c r="EI87" s="602"/>
      <c r="EJ87" s="245"/>
      <c r="EK87" s="246"/>
      <c r="EL87" s="246"/>
      <c r="EM87" s="266"/>
      <c r="EN87" s="246"/>
      <c r="EO87" s="246"/>
      <c r="EP87" s="246"/>
      <c r="EQ87" s="246"/>
      <c r="ER87" s="246"/>
      <c r="ES87" s="246"/>
      <c r="ET87" s="246"/>
      <c r="EU87" s="246"/>
      <c r="EV87" s="267"/>
      <c r="EW87" s="246"/>
      <c r="EX87" s="246"/>
      <c r="EY87" s="246"/>
      <c r="EZ87" s="268"/>
      <c r="FA87" s="268"/>
      <c r="FB87" s="268"/>
      <c r="FC87" s="268"/>
      <c r="FD87" s="268"/>
      <c r="FE87" s="269"/>
      <c r="FF87" s="264"/>
      <c r="FM87" s="90"/>
      <c r="FN87" s="351"/>
      <c r="FO87" s="2"/>
      <c r="FP87" s="2"/>
      <c r="FQ87" s="38"/>
      <c r="FR87" s="38"/>
      <c r="FS87" s="38"/>
      <c r="FT87" s="38"/>
      <c r="FU87" s="38"/>
      <c r="FV87" s="38"/>
      <c r="FW87" s="38"/>
    </row>
    <row r="88" spans="1:179" ht="3.75" customHeight="1" x14ac:dyDescent="0.2">
      <c r="A88" s="42"/>
      <c r="B88" s="42"/>
      <c r="C88" s="42"/>
      <c r="D88" s="42"/>
      <c r="E88" s="42"/>
      <c r="F88" s="42"/>
      <c r="G88" s="43"/>
      <c r="H88" s="43"/>
      <c r="I88" s="43"/>
      <c r="J88" s="43"/>
      <c r="K88" s="44"/>
      <c r="L88" s="101"/>
      <c r="M88" s="167"/>
      <c r="N88" s="606"/>
      <c r="O88" s="606"/>
      <c r="P88" s="606"/>
      <c r="Q88" s="717"/>
      <c r="R88" s="718"/>
      <c r="S88" s="718"/>
      <c r="T88" s="719"/>
      <c r="U88" s="701"/>
      <c r="V88" s="720"/>
      <c r="W88" s="721"/>
      <c r="X88" s="721"/>
      <c r="Y88" s="721"/>
      <c r="Z88" s="721"/>
      <c r="AA88" s="721"/>
      <c r="AB88" s="721"/>
      <c r="AC88" s="721"/>
      <c r="AD88" s="721"/>
      <c r="AE88" s="721"/>
      <c r="AF88" s="721"/>
      <c r="AG88" s="721"/>
      <c r="AH88" s="721"/>
      <c r="AI88" s="721"/>
      <c r="AJ88" s="721"/>
      <c r="AK88" s="721"/>
      <c r="AL88" s="721"/>
      <c r="AM88" s="721"/>
      <c r="AN88" s="722"/>
      <c r="AO88" s="704"/>
      <c r="AP88" s="720"/>
      <c r="AQ88" s="721"/>
      <c r="AR88" s="721"/>
      <c r="AS88" s="721"/>
      <c r="AT88" s="721"/>
      <c r="AU88" s="721"/>
      <c r="AV88" s="721"/>
      <c r="AW88" s="721"/>
      <c r="AX88" s="721"/>
      <c r="AY88" s="721"/>
      <c r="AZ88" s="721"/>
      <c r="BA88" s="721"/>
      <c r="BB88" s="721"/>
      <c r="BC88" s="721"/>
      <c r="BD88" s="721"/>
      <c r="BE88" s="721"/>
      <c r="BF88" s="721"/>
      <c r="BG88" s="721"/>
      <c r="BH88" s="601"/>
      <c r="BI88" s="601"/>
      <c r="BJ88" s="601"/>
      <c r="BK88" s="601"/>
      <c r="BL88" s="601"/>
      <c r="BM88" s="601"/>
      <c r="BN88" s="601"/>
      <c r="BO88" s="601"/>
      <c r="BP88" s="601"/>
      <c r="BQ88" s="601"/>
      <c r="BR88" s="601"/>
      <c r="BS88" s="601"/>
      <c r="BT88" s="601"/>
      <c r="BU88" s="601"/>
      <c r="BV88" s="601"/>
      <c r="BW88" s="730"/>
      <c r="BX88" s="730"/>
      <c r="BY88" s="730"/>
      <c r="BZ88" s="730"/>
      <c r="CA88" s="730"/>
      <c r="CB88" s="614"/>
      <c r="CC88" s="615"/>
      <c r="CD88" s="615"/>
      <c r="CE88" s="615"/>
      <c r="CF88" s="615"/>
      <c r="CG88" s="615"/>
      <c r="CH88" s="615"/>
      <c r="CI88" s="615"/>
      <c r="CJ88" s="616"/>
      <c r="CK88" s="616"/>
      <c r="CL88" s="616"/>
      <c r="CM88" s="616"/>
      <c r="CN88" s="616"/>
      <c r="CO88" s="616"/>
      <c r="CP88" s="616"/>
      <c r="CQ88" s="617"/>
      <c r="CR88" s="617"/>
      <c r="CS88" s="617"/>
      <c r="CT88" s="617"/>
      <c r="CU88" s="617"/>
      <c r="CV88" s="617"/>
      <c r="CW88" s="617"/>
      <c r="CX88" s="617"/>
      <c r="CY88" s="617"/>
      <c r="CZ88" s="617"/>
      <c r="DA88" s="617"/>
      <c r="DB88" s="617"/>
      <c r="DC88" s="617"/>
      <c r="DD88" s="617"/>
      <c r="DE88" s="617"/>
      <c r="DF88" s="617"/>
      <c r="DG88" s="729"/>
      <c r="DH88" s="729"/>
      <c r="DI88" s="729"/>
      <c r="DJ88" s="729"/>
      <c r="DK88" s="729"/>
      <c r="DL88" s="729"/>
      <c r="DM88" s="729"/>
      <c r="DN88" s="729"/>
      <c r="DO88" s="601"/>
      <c r="DP88" s="601"/>
      <c r="DQ88" s="601"/>
      <c r="DR88" s="601"/>
      <c r="DS88" s="601"/>
      <c r="DT88" s="602"/>
      <c r="DU88" s="602"/>
      <c r="DV88" s="602"/>
      <c r="DW88" s="602"/>
      <c r="DX88" s="602"/>
      <c r="DY88" s="602"/>
      <c r="DZ88" s="602"/>
      <c r="EA88" s="602"/>
      <c r="EB88" s="602"/>
      <c r="EC88" s="602"/>
      <c r="ED88" s="602"/>
      <c r="EE88" s="602"/>
      <c r="EF88" s="602"/>
      <c r="EG88" s="602"/>
      <c r="EH88" s="602"/>
      <c r="EI88" s="602"/>
      <c r="EJ88" s="245"/>
      <c r="EK88" s="246"/>
      <c r="EL88" s="246"/>
      <c r="EM88" s="266"/>
      <c r="EN88" s="246"/>
      <c r="EO88" s="246"/>
      <c r="EP88" s="246"/>
      <c r="EQ88" s="246"/>
      <c r="ER88" s="246"/>
      <c r="ES88" s="246"/>
      <c r="ET88" s="246"/>
      <c r="EU88" s="246"/>
      <c r="EV88" s="267"/>
      <c r="EW88" s="246"/>
      <c r="EX88" s="246"/>
      <c r="EY88" s="246"/>
      <c r="EZ88" s="268"/>
      <c r="FA88" s="268"/>
      <c r="FB88" s="268"/>
      <c r="FC88" s="268"/>
      <c r="FD88" s="268"/>
      <c r="FE88" s="269"/>
      <c r="FF88" s="264"/>
      <c r="FM88" s="90"/>
      <c r="FN88" s="2"/>
      <c r="FO88" s="2"/>
      <c r="FP88" s="2"/>
      <c r="FQ88" s="38"/>
      <c r="FR88" s="38"/>
      <c r="FS88" s="38"/>
      <c r="FT88" s="38"/>
      <c r="FU88" s="38"/>
      <c r="FV88" s="38"/>
      <c r="FW88" s="38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1"/>
      <c r="M89" s="167"/>
      <c r="N89" s="606">
        <v>36</v>
      </c>
      <c r="O89" s="606"/>
      <c r="P89" s="606"/>
      <c r="Q89" s="717"/>
      <c r="R89" s="718"/>
      <c r="S89" s="718"/>
      <c r="T89" s="719"/>
      <c r="U89" s="701" t="s">
        <v>6</v>
      </c>
      <c r="V89" s="720"/>
      <c r="W89" s="721"/>
      <c r="X89" s="721"/>
      <c r="Y89" s="721"/>
      <c r="Z89" s="721"/>
      <c r="AA89" s="721"/>
      <c r="AB89" s="721"/>
      <c r="AC89" s="721"/>
      <c r="AD89" s="721"/>
      <c r="AE89" s="721"/>
      <c r="AF89" s="721"/>
      <c r="AG89" s="721"/>
      <c r="AH89" s="721"/>
      <c r="AI89" s="721"/>
      <c r="AJ89" s="721"/>
      <c r="AK89" s="721"/>
      <c r="AL89" s="721"/>
      <c r="AM89" s="721"/>
      <c r="AN89" s="722"/>
      <c r="AO89" s="704" t="s">
        <v>6</v>
      </c>
      <c r="AP89" s="720"/>
      <c r="AQ89" s="721"/>
      <c r="AR89" s="721"/>
      <c r="AS89" s="721"/>
      <c r="AT89" s="721"/>
      <c r="AU89" s="721"/>
      <c r="AV89" s="721"/>
      <c r="AW89" s="721"/>
      <c r="AX89" s="721"/>
      <c r="AY89" s="721"/>
      <c r="AZ89" s="721"/>
      <c r="BA89" s="721"/>
      <c r="BB89" s="721"/>
      <c r="BC89" s="721"/>
      <c r="BD89" s="721"/>
      <c r="BE89" s="721"/>
      <c r="BF89" s="721"/>
      <c r="BG89" s="721"/>
      <c r="BH89" s="601"/>
      <c r="BI89" s="601"/>
      <c r="BJ89" s="601"/>
      <c r="BK89" s="601"/>
      <c r="BL89" s="601"/>
      <c r="BM89" s="601"/>
      <c r="BN89" s="601"/>
      <c r="BO89" s="601"/>
      <c r="BP89" s="601"/>
      <c r="BQ89" s="601"/>
      <c r="BR89" s="601"/>
      <c r="BS89" s="601"/>
      <c r="BT89" s="601"/>
      <c r="BU89" s="601"/>
      <c r="BV89" s="601"/>
      <c r="BW89" s="730"/>
      <c r="BX89" s="730"/>
      <c r="BY89" s="730"/>
      <c r="BZ89" s="730"/>
      <c r="CA89" s="730"/>
      <c r="CB89" s="614">
        <f>BEZ_Dim_36_Anz*KI_N</f>
        <v>0</v>
      </c>
      <c r="CC89" s="615">
        <f>BEZ_Dim_36_L*BEZ_Dim_36_B*BEZ_Dim_36_H*BEZ_Dim_36_Anz /10^9</f>
        <v>0</v>
      </c>
      <c r="CD89" s="615"/>
      <c r="CE89" s="615"/>
      <c r="CF89" s="615"/>
      <c r="CG89" s="615"/>
      <c r="CH89" s="615"/>
      <c r="CI89" s="615"/>
      <c r="CJ89" s="616"/>
      <c r="CK89" s="616"/>
      <c r="CL89" s="616"/>
      <c r="CM89" s="616"/>
      <c r="CN89" s="616"/>
      <c r="CO89" s="616"/>
      <c r="CP89" s="616"/>
      <c r="CQ89" s="617">
        <f>BEZ_Dim_36_CBM*BEZ_Dim_36_SPGEW</f>
        <v>0</v>
      </c>
      <c r="CR89" s="617"/>
      <c r="CS89" s="617"/>
      <c r="CT89" s="617"/>
      <c r="CU89" s="617"/>
      <c r="CV89" s="617"/>
      <c r="CW89" s="617"/>
      <c r="CX89" s="617"/>
      <c r="CY89" s="617"/>
      <c r="CZ89" s="617">
        <f>BEZ_Dim_36_L*BEZ_Dim_36_Anz/1000</f>
        <v>0</v>
      </c>
      <c r="DA89" s="617"/>
      <c r="DB89" s="617"/>
      <c r="DC89" s="617"/>
      <c r="DD89" s="617"/>
      <c r="DE89" s="617"/>
      <c r="DF89" s="617"/>
      <c r="DG89" s="729"/>
      <c r="DH89" s="729"/>
      <c r="DI89" s="729"/>
      <c r="DJ89" s="729"/>
      <c r="DK89" s="729"/>
      <c r="DL89" s="729"/>
      <c r="DM89" s="729"/>
      <c r="DN89" s="729"/>
      <c r="DO89" s="601"/>
      <c r="DP89" s="601"/>
      <c r="DQ89" s="601"/>
      <c r="DR89" s="601"/>
      <c r="DS89" s="601"/>
      <c r="DT89" s="602">
        <f>BEZ_Dim_36_CBM*BEZ_Dim_36_EuCBM*((BEZ_Dim_36_VAZ/100)+1)</f>
        <v>0</v>
      </c>
      <c r="DU89" s="602"/>
      <c r="DV89" s="602"/>
      <c r="DW89" s="602"/>
      <c r="DX89" s="602"/>
      <c r="DY89" s="602"/>
      <c r="DZ89" s="602"/>
      <c r="EA89" s="602"/>
      <c r="EB89" s="602">
        <f>CC89*DG89*((DO89/100)+1)*KI_N</f>
        <v>0</v>
      </c>
      <c r="EC89" s="602"/>
      <c r="ED89" s="602"/>
      <c r="EE89" s="602"/>
      <c r="EF89" s="602"/>
      <c r="EG89" s="602"/>
      <c r="EH89" s="602"/>
      <c r="EI89" s="602"/>
      <c r="EJ89" s="245"/>
      <c r="EK89" s="246"/>
      <c r="EL89" s="246"/>
      <c r="EM89" s="266"/>
      <c r="EN89" s="246"/>
      <c r="EO89" s="246"/>
      <c r="EP89" s="246"/>
      <c r="EQ89" s="246"/>
      <c r="ER89" s="246"/>
      <c r="ES89" s="246"/>
      <c r="ET89" s="246"/>
      <c r="EU89" s="246"/>
      <c r="EV89" s="267"/>
      <c r="EW89" s="246"/>
      <c r="EX89" s="246"/>
      <c r="EY89" s="246"/>
      <c r="EZ89" s="268"/>
      <c r="FA89" s="268"/>
      <c r="FB89" s="268"/>
      <c r="FC89" s="268"/>
      <c r="FD89" s="268"/>
      <c r="FE89" s="269"/>
      <c r="FF89" s="264"/>
      <c r="FM89" s="90"/>
      <c r="FN89" s="351"/>
      <c r="FO89" s="2"/>
      <c r="FP89" s="2"/>
      <c r="FQ89" s="38"/>
      <c r="FR89" s="38"/>
      <c r="FS89" s="38"/>
      <c r="FT89" s="38"/>
      <c r="FU89" s="38"/>
      <c r="FV89" s="38"/>
      <c r="FW89" s="38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1"/>
      <c r="M90" s="167"/>
      <c r="N90" s="606"/>
      <c r="O90" s="606"/>
      <c r="P90" s="606"/>
      <c r="Q90" s="717"/>
      <c r="R90" s="718"/>
      <c r="S90" s="718"/>
      <c r="T90" s="719"/>
      <c r="U90" s="701"/>
      <c r="V90" s="720"/>
      <c r="W90" s="721"/>
      <c r="X90" s="721"/>
      <c r="Y90" s="721"/>
      <c r="Z90" s="721"/>
      <c r="AA90" s="721"/>
      <c r="AB90" s="721"/>
      <c r="AC90" s="721"/>
      <c r="AD90" s="721"/>
      <c r="AE90" s="721"/>
      <c r="AF90" s="721"/>
      <c r="AG90" s="721"/>
      <c r="AH90" s="721"/>
      <c r="AI90" s="721"/>
      <c r="AJ90" s="721"/>
      <c r="AK90" s="721"/>
      <c r="AL90" s="721"/>
      <c r="AM90" s="721"/>
      <c r="AN90" s="722"/>
      <c r="AO90" s="704"/>
      <c r="AP90" s="720"/>
      <c r="AQ90" s="721"/>
      <c r="AR90" s="721"/>
      <c r="AS90" s="721"/>
      <c r="AT90" s="721"/>
      <c r="AU90" s="721"/>
      <c r="AV90" s="721"/>
      <c r="AW90" s="721"/>
      <c r="AX90" s="721"/>
      <c r="AY90" s="721"/>
      <c r="AZ90" s="721"/>
      <c r="BA90" s="721"/>
      <c r="BB90" s="721"/>
      <c r="BC90" s="721"/>
      <c r="BD90" s="721"/>
      <c r="BE90" s="721"/>
      <c r="BF90" s="721"/>
      <c r="BG90" s="721"/>
      <c r="BH90" s="601"/>
      <c r="BI90" s="601"/>
      <c r="BJ90" s="601"/>
      <c r="BK90" s="601"/>
      <c r="BL90" s="601"/>
      <c r="BM90" s="601"/>
      <c r="BN90" s="601"/>
      <c r="BO90" s="601"/>
      <c r="BP90" s="601"/>
      <c r="BQ90" s="601"/>
      <c r="BR90" s="601"/>
      <c r="BS90" s="601"/>
      <c r="BT90" s="601"/>
      <c r="BU90" s="601"/>
      <c r="BV90" s="601"/>
      <c r="BW90" s="730"/>
      <c r="BX90" s="730"/>
      <c r="BY90" s="730"/>
      <c r="BZ90" s="730"/>
      <c r="CA90" s="730"/>
      <c r="CB90" s="614"/>
      <c r="CC90" s="615"/>
      <c r="CD90" s="615"/>
      <c r="CE90" s="615"/>
      <c r="CF90" s="615"/>
      <c r="CG90" s="615"/>
      <c r="CH90" s="615"/>
      <c r="CI90" s="615"/>
      <c r="CJ90" s="616"/>
      <c r="CK90" s="616"/>
      <c r="CL90" s="616"/>
      <c r="CM90" s="616"/>
      <c r="CN90" s="616"/>
      <c r="CO90" s="616"/>
      <c r="CP90" s="616"/>
      <c r="CQ90" s="617"/>
      <c r="CR90" s="617"/>
      <c r="CS90" s="617"/>
      <c r="CT90" s="617"/>
      <c r="CU90" s="617"/>
      <c r="CV90" s="617"/>
      <c r="CW90" s="617"/>
      <c r="CX90" s="617"/>
      <c r="CY90" s="617"/>
      <c r="CZ90" s="617"/>
      <c r="DA90" s="617"/>
      <c r="DB90" s="617"/>
      <c r="DC90" s="617"/>
      <c r="DD90" s="617"/>
      <c r="DE90" s="617"/>
      <c r="DF90" s="617"/>
      <c r="DG90" s="729"/>
      <c r="DH90" s="729"/>
      <c r="DI90" s="729"/>
      <c r="DJ90" s="729"/>
      <c r="DK90" s="729"/>
      <c r="DL90" s="729"/>
      <c r="DM90" s="729"/>
      <c r="DN90" s="729"/>
      <c r="DO90" s="601"/>
      <c r="DP90" s="601"/>
      <c r="DQ90" s="601"/>
      <c r="DR90" s="601"/>
      <c r="DS90" s="601"/>
      <c r="DT90" s="602"/>
      <c r="DU90" s="602"/>
      <c r="DV90" s="602"/>
      <c r="DW90" s="602"/>
      <c r="DX90" s="602"/>
      <c r="DY90" s="602"/>
      <c r="DZ90" s="602"/>
      <c r="EA90" s="602"/>
      <c r="EB90" s="602"/>
      <c r="EC90" s="602"/>
      <c r="ED90" s="602"/>
      <c r="EE90" s="602"/>
      <c r="EF90" s="602"/>
      <c r="EG90" s="602"/>
      <c r="EH90" s="602"/>
      <c r="EI90" s="602"/>
      <c r="EJ90" s="245"/>
      <c r="EK90" s="246"/>
      <c r="EL90" s="246"/>
      <c r="EM90" s="266"/>
      <c r="EN90" s="246"/>
      <c r="EO90" s="246"/>
      <c r="EP90" s="246"/>
      <c r="EQ90" s="246"/>
      <c r="ER90" s="246"/>
      <c r="ES90" s="246"/>
      <c r="ET90" s="246"/>
      <c r="EU90" s="246"/>
      <c r="EV90" s="267"/>
      <c r="EW90" s="246"/>
      <c r="EX90" s="246"/>
      <c r="EY90" s="246"/>
      <c r="EZ90" s="268"/>
      <c r="FA90" s="268"/>
      <c r="FB90" s="268"/>
      <c r="FC90" s="268"/>
      <c r="FD90" s="268"/>
      <c r="FE90" s="269"/>
      <c r="FF90" s="264"/>
      <c r="FM90" s="90"/>
      <c r="FN90" s="2"/>
      <c r="FO90" s="2"/>
      <c r="FP90" s="2"/>
      <c r="FQ90" s="38"/>
      <c r="FR90" s="38"/>
      <c r="FS90" s="38"/>
      <c r="FT90" s="38"/>
      <c r="FU90" s="38"/>
      <c r="FV90" s="38"/>
      <c r="FW90" s="38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3"/>
      <c r="M91" s="203"/>
      <c r="N91" s="606">
        <v>37</v>
      </c>
      <c r="O91" s="606"/>
      <c r="P91" s="606"/>
      <c r="Q91" s="717"/>
      <c r="R91" s="718"/>
      <c r="S91" s="718"/>
      <c r="T91" s="719"/>
      <c r="U91" s="701" t="s">
        <v>6</v>
      </c>
      <c r="V91" s="720"/>
      <c r="W91" s="721"/>
      <c r="X91" s="721"/>
      <c r="Y91" s="721"/>
      <c r="Z91" s="721"/>
      <c r="AA91" s="721"/>
      <c r="AB91" s="721"/>
      <c r="AC91" s="721"/>
      <c r="AD91" s="721"/>
      <c r="AE91" s="721"/>
      <c r="AF91" s="721"/>
      <c r="AG91" s="721"/>
      <c r="AH91" s="721"/>
      <c r="AI91" s="721"/>
      <c r="AJ91" s="721"/>
      <c r="AK91" s="721"/>
      <c r="AL91" s="721"/>
      <c r="AM91" s="721"/>
      <c r="AN91" s="722"/>
      <c r="AO91" s="704" t="s">
        <v>6</v>
      </c>
      <c r="AP91" s="720"/>
      <c r="AQ91" s="721"/>
      <c r="AR91" s="721"/>
      <c r="AS91" s="721"/>
      <c r="AT91" s="721"/>
      <c r="AU91" s="721"/>
      <c r="AV91" s="721"/>
      <c r="AW91" s="721"/>
      <c r="AX91" s="721"/>
      <c r="AY91" s="721"/>
      <c r="AZ91" s="721"/>
      <c r="BA91" s="721"/>
      <c r="BB91" s="721"/>
      <c r="BC91" s="721"/>
      <c r="BD91" s="721"/>
      <c r="BE91" s="721"/>
      <c r="BF91" s="721"/>
      <c r="BG91" s="721"/>
      <c r="BH91" s="601"/>
      <c r="BI91" s="601"/>
      <c r="BJ91" s="601"/>
      <c r="BK91" s="601"/>
      <c r="BL91" s="601"/>
      <c r="BM91" s="601"/>
      <c r="BN91" s="601"/>
      <c r="BO91" s="601"/>
      <c r="BP91" s="601"/>
      <c r="BQ91" s="601"/>
      <c r="BR91" s="601"/>
      <c r="BS91" s="601"/>
      <c r="BT91" s="601"/>
      <c r="BU91" s="601"/>
      <c r="BV91" s="601"/>
      <c r="BW91" s="730"/>
      <c r="BX91" s="730"/>
      <c r="BY91" s="730"/>
      <c r="BZ91" s="730"/>
      <c r="CA91" s="730"/>
      <c r="CB91" s="614">
        <f>BEZ_Dim_37_Anz*KI_N</f>
        <v>0</v>
      </c>
      <c r="CC91" s="615">
        <f>BEZ_Dim_37_L*BEZ_Dim_37_B*BEZ_Dim_37_H*BEZ_Dim_37_Anz /10^9</f>
        <v>0</v>
      </c>
      <c r="CD91" s="615"/>
      <c r="CE91" s="615"/>
      <c r="CF91" s="615"/>
      <c r="CG91" s="615"/>
      <c r="CH91" s="615"/>
      <c r="CI91" s="615"/>
      <c r="CJ91" s="616"/>
      <c r="CK91" s="616"/>
      <c r="CL91" s="616"/>
      <c r="CM91" s="616"/>
      <c r="CN91" s="616"/>
      <c r="CO91" s="616"/>
      <c r="CP91" s="616"/>
      <c r="CQ91" s="617">
        <f>BEZ_Dim_37_CBM*BEZ_Dim_37_SPGEW</f>
        <v>0</v>
      </c>
      <c r="CR91" s="617"/>
      <c r="CS91" s="617"/>
      <c r="CT91" s="617"/>
      <c r="CU91" s="617"/>
      <c r="CV91" s="617"/>
      <c r="CW91" s="617"/>
      <c r="CX91" s="617"/>
      <c r="CY91" s="617"/>
      <c r="CZ91" s="617">
        <f>BEZ_Dim_37_L*BEZ_Dim_37_Anz/1000</f>
        <v>0</v>
      </c>
      <c r="DA91" s="617"/>
      <c r="DB91" s="617"/>
      <c r="DC91" s="617"/>
      <c r="DD91" s="617"/>
      <c r="DE91" s="617"/>
      <c r="DF91" s="617"/>
      <c r="DG91" s="729"/>
      <c r="DH91" s="729"/>
      <c r="DI91" s="729"/>
      <c r="DJ91" s="729"/>
      <c r="DK91" s="729"/>
      <c r="DL91" s="729"/>
      <c r="DM91" s="729"/>
      <c r="DN91" s="729"/>
      <c r="DO91" s="601"/>
      <c r="DP91" s="601"/>
      <c r="DQ91" s="601"/>
      <c r="DR91" s="601"/>
      <c r="DS91" s="601"/>
      <c r="DT91" s="602">
        <f>BEZ_Dim_37_CBM*BEZ_Dim_37_EuCBM*((BEZ_Dim_37_VAZ/100)+1)</f>
        <v>0</v>
      </c>
      <c r="DU91" s="602"/>
      <c r="DV91" s="602"/>
      <c r="DW91" s="602"/>
      <c r="DX91" s="602"/>
      <c r="DY91" s="602"/>
      <c r="DZ91" s="602"/>
      <c r="EA91" s="602"/>
      <c r="EB91" s="602">
        <f>CC91*DG91*((DO91/100)+1)*KI_N</f>
        <v>0</v>
      </c>
      <c r="EC91" s="602"/>
      <c r="ED91" s="602"/>
      <c r="EE91" s="602"/>
      <c r="EF91" s="602"/>
      <c r="EG91" s="602"/>
      <c r="EH91" s="602"/>
      <c r="EI91" s="602"/>
      <c r="EJ91" s="245"/>
      <c r="EK91" s="246"/>
      <c r="EL91" s="246"/>
      <c r="EM91" s="266"/>
      <c r="EN91" s="246"/>
      <c r="EO91" s="246"/>
      <c r="EP91" s="246"/>
      <c r="EQ91" s="246"/>
      <c r="ER91" s="246"/>
      <c r="ES91" s="246"/>
      <c r="ET91" s="246"/>
      <c r="EU91" s="246"/>
      <c r="EV91" s="267"/>
      <c r="EW91" s="246"/>
      <c r="EX91" s="246"/>
      <c r="EY91" s="246"/>
      <c r="EZ91" s="268"/>
      <c r="FA91" s="268"/>
      <c r="FB91" s="268"/>
      <c r="FC91" s="268"/>
      <c r="FD91" s="268"/>
      <c r="FE91" s="269"/>
      <c r="FF91" s="264"/>
      <c r="FM91" s="90"/>
      <c r="FN91" s="351"/>
      <c r="FO91" s="2"/>
      <c r="FP91" s="2"/>
      <c r="FQ91" s="38"/>
      <c r="FR91" s="38"/>
      <c r="FS91" s="38"/>
      <c r="FT91" s="38"/>
      <c r="FU91" s="38"/>
      <c r="FV91" s="38"/>
      <c r="FW91" s="38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1"/>
      <c r="M92" s="167"/>
      <c r="N92" s="606"/>
      <c r="O92" s="606"/>
      <c r="P92" s="606"/>
      <c r="Q92" s="717"/>
      <c r="R92" s="718"/>
      <c r="S92" s="718"/>
      <c r="T92" s="719"/>
      <c r="U92" s="701"/>
      <c r="V92" s="720"/>
      <c r="W92" s="721"/>
      <c r="X92" s="721"/>
      <c r="Y92" s="721"/>
      <c r="Z92" s="721"/>
      <c r="AA92" s="721"/>
      <c r="AB92" s="721"/>
      <c r="AC92" s="721"/>
      <c r="AD92" s="721"/>
      <c r="AE92" s="721"/>
      <c r="AF92" s="721"/>
      <c r="AG92" s="721"/>
      <c r="AH92" s="721"/>
      <c r="AI92" s="721"/>
      <c r="AJ92" s="721"/>
      <c r="AK92" s="721"/>
      <c r="AL92" s="721"/>
      <c r="AM92" s="721"/>
      <c r="AN92" s="722"/>
      <c r="AO92" s="704"/>
      <c r="AP92" s="720"/>
      <c r="AQ92" s="721"/>
      <c r="AR92" s="721"/>
      <c r="AS92" s="721"/>
      <c r="AT92" s="721"/>
      <c r="AU92" s="721"/>
      <c r="AV92" s="721"/>
      <c r="AW92" s="721"/>
      <c r="AX92" s="721"/>
      <c r="AY92" s="721"/>
      <c r="AZ92" s="721"/>
      <c r="BA92" s="721"/>
      <c r="BB92" s="721"/>
      <c r="BC92" s="721"/>
      <c r="BD92" s="721"/>
      <c r="BE92" s="721"/>
      <c r="BF92" s="721"/>
      <c r="BG92" s="721"/>
      <c r="BH92" s="601"/>
      <c r="BI92" s="601"/>
      <c r="BJ92" s="601"/>
      <c r="BK92" s="601"/>
      <c r="BL92" s="601"/>
      <c r="BM92" s="601"/>
      <c r="BN92" s="601"/>
      <c r="BO92" s="601"/>
      <c r="BP92" s="601"/>
      <c r="BQ92" s="601"/>
      <c r="BR92" s="601"/>
      <c r="BS92" s="601"/>
      <c r="BT92" s="601"/>
      <c r="BU92" s="601"/>
      <c r="BV92" s="601"/>
      <c r="BW92" s="730"/>
      <c r="BX92" s="730"/>
      <c r="BY92" s="730"/>
      <c r="BZ92" s="730"/>
      <c r="CA92" s="730"/>
      <c r="CB92" s="614"/>
      <c r="CC92" s="615"/>
      <c r="CD92" s="615"/>
      <c r="CE92" s="615"/>
      <c r="CF92" s="615"/>
      <c r="CG92" s="615"/>
      <c r="CH92" s="615"/>
      <c r="CI92" s="615"/>
      <c r="CJ92" s="616"/>
      <c r="CK92" s="616"/>
      <c r="CL92" s="616"/>
      <c r="CM92" s="616"/>
      <c r="CN92" s="616"/>
      <c r="CO92" s="616"/>
      <c r="CP92" s="616"/>
      <c r="CQ92" s="617"/>
      <c r="CR92" s="617"/>
      <c r="CS92" s="617"/>
      <c r="CT92" s="617"/>
      <c r="CU92" s="617"/>
      <c r="CV92" s="617"/>
      <c r="CW92" s="617"/>
      <c r="CX92" s="617"/>
      <c r="CY92" s="617"/>
      <c r="CZ92" s="617"/>
      <c r="DA92" s="617"/>
      <c r="DB92" s="617"/>
      <c r="DC92" s="617"/>
      <c r="DD92" s="617"/>
      <c r="DE92" s="617"/>
      <c r="DF92" s="617"/>
      <c r="DG92" s="729"/>
      <c r="DH92" s="729"/>
      <c r="DI92" s="729"/>
      <c r="DJ92" s="729"/>
      <c r="DK92" s="729"/>
      <c r="DL92" s="729"/>
      <c r="DM92" s="729"/>
      <c r="DN92" s="729"/>
      <c r="DO92" s="601"/>
      <c r="DP92" s="601"/>
      <c r="DQ92" s="601"/>
      <c r="DR92" s="601"/>
      <c r="DS92" s="601"/>
      <c r="DT92" s="602"/>
      <c r="DU92" s="602"/>
      <c r="DV92" s="602"/>
      <c r="DW92" s="602"/>
      <c r="DX92" s="602"/>
      <c r="DY92" s="602"/>
      <c r="DZ92" s="602"/>
      <c r="EA92" s="602"/>
      <c r="EB92" s="602"/>
      <c r="EC92" s="602"/>
      <c r="ED92" s="602"/>
      <c r="EE92" s="602"/>
      <c r="EF92" s="602"/>
      <c r="EG92" s="602"/>
      <c r="EH92" s="602"/>
      <c r="EI92" s="602"/>
      <c r="EJ92" s="245"/>
      <c r="EK92" s="246"/>
      <c r="EL92" s="246"/>
      <c r="EM92" s="266"/>
      <c r="EN92" s="246"/>
      <c r="EO92" s="246"/>
      <c r="EP92" s="246"/>
      <c r="EQ92" s="246"/>
      <c r="ER92" s="246"/>
      <c r="ES92" s="246"/>
      <c r="ET92" s="246"/>
      <c r="EU92" s="246"/>
      <c r="EV92" s="267"/>
      <c r="EW92" s="246"/>
      <c r="EX92" s="246"/>
      <c r="EY92" s="246"/>
      <c r="EZ92" s="268"/>
      <c r="FA92" s="268"/>
      <c r="FB92" s="268"/>
      <c r="FC92" s="268"/>
      <c r="FD92" s="268"/>
      <c r="FE92" s="269"/>
      <c r="FF92" s="264"/>
      <c r="FM92" s="90"/>
      <c r="FN92" s="2"/>
      <c r="FO92" s="2"/>
      <c r="FP92" s="2"/>
      <c r="FQ92" s="38"/>
      <c r="FR92" s="38"/>
      <c r="FS92" s="38"/>
      <c r="FT92" s="38"/>
      <c r="FU92" s="38"/>
      <c r="FV92" s="38"/>
      <c r="FW92" s="38"/>
    </row>
    <row r="93" spans="1:179" ht="3.75" customHeight="1" x14ac:dyDescent="0.2">
      <c r="A93" s="42"/>
      <c r="B93" s="42"/>
      <c r="C93" s="42"/>
      <c r="D93" s="42"/>
      <c r="E93" s="42"/>
      <c r="F93" s="42"/>
      <c r="G93" s="43"/>
      <c r="H93" s="43"/>
      <c r="I93" s="43"/>
      <c r="J93" s="43"/>
      <c r="K93" s="44"/>
      <c r="L93" s="101"/>
      <c r="M93" s="167"/>
      <c r="N93" s="606">
        <v>38</v>
      </c>
      <c r="O93" s="606"/>
      <c r="P93" s="606"/>
      <c r="Q93" s="717"/>
      <c r="R93" s="718"/>
      <c r="S93" s="718"/>
      <c r="T93" s="719"/>
      <c r="U93" s="701" t="s">
        <v>6</v>
      </c>
      <c r="V93" s="720"/>
      <c r="W93" s="721"/>
      <c r="X93" s="721"/>
      <c r="Y93" s="721"/>
      <c r="Z93" s="721"/>
      <c r="AA93" s="721"/>
      <c r="AB93" s="721"/>
      <c r="AC93" s="721"/>
      <c r="AD93" s="721"/>
      <c r="AE93" s="721"/>
      <c r="AF93" s="721"/>
      <c r="AG93" s="721"/>
      <c r="AH93" s="721"/>
      <c r="AI93" s="721"/>
      <c r="AJ93" s="721"/>
      <c r="AK93" s="721"/>
      <c r="AL93" s="721"/>
      <c r="AM93" s="721"/>
      <c r="AN93" s="722"/>
      <c r="AO93" s="704" t="s">
        <v>6</v>
      </c>
      <c r="AP93" s="720"/>
      <c r="AQ93" s="721"/>
      <c r="AR93" s="721"/>
      <c r="AS93" s="721"/>
      <c r="AT93" s="721"/>
      <c r="AU93" s="721"/>
      <c r="AV93" s="721"/>
      <c r="AW93" s="721"/>
      <c r="AX93" s="721"/>
      <c r="AY93" s="721"/>
      <c r="AZ93" s="721"/>
      <c r="BA93" s="721"/>
      <c r="BB93" s="721"/>
      <c r="BC93" s="721"/>
      <c r="BD93" s="721"/>
      <c r="BE93" s="721"/>
      <c r="BF93" s="721"/>
      <c r="BG93" s="721"/>
      <c r="BH93" s="601"/>
      <c r="BI93" s="601"/>
      <c r="BJ93" s="601"/>
      <c r="BK93" s="601"/>
      <c r="BL93" s="601"/>
      <c r="BM93" s="601"/>
      <c r="BN93" s="601"/>
      <c r="BO93" s="601"/>
      <c r="BP93" s="601"/>
      <c r="BQ93" s="601"/>
      <c r="BR93" s="601"/>
      <c r="BS93" s="601"/>
      <c r="BT93" s="601"/>
      <c r="BU93" s="601"/>
      <c r="BV93" s="601"/>
      <c r="BW93" s="730"/>
      <c r="BX93" s="730"/>
      <c r="BY93" s="730"/>
      <c r="BZ93" s="730"/>
      <c r="CA93" s="730"/>
      <c r="CB93" s="614">
        <f>BEZ_Dim_38_Anz*KI_N</f>
        <v>0</v>
      </c>
      <c r="CC93" s="615">
        <f>BEZ_Dim_38_L*BEZ_Dim_38_B*BEZ_Dim_38_H*BEZ_Dim_38_Anz /10^9</f>
        <v>0</v>
      </c>
      <c r="CD93" s="615"/>
      <c r="CE93" s="615"/>
      <c r="CF93" s="615"/>
      <c r="CG93" s="615"/>
      <c r="CH93" s="615"/>
      <c r="CI93" s="615"/>
      <c r="CJ93" s="616"/>
      <c r="CK93" s="616"/>
      <c r="CL93" s="616"/>
      <c r="CM93" s="616"/>
      <c r="CN93" s="616"/>
      <c r="CO93" s="616"/>
      <c r="CP93" s="616"/>
      <c r="CQ93" s="617">
        <f>BEZ_Dim_38_CBM*BEZ_Dim_38_SPGEW</f>
        <v>0</v>
      </c>
      <c r="CR93" s="617"/>
      <c r="CS93" s="617"/>
      <c r="CT93" s="617"/>
      <c r="CU93" s="617"/>
      <c r="CV93" s="617"/>
      <c r="CW93" s="617"/>
      <c r="CX93" s="617"/>
      <c r="CY93" s="617"/>
      <c r="CZ93" s="617">
        <f>BEZ_Dim_38_L*BEZ_Dim_38_Anz/1000</f>
        <v>0</v>
      </c>
      <c r="DA93" s="617"/>
      <c r="DB93" s="617"/>
      <c r="DC93" s="617"/>
      <c r="DD93" s="617"/>
      <c r="DE93" s="617"/>
      <c r="DF93" s="617"/>
      <c r="DG93" s="729"/>
      <c r="DH93" s="729"/>
      <c r="DI93" s="729"/>
      <c r="DJ93" s="729"/>
      <c r="DK93" s="729"/>
      <c r="DL93" s="729"/>
      <c r="DM93" s="729"/>
      <c r="DN93" s="729"/>
      <c r="DO93" s="601"/>
      <c r="DP93" s="601"/>
      <c r="DQ93" s="601"/>
      <c r="DR93" s="601"/>
      <c r="DS93" s="601"/>
      <c r="DT93" s="602">
        <f>BEZ_Dim_38_CBM*BEZ_Dim_38_EuCBM*((BEZ_Dim_38_VAZ/100)+1)</f>
        <v>0</v>
      </c>
      <c r="DU93" s="602"/>
      <c r="DV93" s="602"/>
      <c r="DW93" s="602"/>
      <c r="DX93" s="602"/>
      <c r="DY93" s="602"/>
      <c r="DZ93" s="602"/>
      <c r="EA93" s="602"/>
      <c r="EB93" s="602">
        <f>CC93*DG93*((DO93/100)+1)*KI_N</f>
        <v>0</v>
      </c>
      <c r="EC93" s="602"/>
      <c r="ED93" s="602"/>
      <c r="EE93" s="602"/>
      <c r="EF93" s="602"/>
      <c r="EG93" s="602"/>
      <c r="EH93" s="602"/>
      <c r="EI93" s="602"/>
      <c r="EJ93" s="245"/>
      <c r="EK93" s="246"/>
      <c r="EL93" s="246"/>
      <c r="EM93" s="266"/>
      <c r="EN93" s="246"/>
      <c r="EO93" s="246"/>
      <c r="EP93" s="246"/>
      <c r="EQ93" s="246"/>
      <c r="ER93" s="246"/>
      <c r="ES93" s="246"/>
      <c r="ET93" s="246"/>
      <c r="EU93" s="246"/>
      <c r="EV93" s="267"/>
      <c r="EW93" s="246"/>
      <c r="EX93" s="246"/>
      <c r="EY93" s="246"/>
      <c r="EZ93" s="268"/>
      <c r="FA93" s="268"/>
      <c r="FB93" s="268"/>
      <c r="FC93" s="268"/>
      <c r="FD93" s="268"/>
      <c r="FE93" s="269"/>
      <c r="FF93" s="264"/>
      <c r="FM93" s="90"/>
      <c r="FN93" s="351"/>
      <c r="FO93" s="2"/>
      <c r="FP93" s="2"/>
      <c r="FQ93" s="38"/>
      <c r="FR93" s="38"/>
      <c r="FS93" s="38"/>
      <c r="FT93" s="38"/>
      <c r="FU93" s="38"/>
      <c r="FV93" s="38"/>
      <c r="FW93" s="38"/>
    </row>
    <row r="94" spans="1:179" ht="3.75" customHeight="1" x14ac:dyDescent="0.2">
      <c r="A94" s="42"/>
      <c r="B94" s="42"/>
      <c r="C94" s="42"/>
      <c r="D94" s="42"/>
      <c r="E94" s="42"/>
      <c r="F94" s="42"/>
      <c r="G94" s="43"/>
      <c r="H94" s="43"/>
      <c r="I94" s="43"/>
      <c r="J94" s="43"/>
      <c r="K94" s="44"/>
      <c r="L94" s="101"/>
      <c r="M94" s="167"/>
      <c r="N94" s="606"/>
      <c r="O94" s="606"/>
      <c r="P94" s="606"/>
      <c r="Q94" s="717"/>
      <c r="R94" s="718"/>
      <c r="S94" s="718"/>
      <c r="T94" s="719"/>
      <c r="U94" s="701"/>
      <c r="V94" s="720"/>
      <c r="W94" s="721"/>
      <c r="X94" s="721"/>
      <c r="Y94" s="721"/>
      <c r="Z94" s="721"/>
      <c r="AA94" s="721"/>
      <c r="AB94" s="721"/>
      <c r="AC94" s="721"/>
      <c r="AD94" s="721"/>
      <c r="AE94" s="721"/>
      <c r="AF94" s="721"/>
      <c r="AG94" s="721"/>
      <c r="AH94" s="721"/>
      <c r="AI94" s="721"/>
      <c r="AJ94" s="721"/>
      <c r="AK94" s="721"/>
      <c r="AL94" s="721"/>
      <c r="AM94" s="721"/>
      <c r="AN94" s="722"/>
      <c r="AO94" s="704"/>
      <c r="AP94" s="720"/>
      <c r="AQ94" s="721"/>
      <c r="AR94" s="721"/>
      <c r="AS94" s="721"/>
      <c r="AT94" s="721"/>
      <c r="AU94" s="721"/>
      <c r="AV94" s="721"/>
      <c r="AW94" s="721"/>
      <c r="AX94" s="721"/>
      <c r="AY94" s="721"/>
      <c r="AZ94" s="721"/>
      <c r="BA94" s="721"/>
      <c r="BB94" s="721"/>
      <c r="BC94" s="721"/>
      <c r="BD94" s="721"/>
      <c r="BE94" s="721"/>
      <c r="BF94" s="721"/>
      <c r="BG94" s="721"/>
      <c r="BH94" s="601"/>
      <c r="BI94" s="601"/>
      <c r="BJ94" s="601"/>
      <c r="BK94" s="601"/>
      <c r="BL94" s="601"/>
      <c r="BM94" s="601"/>
      <c r="BN94" s="601"/>
      <c r="BO94" s="601"/>
      <c r="BP94" s="601"/>
      <c r="BQ94" s="601"/>
      <c r="BR94" s="601"/>
      <c r="BS94" s="601"/>
      <c r="BT94" s="601"/>
      <c r="BU94" s="601"/>
      <c r="BV94" s="601"/>
      <c r="BW94" s="730"/>
      <c r="BX94" s="730"/>
      <c r="BY94" s="730"/>
      <c r="BZ94" s="730"/>
      <c r="CA94" s="730"/>
      <c r="CB94" s="614"/>
      <c r="CC94" s="615"/>
      <c r="CD94" s="615"/>
      <c r="CE94" s="615"/>
      <c r="CF94" s="615"/>
      <c r="CG94" s="615"/>
      <c r="CH94" s="615"/>
      <c r="CI94" s="615"/>
      <c r="CJ94" s="616"/>
      <c r="CK94" s="616"/>
      <c r="CL94" s="616"/>
      <c r="CM94" s="616"/>
      <c r="CN94" s="616"/>
      <c r="CO94" s="616"/>
      <c r="CP94" s="616"/>
      <c r="CQ94" s="617"/>
      <c r="CR94" s="617"/>
      <c r="CS94" s="617"/>
      <c r="CT94" s="617"/>
      <c r="CU94" s="617"/>
      <c r="CV94" s="617"/>
      <c r="CW94" s="617"/>
      <c r="CX94" s="617"/>
      <c r="CY94" s="617"/>
      <c r="CZ94" s="617"/>
      <c r="DA94" s="617"/>
      <c r="DB94" s="617"/>
      <c r="DC94" s="617"/>
      <c r="DD94" s="617"/>
      <c r="DE94" s="617"/>
      <c r="DF94" s="617"/>
      <c r="DG94" s="729"/>
      <c r="DH94" s="729"/>
      <c r="DI94" s="729"/>
      <c r="DJ94" s="729"/>
      <c r="DK94" s="729"/>
      <c r="DL94" s="729"/>
      <c r="DM94" s="729"/>
      <c r="DN94" s="729"/>
      <c r="DO94" s="601"/>
      <c r="DP94" s="601"/>
      <c r="DQ94" s="601"/>
      <c r="DR94" s="601"/>
      <c r="DS94" s="601"/>
      <c r="DT94" s="602"/>
      <c r="DU94" s="602"/>
      <c r="DV94" s="602"/>
      <c r="DW94" s="602"/>
      <c r="DX94" s="602"/>
      <c r="DY94" s="602"/>
      <c r="DZ94" s="602"/>
      <c r="EA94" s="602"/>
      <c r="EB94" s="602"/>
      <c r="EC94" s="602"/>
      <c r="ED94" s="602"/>
      <c r="EE94" s="602"/>
      <c r="EF94" s="602"/>
      <c r="EG94" s="602"/>
      <c r="EH94" s="602"/>
      <c r="EI94" s="602"/>
      <c r="EJ94" s="245"/>
      <c r="EK94" s="246"/>
      <c r="EL94" s="246"/>
      <c r="EM94" s="266"/>
      <c r="EN94" s="246"/>
      <c r="EO94" s="246"/>
      <c r="EP94" s="246"/>
      <c r="EQ94" s="246"/>
      <c r="ER94" s="246"/>
      <c r="ES94" s="246"/>
      <c r="ET94" s="246"/>
      <c r="EU94" s="246"/>
      <c r="EV94" s="267"/>
      <c r="EW94" s="246"/>
      <c r="EX94" s="246"/>
      <c r="EY94" s="246"/>
      <c r="EZ94" s="268"/>
      <c r="FA94" s="268"/>
      <c r="FB94" s="268"/>
      <c r="FC94" s="268"/>
      <c r="FD94" s="268"/>
      <c r="FE94" s="269"/>
      <c r="FF94" s="264"/>
      <c r="FM94" s="90"/>
      <c r="FN94" s="2"/>
      <c r="FO94" s="2"/>
      <c r="FP94" s="2"/>
      <c r="FQ94" s="38"/>
      <c r="FR94" s="38"/>
      <c r="FS94" s="38"/>
      <c r="FT94" s="38"/>
      <c r="FU94" s="38"/>
      <c r="FV94" s="38"/>
      <c r="FW94" s="38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1"/>
      <c r="M95" s="167"/>
      <c r="N95" s="606">
        <v>39</v>
      </c>
      <c r="O95" s="606"/>
      <c r="P95" s="606"/>
      <c r="Q95" s="717"/>
      <c r="R95" s="718"/>
      <c r="S95" s="718"/>
      <c r="T95" s="719"/>
      <c r="U95" s="701" t="s">
        <v>6</v>
      </c>
      <c r="V95" s="720"/>
      <c r="W95" s="721"/>
      <c r="X95" s="721"/>
      <c r="Y95" s="721"/>
      <c r="Z95" s="721"/>
      <c r="AA95" s="721"/>
      <c r="AB95" s="721"/>
      <c r="AC95" s="721"/>
      <c r="AD95" s="721"/>
      <c r="AE95" s="721"/>
      <c r="AF95" s="721"/>
      <c r="AG95" s="721"/>
      <c r="AH95" s="721"/>
      <c r="AI95" s="721"/>
      <c r="AJ95" s="721"/>
      <c r="AK95" s="721"/>
      <c r="AL95" s="721"/>
      <c r="AM95" s="721"/>
      <c r="AN95" s="722"/>
      <c r="AO95" s="704" t="s">
        <v>6</v>
      </c>
      <c r="AP95" s="720"/>
      <c r="AQ95" s="721"/>
      <c r="AR95" s="721"/>
      <c r="AS95" s="721"/>
      <c r="AT95" s="721"/>
      <c r="AU95" s="721"/>
      <c r="AV95" s="721"/>
      <c r="AW95" s="721"/>
      <c r="AX95" s="721"/>
      <c r="AY95" s="721"/>
      <c r="AZ95" s="721"/>
      <c r="BA95" s="721"/>
      <c r="BB95" s="721"/>
      <c r="BC95" s="721"/>
      <c r="BD95" s="721"/>
      <c r="BE95" s="721"/>
      <c r="BF95" s="721"/>
      <c r="BG95" s="721"/>
      <c r="BH95" s="601"/>
      <c r="BI95" s="601"/>
      <c r="BJ95" s="601"/>
      <c r="BK95" s="601"/>
      <c r="BL95" s="601"/>
      <c r="BM95" s="601"/>
      <c r="BN95" s="601"/>
      <c r="BO95" s="601"/>
      <c r="BP95" s="601"/>
      <c r="BQ95" s="601"/>
      <c r="BR95" s="601"/>
      <c r="BS95" s="601"/>
      <c r="BT95" s="601"/>
      <c r="BU95" s="601"/>
      <c r="BV95" s="601"/>
      <c r="BW95" s="730"/>
      <c r="BX95" s="730"/>
      <c r="BY95" s="730"/>
      <c r="BZ95" s="730"/>
      <c r="CA95" s="730"/>
      <c r="CB95" s="614">
        <f>BEZ_Dim_39_Anz*KI_N</f>
        <v>0</v>
      </c>
      <c r="CC95" s="615">
        <f>BEZ_Dim_39_L*BEZ_Dim_39_B*BEZ_Dim_39_H*BEZ_Dim_39_Anz /10^9</f>
        <v>0</v>
      </c>
      <c r="CD95" s="615"/>
      <c r="CE95" s="615"/>
      <c r="CF95" s="615"/>
      <c r="CG95" s="615"/>
      <c r="CH95" s="615"/>
      <c r="CI95" s="615"/>
      <c r="CJ95" s="616"/>
      <c r="CK95" s="616"/>
      <c r="CL95" s="616"/>
      <c r="CM95" s="616"/>
      <c r="CN95" s="616"/>
      <c r="CO95" s="616"/>
      <c r="CP95" s="616"/>
      <c r="CQ95" s="617">
        <f>BEZ_Dim_39_CBM*BEZ_Dim_39_SPGEW</f>
        <v>0</v>
      </c>
      <c r="CR95" s="617"/>
      <c r="CS95" s="617"/>
      <c r="CT95" s="617"/>
      <c r="CU95" s="617"/>
      <c r="CV95" s="617"/>
      <c r="CW95" s="617"/>
      <c r="CX95" s="617"/>
      <c r="CY95" s="617"/>
      <c r="CZ95" s="617">
        <f>BEZ_Dim_39_L*BEZ_Dim_39_Anz/1000</f>
        <v>0</v>
      </c>
      <c r="DA95" s="617"/>
      <c r="DB95" s="617"/>
      <c r="DC95" s="617"/>
      <c r="DD95" s="617"/>
      <c r="DE95" s="617"/>
      <c r="DF95" s="617"/>
      <c r="DG95" s="729"/>
      <c r="DH95" s="729"/>
      <c r="DI95" s="729"/>
      <c r="DJ95" s="729"/>
      <c r="DK95" s="729"/>
      <c r="DL95" s="729"/>
      <c r="DM95" s="729"/>
      <c r="DN95" s="729"/>
      <c r="DO95" s="601"/>
      <c r="DP95" s="601"/>
      <c r="DQ95" s="601"/>
      <c r="DR95" s="601"/>
      <c r="DS95" s="601"/>
      <c r="DT95" s="602">
        <f>BEZ_Dim_39_CBM*BEZ_Dim_39_EuCBM*((BEZ_Dim_39_VAZ/100)+1)</f>
        <v>0</v>
      </c>
      <c r="DU95" s="602"/>
      <c r="DV95" s="602"/>
      <c r="DW95" s="602"/>
      <c r="DX95" s="602"/>
      <c r="DY95" s="602"/>
      <c r="DZ95" s="602"/>
      <c r="EA95" s="602"/>
      <c r="EB95" s="602">
        <f>CC95*DG95*((DO95/100)+1)*KI_N</f>
        <v>0</v>
      </c>
      <c r="EC95" s="602"/>
      <c r="ED95" s="602"/>
      <c r="EE95" s="602"/>
      <c r="EF95" s="602"/>
      <c r="EG95" s="602"/>
      <c r="EH95" s="602"/>
      <c r="EI95" s="602"/>
      <c r="EJ95" s="245"/>
      <c r="EK95" s="246"/>
      <c r="EL95" s="246"/>
      <c r="EM95" s="266"/>
      <c r="EN95" s="246"/>
      <c r="EO95" s="246"/>
      <c r="EP95" s="246"/>
      <c r="EQ95" s="246"/>
      <c r="ER95" s="246"/>
      <c r="ES95" s="246"/>
      <c r="ET95" s="246"/>
      <c r="EU95" s="246"/>
      <c r="EV95" s="267"/>
      <c r="EW95" s="246"/>
      <c r="EX95" s="246"/>
      <c r="EY95" s="246"/>
      <c r="EZ95" s="268"/>
      <c r="FA95" s="268"/>
      <c r="FB95" s="268"/>
      <c r="FC95" s="268"/>
      <c r="FD95" s="268"/>
      <c r="FE95" s="269"/>
      <c r="FF95" s="264"/>
      <c r="FM95" s="90"/>
      <c r="FN95" s="351"/>
      <c r="FO95" s="2"/>
      <c r="FP95" s="2"/>
      <c r="FQ95" s="38"/>
      <c r="FR95" s="38"/>
      <c r="FS95" s="38"/>
      <c r="FT95" s="38"/>
      <c r="FU95" s="38"/>
      <c r="FV95" s="38"/>
      <c r="FW95" s="38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1"/>
      <c r="M96" s="167"/>
      <c r="N96" s="606"/>
      <c r="O96" s="606"/>
      <c r="P96" s="606"/>
      <c r="Q96" s="717"/>
      <c r="R96" s="718"/>
      <c r="S96" s="718"/>
      <c r="T96" s="719"/>
      <c r="U96" s="701"/>
      <c r="V96" s="720"/>
      <c r="W96" s="721"/>
      <c r="X96" s="721"/>
      <c r="Y96" s="721"/>
      <c r="Z96" s="721"/>
      <c r="AA96" s="721"/>
      <c r="AB96" s="721"/>
      <c r="AC96" s="721"/>
      <c r="AD96" s="721"/>
      <c r="AE96" s="721"/>
      <c r="AF96" s="721"/>
      <c r="AG96" s="721"/>
      <c r="AH96" s="721"/>
      <c r="AI96" s="721"/>
      <c r="AJ96" s="721"/>
      <c r="AK96" s="721"/>
      <c r="AL96" s="721"/>
      <c r="AM96" s="721"/>
      <c r="AN96" s="722"/>
      <c r="AO96" s="704"/>
      <c r="AP96" s="720"/>
      <c r="AQ96" s="721"/>
      <c r="AR96" s="721"/>
      <c r="AS96" s="721"/>
      <c r="AT96" s="721"/>
      <c r="AU96" s="721"/>
      <c r="AV96" s="721"/>
      <c r="AW96" s="721"/>
      <c r="AX96" s="721"/>
      <c r="AY96" s="721"/>
      <c r="AZ96" s="721"/>
      <c r="BA96" s="721"/>
      <c r="BB96" s="721"/>
      <c r="BC96" s="721"/>
      <c r="BD96" s="721"/>
      <c r="BE96" s="721"/>
      <c r="BF96" s="721"/>
      <c r="BG96" s="721"/>
      <c r="BH96" s="601"/>
      <c r="BI96" s="601"/>
      <c r="BJ96" s="601"/>
      <c r="BK96" s="601"/>
      <c r="BL96" s="601"/>
      <c r="BM96" s="601"/>
      <c r="BN96" s="601"/>
      <c r="BO96" s="601"/>
      <c r="BP96" s="601"/>
      <c r="BQ96" s="601"/>
      <c r="BR96" s="601"/>
      <c r="BS96" s="601"/>
      <c r="BT96" s="601"/>
      <c r="BU96" s="601"/>
      <c r="BV96" s="601"/>
      <c r="BW96" s="730"/>
      <c r="BX96" s="730"/>
      <c r="BY96" s="730"/>
      <c r="BZ96" s="730"/>
      <c r="CA96" s="730"/>
      <c r="CB96" s="614"/>
      <c r="CC96" s="615"/>
      <c r="CD96" s="615"/>
      <c r="CE96" s="615"/>
      <c r="CF96" s="615"/>
      <c r="CG96" s="615"/>
      <c r="CH96" s="615"/>
      <c r="CI96" s="615"/>
      <c r="CJ96" s="616"/>
      <c r="CK96" s="616"/>
      <c r="CL96" s="616"/>
      <c r="CM96" s="616"/>
      <c r="CN96" s="616"/>
      <c r="CO96" s="616"/>
      <c r="CP96" s="616"/>
      <c r="CQ96" s="617"/>
      <c r="CR96" s="617"/>
      <c r="CS96" s="617"/>
      <c r="CT96" s="617"/>
      <c r="CU96" s="617"/>
      <c r="CV96" s="617"/>
      <c r="CW96" s="617"/>
      <c r="CX96" s="617"/>
      <c r="CY96" s="617"/>
      <c r="CZ96" s="617"/>
      <c r="DA96" s="617"/>
      <c r="DB96" s="617"/>
      <c r="DC96" s="617"/>
      <c r="DD96" s="617"/>
      <c r="DE96" s="617"/>
      <c r="DF96" s="617"/>
      <c r="DG96" s="729"/>
      <c r="DH96" s="729"/>
      <c r="DI96" s="729"/>
      <c r="DJ96" s="729"/>
      <c r="DK96" s="729"/>
      <c r="DL96" s="729"/>
      <c r="DM96" s="729"/>
      <c r="DN96" s="729"/>
      <c r="DO96" s="601"/>
      <c r="DP96" s="601"/>
      <c r="DQ96" s="601"/>
      <c r="DR96" s="601"/>
      <c r="DS96" s="601"/>
      <c r="DT96" s="602"/>
      <c r="DU96" s="602"/>
      <c r="DV96" s="602"/>
      <c r="DW96" s="602"/>
      <c r="DX96" s="602"/>
      <c r="DY96" s="602"/>
      <c r="DZ96" s="602"/>
      <c r="EA96" s="602"/>
      <c r="EB96" s="602"/>
      <c r="EC96" s="602"/>
      <c r="ED96" s="602"/>
      <c r="EE96" s="602"/>
      <c r="EF96" s="602"/>
      <c r="EG96" s="602"/>
      <c r="EH96" s="602"/>
      <c r="EI96" s="602"/>
      <c r="EJ96" s="245"/>
      <c r="EK96" s="246"/>
      <c r="EL96" s="246"/>
      <c r="EM96" s="266"/>
      <c r="EN96" s="246"/>
      <c r="EO96" s="246"/>
      <c r="EP96" s="246"/>
      <c r="EQ96" s="246"/>
      <c r="ER96" s="246"/>
      <c r="ES96" s="246"/>
      <c r="ET96" s="246"/>
      <c r="EU96" s="246"/>
      <c r="EV96" s="267"/>
      <c r="EW96" s="246"/>
      <c r="EX96" s="246"/>
      <c r="EY96" s="246"/>
      <c r="EZ96" s="268"/>
      <c r="FA96" s="268"/>
      <c r="FB96" s="268"/>
      <c r="FC96" s="268"/>
      <c r="FD96" s="268"/>
      <c r="FE96" s="269"/>
      <c r="FF96" s="264"/>
      <c r="FM96" s="90"/>
      <c r="FN96" s="2"/>
      <c r="FO96" s="2"/>
      <c r="FP96" s="2"/>
      <c r="FQ96" s="38"/>
      <c r="FR96" s="38"/>
      <c r="FS96" s="38"/>
      <c r="FT96" s="38"/>
      <c r="FU96" s="38"/>
      <c r="FV96" s="38"/>
      <c r="FW96" s="38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1"/>
      <c r="M97" s="167"/>
      <c r="N97" s="606">
        <v>40</v>
      </c>
      <c r="O97" s="606"/>
      <c r="P97" s="606"/>
      <c r="Q97" s="717"/>
      <c r="R97" s="718"/>
      <c r="S97" s="718"/>
      <c r="T97" s="719"/>
      <c r="U97" s="701" t="s">
        <v>6</v>
      </c>
      <c r="V97" s="720"/>
      <c r="W97" s="721"/>
      <c r="X97" s="721"/>
      <c r="Y97" s="721"/>
      <c r="Z97" s="721"/>
      <c r="AA97" s="721"/>
      <c r="AB97" s="721"/>
      <c r="AC97" s="721"/>
      <c r="AD97" s="721"/>
      <c r="AE97" s="721"/>
      <c r="AF97" s="721"/>
      <c r="AG97" s="721"/>
      <c r="AH97" s="721"/>
      <c r="AI97" s="721"/>
      <c r="AJ97" s="721"/>
      <c r="AK97" s="721"/>
      <c r="AL97" s="721"/>
      <c r="AM97" s="721"/>
      <c r="AN97" s="722"/>
      <c r="AO97" s="704" t="s">
        <v>6</v>
      </c>
      <c r="AP97" s="720"/>
      <c r="AQ97" s="721"/>
      <c r="AR97" s="721"/>
      <c r="AS97" s="721"/>
      <c r="AT97" s="721"/>
      <c r="AU97" s="721"/>
      <c r="AV97" s="721"/>
      <c r="AW97" s="721"/>
      <c r="AX97" s="721"/>
      <c r="AY97" s="721"/>
      <c r="AZ97" s="721"/>
      <c r="BA97" s="721"/>
      <c r="BB97" s="721"/>
      <c r="BC97" s="721"/>
      <c r="BD97" s="721"/>
      <c r="BE97" s="721"/>
      <c r="BF97" s="721"/>
      <c r="BG97" s="721"/>
      <c r="BH97" s="601"/>
      <c r="BI97" s="601"/>
      <c r="BJ97" s="601"/>
      <c r="BK97" s="601"/>
      <c r="BL97" s="601"/>
      <c r="BM97" s="601"/>
      <c r="BN97" s="601"/>
      <c r="BO97" s="601"/>
      <c r="BP97" s="601"/>
      <c r="BQ97" s="601"/>
      <c r="BR97" s="601"/>
      <c r="BS97" s="601"/>
      <c r="BT97" s="601"/>
      <c r="BU97" s="601"/>
      <c r="BV97" s="601"/>
      <c r="BW97" s="730"/>
      <c r="BX97" s="730"/>
      <c r="BY97" s="730"/>
      <c r="BZ97" s="730"/>
      <c r="CA97" s="730"/>
      <c r="CB97" s="614">
        <f>BEZ_Dim_40_Anz*KI_N</f>
        <v>0</v>
      </c>
      <c r="CC97" s="615">
        <f>BEZ_Dim_40_L*BEZ_Dim_40_B*BEZ_Dim_40_H*BEZ_Dim_40_Anz /10^9</f>
        <v>0</v>
      </c>
      <c r="CD97" s="615"/>
      <c r="CE97" s="615"/>
      <c r="CF97" s="615"/>
      <c r="CG97" s="615"/>
      <c r="CH97" s="615"/>
      <c r="CI97" s="615"/>
      <c r="CJ97" s="616"/>
      <c r="CK97" s="616"/>
      <c r="CL97" s="616"/>
      <c r="CM97" s="616"/>
      <c r="CN97" s="616"/>
      <c r="CO97" s="616"/>
      <c r="CP97" s="616"/>
      <c r="CQ97" s="617">
        <f>BEZ_Dim_40_CBM*BEZ_Dim_40_SPGEW</f>
        <v>0</v>
      </c>
      <c r="CR97" s="617"/>
      <c r="CS97" s="617"/>
      <c r="CT97" s="617"/>
      <c r="CU97" s="617"/>
      <c r="CV97" s="617"/>
      <c r="CW97" s="617"/>
      <c r="CX97" s="617"/>
      <c r="CY97" s="617"/>
      <c r="CZ97" s="617">
        <f>BEZ_Dim_40_L*BEZ_Dim_40_Anz/1000</f>
        <v>0</v>
      </c>
      <c r="DA97" s="617"/>
      <c r="DB97" s="617"/>
      <c r="DC97" s="617"/>
      <c r="DD97" s="617"/>
      <c r="DE97" s="617"/>
      <c r="DF97" s="617"/>
      <c r="DG97" s="729"/>
      <c r="DH97" s="729"/>
      <c r="DI97" s="729"/>
      <c r="DJ97" s="729"/>
      <c r="DK97" s="729"/>
      <c r="DL97" s="729"/>
      <c r="DM97" s="729"/>
      <c r="DN97" s="729"/>
      <c r="DO97" s="601"/>
      <c r="DP97" s="601"/>
      <c r="DQ97" s="601"/>
      <c r="DR97" s="601"/>
      <c r="DS97" s="601"/>
      <c r="DT97" s="602">
        <f>BEZ_Dim_40_CBM*BEZ_Dim_40_EuCBM*((BEZ_Dim_40_VAZ/100)+1)</f>
        <v>0</v>
      </c>
      <c r="DU97" s="602"/>
      <c r="DV97" s="602"/>
      <c r="DW97" s="602"/>
      <c r="DX97" s="602"/>
      <c r="DY97" s="602"/>
      <c r="DZ97" s="602"/>
      <c r="EA97" s="602"/>
      <c r="EB97" s="602">
        <f>CC97*DG97*((DO97/100)+1)*KI_N</f>
        <v>0</v>
      </c>
      <c r="EC97" s="602"/>
      <c r="ED97" s="602"/>
      <c r="EE97" s="602"/>
      <c r="EF97" s="602"/>
      <c r="EG97" s="602"/>
      <c r="EH97" s="602"/>
      <c r="EI97" s="602"/>
      <c r="EJ97" s="749" t="s">
        <v>98</v>
      </c>
      <c r="EK97" s="750"/>
      <c r="EL97" s="750"/>
      <c r="EM97" s="750"/>
      <c r="EN97" s="750"/>
      <c r="EO97" s="750"/>
      <c r="EP97" s="750"/>
      <c r="EQ97" s="750"/>
      <c r="ER97" s="750"/>
      <c r="ES97" s="750"/>
      <c r="ET97" s="750"/>
      <c r="EU97" s="750"/>
      <c r="EV97" s="750"/>
      <c r="EW97" s="750"/>
      <c r="EX97" s="750"/>
      <c r="EY97" s="750"/>
      <c r="EZ97" s="750"/>
      <c r="FA97" s="750"/>
      <c r="FB97" s="750"/>
      <c r="FC97" s="750"/>
      <c r="FD97" s="750"/>
      <c r="FE97" s="751"/>
      <c r="FF97" s="264"/>
      <c r="FM97" s="90"/>
      <c r="FN97" s="351"/>
      <c r="FO97" s="2"/>
      <c r="FP97" s="2"/>
      <c r="FQ97" s="38"/>
      <c r="FR97" s="38"/>
      <c r="FS97" s="38"/>
      <c r="FT97" s="38"/>
      <c r="FU97" s="38"/>
      <c r="FV97" s="38"/>
      <c r="FW97" s="38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1"/>
      <c r="M98" s="167"/>
      <c r="N98" s="606"/>
      <c r="O98" s="606"/>
      <c r="P98" s="606"/>
      <c r="Q98" s="717"/>
      <c r="R98" s="718"/>
      <c r="S98" s="718"/>
      <c r="T98" s="719"/>
      <c r="U98" s="701"/>
      <c r="V98" s="720"/>
      <c r="W98" s="721"/>
      <c r="X98" s="721"/>
      <c r="Y98" s="721"/>
      <c r="Z98" s="721"/>
      <c r="AA98" s="721"/>
      <c r="AB98" s="721"/>
      <c r="AC98" s="721"/>
      <c r="AD98" s="721"/>
      <c r="AE98" s="721"/>
      <c r="AF98" s="721"/>
      <c r="AG98" s="721"/>
      <c r="AH98" s="721"/>
      <c r="AI98" s="721"/>
      <c r="AJ98" s="721"/>
      <c r="AK98" s="721"/>
      <c r="AL98" s="721"/>
      <c r="AM98" s="721"/>
      <c r="AN98" s="722"/>
      <c r="AO98" s="704"/>
      <c r="AP98" s="720"/>
      <c r="AQ98" s="721"/>
      <c r="AR98" s="721"/>
      <c r="AS98" s="721"/>
      <c r="AT98" s="721"/>
      <c r="AU98" s="721"/>
      <c r="AV98" s="721"/>
      <c r="AW98" s="721"/>
      <c r="AX98" s="721"/>
      <c r="AY98" s="721"/>
      <c r="AZ98" s="721"/>
      <c r="BA98" s="721"/>
      <c r="BB98" s="721"/>
      <c r="BC98" s="721"/>
      <c r="BD98" s="721"/>
      <c r="BE98" s="721"/>
      <c r="BF98" s="721"/>
      <c r="BG98" s="721"/>
      <c r="BH98" s="601"/>
      <c r="BI98" s="601"/>
      <c r="BJ98" s="601"/>
      <c r="BK98" s="601"/>
      <c r="BL98" s="601"/>
      <c r="BM98" s="601"/>
      <c r="BN98" s="601"/>
      <c r="BO98" s="601"/>
      <c r="BP98" s="601"/>
      <c r="BQ98" s="601"/>
      <c r="BR98" s="601"/>
      <c r="BS98" s="601"/>
      <c r="BT98" s="601"/>
      <c r="BU98" s="601"/>
      <c r="BV98" s="601"/>
      <c r="BW98" s="730"/>
      <c r="BX98" s="730"/>
      <c r="BY98" s="730"/>
      <c r="BZ98" s="730"/>
      <c r="CA98" s="730"/>
      <c r="CB98" s="614"/>
      <c r="CC98" s="615"/>
      <c r="CD98" s="615"/>
      <c r="CE98" s="615"/>
      <c r="CF98" s="615"/>
      <c r="CG98" s="615"/>
      <c r="CH98" s="615"/>
      <c r="CI98" s="615"/>
      <c r="CJ98" s="616"/>
      <c r="CK98" s="616"/>
      <c r="CL98" s="616"/>
      <c r="CM98" s="616"/>
      <c r="CN98" s="616"/>
      <c r="CO98" s="616"/>
      <c r="CP98" s="616"/>
      <c r="CQ98" s="617"/>
      <c r="CR98" s="617"/>
      <c r="CS98" s="617"/>
      <c r="CT98" s="617"/>
      <c r="CU98" s="617"/>
      <c r="CV98" s="617"/>
      <c r="CW98" s="617"/>
      <c r="CX98" s="617"/>
      <c r="CY98" s="617"/>
      <c r="CZ98" s="617"/>
      <c r="DA98" s="617"/>
      <c r="DB98" s="617"/>
      <c r="DC98" s="617"/>
      <c r="DD98" s="617"/>
      <c r="DE98" s="617"/>
      <c r="DF98" s="617"/>
      <c r="DG98" s="729"/>
      <c r="DH98" s="729"/>
      <c r="DI98" s="729"/>
      <c r="DJ98" s="729"/>
      <c r="DK98" s="729"/>
      <c r="DL98" s="729"/>
      <c r="DM98" s="729"/>
      <c r="DN98" s="729"/>
      <c r="DO98" s="601"/>
      <c r="DP98" s="601"/>
      <c r="DQ98" s="601"/>
      <c r="DR98" s="601"/>
      <c r="DS98" s="601"/>
      <c r="DT98" s="602"/>
      <c r="DU98" s="602"/>
      <c r="DV98" s="602"/>
      <c r="DW98" s="602"/>
      <c r="DX98" s="602"/>
      <c r="DY98" s="602"/>
      <c r="DZ98" s="602"/>
      <c r="EA98" s="602"/>
      <c r="EB98" s="602"/>
      <c r="EC98" s="602"/>
      <c r="ED98" s="602"/>
      <c r="EE98" s="602"/>
      <c r="EF98" s="602"/>
      <c r="EG98" s="602"/>
      <c r="EH98" s="602"/>
      <c r="EI98" s="602"/>
      <c r="EJ98" s="752"/>
      <c r="EK98" s="753"/>
      <c r="EL98" s="753"/>
      <c r="EM98" s="753"/>
      <c r="EN98" s="753"/>
      <c r="EO98" s="753"/>
      <c r="EP98" s="753"/>
      <c r="EQ98" s="753"/>
      <c r="ER98" s="753"/>
      <c r="ES98" s="753"/>
      <c r="ET98" s="753"/>
      <c r="EU98" s="753"/>
      <c r="EV98" s="753"/>
      <c r="EW98" s="753"/>
      <c r="EX98" s="753"/>
      <c r="EY98" s="753"/>
      <c r="EZ98" s="753"/>
      <c r="FA98" s="753"/>
      <c r="FB98" s="753"/>
      <c r="FC98" s="753"/>
      <c r="FD98" s="753"/>
      <c r="FE98" s="754"/>
      <c r="FF98" s="264"/>
      <c r="FM98" s="90"/>
      <c r="FN98" s="2"/>
      <c r="FO98" s="2"/>
      <c r="FP98" s="2"/>
      <c r="FQ98" s="38"/>
      <c r="FR98" s="38"/>
      <c r="FS98" s="38"/>
      <c r="FT98" s="38"/>
      <c r="FU98" s="38"/>
      <c r="FV98" s="38"/>
      <c r="FW98" s="38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1"/>
      <c r="M99" s="167"/>
      <c r="N99" s="606">
        <v>41</v>
      </c>
      <c r="O99" s="606"/>
      <c r="P99" s="606"/>
      <c r="Q99" s="717"/>
      <c r="R99" s="718"/>
      <c r="S99" s="718"/>
      <c r="T99" s="719"/>
      <c r="U99" s="701" t="s">
        <v>6</v>
      </c>
      <c r="V99" s="720"/>
      <c r="W99" s="721"/>
      <c r="X99" s="721"/>
      <c r="Y99" s="721"/>
      <c r="Z99" s="721"/>
      <c r="AA99" s="721"/>
      <c r="AB99" s="721"/>
      <c r="AC99" s="721"/>
      <c r="AD99" s="721"/>
      <c r="AE99" s="721"/>
      <c r="AF99" s="721"/>
      <c r="AG99" s="721"/>
      <c r="AH99" s="721"/>
      <c r="AI99" s="721"/>
      <c r="AJ99" s="721"/>
      <c r="AK99" s="721"/>
      <c r="AL99" s="721"/>
      <c r="AM99" s="721"/>
      <c r="AN99" s="722"/>
      <c r="AO99" s="704" t="s">
        <v>6</v>
      </c>
      <c r="AP99" s="720"/>
      <c r="AQ99" s="721"/>
      <c r="AR99" s="721"/>
      <c r="AS99" s="721"/>
      <c r="AT99" s="721"/>
      <c r="AU99" s="721"/>
      <c r="AV99" s="721"/>
      <c r="AW99" s="721"/>
      <c r="AX99" s="721"/>
      <c r="AY99" s="721"/>
      <c r="AZ99" s="721"/>
      <c r="BA99" s="721"/>
      <c r="BB99" s="721"/>
      <c r="BC99" s="721"/>
      <c r="BD99" s="721"/>
      <c r="BE99" s="721"/>
      <c r="BF99" s="721"/>
      <c r="BG99" s="721"/>
      <c r="BH99" s="601"/>
      <c r="BI99" s="601"/>
      <c r="BJ99" s="601"/>
      <c r="BK99" s="601"/>
      <c r="BL99" s="601"/>
      <c r="BM99" s="601"/>
      <c r="BN99" s="601"/>
      <c r="BO99" s="601"/>
      <c r="BP99" s="601"/>
      <c r="BQ99" s="601"/>
      <c r="BR99" s="601"/>
      <c r="BS99" s="601"/>
      <c r="BT99" s="601"/>
      <c r="BU99" s="601"/>
      <c r="BV99" s="601"/>
      <c r="BW99" s="730"/>
      <c r="BX99" s="730"/>
      <c r="BY99" s="730"/>
      <c r="BZ99" s="730"/>
      <c r="CA99" s="730"/>
      <c r="CB99" s="614">
        <f>BEZ_Dim_41_Anz*KI_N</f>
        <v>0</v>
      </c>
      <c r="CC99" s="615">
        <f>BEZ_Dim_41_L*BEZ_Dim_41_B*BEZ_Dim_41_H*BEZ_Dim_41_Anz /10^9</f>
        <v>0</v>
      </c>
      <c r="CD99" s="615"/>
      <c r="CE99" s="615"/>
      <c r="CF99" s="615"/>
      <c r="CG99" s="615"/>
      <c r="CH99" s="615"/>
      <c r="CI99" s="615"/>
      <c r="CJ99" s="616"/>
      <c r="CK99" s="616"/>
      <c r="CL99" s="616"/>
      <c r="CM99" s="616"/>
      <c r="CN99" s="616"/>
      <c r="CO99" s="616"/>
      <c r="CP99" s="616"/>
      <c r="CQ99" s="617">
        <f>BEZ_Dim_41_CBM*BEZ_Dim_41_SPGEW</f>
        <v>0</v>
      </c>
      <c r="CR99" s="617"/>
      <c r="CS99" s="617"/>
      <c r="CT99" s="617"/>
      <c r="CU99" s="617"/>
      <c r="CV99" s="617"/>
      <c r="CW99" s="617"/>
      <c r="CX99" s="617"/>
      <c r="CY99" s="617"/>
      <c r="CZ99" s="617">
        <f>BEZ_Dim_41_L*BEZ_Dim_41_Anz/1000</f>
        <v>0</v>
      </c>
      <c r="DA99" s="617"/>
      <c r="DB99" s="617"/>
      <c r="DC99" s="617"/>
      <c r="DD99" s="617"/>
      <c r="DE99" s="617"/>
      <c r="DF99" s="617"/>
      <c r="DG99" s="729"/>
      <c r="DH99" s="729"/>
      <c r="DI99" s="729"/>
      <c r="DJ99" s="729"/>
      <c r="DK99" s="729"/>
      <c r="DL99" s="729"/>
      <c r="DM99" s="729"/>
      <c r="DN99" s="729"/>
      <c r="DO99" s="601"/>
      <c r="DP99" s="601"/>
      <c r="DQ99" s="601"/>
      <c r="DR99" s="601"/>
      <c r="DS99" s="601"/>
      <c r="DT99" s="755">
        <f>BEZ_Dim_41_CBM*BEZ_Dim_41_EuCBM*((BEZ_Dim_41_VAZ/100)+1)</f>
        <v>0</v>
      </c>
      <c r="DU99" s="756"/>
      <c r="DV99" s="756"/>
      <c r="DW99" s="756"/>
      <c r="DX99" s="756"/>
      <c r="DY99" s="756"/>
      <c r="DZ99" s="756"/>
      <c r="EA99" s="757"/>
      <c r="EB99" s="602">
        <f>CC99*DG99*((DO99/100)+1)*KI_N</f>
        <v>0</v>
      </c>
      <c r="EC99" s="602"/>
      <c r="ED99" s="602"/>
      <c r="EE99" s="602"/>
      <c r="EF99" s="602"/>
      <c r="EG99" s="602"/>
      <c r="EH99" s="602"/>
      <c r="EI99" s="602"/>
      <c r="EJ99" s="743"/>
      <c r="EK99" s="744"/>
      <c r="EL99" s="744"/>
      <c r="EM99" s="744"/>
      <c r="EN99" s="744"/>
      <c r="EO99" s="744"/>
      <c r="EP99" s="744"/>
      <c r="EQ99" s="744"/>
      <c r="ER99" s="744"/>
      <c r="ES99" s="744"/>
      <c r="ET99" s="744"/>
      <c r="EU99" s="744"/>
      <c r="EV99" s="744"/>
      <c r="EW99" s="744"/>
      <c r="EX99" s="744"/>
      <c r="EY99" s="744"/>
      <c r="EZ99" s="744"/>
      <c r="FA99" s="744"/>
      <c r="FB99" s="744"/>
      <c r="FC99" s="744"/>
      <c r="FD99" s="744"/>
      <c r="FE99" s="745"/>
      <c r="FF99" s="264"/>
      <c r="FM99" s="90"/>
      <c r="FN99" s="351"/>
      <c r="FO99" s="2"/>
      <c r="FP99" s="2"/>
      <c r="FQ99" s="38"/>
      <c r="FR99" s="38"/>
      <c r="FS99" s="38"/>
      <c r="FT99" s="38"/>
      <c r="FU99" s="38"/>
      <c r="FV99" s="38"/>
      <c r="FW99" s="38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1"/>
      <c r="M100" s="167"/>
      <c r="N100" s="606"/>
      <c r="O100" s="606"/>
      <c r="P100" s="606"/>
      <c r="Q100" s="717"/>
      <c r="R100" s="718"/>
      <c r="S100" s="718"/>
      <c r="T100" s="719"/>
      <c r="U100" s="701"/>
      <c r="V100" s="720"/>
      <c r="W100" s="721"/>
      <c r="X100" s="721"/>
      <c r="Y100" s="721"/>
      <c r="Z100" s="721"/>
      <c r="AA100" s="721"/>
      <c r="AB100" s="721"/>
      <c r="AC100" s="721"/>
      <c r="AD100" s="721"/>
      <c r="AE100" s="721"/>
      <c r="AF100" s="721"/>
      <c r="AG100" s="721"/>
      <c r="AH100" s="721"/>
      <c r="AI100" s="721"/>
      <c r="AJ100" s="721"/>
      <c r="AK100" s="721"/>
      <c r="AL100" s="721"/>
      <c r="AM100" s="721"/>
      <c r="AN100" s="722"/>
      <c r="AO100" s="704"/>
      <c r="AP100" s="720"/>
      <c r="AQ100" s="721"/>
      <c r="AR100" s="721"/>
      <c r="AS100" s="721"/>
      <c r="AT100" s="721"/>
      <c r="AU100" s="721"/>
      <c r="AV100" s="721"/>
      <c r="AW100" s="721"/>
      <c r="AX100" s="721"/>
      <c r="AY100" s="721"/>
      <c r="AZ100" s="721"/>
      <c r="BA100" s="721"/>
      <c r="BB100" s="721"/>
      <c r="BC100" s="721"/>
      <c r="BD100" s="721"/>
      <c r="BE100" s="721"/>
      <c r="BF100" s="721"/>
      <c r="BG100" s="721"/>
      <c r="BH100" s="601"/>
      <c r="BI100" s="601"/>
      <c r="BJ100" s="601"/>
      <c r="BK100" s="601"/>
      <c r="BL100" s="601"/>
      <c r="BM100" s="601"/>
      <c r="BN100" s="601"/>
      <c r="BO100" s="601"/>
      <c r="BP100" s="601"/>
      <c r="BQ100" s="601"/>
      <c r="BR100" s="601"/>
      <c r="BS100" s="601"/>
      <c r="BT100" s="601"/>
      <c r="BU100" s="601"/>
      <c r="BV100" s="601"/>
      <c r="BW100" s="730"/>
      <c r="BX100" s="730"/>
      <c r="BY100" s="730"/>
      <c r="BZ100" s="730"/>
      <c r="CA100" s="730"/>
      <c r="CB100" s="614"/>
      <c r="CC100" s="615"/>
      <c r="CD100" s="615"/>
      <c r="CE100" s="615"/>
      <c r="CF100" s="615"/>
      <c r="CG100" s="615"/>
      <c r="CH100" s="615"/>
      <c r="CI100" s="615"/>
      <c r="CJ100" s="616"/>
      <c r="CK100" s="616"/>
      <c r="CL100" s="616"/>
      <c r="CM100" s="616"/>
      <c r="CN100" s="616"/>
      <c r="CO100" s="616"/>
      <c r="CP100" s="616"/>
      <c r="CQ100" s="617"/>
      <c r="CR100" s="617"/>
      <c r="CS100" s="617"/>
      <c r="CT100" s="617"/>
      <c r="CU100" s="617"/>
      <c r="CV100" s="617"/>
      <c r="CW100" s="617"/>
      <c r="CX100" s="617"/>
      <c r="CY100" s="617"/>
      <c r="CZ100" s="617"/>
      <c r="DA100" s="617"/>
      <c r="DB100" s="617"/>
      <c r="DC100" s="617"/>
      <c r="DD100" s="617"/>
      <c r="DE100" s="617"/>
      <c r="DF100" s="617"/>
      <c r="DG100" s="729"/>
      <c r="DH100" s="729"/>
      <c r="DI100" s="729"/>
      <c r="DJ100" s="729"/>
      <c r="DK100" s="729"/>
      <c r="DL100" s="729"/>
      <c r="DM100" s="729"/>
      <c r="DN100" s="729"/>
      <c r="DO100" s="601"/>
      <c r="DP100" s="601"/>
      <c r="DQ100" s="601"/>
      <c r="DR100" s="601"/>
      <c r="DS100" s="601"/>
      <c r="DT100" s="755"/>
      <c r="DU100" s="756"/>
      <c r="DV100" s="756"/>
      <c r="DW100" s="756"/>
      <c r="DX100" s="756"/>
      <c r="DY100" s="756"/>
      <c r="DZ100" s="756"/>
      <c r="EA100" s="757"/>
      <c r="EB100" s="602"/>
      <c r="EC100" s="602"/>
      <c r="ED100" s="602"/>
      <c r="EE100" s="602"/>
      <c r="EF100" s="602"/>
      <c r="EG100" s="602"/>
      <c r="EH100" s="602"/>
      <c r="EI100" s="602"/>
      <c r="EJ100" s="743"/>
      <c r="EK100" s="744"/>
      <c r="EL100" s="744"/>
      <c r="EM100" s="744"/>
      <c r="EN100" s="744"/>
      <c r="EO100" s="744"/>
      <c r="EP100" s="744"/>
      <c r="EQ100" s="744"/>
      <c r="ER100" s="744"/>
      <c r="ES100" s="744"/>
      <c r="ET100" s="744"/>
      <c r="EU100" s="744"/>
      <c r="EV100" s="744"/>
      <c r="EW100" s="744"/>
      <c r="EX100" s="744"/>
      <c r="EY100" s="744"/>
      <c r="EZ100" s="744"/>
      <c r="FA100" s="744"/>
      <c r="FB100" s="744"/>
      <c r="FC100" s="744"/>
      <c r="FD100" s="744"/>
      <c r="FE100" s="745"/>
      <c r="FF100" s="264"/>
      <c r="FM100" s="90"/>
      <c r="FN100" s="2"/>
      <c r="FO100" s="2"/>
      <c r="FP100" s="2"/>
      <c r="FQ100" s="38"/>
      <c r="FR100" s="38"/>
      <c r="FS100" s="38"/>
      <c r="FT100" s="38"/>
      <c r="FU100" s="38"/>
      <c r="FV100" s="38"/>
      <c r="FW100" s="38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3"/>
      <c r="M101" s="203"/>
      <c r="N101" s="606">
        <v>42</v>
      </c>
      <c r="O101" s="606"/>
      <c r="P101" s="606"/>
      <c r="Q101" s="717"/>
      <c r="R101" s="718"/>
      <c r="S101" s="718"/>
      <c r="T101" s="719"/>
      <c r="U101" s="701" t="s">
        <v>6</v>
      </c>
      <c r="V101" s="720"/>
      <c r="W101" s="721"/>
      <c r="X101" s="721"/>
      <c r="Y101" s="721"/>
      <c r="Z101" s="721"/>
      <c r="AA101" s="721"/>
      <c r="AB101" s="721"/>
      <c r="AC101" s="721"/>
      <c r="AD101" s="721"/>
      <c r="AE101" s="721"/>
      <c r="AF101" s="721"/>
      <c r="AG101" s="721"/>
      <c r="AH101" s="721"/>
      <c r="AI101" s="721"/>
      <c r="AJ101" s="721"/>
      <c r="AK101" s="721"/>
      <c r="AL101" s="721"/>
      <c r="AM101" s="721"/>
      <c r="AN101" s="722"/>
      <c r="AO101" s="704" t="s">
        <v>6</v>
      </c>
      <c r="AP101" s="720"/>
      <c r="AQ101" s="721"/>
      <c r="AR101" s="721"/>
      <c r="AS101" s="721"/>
      <c r="AT101" s="721"/>
      <c r="AU101" s="721"/>
      <c r="AV101" s="721"/>
      <c r="AW101" s="721"/>
      <c r="AX101" s="721"/>
      <c r="AY101" s="721"/>
      <c r="AZ101" s="721"/>
      <c r="BA101" s="721"/>
      <c r="BB101" s="721"/>
      <c r="BC101" s="721"/>
      <c r="BD101" s="721"/>
      <c r="BE101" s="721"/>
      <c r="BF101" s="721"/>
      <c r="BG101" s="721"/>
      <c r="BH101" s="601"/>
      <c r="BI101" s="601"/>
      <c r="BJ101" s="601"/>
      <c r="BK101" s="601"/>
      <c r="BL101" s="601"/>
      <c r="BM101" s="601"/>
      <c r="BN101" s="601"/>
      <c r="BO101" s="601"/>
      <c r="BP101" s="601"/>
      <c r="BQ101" s="601"/>
      <c r="BR101" s="601"/>
      <c r="BS101" s="601"/>
      <c r="BT101" s="601"/>
      <c r="BU101" s="601"/>
      <c r="BV101" s="601"/>
      <c r="BW101" s="730"/>
      <c r="BX101" s="730"/>
      <c r="BY101" s="730"/>
      <c r="BZ101" s="730"/>
      <c r="CA101" s="730"/>
      <c r="CB101" s="614">
        <f>BEZ_Dim_42_Anz*KI_N</f>
        <v>0</v>
      </c>
      <c r="CC101" s="615">
        <f>BEZ_Dim_42_L*BEZ_Dim_42_B*BEZ_Dim_42_H*BEZ_Dim_42_Anz /10^9</f>
        <v>0</v>
      </c>
      <c r="CD101" s="615"/>
      <c r="CE101" s="615"/>
      <c r="CF101" s="615"/>
      <c r="CG101" s="615"/>
      <c r="CH101" s="615"/>
      <c r="CI101" s="615"/>
      <c r="CJ101" s="616"/>
      <c r="CK101" s="616"/>
      <c r="CL101" s="616"/>
      <c r="CM101" s="616"/>
      <c r="CN101" s="616"/>
      <c r="CO101" s="616"/>
      <c r="CP101" s="616"/>
      <c r="CQ101" s="617">
        <f>BEZ_Dim_42_CBM*BEZ_Dim_42_SPGEW</f>
        <v>0</v>
      </c>
      <c r="CR101" s="617"/>
      <c r="CS101" s="617"/>
      <c r="CT101" s="617"/>
      <c r="CU101" s="617"/>
      <c r="CV101" s="617"/>
      <c r="CW101" s="617"/>
      <c r="CX101" s="617"/>
      <c r="CY101" s="617"/>
      <c r="CZ101" s="617">
        <f>BEZ_Dim_42_L*BEZ_Dim_42_Anz/1000</f>
        <v>0</v>
      </c>
      <c r="DA101" s="617"/>
      <c r="DB101" s="617"/>
      <c r="DC101" s="617"/>
      <c r="DD101" s="617"/>
      <c r="DE101" s="617"/>
      <c r="DF101" s="617"/>
      <c r="DG101" s="729"/>
      <c r="DH101" s="729"/>
      <c r="DI101" s="729"/>
      <c r="DJ101" s="729"/>
      <c r="DK101" s="729"/>
      <c r="DL101" s="729"/>
      <c r="DM101" s="729"/>
      <c r="DN101" s="729"/>
      <c r="DO101" s="601"/>
      <c r="DP101" s="601"/>
      <c r="DQ101" s="601"/>
      <c r="DR101" s="601"/>
      <c r="DS101" s="601"/>
      <c r="DT101" s="755">
        <f>BEZ_Dim_42_CBM*BEZ_Dim_42_EuCBM*((BEZ_Dim_42_VAZ/100)+1)</f>
        <v>0</v>
      </c>
      <c r="DU101" s="756"/>
      <c r="DV101" s="756"/>
      <c r="DW101" s="756"/>
      <c r="DX101" s="756"/>
      <c r="DY101" s="756"/>
      <c r="DZ101" s="756"/>
      <c r="EA101" s="757"/>
      <c r="EB101" s="602">
        <f>CC101*DG101*((DO101/100)+1)*KI_N</f>
        <v>0</v>
      </c>
      <c r="EC101" s="602"/>
      <c r="ED101" s="602"/>
      <c r="EE101" s="602"/>
      <c r="EF101" s="602"/>
      <c r="EG101" s="602"/>
      <c r="EH101" s="602"/>
      <c r="EI101" s="602"/>
      <c r="EJ101" s="743"/>
      <c r="EK101" s="744"/>
      <c r="EL101" s="744"/>
      <c r="EM101" s="744"/>
      <c r="EN101" s="744"/>
      <c r="EO101" s="744"/>
      <c r="EP101" s="744"/>
      <c r="EQ101" s="744"/>
      <c r="ER101" s="744"/>
      <c r="ES101" s="744"/>
      <c r="ET101" s="744"/>
      <c r="EU101" s="744"/>
      <c r="EV101" s="744"/>
      <c r="EW101" s="744"/>
      <c r="EX101" s="744"/>
      <c r="EY101" s="744"/>
      <c r="EZ101" s="744"/>
      <c r="FA101" s="744"/>
      <c r="FB101" s="744"/>
      <c r="FC101" s="744"/>
      <c r="FD101" s="744"/>
      <c r="FE101" s="745"/>
      <c r="FF101" s="264"/>
      <c r="FM101" s="90"/>
      <c r="FN101" s="351"/>
      <c r="FO101" s="2"/>
      <c r="FP101" s="2"/>
      <c r="FQ101" s="38"/>
      <c r="FR101" s="38"/>
      <c r="FS101" s="38"/>
      <c r="FT101" s="38"/>
      <c r="FU101" s="38"/>
      <c r="FV101" s="38"/>
      <c r="FW101" s="38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1"/>
      <c r="M102" s="167"/>
      <c r="N102" s="606"/>
      <c r="O102" s="606"/>
      <c r="P102" s="606"/>
      <c r="Q102" s="717"/>
      <c r="R102" s="718"/>
      <c r="S102" s="718"/>
      <c r="T102" s="719"/>
      <c r="U102" s="701"/>
      <c r="V102" s="720"/>
      <c r="W102" s="721"/>
      <c r="X102" s="721"/>
      <c r="Y102" s="721"/>
      <c r="Z102" s="721"/>
      <c r="AA102" s="721"/>
      <c r="AB102" s="721"/>
      <c r="AC102" s="721"/>
      <c r="AD102" s="721"/>
      <c r="AE102" s="721"/>
      <c r="AF102" s="721"/>
      <c r="AG102" s="721"/>
      <c r="AH102" s="721"/>
      <c r="AI102" s="721"/>
      <c r="AJ102" s="721"/>
      <c r="AK102" s="721"/>
      <c r="AL102" s="721"/>
      <c r="AM102" s="721"/>
      <c r="AN102" s="722"/>
      <c r="AO102" s="704"/>
      <c r="AP102" s="720"/>
      <c r="AQ102" s="721"/>
      <c r="AR102" s="721"/>
      <c r="AS102" s="721"/>
      <c r="AT102" s="721"/>
      <c r="AU102" s="721"/>
      <c r="AV102" s="721"/>
      <c r="AW102" s="721"/>
      <c r="AX102" s="721"/>
      <c r="AY102" s="721"/>
      <c r="AZ102" s="721"/>
      <c r="BA102" s="721"/>
      <c r="BB102" s="721"/>
      <c r="BC102" s="721"/>
      <c r="BD102" s="721"/>
      <c r="BE102" s="721"/>
      <c r="BF102" s="721"/>
      <c r="BG102" s="721"/>
      <c r="BH102" s="601"/>
      <c r="BI102" s="601"/>
      <c r="BJ102" s="601"/>
      <c r="BK102" s="601"/>
      <c r="BL102" s="601"/>
      <c r="BM102" s="601"/>
      <c r="BN102" s="601"/>
      <c r="BO102" s="601"/>
      <c r="BP102" s="601"/>
      <c r="BQ102" s="601"/>
      <c r="BR102" s="601"/>
      <c r="BS102" s="601"/>
      <c r="BT102" s="601"/>
      <c r="BU102" s="601"/>
      <c r="BV102" s="601"/>
      <c r="BW102" s="730"/>
      <c r="BX102" s="730"/>
      <c r="BY102" s="730"/>
      <c r="BZ102" s="730"/>
      <c r="CA102" s="730"/>
      <c r="CB102" s="614"/>
      <c r="CC102" s="615"/>
      <c r="CD102" s="615"/>
      <c r="CE102" s="615"/>
      <c r="CF102" s="615"/>
      <c r="CG102" s="615"/>
      <c r="CH102" s="615"/>
      <c r="CI102" s="615"/>
      <c r="CJ102" s="616"/>
      <c r="CK102" s="616"/>
      <c r="CL102" s="616"/>
      <c r="CM102" s="616"/>
      <c r="CN102" s="616"/>
      <c r="CO102" s="616"/>
      <c r="CP102" s="616"/>
      <c r="CQ102" s="617"/>
      <c r="CR102" s="617"/>
      <c r="CS102" s="617"/>
      <c r="CT102" s="617"/>
      <c r="CU102" s="617"/>
      <c r="CV102" s="617"/>
      <c r="CW102" s="617"/>
      <c r="CX102" s="617"/>
      <c r="CY102" s="617"/>
      <c r="CZ102" s="617"/>
      <c r="DA102" s="617"/>
      <c r="DB102" s="617"/>
      <c r="DC102" s="617"/>
      <c r="DD102" s="617"/>
      <c r="DE102" s="617"/>
      <c r="DF102" s="617"/>
      <c r="DG102" s="729"/>
      <c r="DH102" s="729"/>
      <c r="DI102" s="729"/>
      <c r="DJ102" s="729"/>
      <c r="DK102" s="729"/>
      <c r="DL102" s="729"/>
      <c r="DM102" s="729"/>
      <c r="DN102" s="729"/>
      <c r="DO102" s="601"/>
      <c r="DP102" s="601"/>
      <c r="DQ102" s="601"/>
      <c r="DR102" s="601"/>
      <c r="DS102" s="601"/>
      <c r="DT102" s="755"/>
      <c r="DU102" s="756"/>
      <c r="DV102" s="756"/>
      <c r="DW102" s="756"/>
      <c r="DX102" s="756"/>
      <c r="DY102" s="756"/>
      <c r="DZ102" s="756"/>
      <c r="EA102" s="757"/>
      <c r="EB102" s="602"/>
      <c r="EC102" s="602"/>
      <c r="ED102" s="602"/>
      <c r="EE102" s="602"/>
      <c r="EF102" s="602"/>
      <c r="EG102" s="602"/>
      <c r="EH102" s="602"/>
      <c r="EI102" s="602"/>
      <c r="EJ102" s="743"/>
      <c r="EK102" s="744"/>
      <c r="EL102" s="744"/>
      <c r="EM102" s="744"/>
      <c r="EN102" s="744"/>
      <c r="EO102" s="744"/>
      <c r="EP102" s="744"/>
      <c r="EQ102" s="744"/>
      <c r="ER102" s="744"/>
      <c r="ES102" s="744"/>
      <c r="ET102" s="744"/>
      <c r="EU102" s="744"/>
      <c r="EV102" s="744"/>
      <c r="EW102" s="744"/>
      <c r="EX102" s="744"/>
      <c r="EY102" s="744"/>
      <c r="EZ102" s="744"/>
      <c r="FA102" s="744"/>
      <c r="FB102" s="744"/>
      <c r="FC102" s="744"/>
      <c r="FD102" s="744"/>
      <c r="FE102" s="745"/>
      <c r="FF102" s="264"/>
      <c r="FM102" s="90"/>
      <c r="FN102" s="2"/>
      <c r="FO102" s="2"/>
      <c r="FP102" s="2"/>
      <c r="FQ102" s="38"/>
      <c r="FR102" s="38"/>
      <c r="FS102" s="38"/>
      <c r="FT102" s="38"/>
      <c r="FU102" s="38"/>
      <c r="FV102" s="38"/>
      <c r="FW102" s="38"/>
    </row>
    <row r="103" spans="1:179" ht="3.75" customHeight="1" x14ac:dyDescent="0.2">
      <c r="A103" s="42"/>
      <c r="B103" s="42"/>
      <c r="C103" s="42"/>
      <c r="D103" s="42"/>
      <c r="E103" s="42"/>
      <c r="F103" s="42"/>
      <c r="G103" s="43"/>
      <c r="H103" s="43"/>
      <c r="I103" s="43"/>
      <c r="J103" s="43"/>
      <c r="K103" s="44"/>
      <c r="L103" s="101"/>
      <c r="M103" s="167"/>
      <c r="N103" s="606">
        <v>43</v>
      </c>
      <c r="O103" s="606"/>
      <c r="P103" s="606"/>
      <c r="Q103" s="717"/>
      <c r="R103" s="718"/>
      <c r="S103" s="718"/>
      <c r="T103" s="719"/>
      <c r="U103" s="701" t="s">
        <v>6</v>
      </c>
      <c r="V103" s="758"/>
      <c r="W103" s="759"/>
      <c r="X103" s="759"/>
      <c r="Y103" s="759"/>
      <c r="Z103" s="759"/>
      <c r="AA103" s="759"/>
      <c r="AB103" s="759"/>
      <c r="AC103" s="759"/>
      <c r="AD103" s="759"/>
      <c r="AE103" s="759"/>
      <c r="AF103" s="759"/>
      <c r="AG103" s="759"/>
      <c r="AH103" s="759"/>
      <c r="AI103" s="759"/>
      <c r="AJ103" s="759"/>
      <c r="AK103" s="759"/>
      <c r="AL103" s="721"/>
      <c r="AM103" s="721"/>
      <c r="AN103" s="722"/>
      <c r="AO103" s="704" t="s">
        <v>6</v>
      </c>
      <c r="AP103" s="720"/>
      <c r="AQ103" s="721"/>
      <c r="AR103" s="721"/>
      <c r="AS103" s="721"/>
      <c r="AT103" s="721"/>
      <c r="AU103" s="721"/>
      <c r="AV103" s="721"/>
      <c r="AW103" s="721"/>
      <c r="AX103" s="721"/>
      <c r="AY103" s="721"/>
      <c r="AZ103" s="721"/>
      <c r="BA103" s="721"/>
      <c r="BB103" s="721"/>
      <c r="BC103" s="721"/>
      <c r="BD103" s="721"/>
      <c r="BE103" s="721"/>
      <c r="BF103" s="721"/>
      <c r="BG103" s="721"/>
      <c r="BH103" s="601"/>
      <c r="BI103" s="601"/>
      <c r="BJ103" s="601"/>
      <c r="BK103" s="601"/>
      <c r="BL103" s="601"/>
      <c r="BM103" s="601"/>
      <c r="BN103" s="601"/>
      <c r="BO103" s="601"/>
      <c r="BP103" s="601"/>
      <c r="BQ103" s="601"/>
      <c r="BR103" s="601"/>
      <c r="BS103" s="601"/>
      <c r="BT103" s="601"/>
      <c r="BU103" s="601"/>
      <c r="BV103" s="601"/>
      <c r="BW103" s="730"/>
      <c r="BX103" s="730"/>
      <c r="BY103" s="730"/>
      <c r="BZ103" s="730"/>
      <c r="CA103" s="730"/>
      <c r="CB103" s="614">
        <f>BEZ_Dim_43_Anz*KI_N</f>
        <v>0</v>
      </c>
      <c r="CC103" s="615">
        <f>BEZ_Dim_43_L*BEZ_Dim_43_B*BEZ_Dim_43_H*BEZ_Dim_43_Anz /10^9</f>
        <v>0</v>
      </c>
      <c r="CD103" s="615"/>
      <c r="CE103" s="615"/>
      <c r="CF103" s="615"/>
      <c r="CG103" s="615"/>
      <c r="CH103" s="615"/>
      <c r="CI103" s="615"/>
      <c r="CJ103" s="616"/>
      <c r="CK103" s="616"/>
      <c r="CL103" s="616"/>
      <c r="CM103" s="616"/>
      <c r="CN103" s="616"/>
      <c r="CO103" s="616"/>
      <c r="CP103" s="616"/>
      <c r="CQ103" s="617">
        <f>BEZ_Dim_43_CBM*BEZ_Dim_43_SPGEW</f>
        <v>0</v>
      </c>
      <c r="CR103" s="617"/>
      <c r="CS103" s="617"/>
      <c r="CT103" s="617"/>
      <c r="CU103" s="617"/>
      <c r="CV103" s="617"/>
      <c r="CW103" s="617"/>
      <c r="CX103" s="617"/>
      <c r="CY103" s="617"/>
      <c r="CZ103" s="617">
        <f>BEZ_Dim_43_L*BEZ_Dim_43_Anz/1000</f>
        <v>0</v>
      </c>
      <c r="DA103" s="617"/>
      <c r="DB103" s="617"/>
      <c r="DC103" s="617"/>
      <c r="DD103" s="617"/>
      <c r="DE103" s="617"/>
      <c r="DF103" s="617"/>
      <c r="DG103" s="729"/>
      <c r="DH103" s="729"/>
      <c r="DI103" s="729"/>
      <c r="DJ103" s="729"/>
      <c r="DK103" s="729"/>
      <c r="DL103" s="729"/>
      <c r="DM103" s="729"/>
      <c r="DN103" s="729"/>
      <c r="DO103" s="601"/>
      <c r="DP103" s="601"/>
      <c r="DQ103" s="601"/>
      <c r="DR103" s="601"/>
      <c r="DS103" s="601"/>
      <c r="DT103" s="755">
        <f>BEZ_Dim_43_CBM*BEZ_Dim_43_EuCBM*((BEZ_Dim_43_VAZ/100)+1)</f>
        <v>0</v>
      </c>
      <c r="DU103" s="756"/>
      <c r="DV103" s="756"/>
      <c r="DW103" s="756"/>
      <c r="DX103" s="756"/>
      <c r="DY103" s="756"/>
      <c r="DZ103" s="756"/>
      <c r="EA103" s="757"/>
      <c r="EB103" s="602">
        <f>CC103*DG103*((DO103/100)+1)*KI_N</f>
        <v>0</v>
      </c>
      <c r="EC103" s="602"/>
      <c r="ED103" s="602"/>
      <c r="EE103" s="602"/>
      <c r="EF103" s="602"/>
      <c r="EG103" s="602"/>
      <c r="EH103" s="602"/>
      <c r="EI103" s="602"/>
      <c r="EJ103" s="743"/>
      <c r="EK103" s="744"/>
      <c r="EL103" s="744"/>
      <c r="EM103" s="744"/>
      <c r="EN103" s="744"/>
      <c r="EO103" s="744"/>
      <c r="EP103" s="744"/>
      <c r="EQ103" s="744"/>
      <c r="ER103" s="744"/>
      <c r="ES103" s="744"/>
      <c r="ET103" s="744"/>
      <c r="EU103" s="744"/>
      <c r="EV103" s="744"/>
      <c r="EW103" s="744"/>
      <c r="EX103" s="744"/>
      <c r="EY103" s="744"/>
      <c r="EZ103" s="744"/>
      <c r="FA103" s="744"/>
      <c r="FB103" s="744"/>
      <c r="FC103" s="744"/>
      <c r="FD103" s="744"/>
      <c r="FE103" s="745"/>
      <c r="FF103" s="264"/>
      <c r="FM103" s="90"/>
      <c r="FN103" s="351"/>
      <c r="FO103" s="2"/>
      <c r="FP103" s="2"/>
      <c r="FQ103" s="38"/>
      <c r="FR103" s="38"/>
      <c r="FS103" s="38"/>
      <c r="FT103" s="38"/>
      <c r="FU103" s="38"/>
      <c r="FV103" s="38"/>
      <c r="FW103" s="38"/>
    </row>
    <row r="104" spans="1:179" ht="3.75" customHeight="1" x14ac:dyDescent="0.2">
      <c r="A104" s="42"/>
      <c r="B104" s="42"/>
      <c r="C104" s="42"/>
      <c r="D104" s="42"/>
      <c r="E104" s="42"/>
      <c r="F104" s="42"/>
      <c r="G104" s="43"/>
      <c r="H104" s="43"/>
      <c r="I104" s="43"/>
      <c r="J104" s="43"/>
      <c r="K104" s="44"/>
      <c r="L104" s="101"/>
      <c r="M104" s="167"/>
      <c r="N104" s="606"/>
      <c r="O104" s="606"/>
      <c r="P104" s="606"/>
      <c r="Q104" s="717"/>
      <c r="R104" s="718"/>
      <c r="S104" s="718"/>
      <c r="T104" s="719"/>
      <c r="U104" s="701"/>
      <c r="V104" s="758"/>
      <c r="W104" s="759"/>
      <c r="X104" s="759"/>
      <c r="Y104" s="759"/>
      <c r="Z104" s="759"/>
      <c r="AA104" s="759"/>
      <c r="AB104" s="759"/>
      <c r="AC104" s="759"/>
      <c r="AD104" s="759"/>
      <c r="AE104" s="759"/>
      <c r="AF104" s="759"/>
      <c r="AG104" s="759"/>
      <c r="AH104" s="759"/>
      <c r="AI104" s="759"/>
      <c r="AJ104" s="759"/>
      <c r="AK104" s="759"/>
      <c r="AL104" s="721"/>
      <c r="AM104" s="721"/>
      <c r="AN104" s="722"/>
      <c r="AO104" s="704"/>
      <c r="AP104" s="720"/>
      <c r="AQ104" s="721"/>
      <c r="AR104" s="721"/>
      <c r="AS104" s="721"/>
      <c r="AT104" s="721"/>
      <c r="AU104" s="721"/>
      <c r="AV104" s="721"/>
      <c r="AW104" s="721"/>
      <c r="AX104" s="721"/>
      <c r="AY104" s="721"/>
      <c r="AZ104" s="721"/>
      <c r="BA104" s="721"/>
      <c r="BB104" s="721"/>
      <c r="BC104" s="721"/>
      <c r="BD104" s="721"/>
      <c r="BE104" s="721"/>
      <c r="BF104" s="721"/>
      <c r="BG104" s="721"/>
      <c r="BH104" s="601"/>
      <c r="BI104" s="601"/>
      <c r="BJ104" s="601"/>
      <c r="BK104" s="601"/>
      <c r="BL104" s="601"/>
      <c r="BM104" s="601"/>
      <c r="BN104" s="601"/>
      <c r="BO104" s="601"/>
      <c r="BP104" s="601"/>
      <c r="BQ104" s="601"/>
      <c r="BR104" s="601"/>
      <c r="BS104" s="601"/>
      <c r="BT104" s="601"/>
      <c r="BU104" s="601"/>
      <c r="BV104" s="601"/>
      <c r="BW104" s="730"/>
      <c r="BX104" s="730"/>
      <c r="BY104" s="730"/>
      <c r="BZ104" s="730"/>
      <c r="CA104" s="730"/>
      <c r="CB104" s="614"/>
      <c r="CC104" s="615"/>
      <c r="CD104" s="615"/>
      <c r="CE104" s="615"/>
      <c r="CF104" s="615"/>
      <c r="CG104" s="615"/>
      <c r="CH104" s="615"/>
      <c r="CI104" s="615"/>
      <c r="CJ104" s="616"/>
      <c r="CK104" s="616"/>
      <c r="CL104" s="616"/>
      <c r="CM104" s="616"/>
      <c r="CN104" s="616"/>
      <c r="CO104" s="616"/>
      <c r="CP104" s="616"/>
      <c r="CQ104" s="617"/>
      <c r="CR104" s="617"/>
      <c r="CS104" s="617"/>
      <c r="CT104" s="617"/>
      <c r="CU104" s="617"/>
      <c r="CV104" s="617"/>
      <c r="CW104" s="617"/>
      <c r="CX104" s="617"/>
      <c r="CY104" s="617"/>
      <c r="CZ104" s="617"/>
      <c r="DA104" s="617"/>
      <c r="DB104" s="617"/>
      <c r="DC104" s="617"/>
      <c r="DD104" s="617"/>
      <c r="DE104" s="617"/>
      <c r="DF104" s="617"/>
      <c r="DG104" s="729"/>
      <c r="DH104" s="729"/>
      <c r="DI104" s="729"/>
      <c r="DJ104" s="729"/>
      <c r="DK104" s="729"/>
      <c r="DL104" s="729"/>
      <c r="DM104" s="729"/>
      <c r="DN104" s="729"/>
      <c r="DO104" s="601"/>
      <c r="DP104" s="601"/>
      <c r="DQ104" s="601"/>
      <c r="DR104" s="601"/>
      <c r="DS104" s="601"/>
      <c r="DT104" s="755"/>
      <c r="DU104" s="756"/>
      <c r="DV104" s="756"/>
      <c r="DW104" s="756"/>
      <c r="DX104" s="756"/>
      <c r="DY104" s="756"/>
      <c r="DZ104" s="756"/>
      <c r="EA104" s="757"/>
      <c r="EB104" s="602"/>
      <c r="EC104" s="602"/>
      <c r="ED104" s="602"/>
      <c r="EE104" s="602"/>
      <c r="EF104" s="602"/>
      <c r="EG104" s="602"/>
      <c r="EH104" s="602"/>
      <c r="EI104" s="602"/>
      <c r="EJ104" s="743"/>
      <c r="EK104" s="744"/>
      <c r="EL104" s="744"/>
      <c r="EM104" s="744"/>
      <c r="EN104" s="744"/>
      <c r="EO104" s="744"/>
      <c r="EP104" s="744"/>
      <c r="EQ104" s="744"/>
      <c r="ER104" s="744"/>
      <c r="ES104" s="744"/>
      <c r="ET104" s="744"/>
      <c r="EU104" s="744"/>
      <c r="EV104" s="744"/>
      <c r="EW104" s="744"/>
      <c r="EX104" s="744"/>
      <c r="EY104" s="744"/>
      <c r="EZ104" s="744"/>
      <c r="FA104" s="744"/>
      <c r="FB104" s="744"/>
      <c r="FC104" s="744"/>
      <c r="FD104" s="744"/>
      <c r="FE104" s="745"/>
      <c r="FF104" s="264"/>
      <c r="FM104" s="90"/>
      <c r="FN104" s="2"/>
      <c r="FO104" s="2"/>
      <c r="FP104" s="2"/>
      <c r="FQ104" s="38"/>
      <c r="FR104" s="38"/>
      <c r="FS104" s="38"/>
      <c r="FT104" s="38"/>
      <c r="FU104" s="38"/>
      <c r="FV104" s="38"/>
      <c r="FW104" s="38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1"/>
      <c r="M105" s="167"/>
      <c r="N105" s="606">
        <v>44</v>
      </c>
      <c r="O105" s="606"/>
      <c r="P105" s="606"/>
      <c r="Q105" s="717"/>
      <c r="R105" s="718"/>
      <c r="S105" s="718"/>
      <c r="T105" s="719"/>
      <c r="U105" s="701" t="s">
        <v>6</v>
      </c>
      <c r="V105" s="758"/>
      <c r="W105" s="759"/>
      <c r="X105" s="759"/>
      <c r="Y105" s="759"/>
      <c r="Z105" s="759"/>
      <c r="AA105" s="759"/>
      <c r="AB105" s="759"/>
      <c r="AC105" s="759"/>
      <c r="AD105" s="759"/>
      <c r="AE105" s="759"/>
      <c r="AF105" s="759"/>
      <c r="AG105" s="759"/>
      <c r="AH105" s="759"/>
      <c r="AI105" s="759"/>
      <c r="AJ105" s="759"/>
      <c r="AK105" s="759"/>
      <c r="AL105" s="721"/>
      <c r="AM105" s="721"/>
      <c r="AN105" s="722"/>
      <c r="AO105" s="704" t="s">
        <v>6</v>
      </c>
      <c r="AP105" s="720"/>
      <c r="AQ105" s="721"/>
      <c r="AR105" s="721"/>
      <c r="AS105" s="721"/>
      <c r="AT105" s="721"/>
      <c r="AU105" s="721"/>
      <c r="AV105" s="721"/>
      <c r="AW105" s="721"/>
      <c r="AX105" s="721"/>
      <c r="AY105" s="721"/>
      <c r="AZ105" s="721"/>
      <c r="BA105" s="721"/>
      <c r="BB105" s="721"/>
      <c r="BC105" s="721"/>
      <c r="BD105" s="721"/>
      <c r="BE105" s="721"/>
      <c r="BF105" s="721"/>
      <c r="BG105" s="721"/>
      <c r="BH105" s="601"/>
      <c r="BI105" s="601"/>
      <c r="BJ105" s="601"/>
      <c r="BK105" s="601"/>
      <c r="BL105" s="601"/>
      <c r="BM105" s="601"/>
      <c r="BN105" s="601"/>
      <c r="BO105" s="601"/>
      <c r="BP105" s="601"/>
      <c r="BQ105" s="601"/>
      <c r="BR105" s="601"/>
      <c r="BS105" s="601"/>
      <c r="BT105" s="601"/>
      <c r="BU105" s="601"/>
      <c r="BV105" s="601"/>
      <c r="BW105" s="730"/>
      <c r="BX105" s="730"/>
      <c r="BY105" s="730"/>
      <c r="BZ105" s="730"/>
      <c r="CA105" s="730"/>
      <c r="CB105" s="614">
        <f>BEZ_Dim_44_Anz*KI_N</f>
        <v>0</v>
      </c>
      <c r="CC105" s="615">
        <f>BEZ_Dim_44_L*BEZ_Dim_44_B*BEZ_Dim_44_H*BEZ_Dim_44_Anz /10^9</f>
        <v>0</v>
      </c>
      <c r="CD105" s="615"/>
      <c r="CE105" s="615"/>
      <c r="CF105" s="615"/>
      <c r="CG105" s="615"/>
      <c r="CH105" s="615"/>
      <c r="CI105" s="615"/>
      <c r="CJ105" s="616"/>
      <c r="CK105" s="616"/>
      <c r="CL105" s="616"/>
      <c r="CM105" s="616"/>
      <c r="CN105" s="616"/>
      <c r="CO105" s="616"/>
      <c r="CP105" s="616"/>
      <c r="CQ105" s="617">
        <f>BEZ_Dim_44_CBM*BEZ_Dim_44_SPGEW</f>
        <v>0</v>
      </c>
      <c r="CR105" s="617"/>
      <c r="CS105" s="617"/>
      <c r="CT105" s="617"/>
      <c r="CU105" s="617"/>
      <c r="CV105" s="617"/>
      <c r="CW105" s="617"/>
      <c r="CX105" s="617"/>
      <c r="CY105" s="617"/>
      <c r="CZ105" s="617">
        <f>BEZ_Dim_44_L*BEZ_Dim_44_Anz/1000</f>
        <v>0</v>
      </c>
      <c r="DA105" s="617"/>
      <c r="DB105" s="617"/>
      <c r="DC105" s="617"/>
      <c r="DD105" s="617"/>
      <c r="DE105" s="617"/>
      <c r="DF105" s="617"/>
      <c r="DG105" s="729"/>
      <c r="DH105" s="729"/>
      <c r="DI105" s="729"/>
      <c r="DJ105" s="729"/>
      <c r="DK105" s="729"/>
      <c r="DL105" s="729"/>
      <c r="DM105" s="729"/>
      <c r="DN105" s="729"/>
      <c r="DO105" s="601"/>
      <c r="DP105" s="601"/>
      <c r="DQ105" s="601"/>
      <c r="DR105" s="601"/>
      <c r="DS105" s="601"/>
      <c r="DT105" s="755">
        <f>BEZ_Dim_44_CBM*BEZ_Dim_44_EuCBM*((BEZ_Dim_44_VAZ/100)+1)</f>
        <v>0</v>
      </c>
      <c r="DU105" s="756"/>
      <c r="DV105" s="756"/>
      <c r="DW105" s="756"/>
      <c r="DX105" s="756"/>
      <c r="DY105" s="756"/>
      <c r="DZ105" s="756"/>
      <c r="EA105" s="757"/>
      <c r="EB105" s="602">
        <f>CC105*DG105*((DO105/100)+1)*KI_N</f>
        <v>0</v>
      </c>
      <c r="EC105" s="602"/>
      <c r="ED105" s="602"/>
      <c r="EE105" s="602"/>
      <c r="EF105" s="602"/>
      <c r="EG105" s="602"/>
      <c r="EH105" s="602"/>
      <c r="EI105" s="602"/>
      <c r="EJ105" s="743"/>
      <c r="EK105" s="744"/>
      <c r="EL105" s="744"/>
      <c r="EM105" s="744"/>
      <c r="EN105" s="744"/>
      <c r="EO105" s="744"/>
      <c r="EP105" s="744"/>
      <c r="EQ105" s="744"/>
      <c r="ER105" s="744"/>
      <c r="ES105" s="744"/>
      <c r="ET105" s="744"/>
      <c r="EU105" s="744"/>
      <c r="EV105" s="744"/>
      <c r="EW105" s="744"/>
      <c r="EX105" s="744"/>
      <c r="EY105" s="744"/>
      <c r="EZ105" s="744"/>
      <c r="FA105" s="744"/>
      <c r="FB105" s="744"/>
      <c r="FC105" s="744"/>
      <c r="FD105" s="744"/>
      <c r="FE105" s="745"/>
      <c r="FF105" s="264"/>
      <c r="FM105" s="90"/>
      <c r="FN105" s="351"/>
      <c r="FO105" s="2"/>
      <c r="FP105" s="2"/>
      <c r="FQ105" s="38"/>
      <c r="FR105" s="38"/>
      <c r="FS105" s="38"/>
      <c r="FT105" s="38"/>
      <c r="FU105" s="38"/>
      <c r="FV105" s="38"/>
      <c r="FW105" s="38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1"/>
      <c r="M106" s="167"/>
      <c r="N106" s="606"/>
      <c r="O106" s="606"/>
      <c r="P106" s="606"/>
      <c r="Q106" s="717"/>
      <c r="R106" s="718"/>
      <c r="S106" s="718"/>
      <c r="T106" s="719"/>
      <c r="U106" s="701"/>
      <c r="V106" s="758"/>
      <c r="W106" s="759"/>
      <c r="X106" s="759"/>
      <c r="Y106" s="759"/>
      <c r="Z106" s="759"/>
      <c r="AA106" s="759"/>
      <c r="AB106" s="759"/>
      <c r="AC106" s="759"/>
      <c r="AD106" s="759"/>
      <c r="AE106" s="759"/>
      <c r="AF106" s="759"/>
      <c r="AG106" s="759"/>
      <c r="AH106" s="759"/>
      <c r="AI106" s="759"/>
      <c r="AJ106" s="759"/>
      <c r="AK106" s="759"/>
      <c r="AL106" s="721"/>
      <c r="AM106" s="721"/>
      <c r="AN106" s="722"/>
      <c r="AO106" s="704"/>
      <c r="AP106" s="720"/>
      <c r="AQ106" s="721"/>
      <c r="AR106" s="721"/>
      <c r="AS106" s="721"/>
      <c r="AT106" s="721"/>
      <c r="AU106" s="721"/>
      <c r="AV106" s="721"/>
      <c r="AW106" s="721"/>
      <c r="AX106" s="721"/>
      <c r="AY106" s="721"/>
      <c r="AZ106" s="721"/>
      <c r="BA106" s="721"/>
      <c r="BB106" s="721"/>
      <c r="BC106" s="721"/>
      <c r="BD106" s="721"/>
      <c r="BE106" s="721"/>
      <c r="BF106" s="721"/>
      <c r="BG106" s="721"/>
      <c r="BH106" s="601"/>
      <c r="BI106" s="601"/>
      <c r="BJ106" s="601"/>
      <c r="BK106" s="601"/>
      <c r="BL106" s="601"/>
      <c r="BM106" s="601"/>
      <c r="BN106" s="601"/>
      <c r="BO106" s="601"/>
      <c r="BP106" s="601"/>
      <c r="BQ106" s="601"/>
      <c r="BR106" s="601"/>
      <c r="BS106" s="601"/>
      <c r="BT106" s="601"/>
      <c r="BU106" s="601"/>
      <c r="BV106" s="601"/>
      <c r="BW106" s="730"/>
      <c r="BX106" s="730"/>
      <c r="BY106" s="730"/>
      <c r="BZ106" s="730"/>
      <c r="CA106" s="730"/>
      <c r="CB106" s="614"/>
      <c r="CC106" s="615"/>
      <c r="CD106" s="615"/>
      <c r="CE106" s="615"/>
      <c r="CF106" s="615"/>
      <c r="CG106" s="615"/>
      <c r="CH106" s="615"/>
      <c r="CI106" s="615"/>
      <c r="CJ106" s="616"/>
      <c r="CK106" s="616"/>
      <c r="CL106" s="616"/>
      <c r="CM106" s="616"/>
      <c r="CN106" s="616"/>
      <c r="CO106" s="616"/>
      <c r="CP106" s="616"/>
      <c r="CQ106" s="617"/>
      <c r="CR106" s="617"/>
      <c r="CS106" s="617"/>
      <c r="CT106" s="617"/>
      <c r="CU106" s="617"/>
      <c r="CV106" s="617"/>
      <c r="CW106" s="617"/>
      <c r="CX106" s="617"/>
      <c r="CY106" s="617"/>
      <c r="CZ106" s="617"/>
      <c r="DA106" s="617"/>
      <c r="DB106" s="617"/>
      <c r="DC106" s="617"/>
      <c r="DD106" s="617"/>
      <c r="DE106" s="617"/>
      <c r="DF106" s="617"/>
      <c r="DG106" s="729"/>
      <c r="DH106" s="729"/>
      <c r="DI106" s="729"/>
      <c r="DJ106" s="729"/>
      <c r="DK106" s="729"/>
      <c r="DL106" s="729"/>
      <c r="DM106" s="729"/>
      <c r="DN106" s="729"/>
      <c r="DO106" s="601"/>
      <c r="DP106" s="601"/>
      <c r="DQ106" s="601"/>
      <c r="DR106" s="601"/>
      <c r="DS106" s="601"/>
      <c r="DT106" s="755"/>
      <c r="DU106" s="756"/>
      <c r="DV106" s="756"/>
      <c r="DW106" s="756"/>
      <c r="DX106" s="756"/>
      <c r="DY106" s="756"/>
      <c r="DZ106" s="756"/>
      <c r="EA106" s="757"/>
      <c r="EB106" s="602"/>
      <c r="EC106" s="602"/>
      <c r="ED106" s="602"/>
      <c r="EE106" s="602"/>
      <c r="EF106" s="602"/>
      <c r="EG106" s="602"/>
      <c r="EH106" s="602"/>
      <c r="EI106" s="602"/>
      <c r="EJ106" s="743"/>
      <c r="EK106" s="744"/>
      <c r="EL106" s="744"/>
      <c r="EM106" s="744"/>
      <c r="EN106" s="744"/>
      <c r="EO106" s="744"/>
      <c r="EP106" s="744"/>
      <c r="EQ106" s="744"/>
      <c r="ER106" s="744"/>
      <c r="ES106" s="744"/>
      <c r="ET106" s="744"/>
      <c r="EU106" s="744"/>
      <c r="EV106" s="744"/>
      <c r="EW106" s="744"/>
      <c r="EX106" s="744"/>
      <c r="EY106" s="744"/>
      <c r="EZ106" s="744"/>
      <c r="FA106" s="744"/>
      <c r="FB106" s="744"/>
      <c r="FC106" s="744"/>
      <c r="FD106" s="744"/>
      <c r="FE106" s="745"/>
      <c r="FF106" s="264"/>
      <c r="FM106" s="90"/>
      <c r="FN106" s="2"/>
      <c r="FO106" s="2"/>
      <c r="FP106" s="2"/>
      <c r="FQ106" s="38"/>
      <c r="FR106" s="38"/>
      <c r="FS106" s="38"/>
      <c r="FT106" s="38"/>
      <c r="FU106" s="38"/>
      <c r="FV106" s="38"/>
      <c r="FW106" s="38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1"/>
      <c r="M107" s="167"/>
      <c r="N107" s="606">
        <v>45</v>
      </c>
      <c r="O107" s="606"/>
      <c r="P107" s="606"/>
      <c r="Q107" s="717"/>
      <c r="R107" s="718"/>
      <c r="S107" s="718"/>
      <c r="T107" s="719"/>
      <c r="U107" s="701" t="s">
        <v>6</v>
      </c>
      <c r="V107" s="758"/>
      <c r="W107" s="759"/>
      <c r="X107" s="759"/>
      <c r="Y107" s="759"/>
      <c r="Z107" s="759"/>
      <c r="AA107" s="759"/>
      <c r="AB107" s="759"/>
      <c r="AC107" s="759"/>
      <c r="AD107" s="759"/>
      <c r="AE107" s="759"/>
      <c r="AF107" s="759"/>
      <c r="AG107" s="759"/>
      <c r="AH107" s="759"/>
      <c r="AI107" s="759"/>
      <c r="AJ107" s="759"/>
      <c r="AK107" s="759"/>
      <c r="AL107" s="721"/>
      <c r="AM107" s="721"/>
      <c r="AN107" s="722"/>
      <c r="AO107" s="704" t="s">
        <v>6</v>
      </c>
      <c r="AP107" s="720"/>
      <c r="AQ107" s="721"/>
      <c r="AR107" s="721"/>
      <c r="AS107" s="721"/>
      <c r="AT107" s="721"/>
      <c r="AU107" s="721"/>
      <c r="AV107" s="721"/>
      <c r="AW107" s="721"/>
      <c r="AX107" s="721"/>
      <c r="AY107" s="721"/>
      <c r="AZ107" s="721"/>
      <c r="BA107" s="721"/>
      <c r="BB107" s="721"/>
      <c r="BC107" s="721"/>
      <c r="BD107" s="721"/>
      <c r="BE107" s="721"/>
      <c r="BF107" s="721"/>
      <c r="BG107" s="721"/>
      <c r="BH107" s="601"/>
      <c r="BI107" s="601"/>
      <c r="BJ107" s="601"/>
      <c r="BK107" s="601"/>
      <c r="BL107" s="601"/>
      <c r="BM107" s="601"/>
      <c r="BN107" s="601"/>
      <c r="BO107" s="601"/>
      <c r="BP107" s="601"/>
      <c r="BQ107" s="601"/>
      <c r="BR107" s="601"/>
      <c r="BS107" s="601"/>
      <c r="BT107" s="601"/>
      <c r="BU107" s="601"/>
      <c r="BV107" s="601"/>
      <c r="BW107" s="730"/>
      <c r="BX107" s="730"/>
      <c r="BY107" s="730"/>
      <c r="BZ107" s="730"/>
      <c r="CA107" s="730"/>
      <c r="CB107" s="614">
        <f>BEZ_Dim_45_Anz*KI_N</f>
        <v>0</v>
      </c>
      <c r="CC107" s="615">
        <f>BEZ_Dim_45_L*BEZ_Dim_45_B*BEZ_Dim_45_H*BEZ_Dim_45_Anz /10^9</f>
        <v>0</v>
      </c>
      <c r="CD107" s="615"/>
      <c r="CE107" s="615"/>
      <c r="CF107" s="615"/>
      <c r="CG107" s="615"/>
      <c r="CH107" s="615"/>
      <c r="CI107" s="615"/>
      <c r="CJ107" s="616"/>
      <c r="CK107" s="616"/>
      <c r="CL107" s="616"/>
      <c r="CM107" s="616"/>
      <c r="CN107" s="616"/>
      <c r="CO107" s="616"/>
      <c r="CP107" s="616"/>
      <c r="CQ107" s="617">
        <f>BEZ_Dim_45_CBM*BEZ_Dim_45_SPGEW</f>
        <v>0</v>
      </c>
      <c r="CR107" s="617"/>
      <c r="CS107" s="617"/>
      <c r="CT107" s="617"/>
      <c r="CU107" s="617"/>
      <c r="CV107" s="617"/>
      <c r="CW107" s="617"/>
      <c r="CX107" s="617"/>
      <c r="CY107" s="617"/>
      <c r="CZ107" s="617">
        <f>BEZ_Dim_45_L*BEZ_Dim_45_Anz/1000</f>
        <v>0</v>
      </c>
      <c r="DA107" s="617"/>
      <c r="DB107" s="617"/>
      <c r="DC107" s="617"/>
      <c r="DD107" s="617"/>
      <c r="DE107" s="617"/>
      <c r="DF107" s="617"/>
      <c r="DG107" s="729"/>
      <c r="DH107" s="729"/>
      <c r="DI107" s="729"/>
      <c r="DJ107" s="729"/>
      <c r="DK107" s="729"/>
      <c r="DL107" s="729"/>
      <c r="DM107" s="729"/>
      <c r="DN107" s="729"/>
      <c r="DO107" s="601"/>
      <c r="DP107" s="601"/>
      <c r="DQ107" s="601"/>
      <c r="DR107" s="601"/>
      <c r="DS107" s="601"/>
      <c r="DT107" s="602">
        <f>BEZ_Dim_45_CBM*BEZ_Dim_45_EuCBM*((BEZ_Dim_45_VAZ/100)+1)</f>
        <v>0</v>
      </c>
      <c r="DU107" s="602"/>
      <c r="DV107" s="602"/>
      <c r="DW107" s="602"/>
      <c r="DX107" s="602"/>
      <c r="DY107" s="602"/>
      <c r="DZ107" s="602"/>
      <c r="EA107" s="602"/>
      <c r="EB107" s="602">
        <f>CC107*DG107*((DO107/100)+1)*KI_N</f>
        <v>0</v>
      </c>
      <c r="EC107" s="602"/>
      <c r="ED107" s="602"/>
      <c r="EE107" s="602"/>
      <c r="EF107" s="602"/>
      <c r="EG107" s="602"/>
      <c r="EH107" s="602"/>
      <c r="EI107" s="602"/>
      <c r="EJ107" s="743"/>
      <c r="EK107" s="744"/>
      <c r="EL107" s="744"/>
      <c r="EM107" s="744"/>
      <c r="EN107" s="744"/>
      <c r="EO107" s="744"/>
      <c r="EP107" s="744"/>
      <c r="EQ107" s="744"/>
      <c r="ER107" s="744"/>
      <c r="ES107" s="744"/>
      <c r="ET107" s="744"/>
      <c r="EU107" s="744"/>
      <c r="EV107" s="744"/>
      <c r="EW107" s="744"/>
      <c r="EX107" s="744"/>
      <c r="EY107" s="744"/>
      <c r="EZ107" s="744"/>
      <c r="FA107" s="744"/>
      <c r="FB107" s="744"/>
      <c r="FC107" s="744"/>
      <c r="FD107" s="744"/>
      <c r="FE107" s="745"/>
      <c r="FF107" s="264"/>
      <c r="FM107" s="90"/>
      <c r="FN107" s="351"/>
      <c r="FO107" s="2"/>
      <c r="FP107" s="2"/>
      <c r="FQ107" s="38"/>
      <c r="FR107" s="38"/>
      <c r="FS107" s="38"/>
      <c r="FT107" s="38"/>
      <c r="FU107" s="38"/>
      <c r="FV107" s="38"/>
      <c r="FW107" s="38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1"/>
      <c r="M108" s="167"/>
      <c r="N108" s="606"/>
      <c r="O108" s="606"/>
      <c r="P108" s="606"/>
      <c r="Q108" s="717"/>
      <c r="R108" s="718"/>
      <c r="S108" s="718"/>
      <c r="T108" s="719"/>
      <c r="U108" s="701"/>
      <c r="V108" s="758"/>
      <c r="W108" s="759"/>
      <c r="X108" s="759"/>
      <c r="Y108" s="759"/>
      <c r="Z108" s="759"/>
      <c r="AA108" s="759"/>
      <c r="AB108" s="759"/>
      <c r="AC108" s="759"/>
      <c r="AD108" s="759"/>
      <c r="AE108" s="759"/>
      <c r="AF108" s="759"/>
      <c r="AG108" s="759"/>
      <c r="AH108" s="759"/>
      <c r="AI108" s="759"/>
      <c r="AJ108" s="759"/>
      <c r="AK108" s="759"/>
      <c r="AL108" s="721"/>
      <c r="AM108" s="721"/>
      <c r="AN108" s="722"/>
      <c r="AO108" s="704"/>
      <c r="AP108" s="720"/>
      <c r="AQ108" s="721"/>
      <c r="AR108" s="721"/>
      <c r="AS108" s="721"/>
      <c r="AT108" s="721"/>
      <c r="AU108" s="721"/>
      <c r="AV108" s="721"/>
      <c r="AW108" s="721"/>
      <c r="AX108" s="721"/>
      <c r="AY108" s="721"/>
      <c r="AZ108" s="721"/>
      <c r="BA108" s="721"/>
      <c r="BB108" s="721"/>
      <c r="BC108" s="721"/>
      <c r="BD108" s="721"/>
      <c r="BE108" s="721"/>
      <c r="BF108" s="721"/>
      <c r="BG108" s="721"/>
      <c r="BH108" s="601"/>
      <c r="BI108" s="601"/>
      <c r="BJ108" s="601"/>
      <c r="BK108" s="601"/>
      <c r="BL108" s="601"/>
      <c r="BM108" s="601"/>
      <c r="BN108" s="601"/>
      <c r="BO108" s="601"/>
      <c r="BP108" s="601"/>
      <c r="BQ108" s="601"/>
      <c r="BR108" s="601"/>
      <c r="BS108" s="601"/>
      <c r="BT108" s="601"/>
      <c r="BU108" s="601"/>
      <c r="BV108" s="601"/>
      <c r="BW108" s="730"/>
      <c r="BX108" s="730"/>
      <c r="BY108" s="730"/>
      <c r="BZ108" s="730"/>
      <c r="CA108" s="730"/>
      <c r="CB108" s="614"/>
      <c r="CC108" s="615"/>
      <c r="CD108" s="615"/>
      <c r="CE108" s="615"/>
      <c r="CF108" s="615"/>
      <c r="CG108" s="615"/>
      <c r="CH108" s="615"/>
      <c r="CI108" s="615"/>
      <c r="CJ108" s="616"/>
      <c r="CK108" s="616"/>
      <c r="CL108" s="616"/>
      <c r="CM108" s="616"/>
      <c r="CN108" s="616"/>
      <c r="CO108" s="616"/>
      <c r="CP108" s="616"/>
      <c r="CQ108" s="617"/>
      <c r="CR108" s="617"/>
      <c r="CS108" s="617"/>
      <c r="CT108" s="617"/>
      <c r="CU108" s="617"/>
      <c r="CV108" s="617"/>
      <c r="CW108" s="617"/>
      <c r="CX108" s="617"/>
      <c r="CY108" s="617"/>
      <c r="CZ108" s="617"/>
      <c r="DA108" s="617"/>
      <c r="DB108" s="617"/>
      <c r="DC108" s="617"/>
      <c r="DD108" s="617"/>
      <c r="DE108" s="617"/>
      <c r="DF108" s="617"/>
      <c r="DG108" s="729"/>
      <c r="DH108" s="729"/>
      <c r="DI108" s="729"/>
      <c r="DJ108" s="729"/>
      <c r="DK108" s="729"/>
      <c r="DL108" s="729"/>
      <c r="DM108" s="729"/>
      <c r="DN108" s="729"/>
      <c r="DO108" s="601"/>
      <c r="DP108" s="601"/>
      <c r="DQ108" s="601"/>
      <c r="DR108" s="601"/>
      <c r="DS108" s="601"/>
      <c r="DT108" s="602"/>
      <c r="DU108" s="602"/>
      <c r="DV108" s="602"/>
      <c r="DW108" s="602"/>
      <c r="DX108" s="602"/>
      <c r="DY108" s="602"/>
      <c r="DZ108" s="602"/>
      <c r="EA108" s="602"/>
      <c r="EB108" s="602"/>
      <c r="EC108" s="602"/>
      <c r="ED108" s="602"/>
      <c r="EE108" s="602"/>
      <c r="EF108" s="602"/>
      <c r="EG108" s="602"/>
      <c r="EH108" s="602"/>
      <c r="EI108" s="602"/>
      <c r="EJ108" s="743"/>
      <c r="EK108" s="744"/>
      <c r="EL108" s="744"/>
      <c r="EM108" s="744"/>
      <c r="EN108" s="744"/>
      <c r="EO108" s="744"/>
      <c r="EP108" s="744"/>
      <c r="EQ108" s="744"/>
      <c r="ER108" s="744"/>
      <c r="ES108" s="744"/>
      <c r="ET108" s="744"/>
      <c r="EU108" s="744"/>
      <c r="EV108" s="744"/>
      <c r="EW108" s="744"/>
      <c r="EX108" s="744"/>
      <c r="EY108" s="744"/>
      <c r="EZ108" s="744"/>
      <c r="FA108" s="744"/>
      <c r="FB108" s="744"/>
      <c r="FC108" s="744"/>
      <c r="FD108" s="744"/>
      <c r="FE108" s="745"/>
      <c r="FF108" s="264"/>
      <c r="FM108" s="90"/>
      <c r="FN108" s="2"/>
      <c r="FO108" s="2"/>
      <c r="FP108" s="2"/>
      <c r="FQ108" s="38"/>
      <c r="FR108" s="38"/>
      <c r="FS108" s="38"/>
      <c r="FT108" s="38"/>
      <c r="FU108" s="38"/>
      <c r="FV108" s="38"/>
      <c r="FW108" s="38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1"/>
      <c r="M109" s="167"/>
      <c r="N109" s="606">
        <v>46</v>
      </c>
      <c r="O109" s="606"/>
      <c r="P109" s="606"/>
      <c r="Q109" s="717"/>
      <c r="R109" s="718"/>
      <c r="S109" s="718"/>
      <c r="T109" s="719"/>
      <c r="U109" s="701" t="s">
        <v>6</v>
      </c>
      <c r="V109" s="758"/>
      <c r="W109" s="759"/>
      <c r="X109" s="759"/>
      <c r="Y109" s="759"/>
      <c r="Z109" s="759"/>
      <c r="AA109" s="759"/>
      <c r="AB109" s="759"/>
      <c r="AC109" s="759"/>
      <c r="AD109" s="759"/>
      <c r="AE109" s="759"/>
      <c r="AF109" s="759"/>
      <c r="AG109" s="759"/>
      <c r="AH109" s="759"/>
      <c r="AI109" s="759"/>
      <c r="AJ109" s="759"/>
      <c r="AK109" s="759"/>
      <c r="AL109" s="721"/>
      <c r="AM109" s="721"/>
      <c r="AN109" s="722"/>
      <c r="AO109" s="704" t="s">
        <v>6</v>
      </c>
      <c r="AP109" s="720"/>
      <c r="AQ109" s="721"/>
      <c r="AR109" s="721"/>
      <c r="AS109" s="721"/>
      <c r="AT109" s="721"/>
      <c r="AU109" s="721"/>
      <c r="AV109" s="721"/>
      <c r="AW109" s="721"/>
      <c r="AX109" s="721"/>
      <c r="AY109" s="721"/>
      <c r="AZ109" s="721"/>
      <c r="BA109" s="721"/>
      <c r="BB109" s="721"/>
      <c r="BC109" s="721"/>
      <c r="BD109" s="721"/>
      <c r="BE109" s="721"/>
      <c r="BF109" s="721"/>
      <c r="BG109" s="721"/>
      <c r="BH109" s="601"/>
      <c r="BI109" s="601"/>
      <c r="BJ109" s="601"/>
      <c r="BK109" s="601"/>
      <c r="BL109" s="601"/>
      <c r="BM109" s="601"/>
      <c r="BN109" s="601"/>
      <c r="BO109" s="601"/>
      <c r="BP109" s="601"/>
      <c r="BQ109" s="601"/>
      <c r="BR109" s="601"/>
      <c r="BS109" s="601"/>
      <c r="BT109" s="601"/>
      <c r="BU109" s="601"/>
      <c r="BV109" s="601"/>
      <c r="BW109" s="730"/>
      <c r="BX109" s="730"/>
      <c r="BY109" s="730"/>
      <c r="BZ109" s="730"/>
      <c r="CA109" s="730"/>
      <c r="CB109" s="614">
        <f>BEZ_Dim_46_Anz*KI_N</f>
        <v>0</v>
      </c>
      <c r="CC109" s="615">
        <f>BEZ_Dim_46_L*BEZ_Dim_46_B*BEZ_Dim_46_H*BEZ_Dim_46_Anz /10^9</f>
        <v>0</v>
      </c>
      <c r="CD109" s="615"/>
      <c r="CE109" s="615"/>
      <c r="CF109" s="615"/>
      <c r="CG109" s="615"/>
      <c r="CH109" s="615"/>
      <c r="CI109" s="615"/>
      <c r="CJ109" s="616"/>
      <c r="CK109" s="616"/>
      <c r="CL109" s="616"/>
      <c r="CM109" s="616"/>
      <c r="CN109" s="616"/>
      <c r="CO109" s="616"/>
      <c r="CP109" s="616"/>
      <c r="CQ109" s="617">
        <f>BEZ_Dim_46_CBM*BEZ_Dim_46_SPGEW</f>
        <v>0</v>
      </c>
      <c r="CR109" s="617"/>
      <c r="CS109" s="617"/>
      <c r="CT109" s="617"/>
      <c r="CU109" s="617"/>
      <c r="CV109" s="617"/>
      <c r="CW109" s="617"/>
      <c r="CX109" s="617"/>
      <c r="CY109" s="617"/>
      <c r="CZ109" s="617">
        <f>BEZ_Dim_46_L*BEZ_Dim_46_Anz/1000</f>
        <v>0</v>
      </c>
      <c r="DA109" s="617"/>
      <c r="DB109" s="617"/>
      <c r="DC109" s="617"/>
      <c r="DD109" s="617"/>
      <c r="DE109" s="617"/>
      <c r="DF109" s="617"/>
      <c r="DG109" s="729"/>
      <c r="DH109" s="729"/>
      <c r="DI109" s="729"/>
      <c r="DJ109" s="729"/>
      <c r="DK109" s="729"/>
      <c r="DL109" s="729"/>
      <c r="DM109" s="729"/>
      <c r="DN109" s="729"/>
      <c r="DO109" s="601"/>
      <c r="DP109" s="601"/>
      <c r="DQ109" s="601"/>
      <c r="DR109" s="601"/>
      <c r="DS109" s="601"/>
      <c r="DT109" s="602">
        <f>BEZ_Dim_46_CBM*BEZ_Dim_46_EuCBM*((BEZ_Dim_46_VAZ/100)+1)</f>
        <v>0</v>
      </c>
      <c r="DU109" s="602"/>
      <c r="DV109" s="602"/>
      <c r="DW109" s="602"/>
      <c r="DX109" s="602"/>
      <c r="DY109" s="602"/>
      <c r="DZ109" s="602"/>
      <c r="EA109" s="602"/>
      <c r="EB109" s="602">
        <f>CC109*DG109*((DO109/100)+1)*KI_N</f>
        <v>0</v>
      </c>
      <c r="EC109" s="602"/>
      <c r="ED109" s="602"/>
      <c r="EE109" s="602"/>
      <c r="EF109" s="602"/>
      <c r="EG109" s="602"/>
      <c r="EH109" s="602"/>
      <c r="EI109" s="602"/>
      <c r="EJ109" s="743"/>
      <c r="EK109" s="744"/>
      <c r="EL109" s="744"/>
      <c r="EM109" s="744"/>
      <c r="EN109" s="744"/>
      <c r="EO109" s="744"/>
      <c r="EP109" s="744"/>
      <c r="EQ109" s="744"/>
      <c r="ER109" s="744"/>
      <c r="ES109" s="744"/>
      <c r="ET109" s="744"/>
      <c r="EU109" s="744"/>
      <c r="EV109" s="744"/>
      <c r="EW109" s="744"/>
      <c r="EX109" s="744"/>
      <c r="EY109" s="744"/>
      <c r="EZ109" s="744"/>
      <c r="FA109" s="744"/>
      <c r="FB109" s="744"/>
      <c r="FC109" s="744"/>
      <c r="FD109" s="744"/>
      <c r="FE109" s="745"/>
      <c r="FF109" s="264"/>
      <c r="FM109" s="90"/>
      <c r="FN109" s="351"/>
      <c r="FO109" s="2"/>
      <c r="FP109" s="2"/>
      <c r="FQ109" s="38"/>
      <c r="FR109" s="38"/>
      <c r="FS109" s="38"/>
      <c r="FT109" s="38"/>
      <c r="FU109" s="38"/>
      <c r="FV109" s="38"/>
      <c r="FW109" s="38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1"/>
      <c r="M110" s="167"/>
      <c r="N110" s="760"/>
      <c r="O110" s="760"/>
      <c r="P110" s="760"/>
      <c r="Q110" s="761"/>
      <c r="R110" s="762"/>
      <c r="S110" s="762"/>
      <c r="T110" s="763"/>
      <c r="U110" s="764"/>
      <c r="V110" s="765"/>
      <c r="W110" s="766"/>
      <c r="X110" s="766"/>
      <c r="Y110" s="766"/>
      <c r="Z110" s="766"/>
      <c r="AA110" s="766"/>
      <c r="AB110" s="766"/>
      <c r="AC110" s="766"/>
      <c r="AD110" s="766"/>
      <c r="AE110" s="766"/>
      <c r="AF110" s="766"/>
      <c r="AG110" s="766"/>
      <c r="AH110" s="766"/>
      <c r="AI110" s="766"/>
      <c r="AJ110" s="766"/>
      <c r="AK110" s="766"/>
      <c r="AL110" s="767"/>
      <c r="AM110" s="767"/>
      <c r="AN110" s="768"/>
      <c r="AO110" s="777"/>
      <c r="AP110" s="778"/>
      <c r="AQ110" s="767"/>
      <c r="AR110" s="767"/>
      <c r="AS110" s="767"/>
      <c r="AT110" s="767"/>
      <c r="AU110" s="767"/>
      <c r="AV110" s="767"/>
      <c r="AW110" s="767"/>
      <c r="AX110" s="767"/>
      <c r="AY110" s="767"/>
      <c r="AZ110" s="767"/>
      <c r="BA110" s="767"/>
      <c r="BB110" s="767"/>
      <c r="BC110" s="767"/>
      <c r="BD110" s="767"/>
      <c r="BE110" s="767"/>
      <c r="BF110" s="767"/>
      <c r="BG110" s="767"/>
      <c r="BH110" s="772"/>
      <c r="BI110" s="772"/>
      <c r="BJ110" s="772"/>
      <c r="BK110" s="772"/>
      <c r="BL110" s="772"/>
      <c r="BM110" s="772"/>
      <c r="BN110" s="772"/>
      <c r="BO110" s="772"/>
      <c r="BP110" s="772"/>
      <c r="BQ110" s="772"/>
      <c r="BR110" s="772"/>
      <c r="BS110" s="772"/>
      <c r="BT110" s="772"/>
      <c r="BU110" s="772"/>
      <c r="BV110" s="772"/>
      <c r="BW110" s="779"/>
      <c r="BX110" s="779"/>
      <c r="BY110" s="779"/>
      <c r="BZ110" s="779"/>
      <c r="CA110" s="779"/>
      <c r="CB110" s="614"/>
      <c r="CC110" s="615"/>
      <c r="CD110" s="615"/>
      <c r="CE110" s="615"/>
      <c r="CF110" s="615"/>
      <c r="CG110" s="615"/>
      <c r="CH110" s="615"/>
      <c r="CI110" s="615"/>
      <c r="CJ110" s="774"/>
      <c r="CK110" s="774"/>
      <c r="CL110" s="774"/>
      <c r="CM110" s="774"/>
      <c r="CN110" s="774"/>
      <c r="CO110" s="774"/>
      <c r="CP110" s="774"/>
      <c r="CQ110" s="617"/>
      <c r="CR110" s="617"/>
      <c r="CS110" s="617"/>
      <c r="CT110" s="617"/>
      <c r="CU110" s="617"/>
      <c r="CV110" s="617"/>
      <c r="CW110" s="617"/>
      <c r="CX110" s="617"/>
      <c r="CY110" s="617"/>
      <c r="CZ110" s="775"/>
      <c r="DA110" s="775"/>
      <c r="DB110" s="775"/>
      <c r="DC110" s="775"/>
      <c r="DD110" s="775"/>
      <c r="DE110" s="775"/>
      <c r="DF110" s="775"/>
      <c r="DG110" s="776"/>
      <c r="DH110" s="776"/>
      <c r="DI110" s="776"/>
      <c r="DJ110" s="776"/>
      <c r="DK110" s="776"/>
      <c r="DL110" s="776"/>
      <c r="DM110" s="776"/>
      <c r="DN110" s="776"/>
      <c r="DO110" s="772"/>
      <c r="DP110" s="772"/>
      <c r="DQ110" s="772"/>
      <c r="DR110" s="772"/>
      <c r="DS110" s="772"/>
      <c r="DT110" s="602"/>
      <c r="DU110" s="602"/>
      <c r="DV110" s="602"/>
      <c r="DW110" s="602"/>
      <c r="DX110" s="602"/>
      <c r="DY110" s="602"/>
      <c r="DZ110" s="602"/>
      <c r="EA110" s="602"/>
      <c r="EB110" s="773"/>
      <c r="EC110" s="773"/>
      <c r="ED110" s="773"/>
      <c r="EE110" s="773"/>
      <c r="EF110" s="773"/>
      <c r="EG110" s="773"/>
      <c r="EH110" s="773"/>
      <c r="EI110" s="773"/>
      <c r="EJ110" s="746"/>
      <c r="EK110" s="747"/>
      <c r="EL110" s="747"/>
      <c r="EM110" s="747"/>
      <c r="EN110" s="747"/>
      <c r="EO110" s="747"/>
      <c r="EP110" s="747"/>
      <c r="EQ110" s="747"/>
      <c r="ER110" s="747"/>
      <c r="ES110" s="747"/>
      <c r="ET110" s="747"/>
      <c r="EU110" s="747"/>
      <c r="EV110" s="747"/>
      <c r="EW110" s="747"/>
      <c r="EX110" s="747"/>
      <c r="EY110" s="747"/>
      <c r="EZ110" s="747"/>
      <c r="FA110" s="747"/>
      <c r="FB110" s="747"/>
      <c r="FC110" s="747"/>
      <c r="FD110" s="747"/>
      <c r="FE110" s="748"/>
      <c r="FF110" s="264"/>
      <c r="FM110" s="90"/>
      <c r="FN110" s="2"/>
      <c r="FO110" s="2"/>
      <c r="FP110" s="2"/>
      <c r="FQ110" s="38"/>
      <c r="FR110" s="38"/>
      <c r="FS110" s="38"/>
      <c r="FT110" s="38"/>
      <c r="FU110" s="38"/>
      <c r="FV110" s="38"/>
      <c r="FW110" s="38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4"/>
      <c r="M111" s="105"/>
      <c r="N111" s="108"/>
      <c r="O111" s="108"/>
      <c r="P111" s="108"/>
      <c r="Q111" s="109"/>
      <c r="R111" s="110"/>
      <c r="S111" s="110"/>
      <c r="T111" s="110"/>
      <c r="U111" s="110"/>
      <c r="V111" s="111"/>
      <c r="W111" s="111"/>
      <c r="X111" s="111"/>
      <c r="Y111" s="111"/>
      <c r="Z111" s="111"/>
      <c r="AA111" s="111"/>
      <c r="AB111" s="111"/>
      <c r="AC111" s="111"/>
      <c r="AD111" s="111"/>
      <c r="AE111" s="111"/>
      <c r="AF111" s="111"/>
      <c r="AG111" s="111"/>
      <c r="AH111" s="111"/>
      <c r="AI111" s="111"/>
      <c r="AJ111" s="111"/>
      <c r="AK111" s="111"/>
      <c r="AL111" s="112"/>
      <c r="AM111" s="112"/>
      <c r="AN111" s="112"/>
      <c r="AO111" s="112"/>
      <c r="AP111" s="112"/>
      <c r="AQ111" s="112"/>
      <c r="AR111" s="112"/>
      <c r="AS111" s="112"/>
      <c r="AT111" s="112"/>
      <c r="AU111" s="112"/>
      <c r="AV111" s="112"/>
      <c r="AW111" s="112"/>
      <c r="AX111" s="112"/>
      <c r="AY111" s="112"/>
      <c r="AZ111" s="112"/>
      <c r="BA111" s="112"/>
      <c r="BB111" s="112"/>
      <c r="BC111" s="112"/>
      <c r="BD111" s="112"/>
      <c r="BE111" s="112"/>
      <c r="BF111" s="112"/>
      <c r="BG111" s="112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4"/>
      <c r="BX111" s="114"/>
      <c r="BY111" s="114"/>
      <c r="BZ111" s="114"/>
      <c r="CA111" s="114"/>
      <c r="CB111" s="114"/>
      <c r="CC111" s="115"/>
      <c r="CD111" s="115"/>
      <c r="CE111" s="115"/>
      <c r="CF111" s="115"/>
      <c r="CG111" s="115"/>
      <c r="CH111" s="115"/>
      <c r="CI111" s="115"/>
      <c r="CJ111" s="115"/>
      <c r="CK111" s="116"/>
      <c r="CL111" s="117"/>
      <c r="CM111" s="117"/>
      <c r="CN111" s="117"/>
      <c r="CO111" s="117"/>
      <c r="CP111" s="117"/>
      <c r="CQ111" s="117"/>
      <c r="CR111" s="117"/>
      <c r="CS111" s="116"/>
      <c r="CT111" s="118"/>
      <c r="CU111" s="118"/>
      <c r="CV111" s="118"/>
      <c r="CW111" s="118"/>
      <c r="CX111" s="118"/>
      <c r="CY111" s="116"/>
      <c r="CZ111" s="119"/>
      <c r="DA111" s="119"/>
      <c r="DB111" s="119"/>
      <c r="DC111" s="119"/>
      <c r="DD111" s="119"/>
      <c r="DE111" s="119"/>
      <c r="DF111" s="119"/>
      <c r="DG111" s="119"/>
      <c r="DH111" s="119"/>
      <c r="DI111" s="119"/>
      <c r="DJ111" s="120"/>
      <c r="DK111" s="119"/>
      <c r="DL111" s="119"/>
      <c r="DM111" s="119"/>
      <c r="DN111" s="119"/>
      <c r="DO111" s="119"/>
      <c r="DP111" s="119"/>
      <c r="DQ111" s="119"/>
      <c r="DR111" s="119"/>
      <c r="DS111" s="119"/>
      <c r="DT111" s="119"/>
      <c r="DU111" s="119"/>
      <c r="DV111" s="121"/>
      <c r="DW111" s="115"/>
      <c r="DX111" s="115"/>
      <c r="DY111" s="115"/>
      <c r="DZ111" s="115"/>
      <c r="EA111" s="115"/>
      <c r="EB111" s="115"/>
      <c r="EC111" s="115"/>
      <c r="ED111" s="115"/>
      <c r="EE111" s="115"/>
      <c r="EF111" s="113"/>
      <c r="EG111" s="113"/>
      <c r="EH111" s="113"/>
      <c r="EI111" s="113"/>
      <c r="EJ111" s="113"/>
      <c r="EK111" s="113"/>
      <c r="EL111" s="113"/>
      <c r="EM111" s="113"/>
      <c r="EN111" s="113"/>
      <c r="EO111" s="113"/>
      <c r="EP111" s="113"/>
      <c r="EQ111" s="113"/>
      <c r="ER111" s="113"/>
      <c r="ES111" s="113"/>
      <c r="ET111" s="113"/>
      <c r="EU111" s="113"/>
      <c r="EV111" s="113"/>
      <c r="EW111" s="59"/>
      <c r="EX111" s="59"/>
      <c r="EY111" s="59"/>
      <c r="EZ111" s="59"/>
      <c r="FA111" s="59"/>
      <c r="FB111" s="59"/>
      <c r="FC111" s="59"/>
      <c r="FD111" s="59"/>
      <c r="FE111" s="59"/>
      <c r="FF111" s="59"/>
      <c r="FG111" s="59"/>
      <c r="FH111" s="59"/>
      <c r="FI111" s="59"/>
      <c r="FJ111" s="59"/>
      <c r="FK111" s="59"/>
      <c r="FL111" s="59"/>
      <c r="FM111" s="106"/>
      <c r="FN111" s="12"/>
      <c r="FO111" s="2"/>
      <c r="FP111" s="2"/>
      <c r="FQ111" s="38"/>
      <c r="FR111" s="38"/>
      <c r="FS111" s="38"/>
      <c r="FT111" s="38"/>
      <c r="FU111" s="38"/>
      <c r="FV111" s="38"/>
      <c r="FW111" s="38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99"/>
      <c r="M112" s="66"/>
      <c r="N112" s="66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6"/>
      <c r="M114" s="66"/>
      <c r="N114" s="66"/>
      <c r="O114" s="66"/>
      <c r="P114" s="67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8"/>
      <c r="AH114" s="66"/>
      <c r="AI114" s="66"/>
      <c r="AJ114" s="66"/>
      <c r="AK114" s="67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8"/>
      <c r="BD114" s="69"/>
      <c r="BE114" s="69"/>
      <c r="BF114" s="69"/>
      <c r="BG114" s="69"/>
      <c r="BH114" s="69"/>
      <c r="BI114" s="69"/>
      <c r="BJ114" s="69"/>
      <c r="BK114" s="69"/>
      <c r="BL114" s="69"/>
      <c r="BM114" s="67"/>
      <c r="BN114" s="69"/>
      <c r="BO114" s="69"/>
      <c r="BP114" s="69"/>
      <c r="BQ114" s="69"/>
      <c r="BR114" s="67"/>
      <c r="BS114" s="70"/>
      <c r="BT114" s="70"/>
      <c r="BU114" s="70"/>
      <c r="BV114" s="70"/>
      <c r="BW114" s="68"/>
      <c r="BX114" s="71"/>
      <c r="BY114" s="71"/>
      <c r="BZ114" s="71"/>
      <c r="CA114" s="71"/>
      <c r="CB114" s="71"/>
      <c r="CC114" s="71"/>
      <c r="CD114" s="71"/>
      <c r="CE114" s="72"/>
      <c r="CF114" s="73"/>
      <c r="CG114" s="73"/>
      <c r="CH114" s="73"/>
      <c r="CI114" s="73"/>
      <c r="CJ114" s="73"/>
      <c r="CK114" s="71"/>
      <c r="CL114" s="71"/>
      <c r="CM114" s="71"/>
      <c r="CN114" s="71"/>
      <c r="CO114" s="71"/>
      <c r="CP114" s="71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6"/>
      <c r="M115" s="66"/>
      <c r="N115" s="66"/>
      <c r="O115" s="66"/>
      <c r="P115" s="67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8"/>
      <c r="AH115" s="66"/>
      <c r="AI115" s="66"/>
      <c r="AJ115" s="66"/>
      <c r="AK115" s="67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8"/>
      <c r="BD115" s="69"/>
      <c r="BE115" s="69"/>
      <c r="BF115" s="69"/>
      <c r="BG115" s="69"/>
      <c r="BH115" s="69"/>
      <c r="BI115" s="69"/>
      <c r="BJ115" s="69"/>
      <c r="BK115" s="69"/>
      <c r="BL115" s="69"/>
      <c r="BM115" s="67"/>
      <c r="BN115" s="69"/>
      <c r="BO115" s="69"/>
      <c r="BP115" s="69"/>
      <c r="BQ115" s="69"/>
      <c r="BR115" s="67"/>
      <c r="BS115" s="70"/>
      <c r="BT115" s="70"/>
      <c r="BU115" s="70"/>
      <c r="BV115" s="70"/>
      <c r="BW115" s="68"/>
      <c r="BX115" s="71"/>
      <c r="BY115" s="71"/>
      <c r="BZ115" s="71"/>
      <c r="CA115" s="71"/>
      <c r="CB115" s="71"/>
      <c r="CC115" s="71"/>
      <c r="CD115" s="71"/>
      <c r="CE115" s="72"/>
      <c r="CF115" s="73"/>
      <c r="CG115" s="73"/>
      <c r="CH115" s="73"/>
      <c r="CI115" s="73"/>
      <c r="CJ115" s="73"/>
      <c r="CK115" s="71"/>
      <c r="CL115" s="71"/>
      <c r="CM115" s="71"/>
      <c r="CN115" s="71"/>
      <c r="CO115" s="71"/>
      <c r="CP115" s="71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6"/>
      <c r="M116" s="66"/>
      <c r="N116" s="66"/>
      <c r="O116" s="66"/>
      <c r="P116" s="67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8"/>
      <c r="AH116" s="66"/>
      <c r="AI116" s="66"/>
      <c r="AJ116" s="66"/>
      <c r="AK116" s="67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8"/>
      <c r="BD116" s="69"/>
      <c r="BE116" s="69"/>
      <c r="BF116" s="69"/>
      <c r="BG116" s="69"/>
      <c r="BH116" s="69"/>
      <c r="BI116" s="69"/>
      <c r="BJ116" s="69"/>
      <c r="BK116" s="69"/>
      <c r="BL116" s="69"/>
      <c r="BM116" s="67"/>
      <c r="BN116" s="69"/>
      <c r="BO116" s="69"/>
      <c r="BP116" s="69"/>
      <c r="BQ116" s="69"/>
      <c r="BR116" s="67"/>
      <c r="BS116" s="70"/>
      <c r="BT116" s="70"/>
      <c r="BU116" s="70"/>
      <c r="BV116" s="70"/>
      <c r="BW116" s="68"/>
      <c r="BX116" s="71"/>
      <c r="BY116" s="71"/>
      <c r="BZ116" s="71"/>
      <c r="CA116" s="71"/>
      <c r="CB116" s="71"/>
      <c r="CC116" s="71"/>
      <c r="CD116" s="71"/>
      <c r="CE116" s="72"/>
      <c r="CF116" s="73"/>
      <c r="CG116" s="73"/>
      <c r="CH116" s="73"/>
      <c r="CI116" s="73"/>
      <c r="CJ116" s="73"/>
      <c r="CK116" s="71"/>
      <c r="CL116" s="71"/>
      <c r="CM116" s="71"/>
      <c r="CN116" s="71"/>
      <c r="CO116" s="71"/>
      <c r="CP116" s="71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6"/>
      <c r="M117" s="66"/>
      <c r="N117" s="66"/>
      <c r="O117" s="66"/>
      <c r="P117" s="67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8"/>
      <c r="AH117" s="66"/>
      <c r="AI117" s="66"/>
      <c r="AJ117" s="66"/>
      <c r="AK117" s="67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8"/>
      <c r="BD117" s="69"/>
      <c r="BE117" s="69"/>
      <c r="BF117" s="69"/>
      <c r="BG117" s="69"/>
      <c r="BH117" s="69"/>
      <c r="BI117" s="69"/>
      <c r="BJ117" s="69"/>
      <c r="BK117" s="69"/>
      <c r="BL117" s="69"/>
      <c r="BM117" s="67"/>
      <c r="BN117" s="69"/>
      <c r="BO117" s="69"/>
      <c r="BP117" s="69"/>
      <c r="BQ117" s="69"/>
      <c r="BR117" s="67"/>
      <c r="BS117" s="70"/>
      <c r="BT117" s="70"/>
      <c r="BU117" s="70"/>
      <c r="BV117" s="70"/>
      <c r="BW117" s="68"/>
      <c r="BX117" s="71"/>
      <c r="BY117" s="71"/>
      <c r="BZ117" s="71"/>
      <c r="CA117" s="71"/>
      <c r="CB117" s="71"/>
      <c r="CC117" s="71"/>
      <c r="CD117" s="71"/>
      <c r="CE117" s="72"/>
      <c r="CF117" s="73"/>
      <c r="CG117" s="73"/>
      <c r="CH117" s="73"/>
      <c r="CI117" s="73"/>
      <c r="CJ117" s="73"/>
      <c r="CK117" s="71"/>
      <c r="CL117" s="71"/>
      <c r="CM117" s="71"/>
      <c r="CN117" s="71"/>
      <c r="CO117" s="71"/>
      <c r="CP117" s="71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6"/>
      <c r="M118" s="66"/>
      <c r="N118" s="66"/>
      <c r="O118" s="66"/>
      <c r="P118" s="67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8"/>
      <c r="AH118" s="66"/>
      <c r="AI118" s="66"/>
      <c r="AJ118" s="66"/>
      <c r="AK118" s="67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8"/>
      <c r="BD118" s="69"/>
      <c r="BE118" s="69"/>
      <c r="BF118" s="69"/>
      <c r="BG118" s="69"/>
      <c r="BH118" s="69"/>
      <c r="BI118" s="69"/>
      <c r="BJ118" s="69"/>
      <c r="BK118" s="69"/>
      <c r="BL118" s="69"/>
      <c r="BM118" s="67"/>
      <c r="BN118" s="69"/>
      <c r="BO118" s="69"/>
      <c r="BP118" s="69"/>
      <c r="BQ118" s="69"/>
      <c r="BR118" s="67"/>
      <c r="BS118" s="70"/>
      <c r="BT118" s="70"/>
      <c r="BU118" s="70"/>
      <c r="BV118" s="70"/>
      <c r="BW118" s="68"/>
      <c r="BX118" s="71"/>
      <c r="BY118" s="71"/>
      <c r="BZ118" s="71"/>
      <c r="CA118" s="71"/>
      <c r="CB118" s="71"/>
      <c r="CC118" s="71"/>
      <c r="CD118" s="71"/>
      <c r="CE118" s="72"/>
      <c r="CF118" s="73"/>
      <c r="CG118" s="73"/>
      <c r="CH118" s="73"/>
      <c r="CI118" s="73"/>
      <c r="CJ118" s="73"/>
      <c r="CK118" s="71"/>
      <c r="CL118" s="71"/>
      <c r="CM118" s="71"/>
      <c r="CN118" s="71"/>
      <c r="CO118" s="71"/>
      <c r="CP118" s="71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6"/>
      <c r="M119" s="66"/>
      <c r="N119" s="66"/>
      <c r="O119" s="66"/>
      <c r="P119" s="67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8"/>
      <c r="AH119" s="66"/>
      <c r="AI119" s="66"/>
      <c r="AJ119" s="66"/>
      <c r="AK119" s="67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8"/>
      <c r="BD119" s="69"/>
      <c r="BE119" s="69"/>
      <c r="BF119" s="69"/>
      <c r="BG119" s="69"/>
      <c r="BH119" s="69"/>
      <c r="BI119" s="69"/>
      <c r="BJ119" s="69"/>
      <c r="BK119" s="69"/>
      <c r="BL119" s="69"/>
      <c r="BM119" s="67"/>
      <c r="BN119" s="69"/>
      <c r="BO119" s="69"/>
      <c r="BP119" s="69"/>
      <c r="BQ119" s="69"/>
      <c r="BR119" s="67"/>
      <c r="BS119" s="70"/>
      <c r="BT119" s="70"/>
      <c r="BU119" s="70"/>
      <c r="BV119" s="70"/>
      <c r="BW119" s="68"/>
      <c r="BX119" s="71"/>
      <c r="BY119" s="71"/>
      <c r="BZ119" s="71"/>
      <c r="CA119" s="71"/>
      <c r="CB119" s="71"/>
      <c r="CC119" s="71"/>
      <c r="CD119" s="71"/>
      <c r="CE119" s="72"/>
      <c r="CF119" s="73"/>
      <c r="CG119" s="73"/>
      <c r="CH119" s="73"/>
      <c r="CI119" s="73"/>
      <c r="CJ119" s="73"/>
      <c r="CK119" s="71"/>
      <c r="CL119" s="71"/>
      <c r="CM119" s="71"/>
      <c r="CN119" s="71"/>
      <c r="CO119" s="71"/>
      <c r="CP119" s="71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6"/>
      <c r="M120" s="66"/>
      <c r="N120" s="66"/>
      <c r="O120" s="66"/>
      <c r="P120" s="67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8"/>
      <c r="AH120" s="66"/>
      <c r="AI120" s="66"/>
      <c r="AJ120" s="66"/>
      <c r="AK120" s="67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8"/>
      <c r="BD120" s="69"/>
      <c r="BE120" s="69"/>
      <c r="BF120" s="69"/>
      <c r="BG120" s="69"/>
      <c r="BH120" s="69"/>
      <c r="BI120" s="69"/>
      <c r="BJ120" s="69"/>
      <c r="BK120" s="69"/>
      <c r="BL120" s="69"/>
      <c r="BM120" s="67"/>
      <c r="BN120" s="69"/>
      <c r="BO120" s="69"/>
      <c r="BP120" s="69"/>
      <c r="BQ120" s="69"/>
      <c r="BR120" s="67"/>
      <c r="BS120" s="70"/>
      <c r="BT120" s="70"/>
      <c r="BU120" s="70"/>
      <c r="BV120" s="70"/>
      <c r="BW120" s="68"/>
      <c r="BX120" s="71"/>
      <c r="BY120" s="71"/>
      <c r="BZ120" s="71"/>
      <c r="CA120" s="71"/>
      <c r="CB120" s="71"/>
      <c r="CC120" s="71"/>
      <c r="CD120" s="71"/>
      <c r="CE120" s="72"/>
      <c r="CF120" s="73"/>
      <c r="CG120" s="73"/>
      <c r="CH120" s="73"/>
      <c r="CI120" s="73"/>
      <c r="CJ120" s="73"/>
      <c r="CK120" s="71"/>
      <c r="CL120" s="71"/>
      <c r="CM120" s="71"/>
      <c r="CN120" s="71"/>
      <c r="CO120" s="71"/>
      <c r="CP120" s="71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6"/>
      <c r="M121" s="66"/>
      <c r="N121" s="66"/>
      <c r="O121" s="66"/>
      <c r="P121" s="67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8"/>
      <c r="AH121" s="66"/>
      <c r="AI121" s="66"/>
      <c r="AJ121" s="66"/>
      <c r="AK121" s="67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8"/>
      <c r="BD121" s="69"/>
      <c r="BE121" s="69"/>
      <c r="BF121" s="69"/>
      <c r="BG121" s="69"/>
      <c r="BH121" s="69"/>
      <c r="BI121" s="69"/>
      <c r="BJ121" s="69"/>
      <c r="BK121" s="69"/>
      <c r="BL121" s="69"/>
      <c r="BM121" s="67"/>
      <c r="BN121" s="69"/>
      <c r="BO121" s="69"/>
      <c r="BP121" s="69"/>
      <c r="BQ121" s="69"/>
      <c r="BR121" s="67"/>
      <c r="BS121" s="70"/>
      <c r="BT121" s="70"/>
      <c r="BU121" s="70"/>
      <c r="BV121" s="70"/>
      <c r="BW121" s="68"/>
      <c r="BX121" s="71"/>
      <c r="BY121" s="71"/>
      <c r="BZ121" s="71"/>
      <c r="CA121" s="71"/>
      <c r="CB121" s="71"/>
      <c r="CC121" s="71"/>
      <c r="CD121" s="71"/>
      <c r="CE121" s="72"/>
      <c r="CF121" s="73"/>
      <c r="CG121" s="73"/>
      <c r="CH121" s="73"/>
      <c r="CI121" s="73"/>
      <c r="CJ121" s="73"/>
      <c r="CK121" s="71"/>
      <c r="CL121" s="71"/>
      <c r="CM121" s="71"/>
      <c r="CN121" s="71"/>
      <c r="CO121" s="71"/>
      <c r="CP121" s="71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6"/>
      <c r="M122" s="66"/>
      <c r="N122" s="66"/>
      <c r="O122" s="66"/>
      <c r="P122" s="67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8"/>
      <c r="AH122" s="66"/>
      <c r="AI122" s="66"/>
      <c r="AJ122" s="66"/>
      <c r="AK122" s="67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8"/>
      <c r="BD122" s="69"/>
      <c r="BE122" s="69"/>
      <c r="BF122" s="69"/>
      <c r="BG122" s="69"/>
      <c r="BH122" s="69"/>
      <c r="BI122" s="69"/>
      <c r="BJ122" s="69"/>
      <c r="BK122" s="69"/>
      <c r="BL122" s="69"/>
      <c r="BM122" s="67"/>
      <c r="BN122" s="69"/>
      <c r="BO122" s="69"/>
      <c r="BP122" s="69"/>
      <c r="BQ122" s="69"/>
      <c r="BR122" s="67"/>
      <c r="BS122" s="70"/>
      <c r="BT122" s="70"/>
      <c r="BU122" s="70"/>
      <c r="BV122" s="70"/>
      <c r="BW122" s="68"/>
      <c r="BX122" s="71"/>
      <c r="BY122" s="71"/>
      <c r="BZ122" s="71"/>
      <c r="CA122" s="71"/>
      <c r="CB122" s="71"/>
      <c r="CC122" s="71"/>
      <c r="CD122" s="71"/>
      <c r="CE122" s="72"/>
      <c r="CF122" s="73"/>
      <c r="CG122" s="73"/>
      <c r="CH122" s="73"/>
      <c r="CI122" s="73"/>
      <c r="CJ122" s="73"/>
      <c r="CK122" s="71"/>
      <c r="CL122" s="71"/>
      <c r="CM122" s="71"/>
      <c r="CN122" s="71"/>
      <c r="CO122" s="71"/>
      <c r="CP122" s="71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5"/>
      <c r="M123" s="55"/>
      <c r="N123" s="55"/>
      <c r="O123" s="55"/>
      <c r="P123" s="74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55"/>
      <c r="AE123" s="55"/>
      <c r="AF123" s="55"/>
      <c r="AG123" s="75"/>
      <c r="AH123" s="55"/>
      <c r="AI123" s="55"/>
      <c r="AJ123" s="55"/>
      <c r="AK123" s="74"/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55"/>
      <c r="BA123" s="55"/>
      <c r="BB123" s="55"/>
      <c r="BC123" s="75"/>
      <c r="BD123" s="76"/>
      <c r="BE123" s="76"/>
      <c r="BF123" s="76"/>
      <c r="BG123" s="76"/>
      <c r="BH123" s="76"/>
      <c r="BI123" s="76"/>
      <c r="BJ123" s="76"/>
      <c r="BK123" s="76"/>
      <c r="BL123" s="76"/>
      <c r="BM123" s="74"/>
      <c r="BN123" s="76"/>
      <c r="BO123" s="76"/>
      <c r="BP123" s="76"/>
      <c r="BQ123" s="76"/>
      <c r="BR123" s="74"/>
      <c r="BS123" s="77"/>
      <c r="BT123" s="77"/>
      <c r="BU123" s="77"/>
      <c r="BV123" s="77"/>
      <c r="BW123" s="75"/>
      <c r="BX123" s="78"/>
      <c r="BY123" s="78"/>
      <c r="BZ123" s="78"/>
      <c r="CA123" s="78"/>
      <c r="CB123" s="78"/>
      <c r="CC123" s="78"/>
      <c r="CD123" s="78"/>
      <c r="CE123" s="79"/>
      <c r="CF123" s="80"/>
      <c r="CG123" s="80"/>
      <c r="CH123" s="80"/>
      <c r="CI123" s="80"/>
      <c r="CJ123" s="80"/>
      <c r="CK123" s="78"/>
      <c r="CL123" s="78"/>
      <c r="CM123" s="78"/>
      <c r="CN123" s="78"/>
      <c r="CO123" s="78"/>
      <c r="CP123" s="78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5"/>
      <c r="M124" s="55"/>
      <c r="N124" s="55"/>
      <c r="O124" s="55"/>
      <c r="P124" s="74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75"/>
      <c r="AH124" s="55"/>
      <c r="AI124" s="55"/>
      <c r="AJ124" s="55"/>
      <c r="AK124" s="74"/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55"/>
      <c r="BA124" s="55"/>
      <c r="BB124" s="55"/>
      <c r="BC124" s="75"/>
      <c r="BD124" s="76"/>
      <c r="BE124" s="76"/>
      <c r="BF124" s="76"/>
      <c r="BG124" s="76"/>
      <c r="BH124" s="76"/>
      <c r="BI124" s="76"/>
      <c r="BJ124" s="76"/>
      <c r="BK124" s="76"/>
      <c r="BL124" s="76"/>
      <c r="BM124" s="74"/>
      <c r="BN124" s="76"/>
      <c r="BO124" s="76"/>
      <c r="BP124" s="76"/>
      <c r="BQ124" s="76"/>
      <c r="BR124" s="74"/>
      <c r="BS124" s="77"/>
      <c r="BT124" s="77"/>
      <c r="BU124" s="77"/>
      <c r="BV124" s="77"/>
      <c r="BW124" s="75"/>
      <c r="BX124" s="78"/>
      <c r="BY124" s="78"/>
      <c r="BZ124" s="78"/>
      <c r="CA124" s="78"/>
      <c r="CB124" s="78"/>
      <c r="CC124" s="78"/>
      <c r="CD124" s="78"/>
      <c r="CE124" s="79"/>
      <c r="CF124" s="80"/>
      <c r="CG124" s="80"/>
      <c r="CH124" s="80"/>
      <c r="CI124" s="80"/>
      <c r="CJ124" s="80"/>
      <c r="CK124" s="78"/>
      <c r="CL124" s="78"/>
      <c r="CM124" s="78"/>
      <c r="CN124" s="78"/>
      <c r="CO124" s="78"/>
      <c r="CP124" s="78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5"/>
      <c r="M125" s="55"/>
      <c r="N125" s="55"/>
      <c r="O125" s="55"/>
      <c r="P125" s="74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55"/>
      <c r="AE125" s="55"/>
      <c r="AF125" s="55"/>
      <c r="AG125" s="75"/>
      <c r="AH125" s="55"/>
      <c r="AI125" s="55"/>
      <c r="AJ125" s="55"/>
      <c r="AK125" s="74"/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55"/>
      <c r="BA125" s="55"/>
      <c r="BB125" s="55"/>
      <c r="BC125" s="75"/>
      <c r="BD125" s="76"/>
      <c r="BE125" s="76"/>
      <c r="BF125" s="76"/>
      <c r="BG125" s="76"/>
      <c r="BH125" s="76"/>
      <c r="BI125" s="76"/>
      <c r="BJ125" s="76"/>
      <c r="BK125" s="76"/>
      <c r="BL125" s="76"/>
      <c r="BM125" s="74"/>
      <c r="BN125" s="76"/>
      <c r="BO125" s="76"/>
      <c r="BP125" s="76"/>
      <c r="BQ125" s="76"/>
      <c r="BR125" s="74"/>
      <c r="BS125" s="77"/>
      <c r="BT125" s="77"/>
      <c r="BU125" s="77"/>
      <c r="BV125" s="77"/>
      <c r="BW125" s="75"/>
      <c r="BX125" s="78"/>
      <c r="BY125" s="78"/>
      <c r="BZ125" s="78"/>
      <c r="CA125" s="78"/>
      <c r="CB125" s="78"/>
      <c r="CC125" s="78"/>
      <c r="CD125" s="78"/>
      <c r="CE125" s="79"/>
      <c r="CF125" s="80"/>
      <c r="CG125" s="80"/>
      <c r="CH125" s="80"/>
      <c r="CI125" s="80"/>
      <c r="CJ125" s="80"/>
      <c r="CK125" s="78"/>
      <c r="CL125" s="78"/>
      <c r="CM125" s="78"/>
      <c r="CN125" s="78"/>
      <c r="CO125" s="78"/>
      <c r="CP125" s="78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/>
      <c r="BB126" s="55"/>
      <c r="BC126" s="75"/>
      <c r="BD126" s="76"/>
      <c r="BE126" s="76"/>
      <c r="BF126" s="76"/>
      <c r="BG126" s="76"/>
      <c r="BH126" s="76"/>
      <c r="BI126" s="76"/>
      <c r="BJ126" s="76"/>
      <c r="BK126" s="76"/>
      <c r="BL126" s="76"/>
      <c r="BM126" s="74"/>
      <c r="BN126" s="76"/>
      <c r="BO126" s="76"/>
      <c r="BP126" s="76"/>
      <c r="BQ126" s="76"/>
      <c r="BR126" s="74"/>
      <c r="BS126" s="77"/>
      <c r="BT126" s="77"/>
      <c r="BU126" s="77"/>
      <c r="BV126" s="77"/>
      <c r="BW126" s="75"/>
      <c r="BX126" s="78"/>
      <c r="BY126" s="78"/>
      <c r="BZ126" s="78"/>
      <c r="CA126" s="78"/>
      <c r="CB126" s="78"/>
      <c r="CC126" s="78"/>
      <c r="CD126" s="78"/>
      <c r="CE126" s="79"/>
      <c r="CF126" s="80"/>
      <c r="CG126" s="80"/>
      <c r="CH126" s="80"/>
      <c r="CI126" s="80"/>
      <c r="CJ126" s="80"/>
      <c r="CK126" s="78"/>
      <c r="CL126" s="78"/>
      <c r="CM126" s="78"/>
      <c r="CN126" s="78"/>
      <c r="CO126" s="78"/>
      <c r="CP126" s="78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191"/>
      <c r="AQ127" s="191"/>
      <c r="AR127" s="191"/>
      <c r="AS127" s="191"/>
      <c r="AT127" s="191"/>
      <c r="AU127" s="191"/>
      <c r="AV127" s="191"/>
      <c r="AW127" s="191"/>
      <c r="AX127" s="191"/>
      <c r="AY127" s="191"/>
      <c r="AZ127" s="191"/>
      <c r="BA127" s="191"/>
      <c r="BB127" s="191"/>
      <c r="BC127" s="27"/>
      <c r="BD127" s="81"/>
      <c r="BE127" s="81"/>
      <c r="BF127" s="81"/>
      <c r="BG127" s="81"/>
      <c r="BH127" s="81"/>
      <c r="BI127" s="81"/>
      <c r="BJ127" s="81"/>
      <c r="BK127" s="81"/>
      <c r="BL127" s="81"/>
      <c r="BM127" s="191"/>
      <c r="BN127" s="81"/>
      <c r="BO127" s="81"/>
      <c r="BP127" s="81"/>
      <c r="BQ127" s="81"/>
      <c r="BR127" s="191"/>
      <c r="BS127" s="82"/>
      <c r="BT127" s="82"/>
      <c r="BU127" s="82"/>
      <c r="BV127" s="82"/>
      <c r="BW127" s="27"/>
      <c r="BX127" s="88"/>
      <c r="BY127" s="88"/>
      <c r="BZ127" s="88"/>
      <c r="CA127" s="88"/>
      <c r="CB127" s="88"/>
      <c r="CC127" s="88"/>
      <c r="CD127" s="88"/>
      <c r="CF127" s="83"/>
      <c r="CG127" s="83"/>
      <c r="CH127" s="83"/>
      <c r="CI127" s="83"/>
      <c r="CK127" s="88"/>
      <c r="CL127" s="88"/>
      <c r="CM127" s="88"/>
      <c r="CN127" s="88"/>
      <c r="CO127" s="88"/>
      <c r="CP127" s="88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191"/>
      <c r="AQ128" s="191"/>
      <c r="AR128" s="191"/>
      <c r="AS128" s="191"/>
      <c r="AT128" s="191"/>
      <c r="AU128" s="191"/>
      <c r="AV128" s="191"/>
      <c r="AW128" s="191"/>
      <c r="AX128" s="191"/>
      <c r="AY128" s="191"/>
      <c r="AZ128" s="191"/>
      <c r="BA128" s="191"/>
      <c r="BB128" s="191"/>
      <c r="BC128" s="27"/>
      <c r="BD128" s="81"/>
      <c r="BE128" s="81"/>
      <c r="BF128" s="81"/>
      <c r="BG128" s="81"/>
      <c r="BH128" s="81"/>
      <c r="BI128" s="81"/>
      <c r="BJ128" s="81"/>
      <c r="BK128" s="81"/>
      <c r="BL128" s="81"/>
      <c r="BM128" s="191"/>
      <c r="BN128" s="81"/>
      <c r="BO128" s="81"/>
      <c r="BP128" s="81"/>
      <c r="BQ128" s="81"/>
      <c r="BR128" s="191"/>
      <c r="BS128" s="82"/>
      <c r="BT128" s="82"/>
      <c r="BU128" s="82"/>
      <c r="BV128" s="82"/>
      <c r="BW128" s="27"/>
      <c r="BX128" s="88"/>
      <c r="BY128" s="88"/>
      <c r="BZ128" s="88"/>
      <c r="CA128" s="88"/>
      <c r="CB128" s="88"/>
      <c r="CC128" s="88"/>
      <c r="CD128" s="88"/>
      <c r="CF128" s="83"/>
      <c r="CG128" s="83"/>
      <c r="CH128" s="83"/>
      <c r="CI128" s="83"/>
      <c r="CK128" s="88"/>
      <c r="CL128" s="88"/>
      <c r="CM128" s="88"/>
      <c r="CN128" s="88"/>
      <c r="CO128" s="88"/>
      <c r="CP128" s="88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191"/>
      <c r="AQ129" s="191"/>
      <c r="AR129" s="191"/>
      <c r="AS129" s="191"/>
      <c r="AT129" s="191"/>
      <c r="AU129" s="191"/>
      <c r="AV129" s="191"/>
      <c r="AW129" s="191"/>
      <c r="AX129" s="191"/>
      <c r="AY129" s="191"/>
      <c r="AZ129" s="191"/>
      <c r="BA129" s="191"/>
      <c r="BB129" s="191"/>
      <c r="BC129" s="27"/>
      <c r="BD129" s="81"/>
      <c r="BE129" s="81"/>
      <c r="BF129" s="81"/>
      <c r="BG129" s="81"/>
      <c r="BH129" s="81"/>
      <c r="BI129" s="81"/>
      <c r="BJ129" s="81"/>
      <c r="BK129" s="81"/>
      <c r="BL129" s="81"/>
      <c r="BM129" s="191"/>
      <c r="BN129" s="81"/>
      <c r="BO129" s="81"/>
      <c r="BP129" s="81"/>
      <c r="BQ129" s="81"/>
      <c r="BR129" s="191"/>
      <c r="BS129" s="82"/>
      <c r="BT129" s="82"/>
      <c r="BU129" s="82"/>
      <c r="BV129" s="82"/>
      <c r="BW129" s="27"/>
      <c r="BX129" s="88"/>
      <c r="BY129" s="88"/>
      <c r="BZ129" s="88"/>
      <c r="CA129" s="88"/>
      <c r="CB129" s="88"/>
      <c r="CC129" s="88"/>
      <c r="CD129" s="88"/>
      <c r="CF129" s="83"/>
      <c r="CG129" s="83"/>
      <c r="CH129" s="83"/>
      <c r="CI129" s="83"/>
      <c r="CK129" s="88"/>
      <c r="CL129" s="88"/>
      <c r="CM129" s="88"/>
      <c r="CN129" s="88"/>
      <c r="CO129" s="88"/>
      <c r="CP129" s="88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88"/>
      <c r="CA130" s="88"/>
      <c r="CB130" s="88"/>
      <c r="CC130" s="88"/>
      <c r="CD130" s="88"/>
      <c r="CF130" s="83"/>
      <c r="CG130" s="83"/>
      <c r="CH130" s="83"/>
      <c r="CI130" s="83"/>
      <c r="CK130" s="88"/>
      <c r="CL130" s="88"/>
      <c r="CM130" s="88"/>
      <c r="CN130" s="88"/>
      <c r="CO130" s="88"/>
      <c r="CP130" s="88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88"/>
      <c r="CA131" s="88"/>
      <c r="CB131" s="88"/>
      <c r="CC131" s="88"/>
      <c r="CD131" s="88"/>
      <c r="CF131" s="83"/>
      <c r="CG131" s="83"/>
      <c r="CH131" s="83"/>
      <c r="CI131" s="83"/>
      <c r="CK131" s="88"/>
      <c r="CL131" s="88"/>
      <c r="CM131" s="88"/>
      <c r="CN131" s="88"/>
      <c r="CO131" s="88"/>
      <c r="CP131" s="88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88"/>
      <c r="CA132" s="88"/>
      <c r="CB132" s="88"/>
      <c r="CC132" s="88"/>
      <c r="CD132" s="88"/>
      <c r="CE132" s="51"/>
      <c r="CF132" s="83"/>
      <c r="CG132" s="83"/>
      <c r="CH132" s="83"/>
      <c r="CI132" s="83"/>
      <c r="CK132" s="88"/>
      <c r="CL132" s="88"/>
      <c r="CM132" s="88"/>
      <c r="CN132" s="88"/>
      <c r="CO132" s="88"/>
      <c r="CP132" s="88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88"/>
      <c r="CA133" s="88"/>
      <c r="CB133" s="88"/>
      <c r="CC133" s="88"/>
      <c r="CD133" s="88"/>
      <c r="CE133" s="51"/>
      <c r="CF133" s="83"/>
      <c r="CG133" s="83"/>
      <c r="CH133" s="83"/>
      <c r="CI133" s="83"/>
      <c r="CK133" s="88"/>
      <c r="CL133" s="88"/>
      <c r="CM133" s="88"/>
      <c r="CN133" s="88"/>
      <c r="CO133" s="88"/>
      <c r="CP133" s="88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88"/>
      <c r="CA134" s="88"/>
      <c r="CB134" s="88"/>
      <c r="CC134" s="88"/>
      <c r="CD134" s="88"/>
      <c r="CE134" s="51"/>
      <c r="CF134" s="83"/>
      <c r="CG134" s="83"/>
      <c r="CH134" s="83"/>
      <c r="CI134" s="83"/>
      <c r="CK134" s="88"/>
      <c r="CL134" s="88"/>
      <c r="CM134" s="88"/>
      <c r="CN134" s="88"/>
      <c r="CO134" s="88"/>
      <c r="CP134" s="88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191"/>
      <c r="FN134" s="191"/>
    </row>
    <row r="135" spans="7:170" ht="3.75" hidden="1" customHeight="1" x14ac:dyDescent="0.15">
      <c r="G135" s="21"/>
      <c r="H135" s="21"/>
      <c r="I135" s="21"/>
      <c r="J135" s="21"/>
      <c r="K135" s="23"/>
      <c r="BZ135" s="88"/>
      <c r="CA135" s="88"/>
      <c r="CB135" s="88"/>
      <c r="CC135" s="88"/>
      <c r="CD135" s="88"/>
      <c r="CE135" s="51"/>
      <c r="CF135" s="83"/>
      <c r="CG135" s="83"/>
      <c r="CH135" s="83"/>
      <c r="CI135" s="83"/>
      <c r="CK135" s="88"/>
      <c r="CL135" s="88"/>
      <c r="CM135" s="88"/>
      <c r="CN135" s="88"/>
      <c r="CO135" s="88"/>
      <c r="CP135" s="88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191"/>
      <c r="FN135" s="191"/>
    </row>
    <row r="136" spans="7:170" ht="3.75" hidden="1" customHeight="1" x14ac:dyDescent="0.15">
      <c r="G136" s="21"/>
      <c r="H136" s="21"/>
      <c r="I136" s="21"/>
      <c r="J136" s="21"/>
      <c r="K136" s="23"/>
      <c r="BZ136" s="88"/>
      <c r="CA136" s="88"/>
      <c r="CB136" s="88"/>
      <c r="CC136" s="88"/>
      <c r="CD136" s="88"/>
      <c r="CE136" s="51"/>
      <c r="CF136" s="83"/>
      <c r="CG136" s="83"/>
      <c r="CH136" s="83"/>
      <c r="CI136" s="83"/>
      <c r="CK136" s="88"/>
      <c r="CL136" s="88"/>
      <c r="CM136" s="88"/>
      <c r="CN136" s="88"/>
      <c r="CO136" s="88"/>
      <c r="CP136" s="88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191"/>
      <c r="FN136" s="50"/>
    </row>
    <row r="137" spans="7:170" ht="3.75" hidden="1" customHeight="1" x14ac:dyDescent="0.15">
      <c r="G137" s="21"/>
      <c r="H137" s="21"/>
      <c r="I137" s="21"/>
      <c r="J137" s="21"/>
      <c r="K137" s="23"/>
      <c r="BZ137" s="88"/>
      <c r="CA137" s="88"/>
      <c r="CB137" s="88"/>
      <c r="CC137" s="88"/>
      <c r="CD137" s="88"/>
      <c r="CE137" s="51"/>
      <c r="CF137" s="83"/>
      <c r="CG137" s="83"/>
      <c r="CH137" s="83"/>
      <c r="CI137" s="83"/>
      <c r="CK137" s="88"/>
      <c r="CL137" s="88"/>
      <c r="CM137" s="88"/>
      <c r="CN137" s="88"/>
      <c r="CO137" s="88"/>
      <c r="CP137" s="88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191"/>
      <c r="FN137" s="50"/>
    </row>
    <row r="138" spans="7:170" ht="3.75" hidden="1" customHeight="1" x14ac:dyDescent="0.15">
      <c r="G138" s="21"/>
      <c r="H138" s="21"/>
      <c r="I138" s="21"/>
      <c r="J138" s="21"/>
      <c r="K138" s="23"/>
      <c r="BZ138" s="88"/>
      <c r="CA138" s="88"/>
      <c r="CB138" s="88"/>
      <c r="CC138" s="88"/>
      <c r="CD138" s="88"/>
      <c r="CF138" s="83"/>
      <c r="CG138" s="83"/>
      <c r="CH138" s="83"/>
      <c r="CI138" s="83"/>
      <c r="CK138" s="88"/>
      <c r="CL138" s="88"/>
      <c r="CM138" s="88"/>
      <c r="CN138" s="88"/>
      <c r="CO138" s="88"/>
      <c r="CP138" s="88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191"/>
      <c r="FN138" s="50"/>
    </row>
    <row r="139" spans="7:170" ht="3.75" hidden="1" customHeight="1" x14ac:dyDescent="0.15">
      <c r="G139" s="21"/>
      <c r="H139" s="21"/>
      <c r="I139" s="21"/>
      <c r="J139" s="21"/>
      <c r="K139" s="23"/>
      <c r="BZ139" s="88"/>
      <c r="CA139" s="88"/>
      <c r="CB139" s="88"/>
      <c r="CC139" s="88"/>
      <c r="CD139" s="88"/>
      <c r="CE139" s="191"/>
      <c r="CF139" s="83"/>
      <c r="CG139" s="83"/>
      <c r="CH139" s="83"/>
      <c r="CI139" s="83"/>
      <c r="CK139" s="88"/>
      <c r="CL139" s="88"/>
      <c r="CM139" s="88"/>
      <c r="CN139" s="88"/>
      <c r="CO139" s="88"/>
      <c r="CP139" s="88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191"/>
      <c r="FN139" s="50"/>
    </row>
    <row r="140" spans="7:170" ht="3.75" hidden="1" customHeight="1" x14ac:dyDescent="0.15">
      <c r="G140" s="21"/>
      <c r="H140" s="21"/>
      <c r="I140" s="21"/>
      <c r="J140" s="21"/>
      <c r="K140" s="23"/>
      <c r="BZ140" s="88"/>
      <c r="CA140" s="88"/>
      <c r="CB140" s="88"/>
      <c r="CC140" s="88"/>
      <c r="CD140" s="88"/>
      <c r="CE140" s="191"/>
      <c r="CF140" s="83"/>
      <c r="CG140" s="83"/>
      <c r="CH140" s="83"/>
      <c r="CI140" s="83"/>
      <c r="CK140" s="88"/>
      <c r="CL140" s="88"/>
      <c r="CM140" s="88"/>
      <c r="CN140" s="88"/>
      <c r="CO140" s="88"/>
      <c r="CP140" s="88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88"/>
      <c r="CA141" s="88"/>
      <c r="CB141" s="88"/>
      <c r="CC141" s="88"/>
      <c r="CD141" s="88"/>
      <c r="CE141" s="191"/>
      <c r="CF141" s="83"/>
      <c r="CG141" s="83"/>
      <c r="CH141" s="83"/>
      <c r="CI141" s="83"/>
      <c r="CK141" s="88"/>
      <c r="CL141" s="88"/>
      <c r="CM141" s="88"/>
      <c r="CN141" s="88"/>
      <c r="CO141" s="88"/>
      <c r="CP141" s="88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191"/>
      <c r="FN141" s="191"/>
    </row>
    <row r="142" spans="7:170" ht="3.75" hidden="1" customHeight="1" x14ac:dyDescent="0.15">
      <c r="G142" s="21"/>
      <c r="H142" s="21"/>
      <c r="I142" s="21"/>
      <c r="J142" s="21"/>
      <c r="K142" s="23"/>
      <c r="BZ142" s="88"/>
      <c r="CA142" s="88"/>
      <c r="CB142" s="88"/>
      <c r="CC142" s="88"/>
      <c r="CD142" s="88"/>
      <c r="CE142" s="191"/>
      <c r="CF142" s="83"/>
      <c r="CG142" s="83"/>
      <c r="CH142" s="83"/>
      <c r="CI142" s="83"/>
      <c r="CK142" s="88"/>
      <c r="CL142" s="88"/>
      <c r="CM142" s="88"/>
      <c r="CN142" s="88"/>
      <c r="CO142" s="88"/>
      <c r="CP142" s="88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191"/>
      <c r="FN142" s="191"/>
    </row>
    <row r="143" spans="7:170" ht="3.75" hidden="1" customHeight="1" x14ac:dyDescent="0.15">
      <c r="G143" s="21"/>
      <c r="H143" s="21"/>
      <c r="I143" s="21"/>
      <c r="J143" s="21"/>
      <c r="K143" s="23"/>
      <c r="L143" s="191"/>
      <c r="M143" s="191"/>
      <c r="N143" s="191"/>
      <c r="O143" s="191"/>
      <c r="P143" s="191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27"/>
      <c r="AH143" s="191"/>
      <c r="AI143" s="191"/>
      <c r="AJ143" s="191"/>
      <c r="AK143" s="191"/>
      <c r="AL143" s="191"/>
      <c r="AM143" s="191"/>
      <c r="AN143" s="191"/>
      <c r="AO143" s="191"/>
      <c r="BZ143" s="88"/>
      <c r="CA143" s="88"/>
      <c r="CB143" s="88"/>
      <c r="CC143" s="88"/>
      <c r="CD143" s="88"/>
      <c r="CF143" s="83"/>
      <c r="CG143" s="83"/>
      <c r="CH143" s="83"/>
      <c r="CI143" s="83"/>
      <c r="CK143" s="88"/>
      <c r="CL143" s="88"/>
      <c r="CM143" s="88"/>
      <c r="CN143" s="88"/>
      <c r="CO143" s="88"/>
      <c r="CP143" s="88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191"/>
      <c r="FN143" s="191"/>
    </row>
    <row r="144" spans="7:170" ht="3.75" hidden="1" customHeight="1" x14ac:dyDescent="0.15">
      <c r="G144" s="21"/>
      <c r="H144" s="21"/>
      <c r="I144" s="21"/>
      <c r="J144" s="21"/>
      <c r="K144" s="23"/>
      <c r="BZ144" s="88"/>
      <c r="CA144" s="88"/>
      <c r="CB144" s="88"/>
      <c r="CC144" s="88"/>
      <c r="CD144" s="88"/>
      <c r="CE144" s="51"/>
      <c r="CF144" s="83"/>
      <c r="CG144" s="83"/>
      <c r="CH144" s="83"/>
      <c r="CI144" s="83"/>
      <c r="CK144" s="88"/>
      <c r="CL144" s="88"/>
      <c r="CM144" s="88"/>
      <c r="CN144" s="88"/>
      <c r="CO144" s="88"/>
      <c r="CP144" s="88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191"/>
      <c r="FN144" s="191"/>
    </row>
    <row r="145" spans="1:170" ht="3.75" hidden="1" customHeight="1" x14ac:dyDescent="0.15">
      <c r="G145" s="21"/>
      <c r="H145" s="21"/>
      <c r="I145" s="21"/>
      <c r="J145" s="21"/>
      <c r="K145" s="23"/>
      <c r="BZ145" s="88"/>
      <c r="CA145" s="88"/>
      <c r="CB145" s="88"/>
      <c r="CC145" s="88"/>
      <c r="CD145" s="88"/>
      <c r="CE145" s="51"/>
      <c r="CF145" s="83"/>
      <c r="CG145" s="83"/>
      <c r="CH145" s="83"/>
      <c r="CI145" s="83"/>
      <c r="CK145" s="88"/>
      <c r="CL145" s="88"/>
      <c r="CM145" s="88"/>
      <c r="CN145" s="88"/>
      <c r="CO145" s="88"/>
      <c r="CP145" s="88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88"/>
      <c r="CA146" s="88"/>
      <c r="CB146" s="88"/>
      <c r="CC146" s="88"/>
      <c r="CD146" s="88"/>
      <c r="CE146" s="51"/>
      <c r="CF146" s="83"/>
      <c r="CG146" s="83"/>
      <c r="CH146" s="83"/>
      <c r="CI146" s="83"/>
      <c r="CK146" s="88"/>
      <c r="CL146" s="88"/>
      <c r="CM146" s="88"/>
      <c r="CN146" s="88"/>
      <c r="CO146" s="88"/>
      <c r="CP146" s="88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1"/>
      <c r="FN146" s="84"/>
    </row>
    <row r="147" spans="1:170" ht="3.75" hidden="1" customHeight="1" x14ac:dyDescent="0.15">
      <c r="G147" s="21"/>
      <c r="H147" s="21"/>
      <c r="I147" s="21"/>
      <c r="J147" s="21"/>
      <c r="K147" s="23"/>
      <c r="BZ147" s="88"/>
      <c r="CA147" s="88"/>
      <c r="CB147" s="88"/>
      <c r="CC147" s="88"/>
      <c r="CD147" s="88"/>
      <c r="CE147" s="51"/>
      <c r="CF147" s="83"/>
      <c r="CG147" s="83"/>
      <c r="CH147" s="83"/>
      <c r="CI147" s="83"/>
      <c r="CK147" s="88"/>
      <c r="CL147" s="88"/>
      <c r="CM147" s="88"/>
      <c r="CN147" s="88"/>
      <c r="CO147" s="88"/>
      <c r="CP147" s="88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1"/>
      <c r="FN147" s="84"/>
    </row>
    <row r="148" spans="1:170" ht="3.75" hidden="1" customHeight="1" x14ac:dyDescent="0.15">
      <c r="G148" s="21"/>
      <c r="H148" s="21"/>
      <c r="I148" s="21"/>
      <c r="J148" s="21"/>
      <c r="K148" s="23"/>
      <c r="BZ148" s="88"/>
      <c r="CA148" s="88"/>
      <c r="CB148" s="88"/>
      <c r="CC148" s="88"/>
      <c r="CD148" s="88"/>
      <c r="CE148" s="51"/>
      <c r="CF148" s="83"/>
      <c r="CG148" s="83"/>
      <c r="CH148" s="83"/>
      <c r="CI148" s="83"/>
      <c r="CK148" s="88"/>
      <c r="CL148" s="88"/>
      <c r="CM148" s="88"/>
      <c r="CN148" s="88"/>
      <c r="CO148" s="88"/>
      <c r="CP148" s="88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1"/>
      <c r="FN148" s="84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1"/>
      <c r="FN149" s="84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1"/>
      <c r="FN150" s="192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190"/>
      <c r="EZ151" s="190"/>
      <c r="FA151" s="190"/>
      <c r="FB151" s="190"/>
      <c r="FC151" s="190"/>
      <c r="FE151" s="51"/>
      <c r="FF151" s="51"/>
      <c r="FG151" s="51"/>
      <c r="FH151" s="51"/>
      <c r="FI151" s="51"/>
      <c r="FJ151" s="51"/>
      <c r="FK151" s="51"/>
      <c r="FL151" s="51"/>
      <c r="FM151" s="51"/>
      <c r="FN151" s="192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6"/>
      <c r="B156" s="56"/>
      <c r="C156" s="56"/>
      <c r="D156" s="56"/>
      <c r="E156" s="56"/>
      <c r="F156" s="56"/>
      <c r="G156" s="48"/>
      <c r="H156" s="48"/>
      <c r="I156" s="48"/>
      <c r="J156" s="48"/>
      <c r="K156" s="45"/>
    </row>
    <row r="157" spans="1:170" ht="3.75" hidden="1" customHeight="1" x14ac:dyDescent="0.2">
      <c r="A157" s="56"/>
      <c r="B157" s="56"/>
      <c r="C157" s="56"/>
      <c r="D157" s="56"/>
      <c r="E157" s="56"/>
      <c r="F157" s="56"/>
      <c r="G157" s="48"/>
      <c r="H157" s="48"/>
      <c r="I157" s="48"/>
      <c r="J157" s="48"/>
      <c r="K157" s="45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algorithmName="SHA-512" hashValue="w4GZ0hylBdw+tp9Z8qSpPLteW4vDMDtyE0x4xCVfnzdQYV1t3jaGB77n3DFHGj+HhVi6P8WTYGOmHlyqzpenRw==" saltValue="iLFyZJefNxX2rApzVSAJYg==" spinCount="100000" sheet="1" objects="1" scenarios="1"/>
  <mergeCells count="1048">
    <mergeCell ref="EJ65:FE66"/>
    <mergeCell ref="BW105:CA106"/>
    <mergeCell ref="DO109:DS110"/>
    <mergeCell ref="DT109:EA110"/>
    <mergeCell ref="EB109:EI110"/>
    <mergeCell ref="CB109:CB110"/>
    <mergeCell ref="CC109:CI110"/>
    <mergeCell ref="CJ109:CP110"/>
    <mergeCell ref="CQ109:CY110"/>
    <mergeCell ref="CZ109:DF110"/>
    <mergeCell ref="DG109:DN110"/>
    <mergeCell ref="AO109:AO110"/>
    <mergeCell ref="AP109:BG110"/>
    <mergeCell ref="BH109:BK110"/>
    <mergeCell ref="BL109:BQ110"/>
    <mergeCell ref="BR109:BV110"/>
    <mergeCell ref="BW109:CA110"/>
    <mergeCell ref="DG105:DN106"/>
    <mergeCell ref="DO105:DS106"/>
    <mergeCell ref="DT105:EA106"/>
    <mergeCell ref="BH105:BK106"/>
    <mergeCell ref="BL105:BQ106"/>
    <mergeCell ref="BR105:BV106"/>
    <mergeCell ref="BL101:BQ102"/>
    <mergeCell ref="BR101:BV102"/>
    <mergeCell ref="BW101:CA102"/>
    <mergeCell ref="DG97:DN98"/>
    <mergeCell ref="AO97:AO98"/>
    <mergeCell ref="AP97:BG98"/>
    <mergeCell ref="BH97:BK98"/>
    <mergeCell ref="BL97:BQ98"/>
    <mergeCell ref="BR97:BV98"/>
    <mergeCell ref="N109:P110"/>
    <mergeCell ref="Q109:Q110"/>
    <mergeCell ref="R109:T110"/>
    <mergeCell ref="U109:U110"/>
    <mergeCell ref="V109:AK110"/>
    <mergeCell ref="AL109:AN110"/>
    <mergeCell ref="CB103:CB104"/>
    <mergeCell ref="CQ107:CY108"/>
    <mergeCell ref="CZ107:DF108"/>
    <mergeCell ref="DG107:DN108"/>
    <mergeCell ref="DO107:DS108"/>
    <mergeCell ref="DT107:EA108"/>
    <mergeCell ref="EB107:EI108"/>
    <mergeCell ref="BL107:BQ108"/>
    <mergeCell ref="BR107:BV108"/>
    <mergeCell ref="BW107:CA108"/>
    <mergeCell ref="CB107:CB108"/>
    <mergeCell ref="CC107:CI108"/>
    <mergeCell ref="CJ107:CP108"/>
    <mergeCell ref="EB105:EI106"/>
    <mergeCell ref="N107:P108"/>
    <mergeCell ref="Q107:Q108"/>
    <mergeCell ref="R107:T108"/>
    <mergeCell ref="U107:U108"/>
    <mergeCell ref="V107:AK108"/>
    <mergeCell ref="AL107:AN108"/>
    <mergeCell ref="AO107:AO108"/>
    <mergeCell ref="AP107:BG108"/>
    <mergeCell ref="BH107:BK108"/>
    <mergeCell ref="CJ105:CP106"/>
    <mergeCell ref="CQ105:CY106"/>
    <mergeCell ref="CZ105:DF106"/>
    <mergeCell ref="Q101:Q102"/>
    <mergeCell ref="R101:T102"/>
    <mergeCell ref="U101:U102"/>
    <mergeCell ref="V101:AK102"/>
    <mergeCell ref="AL101:AN102"/>
    <mergeCell ref="CB105:CB106"/>
    <mergeCell ref="CC105:CI106"/>
    <mergeCell ref="DT103:EA104"/>
    <mergeCell ref="EB103:EI104"/>
    <mergeCell ref="N105:P106"/>
    <mergeCell ref="Q105:Q106"/>
    <mergeCell ref="R105:T106"/>
    <mergeCell ref="U105:U106"/>
    <mergeCell ref="V105:AK106"/>
    <mergeCell ref="AL105:AN106"/>
    <mergeCell ref="AO105:AO106"/>
    <mergeCell ref="AP105:BG106"/>
    <mergeCell ref="CC103:CI104"/>
    <mergeCell ref="CJ103:CP104"/>
    <mergeCell ref="CQ103:CY104"/>
    <mergeCell ref="CZ103:DF104"/>
    <mergeCell ref="DG103:DN104"/>
    <mergeCell ref="DO103:DS104"/>
    <mergeCell ref="AP103:BG104"/>
    <mergeCell ref="BH103:BK104"/>
    <mergeCell ref="BL103:BQ104"/>
    <mergeCell ref="BR103:BV104"/>
    <mergeCell ref="BW103:CA104"/>
    <mergeCell ref="N97:P98"/>
    <mergeCell ref="Q97:Q98"/>
    <mergeCell ref="R97:T98"/>
    <mergeCell ref="U97:U98"/>
    <mergeCell ref="V97:AK98"/>
    <mergeCell ref="AL97:AN98"/>
    <mergeCell ref="DO101:DS102"/>
    <mergeCell ref="DT101:EA102"/>
    <mergeCell ref="EB101:EI102"/>
    <mergeCell ref="N103:P104"/>
    <mergeCell ref="Q103:Q104"/>
    <mergeCell ref="R103:T104"/>
    <mergeCell ref="U103:U104"/>
    <mergeCell ref="V103:AK104"/>
    <mergeCell ref="AL103:AN104"/>
    <mergeCell ref="AO103:AO104"/>
    <mergeCell ref="CB101:CB102"/>
    <mergeCell ref="CC101:CI102"/>
    <mergeCell ref="CJ101:CP102"/>
    <mergeCell ref="CQ101:CY102"/>
    <mergeCell ref="CZ101:DF102"/>
    <mergeCell ref="DG101:DN102"/>
    <mergeCell ref="AO101:AO102"/>
    <mergeCell ref="AP101:BG102"/>
    <mergeCell ref="BH101:BK102"/>
    <mergeCell ref="EB99:EI100"/>
    <mergeCell ref="AO99:AO100"/>
    <mergeCell ref="AP99:BG100"/>
    <mergeCell ref="DT99:EA100"/>
    <mergeCell ref="BH99:BK100"/>
    <mergeCell ref="N99:P100"/>
    <mergeCell ref="N101:P102"/>
    <mergeCell ref="CB99:CB100"/>
    <mergeCell ref="CC99:CI100"/>
    <mergeCell ref="CJ99:CP100"/>
    <mergeCell ref="CQ99:CY100"/>
    <mergeCell ref="CZ99:DF100"/>
    <mergeCell ref="DG99:DN100"/>
    <mergeCell ref="BL99:BQ100"/>
    <mergeCell ref="BR99:BV100"/>
    <mergeCell ref="BW99:CA100"/>
    <mergeCell ref="DO97:DS98"/>
    <mergeCell ref="DT97:EA98"/>
    <mergeCell ref="EB97:EI98"/>
    <mergeCell ref="EJ97:FE98"/>
    <mergeCell ref="CB97:CB98"/>
    <mergeCell ref="CC97:CI98"/>
    <mergeCell ref="CJ97:CP98"/>
    <mergeCell ref="CQ97:CY98"/>
    <mergeCell ref="CZ97:DF98"/>
    <mergeCell ref="DO99:DS100"/>
    <mergeCell ref="BW97:CA98"/>
    <mergeCell ref="N95:P96"/>
    <mergeCell ref="Q95:Q96"/>
    <mergeCell ref="R95:T96"/>
    <mergeCell ref="U95:U96"/>
    <mergeCell ref="V95:AK96"/>
    <mergeCell ref="AL95:AN96"/>
    <mergeCell ref="AO95:AO96"/>
    <mergeCell ref="AP95:BG96"/>
    <mergeCell ref="BH95:BK96"/>
    <mergeCell ref="CJ93:CP94"/>
    <mergeCell ref="CQ93:CY94"/>
    <mergeCell ref="CZ93:DF94"/>
    <mergeCell ref="DG93:DN94"/>
    <mergeCell ref="DO93:DS94"/>
    <mergeCell ref="DT93:EA94"/>
    <mergeCell ref="BH93:BK94"/>
    <mergeCell ref="BL93:BQ94"/>
    <mergeCell ref="BR93:BV94"/>
    <mergeCell ref="BW93:CA94"/>
    <mergeCell ref="CB93:CB94"/>
    <mergeCell ref="CC93:CI94"/>
    <mergeCell ref="CQ95:CY96"/>
    <mergeCell ref="CZ95:DF96"/>
    <mergeCell ref="DG95:DN96"/>
    <mergeCell ref="DO95:DS96"/>
    <mergeCell ref="DT95:EA96"/>
    <mergeCell ref="BL95:BQ96"/>
    <mergeCell ref="BR95:BV96"/>
    <mergeCell ref="BW95:CA96"/>
    <mergeCell ref="CB95:CB96"/>
    <mergeCell ref="CC95:CI96"/>
    <mergeCell ref="CJ95:CP96"/>
    <mergeCell ref="N93:P94"/>
    <mergeCell ref="Q93:Q94"/>
    <mergeCell ref="R93:T94"/>
    <mergeCell ref="U93:U94"/>
    <mergeCell ref="V93:AK94"/>
    <mergeCell ref="AL93:AN94"/>
    <mergeCell ref="AO93:AO94"/>
    <mergeCell ref="AP93:BG94"/>
    <mergeCell ref="CC91:CI92"/>
    <mergeCell ref="CJ91:CP92"/>
    <mergeCell ref="CQ91:CY92"/>
    <mergeCell ref="CZ91:DF92"/>
    <mergeCell ref="DG91:DN92"/>
    <mergeCell ref="DO91:DS92"/>
    <mergeCell ref="AP91:BG92"/>
    <mergeCell ref="BH91:BK92"/>
    <mergeCell ref="BL91:BQ92"/>
    <mergeCell ref="N91:P92"/>
    <mergeCell ref="Q91:Q92"/>
    <mergeCell ref="R91:T92"/>
    <mergeCell ref="U91:U92"/>
    <mergeCell ref="V91:AK92"/>
    <mergeCell ref="AL91:AN92"/>
    <mergeCell ref="AO91:AO92"/>
    <mergeCell ref="EB93:EI94"/>
    <mergeCell ref="AP87:BG88"/>
    <mergeCell ref="BH87:BK88"/>
    <mergeCell ref="BL87:BQ88"/>
    <mergeCell ref="BR87:BV88"/>
    <mergeCell ref="DO85:DS86"/>
    <mergeCell ref="DT85:EA86"/>
    <mergeCell ref="EB85:EI86"/>
    <mergeCell ref="EJ85:EY86"/>
    <mergeCell ref="EZ85:FE86"/>
    <mergeCell ref="DO87:DS88"/>
    <mergeCell ref="DT87:EA88"/>
    <mergeCell ref="EB87:EI88"/>
    <mergeCell ref="DO89:DS90"/>
    <mergeCell ref="DT89:EA90"/>
    <mergeCell ref="EB89:EI90"/>
    <mergeCell ref="Q99:Q100"/>
    <mergeCell ref="R99:T100"/>
    <mergeCell ref="U99:U100"/>
    <mergeCell ref="V99:AK100"/>
    <mergeCell ref="AL99:AN100"/>
    <mergeCell ref="BR89:BV90"/>
    <mergeCell ref="BW89:CA90"/>
    <mergeCell ref="Q89:Q90"/>
    <mergeCell ref="R89:T90"/>
    <mergeCell ref="U89:U90"/>
    <mergeCell ref="V89:AK90"/>
    <mergeCell ref="AL89:AN90"/>
    <mergeCell ref="DT91:EA92"/>
    <mergeCell ref="EB91:EI92"/>
    <mergeCell ref="EJ99:FE110"/>
    <mergeCell ref="EB95:EI96"/>
    <mergeCell ref="CB89:CB90"/>
    <mergeCell ref="CC89:CI90"/>
    <mergeCell ref="CJ89:CP90"/>
    <mergeCell ref="CQ89:CY90"/>
    <mergeCell ref="CZ89:DF90"/>
    <mergeCell ref="DG89:DN90"/>
    <mergeCell ref="AO89:AO90"/>
    <mergeCell ref="AP89:BG90"/>
    <mergeCell ref="BH89:BK90"/>
    <mergeCell ref="BL89:BQ90"/>
    <mergeCell ref="BR91:BV92"/>
    <mergeCell ref="BW91:CA92"/>
    <mergeCell ref="CB91:CB92"/>
    <mergeCell ref="N89:P90"/>
    <mergeCell ref="N87:P88"/>
    <mergeCell ref="Q87:Q88"/>
    <mergeCell ref="R87:T88"/>
    <mergeCell ref="U87:U88"/>
    <mergeCell ref="V87:AK88"/>
    <mergeCell ref="DG87:DN88"/>
    <mergeCell ref="BW87:CA88"/>
    <mergeCell ref="CB87:CB88"/>
    <mergeCell ref="CC87:CI88"/>
    <mergeCell ref="CJ87:CP88"/>
    <mergeCell ref="CQ87:CY88"/>
    <mergeCell ref="CZ87:DF88"/>
    <mergeCell ref="AL87:AN88"/>
    <mergeCell ref="AO87:AO88"/>
    <mergeCell ref="CB85:CB86"/>
    <mergeCell ref="CC85:CI86"/>
    <mergeCell ref="CJ85:CP86"/>
    <mergeCell ref="CQ85:CY86"/>
    <mergeCell ref="CZ85:DF86"/>
    <mergeCell ref="DG85:DN86"/>
    <mergeCell ref="AO85:AO86"/>
    <mergeCell ref="AP85:BG86"/>
    <mergeCell ref="BH85:BK86"/>
    <mergeCell ref="BL85:BQ86"/>
    <mergeCell ref="BR85:BV86"/>
    <mergeCell ref="BW85:CA86"/>
    <mergeCell ref="N85:P86"/>
    <mergeCell ref="Q85:Q86"/>
    <mergeCell ref="R85:T86"/>
    <mergeCell ref="U85:U86"/>
    <mergeCell ref="V85:AK86"/>
    <mergeCell ref="AL85:AN86"/>
    <mergeCell ref="DG83:DN84"/>
    <mergeCell ref="DO83:DS84"/>
    <mergeCell ref="DT83:EA84"/>
    <mergeCell ref="EB83:EI84"/>
    <mergeCell ref="EJ83:EY84"/>
    <mergeCell ref="EZ83:FE84"/>
    <mergeCell ref="BW83:CA84"/>
    <mergeCell ref="CB83:CB84"/>
    <mergeCell ref="CC83:CI84"/>
    <mergeCell ref="CJ83:CP84"/>
    <mergeCell ref="CQ83:CY84"/>
    <mergeCell ref="CZ83:DF84"/>
    <mergeCell ref="AL83:AN84"/>
    <mergeCell ref="AO83:AO84"/>
    <mergeCell ref="AP83:BG84"/>
    <mergeCell ref="BH83:BK84"/>
    <mergeCell ref="BL83:BQ84"/>
    <mergeCell ref="BR83:BV84"/>
    <mergeCell ref="N83:P84"/>
    <mergeCell ref="Q83:Q84"/>
    <mergeCell ref="R83:T84"/>
    <mergeCell ref="U83:U84"/>
    <mergeCell ref="V83:AK84"/>
    <mergeCell ref="BW81:CA82"/>
    <mergeCell ref="CB81:CB82"/>
    <mergeCell ref="CC81:CI82"/>
    <mergeCell ref="CJ81:CP82"/>
    <mergeCell ref="CQ81:CY82"/>
    <mergeCell ref="CZ81:DF82"/>
    <mergeCell ref="AL81:AN82"/>
    <mergeCell ref="AO81:AO82"/>
    <mergeCell ref="AP81:BG82"/>
    <mergeCell ref="BH81:BK82"/>
    <mergeCell ref="BL81:BQ82"/>
    <mergeCell ref="BR81:BV82"/>
    <mergeCell ref="EZ79:FE80"/>
    <mergeCell ref="N81:P82"/>
    <mergeCell ref="Q81:Q82"/>
    <mergeCell ref="R81:T82"/>
    <mergeCell ref="U81:U82"/>
    <mergeCell ref="V81:AK82"/>
    <mergeCell ref="CB79:CB80"/>
    <mergeCell ref="CC79:CI80"/>
    <mergeCell ref="CJ79:CP80"/>
    <mergeCell ref="CQ79:CY80"/>
    <mergeCell ref="CZ79:DF80"/>
    <mergeCell ref="DG79:DN80"/>
    <mergeCell ref="AO79:AO80"/>
    <mergeCell ref="AP79:BG80"/>
    <mergeCell ref="BH79:BK80"/>
    <mergeCell ref="BL79:BQ80"/>
    <mergeCell ref="BR79:BV80"/>
    <mergeCell ref="BW79:CA80"/>
    <mergeCell ref="DG81:DN82"/>
    <mergeCell ref="DO81:DS82"/>
    <mergeCell ref="DT81:EA82"/>
    <mergeCell ref="EB81:EI82"/>
    <mergeCell ref="EJ81:FE82"/>
    <mergeCell ref="DO77:DS78"/>
    <mergeCell ref="DT77:EA78"/>
    <mergeCell ref="EB77:EI78"/>
    <mergeCell ref="EJ77:FE78"/>
    <mergeCell ref="N79:P80"/>
    <mergeCell ref="Q79:Q80"/>
    <mergeCell ref="R79:T80"/>
    <mergeCell ref="U79:U80"/>
    <mergeCell ref="V79:AK80"/>
    <mergeCell ref="AL79:AN80"/>
    <mergeCell ref="CB77:CB78"/>
    <mergeCell ref="CC77:CI78"/>
    <mergeCell ref="CJ77:CP78"/>
    <mergeCell ref="CQ77:CY78"/>
    <mergeCell ref="CZ77:DF78"/>
    <mergeCell ref="DG77:DN78"/>
    <mergeCell ref="AO77:AO78"/>
    <mergeCell ref="AP77:BG78"/>
    <mergeCell ref="BH77:BK78"/>
    <mergeCell ref="BL77:BQ78"/>
    <mergeCell ref="BR77:BV78"/>
    <mergeCell ref="BW77:CA78"/>
    <mergeCell ref="N77:P78"/>
    <mergeCell ref="Q77:Q78"/>
    <mergeCell ref="R77:T78"/>
    <mergeCell ref="U77:U78"/>
    <mergeCell ref="V77:AK78"/>
    <mergeCell ref="AL77:AN78"/>
    <mergeCell ref="DO79:DS80"/>
    <mergeCell ref="DT79:EA80"/>
    <mergeCell ref="EB79:EI80"/>
    <mergeCell ref="EJ79:EY80"/>
    <mergeCell ref="DG75:DN76"/>
    <mergeCell ref="DO75:DS76"/>
    <mergeCell ref="DT75:EA76"/>
    <mergeCell ref="EB75:EI76"/>
    <mergeCell ref="EJ75:EY76"/>
    <mergeCell ref="EZ75:FE76"/>
    <mergeCell ref="BW75:CA76"/>
    <mergeCell ref="CB75:CB76"/>
    <mergeCell ref="CC75:CI76"/>
    <mergeCell ref="CJ75:CP76"/>
    <mergeCell ref="CQ75:CY76"/>
    <mergeCell ref="CZ75:DF76"/>
    <mergeCell ref="AL75:AN76"/>
    <mergeCell ref="AO75:AO76"/>
    <mergeCell ref="AP75:BG76"/>
    <mergeCell ref="BH75:BK76"/>
    <mergeCell ref="BL75:BQ76"/>
    <mergeCell ref="BR75:BV76"/>
    <mergeCell ref="N75:P76"/>
    <mergeCell ref="Q75:Q76"/>
    <mergeCell ref="R75:T76"/>
    <mergeCell ref="U75:U76"/>
    <mergeCell ref="V75:AK76"/>
    <mergeCell ref="BW73:CA74"/>
    <mergeCell ref="CB73:CB74"/>
    <mergeCell ref="CC73:CI74"/>
    <mergeCell ref="CJ73:CP74"/>
    <mergeCell ref="CQ73:CY74"/>
    <mergeCell ref="CZ73:DF74"/>
    <mergeCell ref="AL73:AN74"/>
    <mergeCell ref="AO73:AO74"/>
    <mergeCell ref="AP73:BG74"/>
    <mergeCell ref="BH73:BK74"/>
    <mergeCell ref="BL73:BQ74"/>
    <mergeCell ref="BR73:BV74"/>
    <mergeCell ref="DO71:DS72"/>
    <mergeCell ref="DT71:EA72"/>
    <mergeCell ref="EB71:EI72"/>
    <mergeCell ref="EJ71:EY72"/>
    <mergeCell ref="EZ71:FE72"/>
    <mergeCell ref="N73:P74"/>
    <mergeCell ref="Q73:Q74"/>
    <mergeCell ref="R73:T74"/>
    <mergeCell ref="U73:U74"/>
    <mergeCell ref="V73:AK74"/>
    <mergeCell ref="CB71:CB72"/>
    <mergeCell ref="CC71:CI72"/>
    <mergeCell ref="CJ71:CP72"/>
    <mergeCell ref="CQ71:CY72"/>
    <mergeCell ref="CZ71:DF72"/>
    <mergeCell ref="DG71:DN72"/>
    <mergeCell ref="AO71:AO72"/>
    <mergeCell ref="AP71:BG72"/>
    <mergeCell ref="BH71:BK72"/>
    <mergeCell ref="BL71:BQ72"/>
    <mergeCell ref="BR71:BV72"/>
    <mergeCell ref="BW71:CA72"/>
    <mergeCell ref="DG73:DN74"/>
    <mergeCell ref="DO73:DS74"/>
    <mergeCell ref="DT73:EA74"/>
    <mergeCell ref="EB73:EI74"/>
    <mergeCell ref="EJ73:FE74"/>
    <mergeCell ref="N71:P72"/>
    <mergeCell ref="Q71:Q72"/>
    <mergeCell ref="R71:T72"/>
    <mergeCell ref="U71:U72"/>
    <mergeCell ref="V71:AK72"/>
    <mergeCell ref="AL71:AN72"/>
    <mergeCell ref="CB69:CB70"/>
    <mergeCell ref="CC69:CI70"/>
    <mergeCell ref="CJ69:CP70"/>
    <mergeCell ref="CQ69:CY70"/>
    <mergeCell ref="CZ69:DF70"/>
    <mergeCell ref="DG69:DN70"/>
    <mergeCell ref="AO69:AO70"/>
    <mergeCell ref="AP69:BG70"/>
    <mergeCell ref="BH69:BK70"/>
    <mergeCell ref="BL69:BQ70"/>
    <mergeCell ref="BR69:BV70"/>
    <mergeCell ref="BW69:CA70"/>
    <mergeCell ref="N69:P70"/>
    <mergeCell ref="Q69:Q70"/>
    <mergeCell ref="R69:T70"/>
    <mergeCell ref="U69:U70"/>
    <mergeCell ref="V69:AK70"/>
    <mergeCell ref="AL69:AN70"/>
    <mergeCell ref="DT67:EA68"/>
    <mergeCell ref="EB67:EI68"/>
    <mergeCell ref="EJ67:EY68"/>
    <mergeCell ref="EZ67:FE68"/>
    <mergeCell ref="BW67:CA68"/>
    <mergeCell ref="CB67:CB68"/>
    <mergeCell ref="CC67:CI68"/>
    <mergeCell ref="CJ67:CP68"/>
    <mergeCell ref="CQ67:CY68"/>
    <mergeCell ref="CZ67:DF68"/>
    <mergeCell ref="AL67:AN68"/>
    <mergeCell ref="AO67:AO68"/>
    <mergeCell ref="AP67:BG68"/>
    <mergeCell ref="BH67:BK68"/>
    <mergeCell ref="BL67:BQ68"/>
    <mergeCell ref="BR67:BV68"/>
    <mergeCell ref="DO69:DS70"/>
    <mergeCell ref="DT69:EA70"/>
    <mergeCell ref="EB69:EI70"/>
    <mergeCell ref="EJ69:FE70"/>
    <mergeCell ref="AP63:BG64"/>
    <mergeCell ref="BH63:BK64"/>
    <mergeCell ref="BL63:BQ64"/>
    <mergeCell ref="BR63:BV64"/>
    <mergeCell ref="DO65:DS66"/>
    <mergeCell ref="DT65:EA66"/>
    <mergeCell ref="EB65:EI66"/>
    <mergeCell ref="N67:P68"/>
    <mergeCell ref="Q67:Q68"/>
    <mergeCell ref="R67:T68"/>
    <mergeCell ref="U67:U68"/>
    <mergeCell ref="V67:AK68"/>
    <mergeCell ref="CB65:CB66"/>
    <mergeCell ref="CC65:CI66"/>
    <mergeCell ref="CJ65:CP66"/>
    <mergeCell ref="CQ65:CY66"/>
    <mergeCell ref="CZ65:DF66"/>
    <mergeCell ref="DG65:DN66"/>
    <mergeCell ref="AO65:AO66"/>
    <mergeCell ref="AP65:BG66"/>
    <mergeCell ref="BH65:BK66"/>
    <mergeCell ref="BL65:BQ66"/>
    <mergeCell ref="BR65:BV66"/>
    <mergeCell ref="BW65:CA66"/>
    <mergeCell ref="N65:P66"/>
    <mergeCell ref="Q65:Q66"/>
    <mergeCell ref="R65:T66"/>
    <mergeCell ref="U65:U66"/>
    <mergeCell ref="V65:AK66"/>
    <mergeCell ref="AL65:AN66"/>
    <mergeCell ref="DG67:DN68"/>
    <mergeCell ref="DO67:DS68"/>
    <mergeCell ref="EZ61:FE62"/>
    <mergeCell ref="N63:P64"/>
    <mergeCell ref="Q63:Q64"/>
    <mergeCell ref="R63:T64"/>
    <mergeCell ref="U63:U64"/>
    <mergeCell ref="V63:AK64"/>
    <mergeCell ref="CB61:CB62"/>
    <mergeCell ref="CC61:CI62"/>
    <mergeCell ref="CJ61:CP62"/>
    <mergeCell ref="CQ61:CY62"/>
    <mergeCell ref="CZ61:DF62"/>
    <mergeCell ref="DG61:DN62"/>
    <mergeCell ref="AO61:AO62"/>
    <mergeCell ref="AP61:BG62"/>
    <mergeCell ref="BH61:BK62"/>
    <mergeCell ref="BL61:BQ62"/>
    <mergeCell ref="BR61:BV62"/>
    <mergeCell ref="BW61:CA62"/>
    <mergeCell ref="DG63:DN64"/>
    <mergeCell ref="DO63:DS64"/>
    <mergeCell ref="DT63:EA64"/>
    <mergeCell ref="EB63:EI64"/>
    <mergeCell ref="EJ63:EY64"/>
    <mergeCell ref="EZ63:FE64"/>
    <mergeCell ref="BW63:CA64"/>
    <mergeCell ref="CB63:CB64"/>
    <mergeCell ref="CC63:CI64"/>
    <mergeCell ref="CJ63:CP64"/>
    <mergeCell ref="CQ63:CY64"/>
    <mergeCell ref="CZ63:DF64"/>
    <mergeCell ref="AL63:AN64"/>
    <mergeCell ref="AO63:AO64"/>
    <mergeCell ref="DO59:DS60"/>
    <mergeCell ref="DT59:EA60"/>
    <mergeCell ref="EB59:EI60"/>
    <mergeCell ref="EJ59:FE60"/>
    <mergeCell ref="N61:P62"/>
    <mergeCell ref="Q61:Q62"/>
    <mergeCell ref="R61:T62"/>
    <mergeCell ref="U61:U62"/>
    <mergeCell ref="V61:AK62"/>
    <mergeCell ref="AL61:AN62"/>
    <mergeCell ref="CB59:CB60"/>
    <mergeCell ref="CC59:CI60"/>
    <mergeCell ref="CJ59:CP60"/>
    <mergeCell ref="CQ59:CY60"/>
    <mergeCell ref="CZ59:DF60"/>
    <mergeCell ref="DG59:DN60"/>
    <mergeCell ref="AO59:AO60"/>
    <mergeCell ref="AP59:BG60"/>
    <mergeCell ref="BH59:BK60"/>
    <mergeCell ref="BL59:BQ60"/>
    <mergeCell ref="BR59:BV60"/>
    <mergeCell ref="BW59:CA60"/>
    <mergeCell ref="N59:P60"/>
    <mergeCell ref="Q59:Q60"/>
    <mergeCell ref="R59:T60"/>
    <mergeCell ref="U59:U60"/>
    <mergeCell ref="V59:AK60"/>
    <mergeCell ref="AL59:AN60"/>
    <mergeCell ref="DO61:DS62"/>
    <mergeCell ref="DT61:EA62"/>
    <mergeCell ref="EB61:EI62"/>
    <mergeCell ref="EJ61:EY62"/>
    <mergeCell ref="DG57:DN58"/>
    <mergeCell ref="DO57:DS58"/>
    <mergeCell ref="DT57:EA58"/>
    <mergeCell ref="EB57:EI58"/>
    <mergeCell ref="EJ57:EY58"/>
    <mergeCell ref="EZ57:FE58"/>
    <mergeCell ref="BW57:CA58"/>
    <mergeCell ref="CB57:CB58"/>
    <mergeCell ref="CC57:CI58"/>
    <mergeCell ref="CJ57:CP58"/>
    <mergeCell ref="CQ57:CY58"/>
    <mergeCell ref="CZ57:DF58"/>
    <mergeCell ref="AL57:AN58"/>
    <mergeCell ref="AO57:AO58"/>
    <mergeCell ref="AP57:BG58"/>
    <mergeCell ref="BH57:BK58"/>
    <mergeCell ref="BL57:BQ58"/>
    <mergeCell ref="BR57:BV58"/>
    <mergeCell ref="AP53:BG54"/>
    <mergeCell ref="BH53:BK54"/>
    <mergeCell ref="BL53:BQ54"/>
    <mergeCell ref="BR53:BV54"/>
    <mergeCell ref="DO55:DS56"/>
    <mergeCell ref="DT55:EA56"/>
    <mergeCell ref="EB55:EI56"/>
    <mergeCell ref="EJ55:EY56"/>
    <mergeCell ref="EZ55:FE56"/>
    <mergeCell ref="N57:P58"/>
    <mergeCell ref="Q57:Q58"/>
    <mergeCell ref="R57:T58"/>
    <mergeCell ref="U57:U58"/>
    <mergeCell ref="V57:AK58"/>
    <mergeCell ref="CB55:CB56"/>
    <mergeCell ref="CC55:CI56"/>
    <mergeCell ref="CJ55:CP56"/>
    <mergeCell ref="CQ55:CY56"/>
    <mergeCell ref="CZ55:DF56"/>
    <mergeCell ref="DG55:DN56"/>
    <mergeCell ref="AO55:AO56"/>
    <mergeCell ref="AP55:BG56"/>
    <mergeCell ref="BH55:BK56"/>
    <mergeCell ref="BL55:BQ56"/>
    <mergeCell ref="BR55:BV56"/>
    <mergeCell ref="BW55:CA56"/>
    <mergeCell ref="N55:P56"/>
    <mergeCell ref="Q55:Q56"/>
    <mergeCell ref="R55:T56"/>
    <mergeCell ref="U55:U56"/>
    <mergeCell ref="V55:AK56"/>
    <mergeCell ref="AL55:AN56"/>
    <mergeCell ref="EZ51:FE52"/>
    <mergeCell ref="N53:P54"/>
    <mergeCell ref="Q53:Q54"/>
    <mergeCell ref="R53:T54"/>
    <mergeCell ref="U53:U54"/>
    <mergeCell ref="V53:AK54"/>
    <mergeCell ref="CB51:CB52"/>
    <mergeCell ref="CC51:CI52"/>
    <mergeCell ref="CJ51:CP52"/>
    <mergeCell ref="CQ51:CY52"/>
    <mergeCell ref="CZ51:DF52"/>
    <mergeCell ref="DG51:DN52"/>
    <mergeCell ref="AO51:AO52"/>
    <mergeCell ref="AP51:BG52"/>
    <mergeCell ref="BH51:BK52"/>
    <mergeCell ref="BL51:BQ52"/>
    <mergeCell ref="BR51:BV52"/>
    <mergeCell ref="BW51:CA52"/>
    <mergeCell ref="DG53:DN54"/>
    <mergeCell ref="DO53:DS54"/>
    <mergeCell ref="DT53:EA54"/>
    <mergeCell ref="EB53:EI54"/>
    <mergeCell ref="EJ53:EY54"/>
    <mergeCell ref="EZ53:FE54"/>
    <mergeCell ref="BW53:CA54"/>
    <mergeCell ref="CB53:CB54"/>
    <mergeCell ref="CC53:CI54"/>
    <mergeCell ref="CJ53:CP54"/>
    <mergeCell ref="CQ53:CY54"/>
    <mergeCell ref="CZ53:DF54"/>
    <mergeCell ref="AL53:AN54"/>
    <mergeCell ref="AO53:AO54"/>
    <mergeCell ref="DO49:DS50"/>
    <mergeCell ref="DT49:EA50"/>
    <mergeCell ref="EB49:EI50"/>
    <mergeCell ref="EJ49:FE50"/>
    <mergeCell ref="N51:P52"/>
    <mergeCell ref="Q51:Q52"/>
    <mergeCell ref="R51:T52"/>
    <mergeCell ref="U51:U52"/>
    <mergeCell ref="V51:AK52"/>
    <mergeCell ref="AL51:AN52"/>
    <mergeCell ref="CB49:CB50"/>
    <mergeCell ref="CC49:CI50"/>
    <mergeCell ref="CJ49:CP50"/>
    <mergeCell ref="CQ49:CY50"/>
    <mergeCell ref="CZ49:DF50"/>
    <mergeCell ref="DG49:DN50"/>
    <mergeCell ref="AO49:AO50"/>
    <mergeCell ref="AP49:BG50"/>
    <mergeCell ref="BH49:BK50"/>
    <mergeCell ref="BL49:BQ50"/>
    <mergeCell ref="BR49:BV50"/>
    <mergeCell ref="BW49:CA50"/>
    <mergeCell ref="N49:P50"/>
    <mergeCell ref="Q49:Q50"/>
    <mergeCell ref="R49:T50"/>
    <mergeCell ref="U49:U50"/>
    <mergeCell ref="V49:AK50"/>
    <mergeCell ref="AL49:AN50"/>
    <mergeCell ref="DO51:DS52"/>
    <mergeCell ref="DT51:EA52"/>
    <mergeCell ref="EB51:EI52"/>
    <mergeCell ref="EJ51:EY52"/>
    <mergeCell ref="DG47:DN48"/>
    <mergeCell ref="DO47:DS48"/>
    <mergeCell ref="DT47:EA48"/>
    <mergeCell ref="EB47:EI48"/>
    <mergeCell ref="EJ47:EY48"/>
    <mergeCell ref="EZ47:FE48"/>
    <mergeCell ref="BW47:CA48"/>
    <mergeCell ref="CB47:CB48"/>
    <mergeCell ref="CC47:CI48"/>
    <mergeCell ref="CJ47:CP48"/>
    <mergeCell ref="CQ47:CY48"/>
    <mergeCell ref="CZ47:DF48"/>
    <mergeCell ref="AL47:AN48"/>
    <mergeCell ref="AO47:AO48"/>
    <mergeCell ref="AP47:BG48"/>
    <mergeCell ref="BH47:BK48"/>
    <mergeCell ref="BL47:BQ48"/>
    <mergeCell ref="BR47:BV48"/>
    <mergeCell ref="AP43:BG44"/>
    <mergeCell ref="BH43:BK44"/>
    <mergeCell ref="BL43:BQ44"/>
    <mergeCell ref="BR43:BV44"/>
    <mergeCell ref="DO45:DS46"/>
    <mergeCell ref="DT45:EA46"/>
    <mergeCell ref="EB45:EI46"/>
    <mergeCell ref="EJ45:EY46"/>
    <mergeCell ref="EZ45:FE46"/>
    <mergeCell ref="N47:P48"/>
    <mergeCell ref="Q47:Q48"/>
    <mergeCell ref="R47:T48"/>
    <mergeCell ref="U47:U48"/>
    <mergeCell ref="V47:AK48"/>
    <mergeCell ref="CB45:CB46"/>
    <mergeCell ref="CC45:CI46"/>
    <mergeCell ref="CJ45:CP46"/>
    <mergeCell ref="CQ45:CY46"/>
    <mergeCell ref="CZ45:DF46"/>
    <mergeCell ref="DG45:DN46"/>
    <mergeCell ref="AO45:AO46"/>
    <mergeCell ref="AP45:BG46"/>
    <mergeCell ref="BH45:BK46"/>
    <mergeCell ref="BL45:BQ46"/>
    <mergeCell ref="BR45:BV46"/>
    <mergeCell ref="BW45:CA46"/>
    <mergeCell ref="N45:P46"/>
    <mergeCell ref="Q45:Q46"/>
    <mergeCell ref="R45:T46"/>
    <mergeCell ref="U45:U46"/>
    <mergeCell ref="V45:AK46"/>
    <mergeCell ref="AL45:AN46"/>
    <mergeCell ref="EZ41:FE42"/>
    <mergeCell ref="N43:P44"/>
    <mergeCell ref="Q43:Q44"/>
    <mergeCell ref="R43:T44"/>
    <mergeCell ref="U43:U44"/>
    <mergeCell ref="V43:AK44"/>
    <mergeCell ref="CB41:CB42"/>
    <mergeCell ref="CC41:CI42"/>
    <mergeCell ref="CJ41:CP42"/>
    <mergeCell ref="CQ41:CY42"/>
    <mergeCell ref="CZ41:DF42"/>
    <mergeCell ref="DG41:DN42"/>
    <mergeCell ref="AO41:AO42"/>
    <mergeCell ref="AP41:BG42"/>
    <mergeCell ref="BH41:BK42"/>
    <mergeCell ref="BL41:BQ42"/>
    <mergeCell ref="BR41:BV42"/>
    <mergeCell ref="BW41:CA42"/>
    <mergeCell ref="DG43:DN44"/>
    <mergeCell ref="DO43:DS44"/>
    <mergeCell ref="DT43:EA44"/>
    <mergeCell ref="EB43:EI44"/>
    <mergeCell ref="EJ43:EY44"/>
    <mergeCell ref="EZ43:FE44"/>
    <mergeCell ref="BW43:CA44"/>
    <mergeCell ref="CB43:CB44"/>
    <mergeCell ref="CC43:CI44"/>
    <mergeCell ref="CJ43:CP44"/>
    <mergeCell ref="CQ43:CY44"/>
    <mergeCell ref="CZ43:DF44"/>
    <mergeCell ref="AL43:AN44"/>
    <mergeCell ref="AO43:AO44"/>
    <mergeCell ref="DO39:DS40"/>
    <mergeCell ref="DT39:EA40"/>
    <mergeCell ref="EB39:EI40"/>
    <mergeCell ref="EJ39:FE40"/>
    <mergeCell ref="N41:P42"/>
    <mergeCell ref="Q41:Q42"/>
    <mergeCell ref="R41:T42"/>
    <mergeCell ref="U41:U42"/>
    <mergeCell ref="V41:AK42"/>
    <mergeCell ref="AL41:AN42"/>
    <mergeCell ref="CB39:CB40"/>
    <mergeCell ref="CC39:CI40"/>
    <mergeCell ref="CJ39:CP40"/>
    <mergeCell ref="CQ39:CY40"/>
    <mergeCell ref="CZ39:DF40"/>
    <mergeCell ref="DG39:DN40"/>
    <mergeCell ref="AO39:AO40"/>
    <mergeCell ref="AP39:BG40"/>
    <mergeCell ref="BH39:BK40"/>
    <mergeCell ref="BL39:BQ40"/>
    <mergeCell ref="BR39:BV40"/>
    <mergeCell ref="BW39:CA40"/>
    <mergeCell ref="N39:P40"/>
    <mergeCell ref="Q39:Q40"/>
    <mergeCell ref="R39:T40"/>
    <mergeCell ref="U39:U40"/>
    <mergeCell ref="V39:AK40"/>
    <mergeCell ref="AL39:AN40"/>
    <mergeCell ref="DO41:DS42"/>
    <mergeCell ref="DT41:EA42"/>
    <mergeCell ref="EB41:EI42"/>
    <mergeCell ref="EJ41:EY42"/>
    <mergeCell ref="DG37:DN38"/>
    <mergeCell ref="DO37:DS38"/>
    <mergeCell ref="DT37:EA38"/>
    <mergeCell ref="EB37:EI38"/>
    <mergeCell ref="EJ37:EY38"/>
    <mergeCell ref="EZ37:FE38"/>
    <mergeCell ref="BW37:CA38"/>
    <mergeCell ref="CB37:CB38"/>
    <mergeCell ref="CC37:CI38"/>
    <mergeCell ref="CJ37:CP38"/>
    <mergeCell ref="CQ37:CY38"/>
    <mergeCell ref="CZ37:DF38"/>
    <mergeCell ref="AL37:AN38"/>
    <mergeCell ref="AO37:AO38"/>
    <mergeCell ref="AP37:BG38"/>
    <mergeCell ref="BH37:BK38"/>
    <mergeCell ref="BL37:BQ38"/>
    <mergeCell ref="BR37:BV38"/>
    <mergeCell ref="AP33:BG34"/>
    <mergeCell ref="BH33:BK34"/>
    <mergeCell ref="BL33:BQ34"/>
    <mergeCell ref="BR33:BV34"/>
    <mergeCell ref="DO35:DS36"/>
    <mergeCell ref="DT35:EA36"/>
    <mergeCell ref="EB35:EI36"/>
    <mergeCell ref="EJ35:EY36"/>
    <mergeCell ref="EZ35:FE36"/>
    <mergeCell ref="N37:P38"/>
    <mergeCell ref="Q37:Q38"/>
    <mergeCell ref="R37:T38"/>
    <mergeCell ref="U37:U38"/>
    <mergeCell ref="V37:AK38"/>
    <mergeCell ref="CB35:CB36"/>
    <mergeCell ref="CC35:CI36"/>
    <mergeCell ref="CJ35:CP36"/>
    <mergeCell ref="CQ35:CY36"/>
    <mergeCell ref="CZ35:DF36"/>
    <mergeCell ref="DG35:DN36"/>
    <mergeCell ref="AO35:AO36"/>
    <mergeCell ref="AP35:BG36"/>
    <mergeCell ref="BH35:BK36"/>
    <mergeCell ref="BL35:BQ36"/>
    <mergeCell ref="BR35:BV36"/>
    <mergeCell ref="BW35:CA36"/>
    <mergeCell ref="N35:P36"/>
    <mergeCell ref="Q35:Q36"/>
    <mergeCell ref="R35:T36"/>
    <mergeCell ref="U35:U36"/>
    <mergeCell ref="V35:AK36"/>
    <mergeCell ref="AL35:AN36"/>
    <mergeCell ref="EZ31:FE32"/>
    <mergeCell ref="N33:P34"/>
    <mergeCell ref="Q33:Q34"/>
    <mergeCell ref="R33:T34"/>
    <mergeCell ref="U33:U34"/>
    <mergeCell ref="V33:AK34"/>
    <mergeCell ref="CB31:CB32"/>
    <mergeCell ref="CC31:CI32"/>
    <mergeCell ref="CJ31:CP32"/>
    <mergeCell ref="CQ31:CY32"/>
    <mergeCell ref="CZ31:DF32"/>
    <mergeCell ref="DG31:DN32"/>
    <mergeCell ref="AO31:AO32"/>
    <mergeCell ref="AP31:BG32"/>
    <mergeCell ref="BH31:BK32"/>
    <mergeCell ref="BL31:BQ32"/>
    <mergeCell ref="BR31:BV32"/>
    <mergeCell ref="BW31:CA32"/>
    <mergeCell ref="DG33:DN34"/>
    <mergeCell ref="DO33:DS34"/>
    <mergeCell ref="DT33:EA34"/>
    <mergeCell ref="EB33:EI34"/>
    <mergeCell ref="EJ33:EY34"/>
    <mergeCell ref="EZ33:FE34"/>
    <mergeCell ref="BW33:CA34"/>
    <mergeCell ref="CB33:CB34"/>
    <mergeCell ref="CC33:CI34"/>
    <mergeCell ref="CJ33:CP34"/>
    <mergeCell ref="CQ33:CY34"/>
    <mergeCell ref="CZ33:DF34"/>
    <mergeCell ref="AL33:AN34"/>
    <mergeCell ref="AO33:AO34"/>
    <mergeCell ref="DO29:DS30"/>
    <mergeCell ref="DT29:EA30"/>
    <mergeCell ref="EB29:EI30"/>
    <mergeCell ref="EJ29:FE30"/>
    <mergeCell ref="N31:P32"/>
    <mergeCell ref="Q31:Q32"/>
    <mergeCell ref="R31:T32"/>
    <mergeCell ref="U31:U32"/>
    <mergeCell ref="V31:AK32"/>
    <mergeCell ref="AL31:AN32"/>
    <mergeCell ref="CB29:CB30"/>
    <mergeCell ref="CC29:CI30"/>
    <mergeCell ref="CJ29:CP30"/>
    <mergeCell ref="CQ29:CY30"/>
    <mergeCell ref="CZ29:DF30"/>
    <mergeCell ref="DG29:DN30"/>
    <mergeCell ref="AO29:AO30"/>
    <mergeCell ref="AP29:BG30"/>
    <mergeCell ref="BH29:BK30"/>
    <mergeCell ref="BL29:BQ30"/>
    <mergeCell ref="BR29:BV30"/>
    <mergeCell ref="BW29:CA30"/>
    <mergeCell ref="N29:P30"/>
    <mergeCell ref="Q29:Q30"/>
    <mergeCell ref="R29:T30"/>
    <mergeCell ref="U29:U30"/>
    <mergeCell ref="V29:AK30"/>
    <mergeCell ref="AL29:AN30"/>
    <mergeCell ref="DO31:DS32"/>
    <mergeCell ref="DT31:EA32"/>
    <mergeCell ref="EB31:EI32"/>
    <mergeCell ref="EJ31:EY32"/>
    <mergeCell ref="DG27:DN28"/>
    <mergeCell ref="DO27:DS28"/>
    <mergeCell ref="DT27:EA28"/>
    <mergeCell ref="EB27:EI28"/>
    <mergeCell ref="EJ27:EY28"/>
    <mergeCell ref="EZ27:FE28"/>
    <mergeCell ref="BW27:CA28"/>
    <mergeCell ref="CB27:CB28"/>
    <mergeCell ref="CC27:CI28"/>
    <mergeCell ref="CJ27:CP28"/>
    <mergeCell ref="CQ27:CY28"/>
    <mergeCell ref="CZ27:DF28"/>
    <mergeCell ref="AL27:AN28"/>
    <mergeCell ref="AO27:AO28"/>
    <mergeCell ref="AP27:BG28"/>
    <mergeCell ref="BH27:BK28"/>
    <mergeCell ref="BL27:BQ28"/>
    <mergeCell ref="BR27:BV28"/>
    <mergeCell ref="AP23:BG24"/>
    <mergeCell ref="BH23:BK24"/>
    <mergeCell ref="BL23:BQ24"/>
    <mergeCell ref="BR23:BV24"/>
    <mergeCell ref="DO25:DS26"/>
    <mergeCell ref="DT25:EA26"/>
    <mergeCell ref="EB25:EI26"/>
    <mergeCell ref="EJ25:EY26"/>
    <mergeCell ref="EZ25:FE26"/>
    <mergeCell ref="N27:P28"/>
    <mergeCell ref="Q27:Q28"/>
    <mergeCell ref="R27:T28"/>
    <mergeCell ref="U27:U28"/>
    <mergeCell ref="V27:AK28"/>
    <mergeCell ref="CB25:CB26"/>
    <mergeCell ref="CC25:CI26"/>
    <mergeCell ref="CJ25:CP26"/>
    <mergeCell ref="CQ25:CY26"/>
    <mergeCell ref="CZ25:DF26"/>
    <mergeCell ref="DG25:DN26"/>
    <mergeCell ref="AO25:AO26"/>
    <mergeCell ref="AP25:BG26"/>
    <mergeCell ref="BH25:BK26"/>
    <mergeCell ref="BL25:BQ26"/>
    <mergeCell ref="BR25:BV26"/>
    <mergeCell ref="BW25:CA26"/>
    <mergeCell ref="N25:P26"/>
    <mergeCell ref="Q25:Q26"/>
    <mergeCell ref="R25:T26"/>
    <mergeCell ref="U25:U26"/>
    <mergeCell ref="V25:AK26"/>
    <mergeCell ref="AL25:AN26"/>
    <mergeCell ref="EZ21:FE22"/>
    <mergeCell ref="N23:P24"/>
    <mergeCell ref="Q23:Q24"/>
    <mergeCell ref="R23:T24"/>
    <mergeCell ref="U23:U24"/>
    <mergeCell ref="V23:AK24"/>
    <mergeCell ref="CB21:CB22"/>
    <mergeCell ref="CC21:CI22"/>
    <mergeCell ref="CJ21:CP22"/>
    <mergeCell ref="CQ21:CY22"/>
    <mergeCell ref="CZ21:DF22"/>
    <mergeCell ref="DG21:DN22"/>
    <mergeCell ref="AO21:AO22"/>
    <mergeCell ref="AP21:BG22"/>
    <mergeCell ref="BH21:BK22"/>
    <mergeCell ref="BL21:BQ22"/>
    <mergeCell ref="BR21:BV22"/>
    <mergeCell ref="BW21:CA22"/>
    <mergeCell ref="DG23:DN24"/>
    <mergeCell ref="DO23:DS24"/>
    <mergeCell ref="DT23:EA24"/>
    <mergeCell ref="EB23:EI24"/>
    <mergeCell ref="EJ23:EY24"/>
    <mergeCell ref="EZ23:FE24"/>
    <mergeCell ref="BW23:CA24"/>
    <mergeCell ref="CB23:CB24"/>
    <mergeCell ref="CC23:CI24"/>
    <mergeCell ref="CJ23:CP24"/>
    <mergeCell ref="CQ23:CY24"/>
    <mergeCell ref="CZ23:DF24"/>
    <mergeCell ref="AL23:AN24"/>
    <mergeCell ref="AO23:AO24"/>
    <mergeCell ref="DO19:DS20"/>
    <mergeCell ref="DT19:EA20"/>
    <mergeCell ref="EB19:EI20"/>
    <mergeCell ref="EJ19:FE20"/>
    <mergeCell ref="N21:P22"/>
    <mergeCell ref="Q21:Q22"/>
    <mergeCell ref="R21:T22"/>
    <mergeCell ref="U21:U22"/>
    <mergeCell ref="V21:AK22"/>
    <mergeCell ref="AL21:AN22"/>
    <mergeCell ref="CB19:CB20"/>
    <mergeCell ref="CC19:CI20"/>
    <mergeCell ref="CJ19:CP20"/>
    <mergeCell ref="CQ19:CY20"/>
    <mergeCell ref="CZ19:DF20"/>
    <mergeCell ref="DG19:DN20"/>
    <mergeCell ref="AO19:AO20"/>
    <mergeCell ref="AP19:BG20"/>
    <mergeCell ref="BH19:BK20"/>
    <mergeCell ref="BL19:BQ20"/>
    <mergeCell ref="BR19:BV20"/>
    <mergeCell ref="BW19:CA20"/>
    <mergeCell ref="N19:P20"/>
    <mergeCell ref="Q19:Q20"/>
    <mergeCell ref="R19:T20"/>
    <mergeCell ref="U19:U20"/>
    <mergeCell ref="V19:AK20"/>
    <mergeCell ref="AL19:AN20"/>
    <mergeCell ref="DO21:DS22"/>
    <mergeCell ref="DT21:EA22"/>
    <mergeCell ref="EB21:EI22"/>
    <mergeCell ref="EJ21:EY22"/>
    <mergeCell ref="CZ17:DF18"/>
    <mergeCell ref="DG17:DN18"/>
    <mergeCell ref="DO17:DS18"/>
    <mergeCell ref="DT17:EA18"/>
    <mergeCell ref="EB17:EI18"/>
    <mergeCell ref="EJ17:FE18"/>
    <mergeCell ref="BR17:BV18"/>
    <mergeCell ref="BW17:CA18"/>
    <mergeCell ref="CB17:CB18"/>
    <mergeCell ref="CC17:CI18"/>
    <mergeCell ref="CJ17:CP18"/>
    <mergeCell ref="CQ17:CY18"/>
    <mergeCell ref="W5:EF6"/>
    <mergeCell ref="W7:EF8"/>
    <mergeCell ref="DL10:FC10"/>
    <mergeCell ref="N13:FL14"/>
    <mergeCell ref="N17:P18"/>
    <mergeCell ref="Q17:Q18"/>
    <mergeCell ref="R17:AK18"/>
    <mergeCell ref="AL17:BG18"/>
    <mergeCell ref="BH17:BK18"/>
    <mergeCell ref="BL17:BQ1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4" orientation="portrait" r:id="rId1"/>
  <headerFooter>
    <oddFooter>&amp;C&amp;9&amp;K00-034&amp;A
&amp;Z
&amp;F&amp;R&amp;9&amp;K00-034&amp;D</oddFooter>
  </headerFooter>
  <ignoredErrors>
    <ignoredError sqref="Q20 Q22 Q36 Q42 Q38 Q24 Q26 Q28 Q30 Q32 Q34 Q40 Q44 Q46" numberStoredAsText="1"/>
  </ignoredErrors>
  <drawing r:id="rId2"/>
  <legacyDrawing r:id="rId3"/>
  <controls>
    <mc:AlternateContent xmlns:mc="http://schemas.openxmlformats.org/markup-compatibility/2006">
      <mc:Choice Requires="x14">
        <control shapeId="13358" r:id="rId4" name="CommandButton21">
          <controlPr defaultSize="0" autoLine="0" r:id="rId5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13358" r:id="rId4" name="CommandButton21"/>
      </mc:Fallback>
    </mc:AlternateContent>
    <mc:AlternateContent xmlns:mc="http://schemas.openxmlformats.org/markup-compatibility/2006">
      <mc:Choice Requires="x14">
        <control shapeId="13357" r:id="rId6" name="CommandButton20">
          <controlPr defaultSize="0" autoLine="0" r:id="rId7">
            <anchor moveWithCells="1">
              <from>
                <xdr:col>58</xdr:col>
                <xdr:colOff>123825</xdr:colOff>
                <xdr:row>56</xdr:row>
                <xdr:rowOff>9525</xdr:rowOff>
              </from>
              <to>
                <xdr:col>58</xdr:col>
                <xdr:colOff>200025</xdr:colOff>
                <xdr:row>57</xdr:row>
                <xdr:rowOff>38100</xdr:rowOff>
              </to>
            </anchor>
          </controlPr>
        </control>
      </mc:Choice>
      <mc:Fallback>
        <control shapeId="13357" r:id="rId6" name="CommandButton20"/>
      </mc:Fallback>
    </mc:AlternateContent>
    <mc:AlternateContent xmlns:mc="http://schemas.openxmlformats.org/markup-compatibility/2006">
      <mc:Choice Requires="x14">
        <control shapeId="13356" r:id="rId8" name="CommandButton19">
          <controlPr defaultSize="0" autoLine="0" r:id="rId9">
            <anchor moveWithCells="1">
              <from>
                <xdr:col>58</xdr:col>
                <xdr:colOff>123825</xdr:colOff>
                <xdr:row>54</xdr:row>
                <xdr:rowOff>9525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13356" r:id="rId8" name="CommandButton19"/>
      </mc:Fallback>
    </mc:AlternateContent>
    <mc:AlternateContent xmlns:mc="http://schemas.openxmlformats.org/markup-compatibility/2006">
      <mc:Choice Requires="x14">
        <control shapeId="13337" r:id="rId10" name="CommandButton46">
          <controlPr defaultSize="0" autoLine="0" r:id="rId11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13337" r:id="rId10" name="CommandButton46"/>
      </mc:Fallback>
    </mc:AlternateContent>
    <mc:AlternateContent xmlns:mc="http://schemas.openxmlformats.org/markup-compatibility/2006">
      <mc:Choice Requires="x14">
        <control shapeId="13336" r:id="rId12" name="CommandButton45">
          <controlPr defaultSize="0" autoLine="0" r:id="rId13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13336" r:id="rId12" name="CommandButton45"/>
      </mc:Fallback>
    </mc:AlternateContent>
    <mc:AlternateContent xmlns:mc="http://schemas.openxmlformats.org/markup-compatibility/2006">
      <mc:Choice Requires="x14">
        <control shapeId="13335" r:id="rId14" name="CommandButton44">
          <controlPr defaultSize="0" autoLine="0" r:id="rId15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13335" r:id="rId14" name="CommandButton44"/>
      </mc:Fallback>
    </mc:AlternateContent>
    <mc:AlternateContent xmlns:mc="http://schemas.openxmlformats.org/markup-compatibility/2006">
      <mc:Choice Requires="x14">
        <control shapeId="13334" r:id="rId16" name="CommandButton43">
          <controlPr defaultSize="0" autoLine="0" r:id="rId17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13334" r:id="rId16" name="CommandButton43"/>
      </mc:Fallback>
    </mc:AlternateContent>
    <mc:AlternateContent xmlns:mc="http://schemas.openxmlformats.org/markup-compatibility/2006">
      <mc:Choice Requires="x14">
        <control shapeId="13333" r:id="rId18" name="CommandButton42">
          <controlPr defaultSize="0" autoLine="0" r:id="rId19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13333" r:id="rId18" name="CommandButton42"/>
      </mc:Fallback>
    </mc:AlternateContent>
    <mc:AlternateContent xmlns:mc="http://schemas.openxmlformats.org/markup-compatibility/2006">
      <mc:Choice Requires="x14">
        <control shapeId="13332" r:id="rId20" name="CommandButton41">
          <controlPr defaultSize="0" autoLine="0" r:id="rId21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13332" r:id="rId20" name="CommandButton41"/>
      </mc:Fallback>
    </mc:AlternateContent>
    <mc:AlternateContent xmlns:mc="http://schemas.openxmlformats.org/markup-compatibility/2006">
      <mc:Choice Requires="x14">
        <control shapeId="13331" r:id="rId22" name="CommandButton40">
          <controlPr defaultSize="0" autoLine="0" r:id="rId23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13331" r:id="rId22" name="CommandButton40"/>
      </mc:Fallback>
    </mc:AlternateContent>
    <mc:AlternateContent xmlns:mc="http://schemas.openxmlformats.org/markup-compatibility/2006">
      <mc:Choice Requires="x14">
        <control shapeId="13330" r:id="rId24" name="CommandButton39">
          <controlPr defaultSize="0" autoLine="0" r:id="rId25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13330" r:id="rId24" name="CommandButton39"/>
      </mc:Fallback>
    </mc:AlternateContent>
    <mc:AlternateContent xmlns:mc="http://schemas.openxmlformats.org/markup-compatibility/2006">
      <mc:Choice Requires="x14">
        <control shapeId="13329" r:id="rId26" name="CommandButton38">
          <controlPr defaultSize="0" autoLine="0" r:id="rId27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13329" r:id="rId26" name="CommandButton38"/>
      </mc:Fallback>
    </mc:AlternateContent>
    <mc:AlternateContent xmlns:mc="http://schemas.openxmlformats.org/markup-compatibility/2006">
      <mc:Choice Requires="x14">
        <control shapeId="13328" r:id="rId28" name="CommandButton37">
          <controlPr defaultSize="0" autoLine="0" r:id="rId29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13328" r:id="rId28" name="CommandButton37"/>
      </mc:Fallback>
    </mc:AlternateContent>
    <mc:AlternateContent xmlns:mc="http://schemas.openxmlformats.org/markup-compatibility/2006">
      <mc:Choice Requires="x14">
        <control shapeId="13327" r:id="rId30" name="CommandButton36">
          <controlPr defaultSize="0" autoLine="0" r:id="rId31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13327" r:id="rId30" name="CommandButton36"/>
      </mc:Fallback>
    </mc:AlternateContent>
    <mc:AlternateContent xmlns:mc="http://schemas.openxmlformats.org/markup-compatibility/2006">
      <mc:Choice Requires="x14">
        <control shapeId="13326" r:id="rId32" name="CommandButton35">
          <controlPr defaultSize="0" autoLine="0" r:id="rId33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13326" r:id="rId32" name="CommandButton35"/>
      </mc:Fallback>
    </mc:AlternateContent>
    <mc:AlternateContent xmlns:mc="http://schemas.openxmlformats.org/markup-compatibility/2006">
      <mc:Choice Requires="x14">
        <control shapeId="13325" r:id="rId34" name="CommandButton34">
          <controlPr defaultSize="0" autoLine="0" r:id="rId35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13325" r:id="rId34" name="CommandButton34"/>
      </mc:Fallback>
    </mc:AlternateContent>
    <mc:AlternateContent xmlns:mc="http://schemas.openxmlformats.org/markup-compatibility/2006">
      <mc:Choice Requires="x14">
        <control shapeId="13324" r:id="rId36" name="CommandButton33">
          <controlPr defaultSize="0" autoLine="0" r:id="rId37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13324" r:id="rId36" name="CommandButton33"/>
      </mc:Fallback>
    </mc:AlternateContent>
    <mc:AlternateContent xmlns:mc="http://schemas.openxmlformats.org/markup-compatibility/2006">
      <mc:Choice Requires="x14">
        <control shapeId="13323" r:id="rId38" name="CommandButton32">
          <controlPr defaultSize="0" autoLine="0" r:id="rId39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13323" r:id="rId38" name="CommandButton32"/>
      </mc:Fallback>
    </mc:AlternateContent>
    <mc:AlternateContent xmlns:mc="http://schemas.openxmlformats.org/markup-compatibility/2006">
      <mc:Choice Requires="x14">
        <control shapeId="13322" r:id="rId40" name="CommandButton31">
          <controlPr defaultSize="0" autoLine="0" r:id="rId41">
            <anchor moveWithCells="1">
              <from>
                <xdr:col>58</xdr:col>
                <xdr:colOff>123825</xdr:colOff>
                <xdr:row>78</xdr:row>
                <xdr:rowOff>9525</xdr:rowOff>
              </from>
              <to>
                <xdr:col>58</xdr:col>
                <xdr:colOff>200025</xdr:colOff>
                <xdr:row>79</xdr:row>
                <xdr:rowOff>38100</xdr:rowOff>
              </to>
            </anchor>
          </controlPr>
        </control>
      </mc:Choice>
      <mc:Fallback>
        <control shapeId="13322" r:id="rId40" name="CommandButton31"/>
      </mc:Fallback>
    </mc:AlternateContent>
    <mc:AlternateContent xmlns:mc="http://schemas.openxmlformats.org/markup-compatibility/2006">
      <mc:Choice Requires="x14">
        <control shapeId="13321" r:id="rId42" name="CommandButton30">
          <controlPr defaultSize="0" autoLine="0" r:id="rId43">
            <anchor moveWithCells="1">
              <from>
                <xdr:col>58</xdr:col>
                <xdr:colOff>123825</xdr:colOff>
                <xdr:row>76</xdr:row>
                <xdr:rowOff>0</xdr:rowOff>
              </from>
              <to>
                <xdr:col>58</xdr:col>
                <xdr:colOff>200025</xdr:colOff>
                <xdr:row>77</xdr:row>
                <xdr:rowOff>28575</xdr:rowOff>
              </to>
            </anchor>
          </controlPr>
        </control>
      </mc:Choice>
      <mc:Fallback>
        <control shapeId="13321" r:id="rId42" name="CommandButton30"/>
      </mc:Fallback>
    </mc:AlternateContent>
    <mc:AlternateContent xmlns:mc="http://schemas.openxmlformats.org/markup-compatibility/2006">
      <mc:Choice Requires="x14">
        <control shapeId="13320" r:id="rId44" name="CommandButton29">
          <controlPr defaultSize="0" autoLine="0" r:id="rId45">
            <anchor moveWithCells="1">
              <from>
                <xdr:col>58</xdr:col>
                <xdr:colOff>123825</xdr:colOff>
                <xdr:row>74</xdr:row>
                <xdr:rowOff>0</xdr:rowOff>
              </from>
              <to>
                <xdr:col>58</xdr:col>
                <xdr:colOff>200025</xdr:colOff>
                <xdr:row>75</xdr:row>
                <xdr:rowOff>28575</xdr:rowOff>
              </to>
            </anchor>
          </controlPr>
        </control>
      </mc:Choice>
      <mc:Fallback>
        <control shapeId="13320" r:id="rId44" name="CommandButton29"/>
      </mc:Fallback>
    </mc:AlternateContent>
    <mc:AlternateContent xmlns:mc="http://schemas.openxmlformats.org/markup-compatibility/2006">
      <mc:Choice Requires="x14">
        <control shapeId="13319" r:id="rId46" name="CommandButton28">
          <controlPr defaultSize="0" autoLine="0" r:id="rId47">
            <anchor moveWithCells="1">
              <from>
                <xdr:col>58</xdr:col>
                <xdr:colOff>123825</xdr:colOff>
                <xdr:row>72</xdr:row>
                <xdr:rowOff>0</xdr:rowOff>
              </from>
              <to>
                <xdr:col>58</xdr:col>
                <xdr:colOff>200025</xdr:colOff>
                <xdr:row>73</xdr:row>
                <xdr:rowOff>28575</xdr:rowOff>
              </to>
            </anchor>
          </controlPr>
        </control>
      </mc:Choice>
      <mc:Fallback>
        <control shapeId="13319" r:id="rId46" name="CommandButton28"/>
      </mc:Fallback>
    </mc:AlternateContent>
    <mc:AlternateContent xmlns:mc="http://schemas.openxmlformats.org/markup-compatibility/2006">
      <mc:Choice Requires="x14">
        <control shapeId="13318" r:id="rId48" name="CommandButton27">
          <controlPr defaultSize="0" autoLine="0" r:id="rId49">
            <anchor moveWithCells="1">
              <from>
                <xdr:col>58</xdr:col>
                <xdr:colOff>123825</xdr:colOff>
                <xdr:row>70</xdr:row>
                <xdr:rowOff>0</xdr:rowOff>
              </from>
              <to>
                <xdr:col>58</xdr:col>
                <xdr:colOff>200025</xdr:colOff>
                <xdr:row>71</xdr:row>
                <xdr:rowOff>28575</xdr:rowOff>
              </to>
            </anchor>
          </controlPr>
        </control>
      </mc:Choice>
      <mc:Fallback>
        <control shapeId="13318" r:id="rId48" name="CommandButton27"/>
      </mc:Fallback>
    </mc:AlternateContent>
    <mc:AlternateContent xmlns:mc="http://schemas.openxmlformats.org/markup-compatibility/2006">
      <mc:Choice Requires="x14">
        <control shapeId="13317" r:id="rId50" name="CommandButton26">
          <controlPr defaultSize="0" autoLine="0" r:id="rId51">
            <anchor moveWithCells="1">
              <from>
                <xdr:col>58</xdr:col>
                <xdr:colOff>123825</xdr:colOff>
                <xdr:row>68</xdr:row>
                <xdr:rowOff>0</xdr:rowOff>
              </from>
              <to>
                <xdr:col>58</xdr:col>
                <xdr:colOff>200025</xdr:colOff>
                <xdr:row>69</xdr:row>
                <xdr:rowOff>28575</xdr:rowOff>
              </to>
            </anchor>
          </controlPr>
        </control>
      </mc:Choice>
      <mc:Fallback>
        <control shapeId="13317" r:id="rId50" name="CommandButton26"/>
      </mc:Fallback>
    </mc:AlternateContent>
    <mc:AlternateContent xmlns:mc="http://schemas.openxmlformats.org/markup-compatibility/2006">
      <mc:Choice Requires="x14">
        <control shapeId="13316" r:id="rId52" name="CommandButton25">
          <controlPr defaultSize="0" autoLine="0" r:id="rId53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13316" r:id="rId52" name="CommandButton25"/>
      </mc:Fallback>
    </mc:AlternateContent>
    <mc:AlternateContent xmlns:mc="http://schemas.openxmlformats.org/markup-compatibility/2006">
      <mc:Choice Requires="x14">
        <control shapeId="13315" r:id="rId54" name="CommandButton24">
          <controlPr defaultSize="0" autoLine="0" r:id="rId55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13315" r:id="rId54" name="CommandButton24"/>
      </mc:Fallback>
    </mc:AlternateContent>
    <mc:AlternateContent xmlns:mc="http://schemas.openxmlformats.org/markup-compatibility/2006">
      <mc:Choice Requires="x14">
        <control shapeId="13314" r:id="rId56" name="CommandButton23">
          <controlPr defaultSize="0" autoLine="0" r:id="rId57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13314" r:id="rId56" name="CommandButton23"/>
      </mc:Fallback>
    </mc:AlternateContent>
    <mc:AlternateContent xmlns:mc="http://schemas.openxmlformats.org/markup-compatibility/2006">
      <mc:Choice Requires="x14">
        <control shapeId="13313" r:id="rId58" name="CommandButton22">
          <controlPr defaultSize="0" autoLine="0" r:id="rId59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13313" r:id="rId58" name="CommandButton2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JQ330"/>
  <sheetViews>
    <sheetView showGridLines="0" showRowColHeaders="0" showZeros="0" topLeftCell="J9" zoomScale="145" zoomScaleNormal="145" workbookViewId="0">
      <selection activeCell="L12" sqref="L12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0" width="0.5703125" style="14" customWidth="1"/>
    <col min="71" max="71" width="1" style="14" customWidth="1"/>
    <col min="72" max="72" width="1" style="14" hidden="1" customWidth="1"/>
    <col min="73" max="80" width="0.5703125" style="14" hidden="1" customWidth="1"/>
    <col min="81" max="81" width="1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14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780" t="s">
        <v>288</v>
      </c>
      <c r="X4" s="780"/>
      <c r="Y4" s="780"/>
      <c r="Z4" s="780"/>
      <c r="AA4" s="780"/>
      <c r="AB4" s="780"/>
      <c r="AC4" s="780"/>
      <c r="AD4" s="780"/>
      <c r="AE4" s="780"/>
      <c r="AF4" s="780"/>
      <c r="AG4" s="780"/>
      <c r="AH4" s="780"/>
      <c r="AI4" s="780"/>
      <c r="AJ4" s="780"/>
      <c r="AK4" s="780"/>
      <c r="AL4" s="780"/>
      <c r="AM4" s="780"/>
      <c r="AN4" s="780"/>
      <c r="AO4" s="780"/>
      <c r="AP4" s="780"/>
      <c r="AQ4" s="780"/>
      <c r="AR4" s="780"/>
      <c r="AS4" s="780"/>
      <c r="AT4" s="780"/>
      <c r="AU4" s="780"/>
      <c r="AV4" s="780"/>
      <c r="AW4" s="780"/>
      <c r="AX4" s="780"/>
      <c r="AY4" s="780"/>
      <c r="AZ4" s="780"/>
      <c r="BA4" s="780"/>
      <c r="BB4" s="780"/>
      <c r="BC4" s="780"/>
      <c r="BD4" s="780"/>
      <c r="BE4" s="780"/>
      <c r="BF4" s="780"/>
      <c r="BG4" s="780"/>
      <c r="BH4" s="780"/>
      <c r="BI4" s="780"/>
      <c r="BJ4" s="780"/>
      <c r="BK4" s="780"/>
      <c r="BL4" s="780"/>
      <c r="BM4" s="780"/>
      <c r="BN4" s="780"/>
      <c r="BO4" s="780"/>
      <c r="BP4" s="780"/>
      <c r="BQ4" s="780"/>
      <c r="BR4" s="780"/>
      <c r="BS4" s="780"/>
      <c r="BT4" s="780"/>
      <c r="BU4" s="780"/>
      <c r="BV4" s="780"/>
      <c r="BW4" s="780"/>
      <c r="BX4" s="780"/>
      <c r="BY4" s="780"/>
      <c r="BZ4" s="780"/>
      <c r="CA4" s="780"/>
      <c r="CB4" s="780"/>
      <c r="CC4" s="780"/>
      <c r="CD4" s="780"/>
      <c r="CE4" s="780"/>
      <c r="CF4" s="780"/>
      <c r="CG4" s="780"/>
      <c r="CH4" s="780"/>
      <c r="CI4" s="780"/>
      <c r="CJ4" s="780"/>
      <c r="CK4" s="780"/>
      <c r="CL4" s="780"/>
      <c r="CM4" s="780"/>
      <c r="CN4" s="780"/>
      <c r="CO4" s="780"/>
      <c r="CP4" s="780"/>
      <c r="CQ4" s="780"/>
      <c r="CR4" s="780"/>
      <c r="CS4" s="780"/>
      <c r="CT4" s="780"/>
      <c r="CU4" s="780"/>
      <c r="CV4" s="780"/>
      <c r="CW4" s="780"/>
      <c r="CX4" s="780"/>
      <c r="CY4" s="780"/>
      <c r="CZ4" s="780"/>
      <c r="DA4" s="780"/>
      <c r="DB4" s="780"/>
      <c r="DC4" s="780"/>
      <c r="DD4" s="780"/>
      <c r="DE4" s="780"/>
      <c r="DF4" s="780"/>
      <c r="DG4" s="780"/>
      <c r="DH4" s="780"/>
      <c r="DI4" s="780"/>
      <c r="DJ4" s="780"/>
      <c r="DK4" s="780"/>
      <c r="DL4" s="780"/>
      <c r="DM4" s="780"/>
      <c r="DN4" s="780"/>
      <c r="DO4" s="780"/>
      <c r="DP4" s="780"/>
      <c r="DQ4" s="780"/>
      <c r="DR4" s="780"/>
      <c r="DS4" s="780"/>
      <c r="DT4" s="780"/>
      <c r="DU4" s="780"/>
      <c r="DV4" s="780"/>
      <c r="DW4" s="780"/>
      <c r="DX4" s="780"/>
      <c r="DY4" s="780"/>
      <c r="DZ4" s="780"/>
      <c r="EA4" s="780"/>
      <c r="EB4" s="780"/>
      <c r="EC4" s="780"/>
      <c r="ED4" s="780"/>
      <c r="EE4" s="780"/>
      <c r="EF4" s="780"/>
      <c r="EG4" s="780"/>
      <c r="EH4" s="780"/>
      <c r="EI4" s="780"/>
      <c r="EJ4" s="780"/>
      <c r="EK4" s="780"/>
      <c r="EL4" s="780"/>
      <c r="EM4" s="780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780"/>
      <c r="X5" s="780"/>
      <c r="Y5" s="780"/>
      <c r="Z5" s="780"/>
      <c r="AA5" s="780"/>
      <c r="AB5" s="780"/>
      <c r="AC5" s="780"/>
      <c r="AD5" s="780"/>
      <c r="AE5" s="780"/>
      <c r="AF5" s="780"/>
      <c r="AG5" s="780"/>
      <c r="AH5" s="780"/>
      <c r="AI5" s="780"/>
      <c r="AJ5" s="780"/>
      <c r="AK5" s="780"/>
      <c r="AL5" s="780"/>
      <c r="AM5" s="780"/>
      <c r="AN5" s="780"/>
      <c r="AO5" s="780"/>
      <c r="AP5" s="780"/>
      <c r="AQ5" s="780"/>
      <c r="AR5" s="780"/>
      <c r="AS5" s="780"/>
      <c r="AT5" s="780"/>
      <c r="AU5" s="780"/>
      <c r="AV5" s="780"/>
      <c r="AW5" s="780"/>
      <c r="AX5" s="780"/>
      <c r="AY5" s="780"/>
      <c r="AZ5" s="780"/>
      <c r="BA5" s="780"/>
      <c r="BB5" s="780"/>
      <c r="BC5" s="780"/>
      <c r="BD5" s="780"/>
      <c r="BE5" s="780"/>
      <c r="BF5" s="780"/>
      <c r="BG5" s="780"/>
      <c r="BH5" s="780"/>
      <c r="BI5" s="780"/>
      <c r="BJ5" s="780"/>
      <c r="BK5" s="780"/>
      <c r="BL5" s="780"/>
      <c r="BM5" s="780"/>
      <c r="BN5" s="780"/>
      <c r="BO5" s="780"/>
      <c r="BP5" s="780"/>
      <c r="BQ5" s="780"/>
      <c r="BR5" s="780"/>
      <c r="BS5" s="780"/>
      <c r="BT5" s="780"/>
      <c r="BU5" s="780"/>
      <c r="BV5" s="780"/>
      <c r="BW5" s="780"/>
      <c r="BX5" s="780"/>
      <c r="BY5" s="780"/>
      <c r="BZ5" s="780"/>
      <c r="CA5" s="780"/>
      <c r="CB5" s="780"/>
      <c r="CC5" s="780"/>
      <c r="CD5" s="780"/>
      <c r="CE5" s="780"/>
      <c r="CF5" s="780"/>
      <c r="CG5" s="780"/>
      <c r="CH5" s="780"/>
      <c r="CI5" s="780"/>
      <c r="CJ5" s="780"/>
      <c r="CK5" s="780"/>
      <c r="CL5" s="780"/>
      <c r="CM5" s="780"/>
      <c r="CN5" s="780"/>
      <c r="CO5" s="780"/>
      <c r="CP5" s="780"/>
      <c r="CQ5" s="780"/>
      <c r="CR5" s="780"/>
      <c r="CS5" s="780"/>
      <c r="CT5" s="780"/>
      <c r="CU5" s="780"/>
      <c r="CV5" s="780"/>
      <c r="CW5" s="780"/>
      <c r="CX5" s="780"/>
      <c r="CY5" s="780"/>
      <c r="CZ5" s="780"/>
      <c r="DA5" s="780"/>
      <c r="DB5" s="780"/>
      <c r="DC5" s="780"/>
      <c r="DD5" s="780"/>
      <c r="DE5" s="780"/>
      <c r="DF5" s="780"/>
      <c r="DG5" s="780"/>
      <c r="DH5" s="780"/>
      <c r="DI5" s="780"/>
      <c r="DJ5" s="780"/>
      <c r="DK5" s="780"/>
      <c r="DL5" s="780"/>
      <c r="DM5" s="780"/>
      <c r="DN5" s="780"/>
      <c r="DO5" s="780"/>
      <c r="DP5" s="780"/>
      <c r="DQ5" s="780"/>
      <c r="DR5" s="780"/>
      <c r="DS5" s="780"/>
      <c r="DT5" s="780"/>
      <c r="DU5" s="780"/>
      <c r="DV5" s="780"/>
      <c r="DW5" s="780"/>
      <c r="DX5" s="780"/>
      <c r="DY5" s="780"/>
      <c r="DZ5" s="780"/>
      <c r="EA5" s="780"/>
      <c r="EB5" s="780"/>
      <c r="EC5" s="780"/>
      <c r="ED5" s="780"/>
      <c r="EE5" s="780"/>
      <c r="EF5" s="780"/>
      <c r="EG5" s="780"/>
      <c r="EH5" s="780"/>
      <c r="EI5" s="780"/>
      <c r="EJ5" s="780"/>
      <c r="EK5" s="780"/>
      <c r="EL5" s="780"/>
      <c r="EM5" s="780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780" t="s">
        <v>77</v>
      </c>
      <c r="X6" s="780"/>
      <c r="Y6" s="780"/>
      <c r="Z6" s="780"/>
      <c r="AA6" s="780"/>
      <c r="AB6" s="780"/>
      <c r="AC6" s="780"/>
      <c r="AD6" s="780"/>
      <c r="AE6" s="780"/>
      <c r="AF6" s="780"/>
      <c r="AG6" s="780"/>
      <c r="AH6" s="780"/>
      <c r="AI6" s="780"/>
      <c r="AJ6" s="780"/>
      <c r="AK6" s="780"/>
      <c r="AL6" s="780"/>
      <c r="AM6" s="780"/>
      <c r="AN6" s="780"/>
      <c r="AO6" s="780"/>
      <c r="AP6" s="780"/>
      <c r="AQ6" s="780"/>
      <c r="AR6" s="780"/>
      <c r="AS6" s="780"/>
      <c r="AT6" s="780"/>
      <c r="AU6" s="780"/>
      <c r="AV6" s="780"/>
      <c r="AW6" s="780"/>
      <c r="AX6" s="780"/>
      <c r="AY6" s="780"/>
      <c r="AZ6" s="780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780"/>
      <c r="CB6" s="780"/>
      <c r="CC6" s="780"/>
      <c r="CD6" s="780"/>
      <c r="CE6" s="780"/>
      <c r="CF6" s="780"/>
      <c r="CG6" s="780"/>
      <c r="CH6" s="780"/>
      <c r="CI6" s="780"/>
      <c r="CJ6" s="780"/>
      <c r="CK6" s="780"/>
      <c r="CL6" s="780"/>
      <c r="CM6" s="780"/>
      <c r="CN6" s="780"/>
      <c r="CO6" s="780"/>
      <c r="CP6" s="780"/>
      <c r="CQ6" s="780"/>
      <c r="CR6" s="780"/>
      <c r="CS6" s="780"/>
      <c r="CT6" s="780"/>
      <c r="CU6" s="780"/>
      <c r="CV6" s="780"/>
      <c r="CW6" s="780"/>
      <c r="CX6" s="780"/>
      <c r="CY6" s="780"/>
      <c r="CZ6" s="780"/>
      <c r="DA6" s="780"/>
      <c r="DB6" s="780"/>
      <c r="DC6" s="780"/>
      <c r="DD6" s="780"/>
      <c r="DE6" s="780"/>
      <c r="DF6" s="780"/>
      <c r="DG6" s="780"/>
      <c r="DH6" s="780"/>
      <c r="DI6" s="78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  <c r="EA6" s="780"/>
      <c r="EB6" s="780"/>
      <c r="EC6" s="780"/>
      <c r="ED6" s="780"/>
      <c r="EE6" s="780"/>
      <c r="EF6" s="780"/>
      <c r="EG6" s="780"/>
      <c r="EH6" s="780"/>
      <c r="EI6" s="780"/>
      <c r="EJ6" s="780"/>
      <c r="EK6" s="780"/>
      <c r="EL6" s="780"/>
      <c r="EM6" s="780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80"/>
      <c r="X7" s="780"/>
      <c r="Y7" s="780"/>
      <c r="Z7" s="780"/>
      <c r="AA7" s="780"/>
      <c r="AB7" s="780"/>
      <c r="AC7" s="780"/>
      <c r="AD7" s="780"/>
      <c r="AE7" s="780"/>
      <c r="AF7" s="780"/>
      <c r="AG7" s="780"/>
      <c r="AH7" s="780"/>
      <c r="AI7" s="780"/>
      <c r="AJ7" s="780"/>
      <c r="AK7" s="780"/>
      <c r="AL7" s="780"/>
      <c r="AM7" s="780"/>
      <c r="AN7" s="780"/>
      <c r="AO7" s="780"/>
      <c r="AP7" s="780"/>
      <c r="AQ7" s="780"/>
      <c r="AR7" s="780"/>
      <c r="AS7" s="780"/>
      <c r="AT7" s="780"/>
      <c r="AU7" s="780"/>
      <c r="AV7" s="780"/>
      <c r="AW7" s="780"/>
      <c r="AX7" s="780"/>
      <c r="AY7" s="780"/>
      <c r="AZ7" s="780"/>
      <c r="BA7" s="780"/>
      <c r="BB7" s="780"/>
      <c r="BC7" s="780"/>
      <c r="BD7" s="780"/>
      <c r="BE7" s="780"/>
      <c r="BF7" s="780"/>
      <c r="BG7" s="780"/>
      <c r="BH7" s="780"/>
      <c r="BI7" s="780"/>
      <c r="BJ7" s="780"/>
      <c r="BK7" s="780"/>
      <c r="BL7" s="780"/>
      <c r="BM7" s="780"/>
      <c r="BN7" s="780"/>
      <c r="BO7" s="780"/>
      <c r="BP7" s="780"/>
      <c r="BQ7" s="780"/>
      <c r="BR7" s="780"/>
      <c r="BS7" s="780"/>
      <c r="BT7" s="780"/>
      <c r="BU7" s="780"/>
      <c r="BV7" s="780"/>
      <c r="BW7" s="780"/>
      <c r="BX7" s="780"/>
      <c r="BY7" s="780"/>
      <c r="BZ7" s="780"/>
      <c r="CA7" s="780"/>
      <c r="CB7" s="780"/>
      <c r="CC7" s="780"/>
      <c r="CD7" s="780"/>
      <c r="CE7" s="780"/>
      <c r="CF7" s="780"/>
      <c r="CG7" s="780"/>
      <c r="CH7" s="780"/>
      <c r="CI7" s="780"/>
      <c r="CJ7" s="780"/>
      <c r="CK7" s="780"/>
      <c r="CL7" s="780"/>
      <c r="CM7" s="780"/>
      <c r="CN7" s="780"/>
      <c r="CO7" s="780"/>
      <c r="CP7" s="780"/>
      <c r="CQ7" s="780"/>
      <c r="CR7" s="780"/>
      <c r="CS7" s="780"/>
      <c r="CT7" s="780"/>
      <c r="CU7" s="780"/>
      <c r="CV7" s="780"/>
      <c r="CW7" s="780"/>
      <c r="CX7" s="780"/>
      <c r="CY7" s="780"/>
      <c r="CZ7" s="780"/>
      <c r="DA7" s="780"/>
      <c r="DB7" s="780"/>
      <c r="DC7" s="780"/>
      <c r="DD7" s="780"/>
      <c r="DE7" s="780"/>
      <c r="DF7" s="780"/>
      <c r="DG7" s="780"/>
      <c r="DH7" s="780"/>
      <c r="DI7" s="780"/>
      <c r="DJ7" s="780"/>
      <c r="DK7" s="780"/>
      <c r="DL7" s="780"/>
      <c r="DM7" s="780"/>
      <c r="DN7" s="780"/>
      <c r="DO7" s="780"/>
      <c r="DP7" s="780"/>
      <c r="DQ7" s="780"/>
      <c r="DR7" s="780"/>
      <c r="DS7" s="780"/>
      <c r="DT7" s="780"/>
      <c r="DU7" s="780"/>
      <c r="DV7" s="780"/>
      <c r="DW7" s="780"/>
      <c r="DX7" s="780"/>
      <c r="DY7" s="780"/>
      <c r="DZ7" s="780"/>
      <c r="EA7" s="780"/>
      <c r="EB7" s="780"/>
      <c r="EC7" s="780"/>
      <c r="ED7" s="780"/>
      <c r="EE7" s="780"/>
      <c r="EF7" s="780"/>
      <c r="EG7" s="780"/>
      <c r="EH7" s="780"/>
      <c r="EI7" s="780"/>
      <c r="EJ7" s="780"/>
      <c r="EK7" s="780"/>
      <c r="EL7" s="780"/>
      <c r="EM7" s="780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41" t="s">
        <v>173</v>
      </c>
      <c r="N9" s="141"/>
      <c r="O9" s="7"/>
      <c r="AZ9" s="141" t="s">
        <v>174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1" t="s">
        <v>175</v>
      </c>
      <c r="N10" s="141"/>
      <c r="O10" s="142"/>
      <c r="P10" s="141"/>
      <c r="Q10" s="141"/>
      <c r="R10" s="14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  <c r="AH10" s="141"/>
      <c r="AI10" s="141"/>
      <c r="AJ10" s="141"/>
      <c r="AK10" s="141"/>
      <c r="AL10" s="141"/>
      <c r="AM10" s="141"/>
      <c r="AN10" s="141"/>
      <c r="AO10" s="141"/>
      <c r="AP10" s="141"/>
      <c r="AQ10" s="141"/>
      <c r="AR10" s="141"/>
      <c r="AS10" s="141"/>
      <c r="AT10" s="141"/>
      <c r="AU10" s="141"/>
      <c r="AV10" s="141"/>
      <c r="AW10" s="141"/>
      <c r="AX10" s="141"/>
      <c r="AY10" s="141"/>
      <c r="AZ10" s="141" t="s">
        <v>176</v>
      </c>
      <c r="BA10" s="141"/>
      <c r="BB10" s="141"/>
      <c r="BC10" s="141"/>
      <c r="BD10" s="141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1" t="s">
        <v>177</v>
      </c>
      <c r="BA11" s="143"/>
      <c r="BB11" s="143"/>
      <c r="BC11" s="143"/>
      <c r="BD11" s="143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17"/>
      <c r="X12" s="234"/>
      <c r="Y12" s="234"/>
      <c r="Z12" s="234"/>
      <c r="AA12" s="234"/>
      <c r="AB12" s="234"/>
      <c r="AC12" s="17"/>
      <c r="AD12" s="17"/>
      <c r="AE12" s="234"/>
      <c r="AF12" s="234"/>
      <c r="AG12" s="234"/>
      <c r="AH12" s="234"/>
      <c r="AI12" s="234"/>
      <c r="AJ12" s="234"/>
      <c r="AK12" s="234"/>
      <c r="AL12" s="234"/>
      <c r="AM12" s="234"/>
      <c r="AN12" s="234"/>
      <c r="AO12" s="234"/>
      <c r="AP12" s="235"/>
      <c r="AQ12" s="236"/>
      <c r="AR12" s="237"/>
      <c r="AS12" s="237"/>
      <c r="AT12" s="237"/>
      <c r="AU12" s="237"/>
      <c r="AV12" s="237"/>
      <c r="AW12" s="237"/>
      <c r="AX12" s="237"/>
      <c r="AY12" s="237"/>
      <c r="AZ12" s="237"/>
      <c r="BA12" s="237"/>
      <c r="BB12" s="237"/>
      <c r="BC12" s="237"/>
      <c r="BD12" s="237"/>
      <c r="BE12" s="237"/>
      <c r="BF12" s="237"/>
      <c r="BG12" s="237"/>
      <c r="BH12" s="237"/>
      <c r="BI12" s="237"/>
      <c r="BJ12" s="237"/>
      <c r="BK12" s="237"/>
      <c r="BL12" s="237"/>
      <c r="BM12" s="237"/>
      <c r="BN12" s="237"/>
      <c r="BO12" s="237"/>
      <c r="BP12" s="237"/>
      <c r="BQ12" s="237"/>
      <c r="BR12" s="237"/>
      <c r="BS12" s="237"/>
      <c r="BT12" s="237"/>
      <c r="BU12" s="237"/>
      <c r="BV12" s="237"/>
      <c r="BW12" s="237"/>
      <c r="BX12" s="237"/>
      <c r="BY12" s="237"/>
      <c r="BZ12" s="237"/>
      <c r="CA12" s="237"/>
      <c r="CB12" s="237"/>
      <c r="CC12" s="237"/>
      <c r="CD12" s="237"/>
      <c r="CE12" s="237"/>
      <c r="CF12" s="237"/>
      <c r="CG12" s="237"/>
      <c r="CH12" s="237"/>
      <c r="CI12" s="237"/>
      <c r="CJ12" s="237"/>
      <c r="CK12" s="237"/>
      <c r="CL12" s="237"/>
      <c r="CM12" s="237"/>
      <c r="CN12" s="237"/>
      <c r="CO12" s="237"/>
      <c r="CP12" s="237"/>
      <c r="CQ12" s="237"/>
      <c r="CR12" s="237"/>
      <c r="CS12" s="237"/>
      <c r="CT12" s="237"/>
      <c r="CU12" s="237"/>
      <c r="CV12" s="237"/>
      <c r="CW12" s="237"/>
      <c r="CX12" s="237"/>
      <c r="CY12" s="237"/>
      <c r="CZ12" s="237"/>
      <c r="DA12" s="237"/>
      <c r="DB12" s="234"/>
      <c r="DC12" s="234"/>
      <c r="DD12" s="234"/>
      <c r="DE12" s="234"/>
      <c r="DF12" s="234"/>
      <c r="DG12" s="234"/>
      <c r="DH12" s="234"/>
      <c r="DI12" s="234"/>
      <c r="DJ12" s="234"/>
      <c r="DK12" s="234"/>
      <c r="DL12" s="234"/>
      <c r="DM12" s="234"/>
      <c r="DN12" s="234"/>
      <c r="DO12" s="234"/>
      <c r="DP12" s="234"/>
      <c r="DQ12" s="234"/>
      <c r="DR12" s="234"/>
      <c r="DS12" s="234"/>
      <c r="DT12" s="234"/>
      <c r="DU12" s="234"/>
      <c r="DV12" s="234"/>
      <c r="DW12" s="234"/>
      <c r="DX12" s="234"/>
      <c r="DY12" s="234"/>
      <c r="DZ12" s="234"/>
      <c r="EA12" s="234"/>
      <c r="EB12" s="234"/>
      <c r="EC12" s="234"/>
      <c r="ED12" s="234"/>
      <c r="EE12" s="234"/>
      <c r="EF12" s="234"/>
      <c r="EG12" s="234"/>
      <c r="EH12" s="234"/>
      <c r="EI12" s="234"/>
      <c r="EJ12" s="234"/>
      <c r="EK12" s="238"/>
      <c r="EL12" s="235"/>
      <c r="EM12" s="235"/>
      <c r="EN12" s="235"/>
      <c r="EO12" s="235"/>
      <c r="EP12" s="235"/>
      <c r="EQ12" s="235"/>
      <c r="ER12" s="235"/>
      <c r="ES12" s="235"/>
      <c r="ET12" s="235"/>
      <c r="EU12" s="235"/>
      <c r="EV12" s="235"/>
      <c r="EW12" s="235"/>
      <c r="EX12" s="235"/>
      <c r="EY12" s="235"/>
      <c r="EZ12" s="235"/>
      <c r="FA12" s="235"/>
      <c r="FB12" s="235"/>
      <c r="FC12" s="235"/>
      <c r="FD12" s="235"/>
      <c r="FE12" s="235"/>
      <c r="FF12" s="235"/>
      <c r="FG12" s="235"/>
      <c r="FH12" s="235"/>
      <c r="FI12" s="235"/>
      <c r="FJ12" s="235"/>
      <c r="FK12" s="235"/>
      <c r="FL12" s="235"/>
      <c r="FM12" s="235"/>
      <c r="FN12" s="235"/>
      <c r="FO12" s="235"/>
      <c r="FP12" s="235"/>
      <c r="FQ12" s="235"/>
      <c r="FR12" s="235"/>
      <c r="FS12" s="235"/>
      <c r="FT12" s="235"/>
      <c r="FU12" s="235"/>
      <c r="FV12" s="235"/>
      <c r="FW12" s="235"/>
      <c r="FX12" s="235"/>
      <c r="FY12" s="235"/>
      <c r="FZ12" s="235"/>
      <c r="GA12" s="235"/>
      <c r="GB12" s="235"/>
      <c r="GC12" s="235"/>
      <c r="GD12" s="235"/>
      <c r="GE12" s="235"/>
      <c r="GF12" s="235"/>
      <c r="GG12" s="235"/>
      <c r="GH12" s="235"/>
      <c r="GI12" s="167"/>
      <c r="GJ12" s="167"/>
      <c r="GK12" s="167"/>
      <c r="GL12" s="167"/>
      <c r="GM12" s="167"/>
      <c r="GO12" s="167"/>
      <c r="GP12" s="167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6"/>
      <c r="M13" s="167"/>
      <c r="N13" s="781" t="s">
        <v>54</v>
      </c>
      <c r="O13" s="781"/>
      <c r="P13" s="781"/>
      <c r="Q13" s="781"/>
      <c r="R13" s="781"/>
      <c r="S13" s="781"/>
      <c r="T13" s="781"/>
      <c r="U13" s="781"/>
      <c r="V13" s="781"/>
      <c r="W13" s="781"/>
      <c r="X13" s="781"/>
      <c r="Y13" s="781"/>
      <c r="Z13" s="781"/>
      <c r="AA13" s="781"/>
      <c r="AB13" s="781"/>
      <c r="AC13" s="781"/>
      <c r="AD13" s="781"/>
      <c r="AE13" s="781"/>
      <c r="AF13" s="781"/>
      <c r="AG13" s="781"/>
      <c r="AH13" s="781"/>
      <c r="AI13" s="781"/>
      <c r="AJ13" s="781"/>
      <c r="AK13" s="781"/>
      <c r="AL13" s="781"/>
      <c r="AM13" s="781"/>
      <c r="AN13" s="781"/>
      <c r="AO13" s="781"/>
      <c r="AP13" s="781"/>
      <c r="AQ13" s="781"/>
      <c r="AR13" s="781"/>
      <c r="AS13" s="781"/>
      <c r="AT13" s="781"/>
      <c r="AU13" s="781"/>
      <c r="AV13" s="781"/>
      <c r="AW13" s="781"/>
      <c r="AX13" s="781"/>
      <c r="AY13" s="781"/>
      <c r="AZ13" s="781"/>
      <c r="BA13" s="781"/>
      <c r="BB13" s="781"/>
      <c r="BC13" s="781"/>
      <c r="BD13" s="781"/>
      <c r="BE13" s="781"/>
      <c r="BF13" s="781"/>
      <c r="BG13" s="781"/>
      <c r="BH13" s="781"/>
      <c r="BI13" s="781"/>
      <c r="BJ13" s="781"/>
      <c r="BK13" s="781"/>
      <c r="BL13" s="781"/>
      <c r="BM13" s="781"/>
      <c r="BN13" s="781"/>
      <c r="BO13" s="781"/>
      <c r="BP13" s="781"/>
      <c r="BQ13" s="781"/>
      <c r="BR13" s="781"/>
      <c r="BS13" s="781"/>
      <c r="BT13" s="781"/>
      <c r="BU13" s="781"/>
      <c r="BV13" s="781"/>
      <c r="BW13" s="781"/>
      <c r="BX13" s="781"/>
      <c r="BY13" s="781"/>
      <c r="BZ13" s="781"/>
      <c r="CA13" s="781"/>
      <c r="CB13" s="781"/>
      <c r="CC13" s="781"/>
      <c r="CD13" s="781"/>
      <c r="CE13" s="781"/>
      <c r="CF13" s="781"/>
      <c r="CG13" s="781"/>
      <c r="CH13" s="781"/>
      <c r="CI13" s="781"/>
      <c r="CJ13" s="781"/>
      <c r="CK13" s="781"/>
      <c r="CL13" s="781"/>
      <c r="CM13" s="781"/>
      <c r="CN13" s="781"/>
      <c r="CO13" s="781"/>
      <c r="CP13" s="781"/>
      <c r="CQ13" s="781"/>
      <c r="CR13" s="781"/>
      <c r="CS13" s="781"/>
      <c r="CT13" s="781"/>
      <c r="CU13" s="781"/>
      <c r="CV13" s="781"/>
      <c r="CW13" s="781"/>
      <c r="CX13" s="781"/>
      <c r="CY13" s="781"/>
      <c r="CZ13" s="781"/>
      <c r="DA13" s="781"/>
      <c r="DB13" s="781"/>
      <c r="DC13" s="781"/>
      <c r="DD13" s="781"/>
      <c r="DE13" s="781"/>
      <c r="DF13" s="781"/>
      <c r="DG13" s="781"/>
      <c r="DH13" s="781"/>
      <c r="DI13" s="781"/>
      <c r="DJ13" s="781"/>
      <c r="DK13" s="781"/>
      <c r="DL13" s="781"/>
      <c r="DM13" s="781"/>
      <c r="DN13" s="781"/>
      <c r="DO13" s="781"/>
      <c r="DP13" s="781"/>
      <c r="DQ13" s="781"/>
      <c r="DR13" s="781"/>
      <c r="DS13" s="781"/>
      <c r="DT13" s="781"/>
      <c r="DU13" s="781"/>
      <c r="DV13" s="781"/>
      <c r="DW13" s="781"/>
      <c r="DX13" s="781"/>
      <c r="DY13" s="781"/>
      <c r="DZ13" s="781"/>
      <c r="EA13" s="781"/>
      <c r="EB13" s="781"/>
      <c r="EC13" s="781"/>
      <c r="ED13" s="781"/>
      <c r="EE13" s="781"/>
      <c r="EF13" s="781"/>
      <c r="EG13" s="781"/>
      <c r="EH13" s="781"/>
      <c r="EI13" s="781"/>
      <c r="EJ13" s="781"/>
      <c r="EK13" s="781"/>
      <c r="EL13" s="781"/>
      <c r="EM13" s="781"/>
      <c r="EN13" s="781"/>
      <c r="EO13" s="781"/>
      <c r="EP13" s="781"/>
      <c r="EQ13" s="781"/>
      <c r="ER13" s="781"/>
      <c r="ES13" s="781"/>
      <c r="ET13" s="781"/>
      <c r="EU13" s="781"/>
      <c r="EV13" s="781"/>
      <c r="EW13" s="781"/>
      <c r="EX13" s="781"/>
      <c r="EY13" s="781"/>
      <c r="EZ13" s="781"/>
      <c r="FA13" s="781"/>
      <c r="FB13" s="781"/>
      <c r="FC13" s="781"/>
      <c r="FD13" s="781"/>
      <c r="FE13" s="781"/>
      <c r="FF13" s="781"/>
      <c r="FG13" s="781"/>
      <c r="FH13" s="781"/>
      <c r="FI13" s="781"/>
      <c r="FJ13" s="781"/>
      <c r="FK13" s="781"/>
      <c r="FL13" s="781"/>
      <c r="FM13" s="781"/>
      <c r="FN13" s="781"/>
      <c r="FO13" s="781"/>
      <c r="FP13" s="781"/>
      <c r="FQ13" s="781"/>
      <c r="FR13" s="781"/>
      <c r="FS13" s="781"/>
      <c r="FT13" s="781"/>
      <c r="FU13" s="781"/>
      <c r="FV13" s="781"/>
      <c r="FW13" s="781"/>
      <c r="FX13" s="781"/>
      <c r="FY13" s="781"/>
      <c r="FZ13" s="781"/>
      <c r="GA13" s="781"/>
      <c r="GB13" s="781"/>
      <c r="GC13" s="781"/>
      <c r="GD13" s="781"/>
      <c r="GE13" s="781"/>
      <c r="GF13" s="781"/>
      <c r="GG13" s="781"/>
      <c r="GH13" s="781"/>
      <c r="GI13" s="781"/>
      <c r="GJ13" s="781"/>
      <c r="GK13" s="781"/>
      <c r="GL13" s="781"/>
      <c r="GM13" s="781"/>
      <c r="GN13" s="781"/>
      <c r="GO13" s="781"/>
      <c r="GP13" s="167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6"/>
      <c r="M14" s="167"/>
      <c r="N14" s="781"/>
      <c r="O14" s="781"/>
      <c r="P14" s="781"/>
      <c r="Q14" s="781"/>
      <c r="R14" s="781"/>
      <c r="S14" s="781"/>
      <c r="T14" s="781"/>
      <c r="U14" s="781"/>
      <c r="V14" s="781"/>
      <c r="W14" s="781"/>
      <c r="X14" s="781"/>
      <c r="Y14" s="781"/>
      <c r="Z14" s="781"/>
      <c r="AA14" s="781"/>
      <c r="AB14" s="781"/>
      <c r="AC14" s="781"/>
      <c r="AD14" s="781"/>
      <c r="AE14" s="781"/>
      <c r="AF14" s="781"/>
      <c r="AG14" s="781"/>
      <c r="AH14" s="781"/>
      <c r="AI14" s="781"/>
      <c r="AJ14" s="781"/>
      <c r="AK14" s="781"/>
      <c r="AL14" s="781"/>
      <c r="AM14" s="781"/>
      <c r="AN14" s="781"/>
      <c r="AO14" s="781"/>
      <c r="AP14" s="781"/>
      <c r="AQ14" s="781"/>
      <c r="AR14" s="781"/>
      <c r="AS14" s="781"/>
      <c r="AT14" s="781"/>
      <c r="AU14" s="781"/>
      <c r="AV14" s="781"/>
      <c r="AW14" s="781"/>
      <c r="AX14" s="781"/>
      <c r="AY14" s="781"/>
      <c r="AZ14" s="781"/>
      <c r="BA14" s="781"/>
      <c r="BB14" s="781"/>
      <c r="BC14" s="781"/>
      <c r="BD14" s="781"/>
      <c r="BE14" s="781"/>
      <c r="BF14" s="781"/>
      <c r="BG14" s="781"/>
      <c r="BH14" s="781"/>
      <c r="BI14" s="781"/>
      <c r="BJ14" s="781"/>
      <c r="BK14" s="781"/>
      <c r="BL14" s="781"/>
      <c r="BM14" s="781"/>
      <c r="BN14" s="781"/>
      <c r="BO14" s="781"/>
      <c r="BP14" s="781"/>
      <c r="BQ14" s="781"/>
      <c r="BR14" s="781"/>
      <c r="BS14" s="781"/>
      <c r="BT14" s="781"/>
      <c r="BU14" s="781"/>
      <c r="BV14" s="781"/>
      <c r="BW14" s="781"/>
      <c r="BX14" s="781"/>
      <c r="BY14" s="781"/>
      <c r="BZ14" s="781"/>
      <c r="CA14" s="781"/>
      <c r="CB14" s="781"/>
      <c r="CC14" s="781"/>
      <c r="CD14" s="781"/>
      <c r="CE14" s="781"/>
      <c r="CF14" s="781"/>
      <c r="CG14" s="781"/>
      <c r="CH14" s="781"/>
      <c r="CI14" s="781"/>
      <c r="CJ14" s="781"/>
      <c r="CK14" s="781"/>
      <c r="CL14" s="781"/>
      <c r="CM14" s="781"/>
      <c r="CN14" s="781"/>
      <c r="CO14" s="781"/>
      <c r="CP14" s="781"/>
      <c r="CQ14" s="781"/>
      <c r="CR14" s="781"/>
      <c r="CS14" s="781"/>
      <c r="CT14" s="781"/>
      <c r="CU14" s="781"/>
      <c r="CV14" s="781"/>
      <c r="CW14" s="781"/>
      <c r="CX14" s="781"/>
      <c r="CY14" s="781"/>
      <c r="CZ14" s="781"/>
      <c r="DA14" s="781"/>
      <c r="DB14" s="781"/>
      <c r="DC14" s="781"/>
      <c r="DD14" s="781"/>
      <c r="DE14" s="781"/>
      <c r="DF14" s="781"/>
      <c r="DG14" s="781"/>
      <c r="DH14" s="781"/>
      <c r="DI14" s="781"/>
      <c r="DJ14" s="781"/>
      <c r="DK14" s="781"/>
      <c r="DL14" s="781"/>
      <c r="DM14" s="781"/>
      <c r="DN14" s="781"/>
      <c r="DO14" s="781"/>
      <c r="DP14" s="781"/>
      <c r="DQ14" s="781"/>
      <c r="DR14" s="781"/>
      <c r="DS14" s="781"/>
      <c r="DT14" s="781"/>
      <c r="DU14" s="781"/>
      <c r="DV14" s="781"/>
      <c r="DW14" s="781"/>
      <c r="DX14" s="781"/>
      <c r="DY14" s="781"/>
      <c r="DZ14" s="781"/>
      <c r="EA14" s="781"/>
      <c r="EB14" s="781"/>
      <c r="EC14" s="781"/>
      <c r="ED14" s="781"/>
      <c r="EE14" s="781"/>
      <c r="EF14" s="781"/>
      <c r="EG14" s="781"/>
      <c r="EH14" s="781"/>
      <c r="EI14" s="781"/>
      <c r="EJ14" s="781"/>
      <c r="EK14" s="781"/>
      <c r="EL14" s="781"/>
      <c r="EM14" s="781"/>
      <c r="EN14" s="781"/>
      <c r="EO14" s="781"/>
      <c r="EP14" s="781"/>
      <c r="EQ14" s="781"/>
      <c r="ER14" s="781"/>
      <c r="ES14" s="781"/>
      <c r="ET14" s="781"/>
      <c r="EU14" s="781"/>
      <c r="EV14" s="781"/>
      <c r="EW14" s="781"/>
      <c r="EX14" s="781"/>
      <c r="EY14" s="781"/>
      <c r="EZ14" s="781"/>
      <c r="FA14" s="781"/>
      <c r="FB14" s="781"/>
      <c r="FC14" s="781"/>
      <c r="FD14" s="781"/>
      <c r="FE14" s="781"/>
      <c r="FF14" s="781"/>
      <c r="FG14" s="781"/>
      <c r="FH14" s="781"/>
      <c r="FI14" s="781"/>
      <c r="FJ14" s="781"/>
      <c r="FK14" s="781"/>
      <c r="FL14" s="781"/>
      <c r="FM14" s="781"/>
      <c r="FN14" s="781"/>
      <c r="FO14" s="781"/>
      <c r="FP14" s="781"/>
      <c r="FQ14" s="781"/>
      <c r="FR14" s="781"/>
      <c r="FS14" s="781"/>
      <c r="FT14" s="781"/>
      <c r="FU14" s="781"/>
      <c r="FV14" s="781"/>
      <c r="FW14" s="781"/>
      <c r="FX14" s="781"/>
      <c r="FY14" s="781"/>
      <c r="FZ14" s="781"/>
      <c r="GA14" s="781"/>
      <c r="GB14" s="781"/>
      <c r="GC14" s="781"/>
      <c r="GD14" s="781"/>
      <c r="GE14" s="781"/>
      <c r="GF14" s="781"/>
      <c r="GG14" s="781"/>
      <c r="GH14" s="781"/>
      <c r="GI14" s="781"/>
      <c r="GJ14" s="781"/>
      <c r="GK14" s="781"/>
      <c r="GL14" s="781"/>
      <c r="GM14" s="781"/>
      <c r="GN14" s="781"/>
      <c r="GO14" s="781"/>
      <c r="GP14" s="167"/>
      <c r="GQ14" s="2"/>
      <c r="GR14" s="2"/>
      <c r="GS14" s="2"/>
      <c r="GT14" s="2"/>
      <c r="GU14" s="2"/>
    </row>
    <row r="15" spans="1:203" ht="6" customHeight="1" x14ac:dyDescent="0.2">
      <c r="A15" s="2"/>
      <c r="B15" s="2"/>
      <c r="C15" s="2"/>
      <c r="D15" s="2"/>
      <c r="E15" s="2"/>
      <c r="F15" s="2"/>
      <c r="G15" s="7"/>
      <c r="H15" s="7"/>
      <c r="I15" s="7"/>
      <c r="J15" s="7"/>
      <c r="K15" s="10"/>
      <c r="L15" s="36"/>
      <c r="M15" s="167"/>
      <c r="N15" s="239"/>
      <c r="O15" s="239"/>
      <c r="P15" s="239"/>
      <c r="Q15" s="239"/>
      <c r="R15" s="239"/>
      <c r="S15" s="239"/>
      <c r="T15" s="239"/>
      <c r="U15" s="239"/>
      <c r="V15" s="239"/>
      <c r="W15" s="239"/>
      <c r="BH15" s="239"/>
      <c r="BI15" s="239"/>
      <c r="CU15" s="239"/>
      <c r="CV15" s="239"/>
      <c r="CW15" s="239"/>
      <c r="CX15" s="239"/>
      <c r="CY15" s="239"/>
      <c r="CZ15" s="239"/>
      <c r="DA15" s="239"/>
      <c r="DB15" s="239"/>
      <c r="DC15" s="239"/>
      <c r="FX15" s="239"/>
      <c r="FY15" s="239"/>
      <c r="FZ15" s="239"/>
      <c r="GA15" s="239"/>
      <c r="GB15" s="239"/>
      <c r="GC15" s="239"/>
      <c r="GD15" s="239"/>
      <c r="GE15" s="239"/>
      <c r="GF15" s="239"/>
      <c r="GG15" s="239"/>
      <c r="GH15" s="239"/>
      <c r="GI15" s="167"/>
      <c r="GJ15" s="167"/>
      <c r="GK15" s="167"/>
      <c r="GL15" s="167"/>
      <c r="GM15" s="167"/>
      <c r="GN15" s="167"/>
      <c r="GO15" s="167"/>
      <c r="GP15" s="167"/>
      <c r="GQ15" s="2"/>
      <c r="GR15" s="2"/>
      <c r="GS15" s="2"/>
      <c r="GT15" s="2"/>
      <c r="GU15" s="2"/>
    </row>
    <row r="16" spans="1:203" ht="6" customHeight="1" x14ac:dyDescent="0.2">
      <c r="A16" s="2"/>
      <c r="B16" s="2"/>
      <c r="C16" s="2"/>
      <c r="D16" s="2"/>
      <c r="E16" s="2"/>
      <c r="F16" s="2"/>
      <c r="G16" s="7"/>
      <c r="H16" s="7"/>
      <c r="I16" s="7"/>
      <c r="J16" s="7"/>
      <c r="K16" s="10"/>
      <c r="L16" s="36"/>
      <c r="M16" s="167"/>
      <c r="N16" s="239"/>
      <c r="O16" s="239"/>
      <c r="P16" s="239"/>
      <c r="Q16" s="239"/>
      <c r="R16" s="239"/>
      <c r="S16" s="239"/>
      <c r="T16" s="239"/>
      <c r="U16" s="239"/>
      <c r="V16" s="239"/>
      <c r="W16" s="239"/>
      <c r="BH16" s="239"/>
      <c r="BI16" s="239"/>
      <c r="CU16" s="239"/>
      <c r="CV16" s="239"/>
      <c r="CW16" s="239"/>
      <c r="CX16" s="239"/>
      <c r="CY16" s="239"/>
      <c r="CZ16" s="239"/>
      <c r="DA16" s="239"/>
      <c r="DB16" s="239"/>
      <c r="DC16" s="239"/>
      <c r="FX16" s="239"/>
      <c r="FY16" s="239"/>
      <c r="FZ16" s="239"/>
      <c r="GA16" s="239"/>
      <c r="GB16" s="239"/>
      <c r="GC16" s="239"/>
      <c r="GD16" s="239"/>
      <c r="GE16" s="239"/>
      <c r="GF16" s="239"/>
      <c r="GG16" s="239"/>
      <c r="GH16" s="239"/>
      <c r="GI16" s="167"/>
      <c r="GJ16" s="167"/>
      <c r="GK16" s="167"/>
      <c r="GL16" s="167"/>
      <c r="GM16" s="167"/>
      <c r="GN16" s="167"/>
      <c r="GO16" s="167"/>
      <c r="GP16" s="167"/>
      <c r="GQ16" s="2"/>
      <c r="GR16" s="2"/>
      <c r="GS16" s="2"/>
      <c r="GT16" s="2"/>
      <c r="GU16" s="2"/>
    </row>
    <row r="17" spans="1:277" ht="6" customHeight="1" x14ac:dyDescent="0.2">
      <c r="A17" s="2"/>
      <c r="B17" s="2"/>
      <c r="C17" s="2"/>
      <c r="D17" s="2"/>
      <c r="E17" s="2"/>
      <c r="F17" s="2"/>
      <c r="G17" s="7"/>
      <c r="H17" s="7"/>
      <c r="I17" s="7"/>
      <c r="J17" s="7"/>
      <c r="K17" s="10"/>
      <c r="L17" s="36"/>
      <c r="M17" s="167"/>
      <c r="N17" s="588" t="s">
        <v>264</v>
      </c>
      <c r="O17" s="588"/>
      <c r="P17" s="589"/>
      <c r="Q17" s="588" t="s">
        <v>289</v>
      </c>
      <c r="R17" s="588"/>
      <c r="S17" s="588"/>
      <c r="T17" s="588"/>
      <c r="U17" s="588"/>
      <c r="V17" s="589" t="s">
        <v>290</v>
      </c>
      <c r="W17" s="589"/>
      <c r="X17" s="589"/>
      <c r="Y17" s="589"/>
      <c r="Z17" s="589"/>
      <c r="AA17" s="589"/>
      <c r="AB17" s="589"/>
      <c r="AC17" s="589"/>
      <c r="AD17" s="589"/>
      <c r="AE17" s="589"/>
      <c r="AF17" s="589"/>
      <c r="AG17" s="589"/>
      <c r="AH17" s="589"/>
      <c r="AI17" s="589"/>
      <c r="AJ17" s="589"/>
      <c r="AK17" s="589"/>
      <c r="AL17" s="589"/>
      <c r="AM17" s="589"/>
      <c r="AN17" s="589"/>
      <c r="AO17" s="589"/>
      <c r="AP17" s="589"/>
      <c r="AQ17" s="589"/>
      <c r="AR17" s="589"/>
      <c r="AS17" s="589"/>
      <c r="AT17" s="589"/>
      <c r="AU17" s="589"/>
      <c r="AV17" s="589"/>
      <c r="AW17" s="589"/>
      <c r="AX17" s="589"/>
      <c r="AY17" s="589"/>
      <c r="AZ17" s="589"/>
      <c r="BA17" s="589"/>
      <c r="BB17" s="589"/>
      <c r="BC17" s="589"/>
      <c r="BD17" s="589"/>
      <c r="BE17" s="589"/>
      <c r="BF17" s="589"/>
      <c r="BG17" s="589"/>
      <c r="BH17" s="589"/>
      <c r="BI17" s="589"/>
      <c r="BJ17" s="578" t="s">
        <v>291</v>
      </c>
      <c r="BK17" s="578"/>
      <c r="BL17" s="578"/>
      <c r="BM17" s="578"/>
      <c r="BN17" s="578"/>
      <c r="BO17" s="578"/>
      <c r="BP17" s="578"/>
      <c r="BQ17" s="578"/>
      <c r="BR17" s="578"/>
      <c r="BS17" s="578"/>
      <c r="BT17" s="578" t="s">
        <v>292</v>
      </c>
      <c r="BU17" s="578"/>
      <c r="BV17" s="578"/>
      <c r="BW17" s="578"/>
      <c r="BX17" s="578"/>
      <c r="BY17" s="578"/>
      <c r="BZ17" s="578"/>
      <c r="CA17" s="578"/>
      <c r="CB17" s="578"/>
      <c r="CC17" s="578"/>
      <c r="CD17" s="578" t="s">
        <v>293</v>
      </c>
      <c r="CE17" s="578"/>
      <c r="CF17" s="578"/>
      <c r="CG17" s="578"/>
      <c r="CH17" s="578"/>
      <c r="CI17" s="578"/>
      <c r="CJ17" s="578"/>
      <c r="CK17" s="578"/>
      <c r="CL17" s="578"/>
      <c r="CM17" s="578"/>
      <c r="CN17" s="595" t="s">
        <v>75</v>
      </c>
      <c r="CO17" s="595"/>
      <c r="CP17" s="595"/>
      <c r="CQ17" s="595"/>
      <c r="CR17" s="595"/>
      <c r="CS17" s="595"/>
      <c r="CT17" s="595"/>
      <c r="CU17" s="595"/>
      <c r="CV17" s="595"/>
      <c r="CW17" s="595"/>
      <c r="CX17" s="595"/>
      <c r="CY17" s="595"/>
      <c r="CZ17" s="595"/>
      <c r="DA17" s="595"/>
      <c r="DB17" s="595"/>
      <c r="DC17" s="578" t="s">
        <v>386</v>
      </c>
      <c r="DD17" s="578"/>
      <c r="DE17" s="578"/>
      <c r="DF17" s="578"/>
      <c r="DG17" s="578"/>
      <c r="DH17" s="578"/>
      <c r="DI17" s="578"/>
      <c r="DJ17" s="578"/>
      <c r="DK17" s="578"/>
      <c r="DL17" s="578"/>
      <c r="DM17" s="578" t="s">
        <v>387</v>
      </c>
      <c r="DN17" s="578"/>
      <c r="DO17" s="578"/>
      <c r="DP17" s="578"/>
      <c r="DQ17" s="578"/>
      <c r="DR17" s="578"/>
      <c r="DS17" s="578"/>
      <c r="DT17" s="578"/>
      <c r="DU17" s="578"/>
      <c r="DV17" s="578"/>
      <c r="DW17" s="578" t="s">
        <v>388</v>
      </c>
      <c r="DX17" s="578"/>
      <c r="DY17" s="578"/>
      <c r="DZ17" s="578"/>
      <c r="EA17" s="578"/>
      <c r="EB17" s="578"/>
      <c r="EC17" s="578"/>
      <c r="ED17" s="578"/>
      <c r="EE17" s="578"/>
      <c r="EF17" s="578"/>
      <c r="EG17" s="578" t="s">
        <v>294</v>
      </c>
      <c r="EH17" s="578"/>
      <c r="EI17" s="578"/>
      <c r="EJ17" s="578"/>
      <c r="EK17" s="578"/>
      <c r="EL17" s="578"/>
      <c r="EM17" s="578"/>
      <c r="EN17" s="578"/>
      <c r="EO17" s="578"/>
      <c r="EP17" s="578"/>
      <c r="EQ17" s="578"/>
      <c r="ER17" s="578"/>
      <c r="ES17" s="578"/>
      <c r="ET17" s="578"/>
      <c r="EU17" s="578" t="s">
        <v>295</v>
      </c>
      <c r="EV17" s="578"/>
      <c r="EW17" s="578"/>
      <c r="EX17" s="578"/>
      <c r="EY17" s="578"/>
      <c r="EZ17" s="578"/>
      <c r="FA17" s="578"/>
      <c r="FB17" s="578"/>
      <c r="FC17" s="578"/>
      <c r="FD17" s="578"/>
      <c r="FE17" s="578" t="s">
        <v>296</v>
      </c>
      <c r="FF17" s="578"/>
      <c r="FG17" s="578"/>
      <c r="FH17" s="578"/>
      <c r="FI17" s="578"/>
      <c r="FJ17" s="578"/>
      <c r="FK17" s="578"/>
      <c r="FL17" s="578"/>
      <c r="FM17" s="578"/>
      <c r="FN17" s="578" t="s">
        <v>297</v>
      </c>
      <c r="FO17" s="578"/>
      <c r="FP17" s="578"/>
      <c r="FQ17" s="578"/>
      <c r="FR17" s="578"/>
      <c r="FS17" s="578"/>
      <c r="FT17" s="578"/>
      <c r="FU17" s="578"/>
      <c r="FV17" s="578"/>
      <c r="FW17" s="786" t="s">
        <v>275</v>
      </c>
      <c r="FX17" s="786"/>
      <c r="FY17" s="786"/>
      <c r="FZ17" s="786"/>
      <c r="GA17" s="786"/>
      <c r="GB17" s="786"/>
      <c r="GC17" s="786"/>
      <c r="GD17" s="786"/>
      <c r="GE17" s="786"/>
      <c r="GF17" s="786"/>
      <c r="GG17" s="786"/>
      <c r="GH17" s="786"/>
      <c r="GI17" s="786"/>
      <c r="GJ17" s="786"/>
      <c r="GK17" s="786"/>
      <c r="GL17" s="786"/>
      <c r="GM17" s="786"/>
      <c r="GN17" s="786"/>
      <c r="GO17" s="786"/>
      <c r="GP17" s="167"/>
      <c r="GQ17" s="2"/>
      <c r="GR17" s="2"/>
      <c r="GS17" s="2"/>
      <c r="GT17" s="2"/>
      <c r="GU17" s="2"/>
    </row>
    <row r="18" spans="1:277" ht="9" customHeight="1" x14ac:dyDescent="0.2">
      <c r="A18" s="2"/>
      <c r="B18" s="2"/>
      <c r="C18" s="2"/>
      <c r="D18" s="2"/>
      <c r="E18" s="2"/>
      <c r="F18" s="2"/>
      <c r="G18" s="7"/>
      <c r="H18" s="7"/>
      <c r="I18" s="7"/>
      <c r="J18" s="7"/>
      <c r="K18" s="10"/>
      <c r="L18" s="36"/>
      <c r="M18" s="167"/>
      <c r="N18" s="782"/>
      <c r="O18" s="782"/>
      <c r="P18" s="782"/>
      <c r="Q18" s="783"/>
      <c r="R18" s="783"/>
      <c r="S18" s="783"/>
      <c r="T18" s="783"/>
      <c r="U18" s="783"/>
      <c r="V18" s="782"/>
      <c r="W18" s="782"/>
      <c r="X18" s="782"/>
      <c r="Y18" s="782"/>
      <c r="Z18" s="782"/>
      <c r="AA18" s="782"/>
      <c r="AB18" s="782"/>
      <c r="AC18" s="782"/>
      <c r="AD18" s="782"/>
      <c r="AE18" s="782"/>
      <c r="AF18" s="782"/>
      <c r="AG18" s="782"/>
      <c r="AH18" s="782"/>
      <c r="AI18" s="782"/>
      <c r="AJ18" s="782"/>
      <c r="AK18" s="782"/>
      <c r="AL18" s="782"/>
      <c r="AM18" s="782"/>
      <c r="AN18" s="782"/>
      <c r="AO18" s="782"/>
      <c r="AP18" s="782"/>
      <c r="AQ18" s="782"/>
      <c r="AR18" s="782"/>
      <c r="AS18" s="782"/>
      <c r="AT18" s="782"/>
      <c r="AU18" s="782"/>
      <c r="AV18" s="782"/>
      <c r="AW18" s="782"/>
      <c r="AX18" s="782"/>
      <c r="AY18" s="782"/>
      <c r="AZ18" s="782"/>
      <c r="BA18" s="782"/>
      <c r="BB18" s="782"/>
      <c r="BC18" s="782"/>
      <c r="BD18" s="782"/>
      <c r="BE18" s="782"/>
      <c r="BF18" s="782"/>
      <c r="BG18" s="782"/>
      <c r="BH18" s="782"/>
      <c r="BI18" s="782"/>
      <c r="BJ18" s="784"/>
      <c r="BK18" s="784"/>
      <c r="BL18" s="784"/>
      <c r="BM18" s="784"/>
      <c r="BN18" s="784"/>
      <c r="BO18" s="784"/>
      <c r="BP18" s="784"/>
      <c r="BQ18" s="784"/>
      <c r="BR18" s="784"/>
      <c r="BS18" s="784"/>
      <c r="BT18" s="784"/>
      <c r="BU18" s="784"/>
      <c r="BV18" s="784"/>
      <c r="BW18" s="784"/>
      <c r="BX18" s="784"/>
      <c r="BY18" s="784"/>
      <c r="BZ18" s="784"/>
      <c r="CA18" s="784"/>
      <c r="CB18" s="784"/>
      <c r="CC18" s="784"/>
      <c r="CD18" s="784"/>
      <c r="CE18" s="784"/>
      <c r="CF18" s="784"/>
      <c r="CG18" s="784"/>
      <c r="CH18" s="784"/>
      <c r="CI18" s="784"/>
      <c r="CJ18" s="784"/>
      <c r="CK18" s="784"/>
      <c r="CL18" s="784"/>
      <c r="CM18" s="784"/>
      <c r="CN18" s="785"/>
      <c r="CO18" s="785"/>
      <c r="CP18" s="785"/>
      <c r="CQ18" s="785"/>
      <c r="CR18" s="785"/>
      <c r="CS18" s="785"/>
      <c r="CT18" s="785"/>
      <c r="CU18" s="785"/>
      <c r="CV18" s="785"/>
      <c r="CW18" s="785"/>
      <c r="CX18" s="785"/>
      <c r="CY18" s="785"/>
      <c r="CZ18" s="785"/>
      <c r="DA18" s="785"/>
      <c r="DB18" s="785"/>
      <c r="DC18" s="784"/>
      <c r="DD18" s="784"/>
      <c r="DE18" s="784"/>
      <c r="DF18" s="784"/>
      <c r="DG18" s="784"/>
      <c r="DH18" s="784"/>
      <c r="DI18" s="784"/>
      <c r="DJ18" s="784"/>
      <c r="DK18" s="784"/>
      <c r="DL18" s="784"/>
      <c r="DM18" s="784"/>
      <c r="DN18" s="784"/>
      <c r="DO18" s="784"/>
      <c r="DP18" s="784"/>
      <c r="DQ18" s="784"/>
      <c r="DR18" s="784"/>
      <c r="DS18" s="784"/>
      <c r="DT18" s="784"/>
      <c r="DU18" s="784"/>
      <c r="DV18" s="784"/>
      <c r="DW18" s="784"/>
      <c r="DX18" s="784"/>
      <c r="DY18" s="784"/>
      <c r="DZ18" s="784"/>
      <c r="EA18" s="784"/>
      <c r="EB18" s="784"/>
      <c r="EC18" s="784"/>
      <c r="ED18" s="784"/>
      <c r="EE18" s="784"/>
      <c r="EF18" s="784"/>
      <c r="EG18" s="784"/>
      <c r="EH18" s="784"/>
      <c r="EI18" s="784"/>
      <c r="EJ18" s="784"/>
      <c r="EK18" s="784"/>
      <c r="EL18" s="784"/>
      <c r="EM18" s="784"/>
      <c r="EN18" s="784"/>
      <c r="EO18" s="784"/>
      <c r="EP18" s="784"/>
      <c r="EQ18" s="784"/>
      <c r="ER18" s="784"/>
      <c r="ES18" s="784"/>
      <c r="ET18" s="784"/>
      <c r="EU18" s="784"/>
      <c r="EV18" s="784"/>
      <c r="EW18" s="784"/>
      <c r="EX18" s="784"/>
      <c r="EY18" s="784"/>
      <c r="EZ18" s="784"/>
      <c r="FA18" s="784"/>
      <c r="FB18" s="784"/>
      <c r="FC18" s="784"/>
      <c r="FD18" s="784"/>
      <c r="FE18" s="784"/>
      <c r="FF18" s="784"/>
      <c r="FG18" s="784"/>
      <c r="FH18" s="784"/>
      <c r="FI18" s="784"/>
      <c r="FJ18" s="784"/>
      <c r="FK18" s="784"/>
      <c r="FL18" s="784"/>
      <c r="FM18" s="784"/>
      <c r="FN18" s="784"/>
      <c r="FO18" s="784"/>
      <c r="FP18" s="784"/>
      <c r="FQ18" s="784"/>
      <c r="FR18" s="784"/>
      <c r="FS18" s="784"/>
      <c r="FT18" s="784"/>
      <c r="FU18" s="784"/>
      <c r="FV18" s="784"/>
      <c r="FW18" s="787"/>
      <c r="FX18" s="787"/>
      <c r="FY18" s="787"/>
      <c r="FZ18" s="787"/>
      <c r="GA18" s="787"/>
      <c r="GB18" s="787"/>
      <c r="GC18" s="787"/>
      <c r="GD18" s="787"/>
      <c r="GE18" s="787"/>
      <c r="GF18" s="787"/>
      <c r="GG18" s="787"/>
      <c r="GH18" s="787"/>
      <c r="GI18" s="787"/>
      <c r="GJ18" s="787"/>
      <c r="GK18" s="787"/>
      <c r="GL18" s="787"/>
      <c r="GM18" s="787"/>
      <c r="GN18" s="787"/>
      <c r="GO18" s="787"/>
      <c r="GP18" s="167"/>
      <c r="GQ18" s="2"/>
      <c r="GR18" s="2"/>
      <c r="GS18" s="2"/>
      <c r="GT18" s="2"/>
      <c r="GU18" s="2"/>
    </row>
    <row r="19" spans="1:27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10"/>
      <c r="L19" s="36"/>
      <c r="M19" s="167"/>
      <c r="N19" s="788">
        <v>1</v>
      </c>
      <c r="O19" s="788"/>
      <c r="P19" s="789"/>
      <c r="Q19" s="790" t="s">
        <v>399</v>
      </c>
      <c r="R19" s="790"/>
      <c r="S19" s="790"/>
      <c r="T19" s="790"/>
      <c r="U19" s="790"/>
      <c r="V19" s="792" t="s">
        <v>402</v>
      </c>
      <c r="W19" s="793"/>
      <c r="X19" s="793"/>
      <c r="Y19" s="793"/>
      <c r="Z19" s="793"/>
      <c r="AA19" s="793"/>
      <c r="AB19" s="793"/>
      <c r="AC19" s="793"/>
      <c r="AD19" s="793"/>
      <c r="AE19" s="793"/>
      <c r="AF19" s="793"/>
      <c r="AG19" s="793"/>
      <c r="AH19" s="793"/>
      <c r="AI19" s="793"/>
      <c r="AJ19" s="793"/>
      <c r="AK19" s="793"/>
      <c r="AL19" s="793"/>
      <c r="AM19" s="793"/>
      <c r="AN19" s="793"/>
      <c r="AO19" s="793"/>
      <c r="AP19" s="793"/>
      <c r="AQ19" s="793"/>
      <c r="AR19" s="793"/>
      <c r="AS19" s="793"/>
      <c r="AT19" s="793"/>
      <c r="AU19" s="793"/>
      <c r="AV19" s="793"/>
      <c r="AW19" s="793"/>
      <c r="AX19" s="793"/>
      <c r="AY19" s="793"/>
      <c r="AZ19" s="793"/>
      <c r="BA19" s="793"/>
      <c r="BB19" s="793"/>
      <c r="BC19" s="793"/>
      <c r="BD19" s="793"/>
      <c r="BE19" s="793"/>
      <c r="BF19" s="793"/>
      <c r="BG19" s="793"/>
      <c r="BH19" s="793"/>
      <c r="BI19" s="794"/>
      <c r="BJ19" s="795">
        <f>HS_NAKL_N</f>
        <v>201.77599999999998</v>
      </c>
      <c r="BK19" s="795"/>
      <c r="BL19" s="795"/>
      <c r="BM19" s="795"/>
      <c r="BN19" s="795"/>
      <c r="BO19" s="795"/>
      <c r="BP19" s="795"/>
      <c r="BQ19" s="795"/>
      <c r="BR19" s="795"/>
      <c r="BS19" s="795"/>
      <c r="BT19" s="797">
        <f>KI_N*BEZ_Hilf_1_Anz</f>
        <v>201.77599999999998</v>
      </c>
      <c r="BU19" s="798"/>
      <c r="BV19" s="798"/>
      <c r="BW19" s="798"/>
      <c r="BX19" s="798"/>
      <c r="BY19" s="798"/>
      <c r="BZ19" s="798"/>
      <c r="CA19" s="798"/>
      <c r="CB19" s="798"/>
      <c r="CC19" s="799"/>
      <c r="CD19" s="803" t="s">
        <v>36</v>
      </c>
      <c r="CE19" s="803"/>
      <c r="CF19" s="803"/>
      <c r="CG19" s="803"/>
      <c r="CH19" s="803"/>
      <c r="CI19" s="803"/>
      <c r="CJ19" s="803"/>
      <c r="CK19" s="803"/>
      <c r="CL19" s="803"/>
      <c r="CM19" s="803"/>
      <c r="CN19" s="805" t="s">
        <v>244</v>
      </c>
      <c r="CO19" s="806"/>
      <c r="CP19" s="806"/>
      <c r="CQ19" s="806"/>
      <c r="CR19" s="806"/>
      <c r="CS19" s="806"/>
      <c r="CT19" s="806"/>
      <c r="CU19" s="806"/>
      <c r="CV19" s="806"/>
      <c r="CW19" s="806"/>
      <c r="CX19" s="806"/>
      <c r="CY19" s="806"/>
      <c r="CZ19" s="363"/>
      <c r="DA19" s="364"/>
      <c r="DB19" s="364"/>
      <c r="DC19" s="807">
        <v>6.0000000000000001E-3</v>
      </c>
      <c r="DD19" s="807"/>
      <c r="DE19" s="807"/>
      <c r="DF19" s="807"/>
      <c r="DG19" s="807"/>
      <c r="DH19" s="807"/>
      <c r="DI19" s="807"/>
      <c r="DJ19" s="807"/>
      <c r="DK19" s="807"/>
      <c r="DL19" s="807"/>
      <c r="DM19" s="820">
        <v>10</v>
      </c>
      <c r="DN19" s="821"/>
      <c r="DO19" s="821"/>
      <c r="DP19" s="821"/>
      <c r="DQ19" s="821"/>
      <c r="DR19" s="821"/>
      <c r="DS19" s="821"/>
      <c r="DT19" s="821"/>
      <c r="DU19" s="821"/>
      <c r="DV19" s="822"/>
      <c r="DW19" s="823">
        <f>BEZ_Hilf_1_EHPreis*(BEZ_Hilf_1_GKZ/100+1)</f>
        <v>6.6000000000000008E-3</v>
      </c>
      <c r="DX19" s="824"/>
      <c r="DY19" s="824"/>
      <c r="DZ19" s="824"/>
      <c r="EA19" s="824"/>
      <c r="EB19" s="824"/>
      <c r="EC19" s="824"/>
      <c r="ED19" s="824"/>
      <c r="EE19" s="824"/>
      <c r="EF19" s="824"/>
      <c r="EG19" s="825">
        <f>BEZ_Hilf_1_Anz*BEZ_Hilf_1_EHPreis*((BEZ_Hilf_1_GKZ/100)+1)</f>
        <v>1.3317216000000001</v>
      </c>
      <c r="EH19" s="825"/>
      <c r="EI19" s="825"/>
      <c r="EJ19" s="825"/>
      <c r="EK19" s="825"/>
      <c r="EL19" s="825"/>
      <c r="EM19" s="825"/>
      <c r="EN19" s="825"/>
      <c r="EO19" s="825"/>
      <c r="EP19" s="825"/>
      <c r="EQ19" s="825"/>
      <c r="ER19" s="825"/>
      <c r="ES19" s="825"/>
      <c r="ET19" s="825"/>
      <c r="EU19" s="825">
        <f>BEZ_Hilf_1_PreisJeKiste*KI_N</f>
        <v>1.3317216000000001</v>
      </c>
      <c r="EV19" s="825"/>
      <c r="EW19" s="825"/>
      <c r="EX19" s="825"/>
      <c r="EY19" s="825"/>
      <c r="EZ19" s="825"/>
      <c r="FA19" s="825"/>
      <c r="FB19" s="825"/>
      <c r="FC19" s="825"/>
      <c r="FD19" s="825"/>
      <c r="FE19" s="827">
        <v>0</v>
      </c>
      <c r="FF19" s="828"/>
      <c r="FG19" s="828"/>
      <c r="FH19" s="828"/>
      <c r="FI19" s="828"/>
      <c r="FJ19" s="828"/>
      <c r="FK19" s="828"/>
      <c r="FL19" s="828"/>
      <c r="FM19" s="829"/>
      <c r="FN19" s="833">
        <f>BEZ_Hilf_1_gJeEH*BEZ_Hilf_1_Anz</f>
        <v>0</v>
      </c>
      <c r="FO19" s="833"/>
      <c r="FP19" s="833"/>
      <c r="FQ19" s="833"/>
      <c r="FR19" s="833"/>
      <c r="FS19" s="833"/>
      <c r="FT19" s="833"/>
      <c r="FU19" s="833"/>
      <c r="FV19" s="833"/>
      <c r="FW19" s="812" t="s">
        <v>298</v>
      </c>
      <c r="FX19" s="813"/>
      <c r="FY19" s="813"/>
      <c r="FZ19" s="813"/>
      <c r="GA19" s="813"/>
      <c r="GB19" s="813"/>
      <c r="GC19" s="813"/>
      <c r="GD19" s="813"/>
      <c r="GE19" s="813"/>
      <c r="GF19" s="813"/>
      <c r="GG19" s="813"/>
      <c r="GH19" s="813"/>
      <c r="GI19" s="813"/>
      <c r="GJ19" s="813"/>
      <c r="GK19" s="813"/>
      <c r="GL19" s="813"/>
      <c r="GM19" s="813"/>
      <c r="GN19" s="813"/>
      <c r="GO19" s="814"/>
      <c r="GP19" s="167"/>
      <c r="GQ19" s="351"/>
      <c r="GR19" s="2"/>
      <c r="GS19" s="2"/>
      <c r="GT19" s="2"/>
      <c r="GU19" s="2"/>
      <c r="GV19" s="240"/>
      <c r="GW19" s="240"/>
      <c r="GX19" s="240"/>
      <c r="GY19" s="240"/>
      <c r="GZ19" s="240"/>
      <c r="HF19" s="818"/>
      <c r="HG19" s="818"/>
      <c r="HH19" s="818"/>
      <c r="HI19" s="818"/>
      <c r="HJ19" s="818"/>
      <c r="HK19" s="818"/>
      <c r="HL19" s="818"/>
      <c r="HM19" s="818"/>
      <c r="HN19" s="818"/>
      <c r="HO19" s="818"/>
      <c r="HP19" s="818"/>
      <c r="HQ19" s="818"/>
      <c r="HR19" s="818"/>
      <c r="HS19" s="818"/>
      <c r="HT19" s="818"/>
      <c r="HU19" s="148"/>
      <c r="HV19" s="148"/>
      <c r="IK19" s="241"/>
      <c r="IV19" s="242"/>
      <c r="JG19" s="243"/>
      <c r="JQ19" s="244"/>
    </row>
    <row r="20" spans="1:27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6"/>
      <c r="M20" s="167"/>
      <c r="N20" s="788"/>
      <c r="O20" s="788"/>
      <c r="P20" s="789"/>
      <c r="Q20" s="791"/>
      <c r="R20" s="791"/>
      <c r="S20" s="791"/>
      <c r="T20" s="791"/>
      <c r="U20" s="791"/>
      <c r="V20" s="792"/>
      <c r="W20" s="793"/>
      <c r="X20" s="793"/>
      <c r="Y20" s="793"/>
      <c r="Z20" s="793"/>
      <c r="AA20" s="793"/>
      <c r="AB20" s="793"/>
      <c r="AC20" s="793"/>
      <c r="AD20" s="793"/>
      <c r="AE20" s="793"/>
      <c r="AF20" s="793"/>
      <c r="AG20" s="793"/>
      <c r="AH20" s="793"/>
      <c r="AI20" s="793"/>
      <c r="AJ20" s="793"/>
      <c r="AK20" s="793"/>
      <c r="AL20" s="793"/>
      <c r="AM20" s="793"/>
      <c r="AN20" s="793"/>
      <c r="AO20" s="793"/>
      <c r="AP20" s="793"/>
      <c r="AQ20" s="793"/>
      <c r="AR20" s="793"/>
      <c r="AS20" s="793"/>
      <c r="AT20" s="793"/>
      <c r="AU20" s="793"/>
      <c r="AV20" s="793"/>
      <c r="AW20" s="793"/>
      <c r="AX20" s="793"/>
      <c r="AY20" s="793"/>
      <c r="AZ20" s="793"/>
      <c r="BA20" s="793"/>
      <c r="BB20" s="793"/>
      <c r="BC20" s="793"/>
      <c r="BD20" s="793"/>
      <c r="BE20" s="793"/>
      <c r="BF20" s="793"/>
      <c r="BG20" s="793"/>
      <c r="BH20" s="793"/>
      <c r="BI20" s="794"/>
      <c r="BJ20" s="796"/>
      <c r="BK20" s="796"/>
      <c r="BL20" s="796"/>
      <c r="BM20" s="796"/>
      <c r="BN20" s="796"/>
      <c r="BO20" s="796"/>
      <c r="BP20" s="796"/>
      <c r="BQ20" s="796"/>
      <c r="BR20" s="796"/>
      <c r="BS20" s="796"/>
      <c r="BT20" s="800"/>
      <c r="BU20" s="801"/>
      <c r="BV20" s="801"/>
      <c r="BW20" s="801"/>
      <c r="BX20" s="801"/>
      <c r="BY20" s="801"/>
      <c r="BZ20" s="801"/>
      <c r="CA20" s="801"/>
      <c r="CB20" s="801"/>
      <c r="CC20" s="802"/>
      <c r="CD20" s="804"/>
      <c r="CE20" s="804"/>
      <c r="CF20" s="804"/>
      <c r="CG20" s="804"/>
      <c r="CH20" s="804"/>
      <c r="CI20" s="804"/>
      <c r="CJ20" s="804"/>
      <c r="CK20" s="804"/>
      <c r="CL20" s="804"/>
      <c r="CM20" s="804"/>
      <c r="CN20" s="805"/>
      <c r="CO20" s="806"/>
      <c r="CP20" s="806"/>
      <c r="CQ20" s="806"/>
      <c r="CR20" s="806"/>
      <c r="CS20" s="806"/>
      <c r="CT20" s="806"/>
      <c r="CU20" s="806"/>
      <c r="CV20" s="806"/>
      <c r="CW20" s="806"/>
      <c r="CX20" s="806"/>
      <c r="CY20" s="806"/>
      <c r="CZ20" s="365"/>
      <c r="DA20" s="366"/>
      <c r="DB20" s="366"/>
      <c r="DC20" s="808"/>
      <c r="DD20" s="808"/>
      <c r="DE20" s="808"/>
      <c r="DF20" s="808"/>
      <c r="DG20" s="808"/>
      <c r="DH20" s="808"/>
      <c r="DI20" s="808"/>
      <c r="DJ20" s="808"/>
      <c r="DK20" s="808"/>
      <c r="DL20" s="808"/>
      <c r="DM20" s="809"/>
      <c r="DN20" s="810"/>
      <c r="DO20" s="810"/>
      <c r="DP20" s="810"/>
      <c r="DQ20" s="810"/>
      <c r="DR20" s="810"/>
      <c r="DS20" s="810"/>
      <c r="DT20" s="810"/>
      <c r="DU20" s="810"/>
      <c r="DV20" s="811"/>
      <c r="DW20" s="823"/>
      <c r="DX20" s="824"/>
      <c r="DY20" s="824"/>
      <c r="DZ20" s="824"/>
      <c r="EA20" s="824"/>
      <c r="EB20" s="824"/>
      <c r="EC20" s="824"/>
      <c r="ED20" s="824"/>
      <c r="EE20" s="824"/>
      <c r="EF20" s="824"/>
      <c r="EG20" s="826"/>
      <c r="EH20" s="826"/>
      <c r="EI20" s="826"/>
      <c r="EJ20" s="826"/>
      <c r="EK20" s="826"/>
      <c r="EL20" s="826"/>
      <c r="EM20" s="826"/>
      <c r="EN20" s="826"/>
      <c r="EO20" s="826"/>
      <c r="EP20" s="826"/>
      <c r="EQ20" s="826"/>
      <c r="ER20" s="826"/>
      <c r="ES20" s="826"/>
      <c r="ET20" s="826"/>
      <c r="EU20" s="826"/>
      <c r="EV20" s="826"/>
      <c r="EW20" s="826"/>
      <c r="EX20" s="826"/>
      <c r="EY20" s="826"/>
      <c r="EZ20" s="826"/>
      <c r="FA20" s="826"/>
      <c r="FB20" s="826"/>
      <c r="FC20" s="826"/>
      <c r="FD20" s="826"/>
      <c r="FE20" s="830"/>
      <c r="FF20" s="831"/>
      <c r="FG20" s="831"/>
      <c r="FH20" s="831"/>
      <c r="FI20" s="831"/>
      <c r="FJ20" s="831"/>
      <c r="FK20" s="831"/>
      <c r="FL20" s="831"/>
      <c r="FM20" s="832"/>
      <c r="FN20" s="833"/>
      <c r="FO20" s="833"/>
      <c r="FP20" s="833"/>
      <c r="FQ20" s="833"/>
      <c r="FR20" s="833"/>
      <c r="FS20" s="833"/>
      <c r="FT20" s="833"/>
      <c r="FU20" s="833"/>
      <c r="FV20" s="833"/>
      <c r="FW20" s="815"/>
      <c r="FX20" s="816"/>
      <c r="FY20" s="816"/>
      <c r="FZ20" s="816"/>
      <c r="GA20" s="816"/>
      <c r="GB20" s="816"/>
      <c r="GC20" s="816"/>
      <c r="GD20" s="816"/>
      <c r="GE20" s="816"/>
      <c r="GF20" s="816"/>
      <c r="GG20" s="816"/>
      <c r="GH20" s="816"/>
      <c r="GI20" s="816"/>
      <c r="GJ20" s="816"/>
      <c r="GK20" s="816"/>
      <c r="GL20" s="816"/>
      <c r="GM20" s="816"/>
      <c r="GN20" s="816"/>
      <c r="GO20" s="817"/>
      <c r="GP20" s="167"/>
      <c r="GQ20" s="2"/>
      <c r="GR20" s="2"/>
      <c r="GS20" s="2"/>
      <c r="GT20" s="2"/>
      <c r="GU20" s="2"/>
      <c r="GV20" s="240"/>
      <c r="GW20" s="240"/>
      <c r="GX20" s="240"/>
      <c r="GY20" s="240"/>
      <c r="GZ20" s="240"/>
      <c r="HF20" s="818"/>
      <c r="HG20" s="818"/>
      <c r="HH20" s="818"/>
      <c r="HI20" s="818"/>
      <c r="HJ20" s="818"/>
      <c r="HK20" s="818"/>
      <c r="HL20" s="818"/>
      <c r="HM20" s="818"/>
      <c r="HN20" s="818"/>
      <c r="HO20" s="818"/>
      <c r="HP20" s="818"/>
      <c r="HQ20" s="818"/>
      <c r="HR20" s="818"/>
      <c r="HS20" s="818"/>
      <c r="HT20" s="818"/>
      <c r="HU20" s="148"/>
      <c r="HV20" s="148"/>
      <c r="IK20" s="241"/>
      <c r="IV20" s="242"/>
      <c r="JG20" s="243"/>
      <c r="JQ20" s="244"/>
    </row>
    <row r="21" spans="1:27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6"/>
      <c r="M21" s="167"/>
      <c r="N21" s="788">
        <v>2</v>
      </c>
      <c r="O21" s="788"/>
      <c r="P21" s="789"/>
      <c r="Q21" s="791" t="s">
        <v>433</v>
      </c>
      <c r="R21" s="791"/>
      <c r="S21" s="791"/>
      <c r="T21" s="791"/>
      <c r="U21" s="791"/>
      <c r="V21" s="792" t="s">
        <v>432</v>
      </c>
      <c r="W21" s="793"/>
      <c r="X21" s="793"/>
      <c r="Y21" s="793"/>
      <c r="Z21" s="793"/>
      <c r="AA21" s="793"/>
      <c r="AB21" s="793"/>
      <c r="AC21" s="793"/>
      <c r="AD21" s="793"/>
      <c r="AE21" s="793"/>
      <c r="AF21" s="793"/>
      <c r="AG21" s="793"/>
      <c r="AH21" s="793"/>
      <c r="AI21" s="793"/>
      <c r="AJ21" s="793"/>
      <c r="AK21" s="793"/>
      <c r="AL21" s="793"/>
      <c r="AM21" s="793"/>
      <c r="AN21" s="793"/>
      <c r="AO21" s="793"/>
      <c r="AP21" s="793"/>
      <c r="AQ21" s="793"/>
      <c r="AR21" s="793"/>
      <c r="AS21" s="793"/>
      <c r="AT21" s="793"/>
      <c r="AU21" s="793"/>
      <c r="AV21" s="793"/>
      <c r="AW21" s="793"/>
      <c r="AX21" s="793"/>
      <c r="AY21" s="793"/>
      <c r="AZ21" s="793"/>
      <c r="BA21" s="793"/>
      <c r="BB21" s="793"/>
      <c r="BC21" s="793"/>
      <c r="BD21" s="793"/>
      <c r="BE21" s="793"/>
      <c r="BF21" s="793"/>
      <c r="BG21" s="793"/>
      <c r="BH21" s="793"/>
      <c r="BI21" s="794"/>
      <c r="BJ21" s="819"/>
      <c r="BK21" s="819"/>
      <c r="BL21" s="819"/>
      <c r="BM21" s="819"/>
      <c r="BN21" s="819"/>
      <c r="BO21" s="819"/>
      <c r="BP21" s="819"/>
      <c r="BQ21" s="819"/>
      <c r="BR21" s="819"/>
      <c r="BS21" s="819"/>
      <c r="BT21" s="800"/>
      <c r="BU21" s="801"/>
      <c r="BV21" s="801"/>
      <c r="BW21" s="801"/>
      <c r="BX21" s="801"/>
      <c r="BY21" s="801"/>
      <c r="BZ21" s="801"/>
      <c r="CA21" s="801"/>
      <c r="CB21" s="801"/>
      <c r="CC21" s="802"/>
      <c r="CD21" s="804" t="s">
        <v>36</v>
      </c>
      <c r="CE21" s="804"/>
      <c r="CF21" s="804"/>
      <c r="CG21" s="804"/>
      <c r="CH21" s="804"/>
      <c r="CI21" s="804"/>
      <c r="CJ21" s="804"/>
      <c r="CK21" s="804"/>
      <c r="CL21" s="804"/>
      <c r="CM21" s="804"/>
      <c r="CN21" s="805" t="s">
        <v>41</v>
      </c>
      <c r="CO21" s="806"/>
      <c r="CP21" s="806"/>
      <c r="CQ21" s="806"/>
      <c r="CR21" s="806"/>
      <c r="CS21" s="806"/>
      <c r="CT21" s="806"/>
      <c r="CU21" s="806"/>
      <c r="CV21" s="806"/>
      <c r="CW21" s="806"/>
      <c r="CX21" s="806"/>
      <c r="CY21" s="806"/>
      <c r="CZ21" s="365"/>
      <c r="DA21" s="366"/>
      <c r="DB21" s="366"/>
      <c r="DC21" s="808">
        <v>6.5000000000000002E-2</v>
      </c>
      <c r="DD21" s="808"/>
      <c r="DE21" s="808"/>
      <c r="DF21" s="808"/>
      <c r="DG21" s="808"/>
      <c r="DH21" s="808"/>
      <c r="DI21" s="808"/>
      <c r="DJ21" s="808"/>
      <c r="DK21" s="808"/>
      <c r="DL21" s="808"/>
      <c r="DM21" s="809">
        <v>10</v>
      </c>
      <c r="DN21" s="810"/>
      <c r="DO21" s="810"/>
      <c r="DP21" s="810"/>
      <c r="DQ21" s="810"/>
      <c r="DR21" s="810"/>
      <c r="DS21" s="810"/>
      <c r="DT21" s="810"/>
      <c r="DU21" s="810"/>
      <c r="DV21" s="811"/>
      <c r="DW21" s="823"/>
      <c r="DX21" s="824"/>
      <c r="DY21" s="824"/>
      <c r="DZ21" s="824"/>
      <c r="EA21" s="824"/>
      <c r="EB21" s="824"/>
      <c r="EC21" s="824"/>
      <c r="ED21" s="824"/>
      <c r="EE21" s="824"/>
      <c r="EF21" s="824"/>
      <c r="EG21" s="826">
        <f>BEZ_Hilf_2_Anz*BEZ_Hilf_2_EHPreis*((BEZ_Hilf_2_GKZ/100)+1)</f>
        <v>0</v>
      </c>
      <c r="EH21" s="826"/>
      <c r="EI21" s="826"/>
      <c r="EJ21" s="826"/>
      <c r="EK21" s="826"/>
      <c r="EL21" s="826"/>
      <c r="EM21" s="826"/>
      <c r="EN21" s="826"/>
      <c r="EO21" s="826"/>
      <c r="EP21" s="826"/>
      <c r="EQ21" s="826"/>
      <c r="ER21" s="826"/>
      <c r="ES21" s="826"/>
      <c r="ET21" s="826"/>
      <c r="EU21" s="826">
        <f>BEZ_Hilf_2_PreisJeKiste*KI_N</f>
        <v>0</v>
      </c>
      <c r="EV21" s="826"/>
      <c r="EW21" s="826"/>
      <c r="EX21" s="826"/>
      <c r="EY21" s="826"/>
      <c r="EZ21" s="826"/>
      <c r="FA21" s="826"/>
      <c r="FB21" s="826"/>
      <c r="FC21" s="826"/>
      <c r="FD21" s="826"/>
      <c r="FE21" s="830">
        <v>0</v>
      </c>
      <c r="FF21" s="831"/>
      <c r="FG21" s="831"/>
      <c r="FH21" s="831"/>
      <c r="FI21" s="831"/>
      <c r="FJ21" s="831"/>
      <c r="FK21" s="831"/>
      <c r="FL21" s="831"/>
      <c r="FM21" s="832"/>
      <c r="FN21" s="833">
        <f>BEZ_Hilf_2_gJeEH*BEZ_Hilf_2_Anz</f>
        <v>0</v>
      </c>
      <c r="FO21" s="833"/>
      <c r="FP21" s="833"/>
      <c r="FQ21" s="833"/>
      <c r="FR21" s="833"/>
      <c r="FS21" s="833"/>
      <c r="FT21" s="833"/>
      <c r="FU21" s="833"/>
      <c r="FV21" s="833"/>
      <c r="FW21" s="834">
        <f>SUM(EG19:ET98)</f>
        <v>9.3887216000000002</v>
      </c>
      <c r="FX21" s="835"/>
      <c r="FY21" s="835"/>
      <c r="FZ21" s="835"/>
      <c r="GA21" s="835"/>
      <c r="GB21" s="835"/>
      <c r="GC21" s="835"/>
      <c r="GD21" s="835"/>
      <c r="GE21" s="835"/>
      <c r="GF21" s="835"/>
      <c r="GG21" s="836" t="s">
        <v>299</v>
      </c>
      <c r="GH21" s="836"/>
      <c r="GI21" s="836"/>
      <c r="GJ21" s="836"/>
      <c r="GK21" s="836"/>
      <c r="GL21" s="836"/>
      <c r="GM21" s="836"/>
      <c r="GN21" s="836"/>
      <c r="GO21" s="837"/>
      <c r="GP21" s="167"/>
      <c r="GQ21" s="351"/>
      <c r="GR21" s="2"/>
      <c r="GS21" s="2"/>
      <c r="GT21" s="2"/>
      <c r="GU21" s="2"/>
      <c r="GV21" s="240"/>
      <c r="GW21" s="240"/>
      <c r="GX21" s="240"/>
      <c r="GY21" s="240"/>
      <c r="GZ21" s="240"/>
      <c r="HU21" s="148"/>
      <c r="HV21" s="148"/>
      <c r="IK21" s="241"/>
      <c r="IV21" s="242"/>
      <c r="JG21" s="243"/>
      <c r="JQ21" s="244"/>
    </row>
    <row r="22" spans="1:27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6"/>
      <c r="M22" s="167"/>
      <c r="N22" s="788"/>
      <c r="O22" s="788"/>
      <c r="P22" s="789"/>
      <c r="Q22" s="791"/>
      <c r="R22" s="791"/>
      <c r="S22" s="791"/>
      <c r="T22" s="791"/>
      <c r="U22" s="791"/>
      <c r="V22" s="792"/>
      <c r="W22" s="793"/>
      <c r="X22" s="793"/>
      <c r="Y22" s="793"/>
      <c r="Z22" s="793"/>
      <c r="AA22" s="793"/>
      <c r="AB22" s="793"/>
      <c r="AC22" s="793"/>
      <c r="AD22" s="793"/>
      <c r="AE22" s="793"/>
      <c r="AF22" s="793"/>
      <c r="AG22" s="793"/>
      <c r="AH22" s="793"/>
      <c r="AI22" s="793"/>
      <c r="AJ22" s="793"/>
      <c r="AK22" s="793"/>
      <c r="AL22" s="793"/>
      <c r="AM22" s="793"/>
      <c r="AN22" s="793"/>
      <c r="AO22" s="793"/>
      <c r="AP22" s="793"/>
      <c r="AQ22" s="793"/>
      <c r="AR22" s="793"/>
      <c r="AS22" s="793"/>
      <c r="AT22" s="793"/>
      <c r="AU22" s="793"/>
      <c r="AV22" s="793"/>
      <c r="AW22" s="793"/>
      <c r="AX22" s="793"/>
      <c r="AY22" s="793"/>
      <c r="AZ22" s="793"/>
      <c r="BA22" s="793"/>
      <c r="BB22" s="793"/>
      <c r="BC22" s="793"/>
      <c r="BD22" s="793"/>
      <c r="BE22" s="793"/>
      <c r="BF22" s="793"/>
      <c r="BG22" s="793"/>
      <c r="BH22" s="793"/>
      <c r="BI22" s="794"/>
      <c r="BJ22" s="819"/>
      <c r="BK22" s="819"/>
      <c r="BL22" s="819"/>
      <c r="BM22" s="819"/>
      <c r="BN22" s="819"/>
      <c r="BO22" s="819"/>
      <c r="BP22" s="819"/>
      <c r="BQ22" s="819"/>
      <c r="BR22" s="819"/>
      <c r="BS22" s="819"/>
      <c r="BT22" s="800"/>
      <c r="BU22" s="801"/>
      <c r="BV22" s="801"/>
      <c r="BW22" s="801"/>
      <c r="BX22" s="801"/>
      <c r="BY22" s="801"/>
      <c r="BZ22" s="801"/>
      <c r="CA22" s="801"/>
      <c r="CB22" s="801"/>
      <c r="CC22" s="802"/>
      <c r="CD22" s="804"/>
      <c r="CE22" s="804"/>
      <c r="CF22" s="804"/>
      <c r="CG22" s="804"/>
      <c r="CH22" s="804"/>
      <c r="CI22" s="804"/>
      <c r="CJ22" s="804"/>
      <c r="CK22" s="804"/>
      <c r="CL22" s="804"/>
      <c r="CM22" s="804"/>
      <c r="CN22" s="805"/>
      <c r="CO22" s="806"/>
      <c r="CP22" s="806"/>
      <c r="CQ22" s="806"/>
      <c r="CR22" s="806"/>
      <c r="CS22" s="806"/>
      <c r="CT22" s="806"/>
      <c r="CU22" s="806"/>
      <c r="CV22" s="806"/>
      <c r="CW22" s="806"/>
      <c r="CX22" s="806"/>
      <c r="CY22" s="806"/>
      <c r="CZ22" s="365"/>
      <c r="DA22" s="366"/>
      <c r="DB22" s="366"/>
      <c r="DC22" s="808"/>
      <c r="DD22" s="808"/>
      <c r="DE22" s="808"/>
      <c r="DF22" s="808"/>
      <c r="DG22" s="808"/>
      <c r="DH22" s="808"/>
      <c r="DI22" s="808"/>
      <c r="DJ22" s="808"/>
      <c r="DK22" s="808"/>
      <c r="DL22" s="808"/>
      <c r="DM22" s="809"/>
      <c r="DN22" s="810"/>
      <c r="DO22" s="810"/>
      <c r="DP22" s="810"/>
      <c r="DQ22" s="810"/>
      <c r="DR22" s="810"/>
      <c r="DS22" s="810"/>
      <c r="DT22" s="810"/>
      <c r="DU22" s="810"/>
      <c r="DV22" s="811"/>
      <c r="DW22" s="823"/>
      <c r="DX22" s="824"/>
      <c r="DY22" s="824"/>
      <c r="DZ22" s="824"/>
      <c r="EA22" s="824"/>
      <c r="EB22" s="824"/>
      <c r="EC22" s="824"/>
      <c r="ED22" s="824"/>
      <c r="EE22" s="824"/>
      <c r="EF22" s="824"/>
      <c r="EG22" s="826"/>
      <c r="EH22" s="826"/>
      <c r="EI22" s="826"/>
      <c r="EJ22" s="826"/>
      <c r="EK22" s="826"/>
      <c r="EL22" s="826"/>
      <c r="EM22" s="826"/>
      <c r="EN22" s="826"/>
      <c r="EO22" s="826"/>
      <c r="EP22" s="826"/>
      <c r="EQ22" s="826"/>
      <c r="ER22" s="826"/>
      <c r="ES22" s="826"/>
      <c r="ET22" s="826"/>
      <c r="EU22" s="826"/>
      <c r="EV22" s="826"/>
      <c r="EW22" s="826"/>
      <c r="EX22" s="826"/>
      <c r="EY22" s="826"/>
      <c r="EZ22" s="826"/>
      <c r="FA22" s="826"/>
      <c r="FB22" s="826"/>
      <c r="FC22" s="826"/>
      <c r="FD22" s="826"/>
      <c r="FE22" s="830"/>
      <c r="FF22" s="831"/>
      <c r="FG22" s="831"/>
      <c r="FH22" s="831"/>
      <c r="FI22" s="831"/>
      <c r="FJ22" s="831"/>
      <c r="FK22" s="831"/>
      <c r="FL22" s="831"/>
      <c r="FM22" s="832"/>
      <c r="FN22" s="833"/>
      <c r="FO22" s="833"/>
      <c r="FP22" s="833"/>
      <c r="FQ22" s="833"/>
      <c r="FR22" s="833"/>
      <c r="FS22" s="833"/>
      <c r="FT22" s="833"/>
      <c r="FU22" s="833"/>
      <c r="FV22" s="833"/>
      <c r="FW22" s="834"/>
      <c r="FX22" s="835"/>
      <c r="FY22" s="835"/>
      <c r="FZ22" s="835"/>
      <c r="GA22" s="835"/>
      <c r="GB22" s="835"/>
      <c r="GC22" s="835"/>
      <c r="GD22" s="835"/>
      <c r="GE22" s="835"/>
      <c r="GF22" s="835"/>
      <c r="GG22" s="836"/>
      <c r="GH22" s="836"/>
      <c r="GI22" s="836"/>
      <c r="GJ22" s="836"/>
      <c r="GK22" s="836"/>
      <c r="GL22" s="836"/>
      <c r="GM22" s="836"/>
      <c r="GN22" s="836"/>
      <c r="GO22" s="837"/>
      <c r="GP22" s="167"/>
      <c r="GQ22" s="2"/>
      <c r="GR22" s="2"/>
      <c r="GS22" s="2"/>
      <c r="GT22" s="2"/>
      <c r="GU22" s="2"/>
      <c r="GV22" s="240"/>
      <c r="GW22" s="240"/>
      <c r="GX22" s="240"/>
      <c r="GY22" s="240"/>
      <c r="GZ22" s="240"/>
      <c r="HU22" s="148"/>
      <c r="HV22" s="148"/>
      <c r="IK22" s="241"/>
      <c r="IV22" s="242"/>
      <c r="JG22" s="243"/>
      <c r="JQ22" s="244"/>
    </row>
    <row r="23" spans="1:27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6"/>
      <c r="M23" s="167"/>
      <c r="N23" s="788">
        <v>3</v>
      </c>
      <c r="O23" s="788"/>
      <c r="P23" s="789"/>
      <c r="Q23" s="791"/>
      <c r="R23" s="791"/>
      <c r="S23" s="791"/>
      <c r="T23" s="791"/>
      <c r="U23" s="791"/>
      <c r="V23" s="792"/>
      <c r="W23" s="793"/>
      <c r="X23" s="793"/>
      <c r="Y23" s="793"/>
      <c r="Z23" s="793"/>
      <c r="AA23" s="793"/>
      <c r="AB23" s="793"/>
      <c r="AC23" s="793"/>
      <c r="AD23" s="793"/>
      <c r="AE23" s="793"/>
      <c r="AF23" s="793"/>
      <c r="AG23" s="793"/>
      <c r="AH23" s="793"/>
      <c r="AI23" s="793"/>
      <c r="AJ23" s="793"/>
      <c r="AK23" s="793"/>
      <c r="AL23" s="793"/>
      <c r="AM23" s="793"/>
      <c r="AN23" s="793"/>
      <c r="AO23" s="793"/>
      <c r="AP23" s="793"/>
      <c r="AQ23" s="793"/>
      <c r="AR23" s="793"/>
      <c r="AS23" s="793"/>
      <c r="AT23" s="793"/>
      <c r="AU23" s="793"/>
      <c r="AV23" s="793"/>
      <c r="AW23" s="793"/>
      <c r="AX23" s="793"/>
      <c r="AY23" s="793"/>
      <c r="AZ23" s="793"/>
      <c r="BA23" s="793"/>
      <c r="BB23" s="793"/>
      <c r="BC23" s="793"/>
      <c r="BD23" s="793"/>
      <c r="BE23" s="793"/>
      <c r="BF23" s="793"/>
      <c r="BG23" s="793"/>
      <c r="BH23" s="793"/>
      <c r="BI23" s="794"/>
      <c r="BJ23" s="819"/>
      <c r="BK23" s="819"/>
      <c r="BL23" s="819"/>
      <c r="BM23" s="819"/>
      <c r="BN23" s="819"/>
      <c r="BO23" s="819"/>
      <c r="BP23" s="819"/>
      <c r="BQ23" s="819"/>
      <c r="BR23" s="819"/>
      <c r="BS23" s="819"/>
      <c r="BT23" s="800"/>
      <c r="BU23" s="801"/>
      <c r="BV23" s="801"/>
      <c r="BW23" s="801"/>
      <c r="BX23" s="801"/>
      <c r="BY23" s="801"/>
      <c r="BZ23" s="801"/>
      <c r="CA23" s="801"/>
      <c r="CB23" s="801"/>
      <c r="CC23" s="802"/>
      <c r="CD23" s="804"/>
      <c r="CE23" s="804"/>
      <c r="CF23" s="804"/>
      <c r="CG23" s="804"/>
      <c r="CH23" s="804"/>
      <c r="CI23" s="804"/>
      <c r="CJ23" s="804"/>
      <c r="CK23" s="804"/>
      <c r="CL23" s="804"/>
      <c r="CM23" s="804"/>
      <c r="CN23" s="805" t="s">
        <v>41</v>
      </c>
      <c r="CO23" s="806"/>
      <c r="CP23" s="806"/>
      <c r="CQ23" s="806"/>
      <c r="CR23" s="806"/>
      <c r="CS23" s="806"/>
      <c r="CT23" s="806"/>
      <c r="CU23" s="806"/>
      <c r="CV23" s="806"/>
      <c r="CW23" s="806"/>
      <c r="CX23" s="806"/>
      <c r="CY23" s="806"/>
      <c r="CZ23" s="365"/>
      <c r="DA23" s="366"/>
      <c r="DB23" s="366"/>
      <c r="DC23" s="808"/>
      <c r="DD23" s="808"/>
      <c r="DE23" s="808"/>
      <c r="DF23" s="808"/>
      <c r="DG23" s="808"/>
      <c r="DH23" s="808"/>
      <c r="DI23" s="808"/>
      <c r="DJ23" s="808"/>
      <c r="DK23" s="808"/>
      <c r="DL23" s="808"/>
      <c r="DM23" s="809"/>
      <c r="DN23" s="810"/>
      <c r="DO23" s="810"/>
      <c r="DP23" s="810"/>
      <c r="DQ23" s="810"/>
      <c r="DR23" s="810"/>
      <c r="DS23" s="810"/>
      <c r="DT23" s="810"/>
      <c r="DU23" s="810"/>
      <c r="DV23" s="811"/>
      <c r="DW23" s="823"/>
      <c r="DX23" s="824"/>
      <c r="DY23" s="824"/>
      <c r="DZ23" s="824"/>
      <c r="EA23" s="824"/>
      <c r="EB23" s="824"/>
      <c r="EC23" s="824"/>
      <c r="ED23" s="824"/>
      <c r="EE23" s="824"/>
      <c r="EF23" s="824"/>
      <c r="EG23" s="826">
        <f>BEZ_Hilf_3_Anz*BEZ_Hilf_3_EHPreis*((BEZ_Hilf_3_GKZ/100)+1)</f>
        <v>0</v>
      </c>
      <c r="EH23" s="826"/>
      <c r="EI23" s="826"/>
      <c r="EJ23" s="826"/>
      <c r="EK23" s="826"/>
      <c r="EL23" s="826"/>
      <c r="EM23" s="826"/>
      <c r="EN23" s="826"/>
      <c r="EO23" s="826"/>
      <c r="EP23" s="826"/>
      <c r="EQ23" s="826"/>
      <c r="ER23" s="826"/>
      <c r="ES23" s="826"/>
      <c r="ET23" s="826"/>
      <c r="EU23" s="826">
        <f>BEZ_Hilf_3_PreisJeKiste*KI_N</f>
        <v>0</v>
      </c>
      <c r="EV23" s="826"/>
      <c r="EW23" s="826"/>
      <c r="EX23" s="826"/>
      <c r="EY23" s="826"/>
      <c r="EZ23" s="826"/>
      <c r="FA23" s="826"/>
      <c r="FB23" s="826"/>
      <c r="FC23" s="826"/>
      <c r="FD23" s="826"/>
      <c r="FE23" s="830"/>
      <c r="FF23" s="831"/>
      <c r="FG23" s="831"/>
      <c r="FH23" s="831"/>
      <c r="FI23" s="831"/>
      <c r="FJ23" s="831"/>
      <c r="FK23" s="831"/>
      <c r="FL23" s="831"/>
      <c r="FM23" s="832"/>
      <c r="FN23" s="833">
        <f>BEZ_Hilf_3_gJeEH*BEZ_Hilf_3_Anz</f>
        <v>0</v>
      </c>
      <c r="FO23" s="833"/>
      <c r="FP23" s="833"/>
      <c r="FQ23" s="833"/>
      <c r="FR23" s="833"/>
      <c r="FS23" s="833"/>
      <c r="FT23" s="833"/>
      <c r="FU23" s="833"/>
      <c r="FV23" s="833"/>
      <c r="FW23" s="838">
        <f>BEZ_Hilf_EUR_KI*KI_N</f>
        <v>9.3887216000000002</v>
      </c>
      <c r="FX23" s="839"/>
      <c r="FY23" s="839"/>
      <c r="FZ23" s="839"/>
      <c r="GA23" s="839"/>
      <c r="GB23" s="839"/>
      <c r="GC23" s="839"/>
      <c r="GD23" s="839"/>
      <c r="GE23" s="839"/>
      <c r="GF23" s="839"/>
      <c r="GG23" s="840" t="s">
        <v>300</v>
      </c>
      <c r="GH23" s="840"/>
      <c r="GI23" s="840"/>
      <c r="GJ23" s="840"/>
      <c r="GK23" s="840"/>
      <c r="GL23" s="840"/>
      <c r="GM23" s="840"/>
      <c r="GN23" s="840"/>
      <c r="GO23" s="841"/>
      <c r="GP23" s="167"/>
      <c r="GQ23" s="351"/>
      <c r="GR23" s="2"/>
      <c r="GS23" s="2"/>
      <c r="GT23" s="2"/>
      <c r="GU23" s="2"/>
      <c r="GV23" s="240"/>
      <c r="GW23" s="240"/>
      <c r="GX23" s="240"/>
      <c r="GY23" s="240"/>
      <c r="GZ23" s="240"/>
      <c r="HF23" s="148"/>
      <c r="HG23" s="148"/>
      <c r="HH23" s="148"/>
      <c r="HI23" s="148"/>
      <c r="HJ23" s="148"/>
      <c r="HK23" s="148"/>
      <c r="HL23" s="148"/>
      <c r="HM23" s="148"/>
      <c r="HN23" s="148"/>
      <c r="HO23" s="148"/>
      <c r="HP23" s="148"/>
      <c r="HQ23" s="148"/>
      <c r="HR23" s="148"/>
      <c r="HS23" s="148"/>
      <c r="HT23" s="148"/>
      <c r="HU23" s="148"/>
      <c r="HV23" s="148"/>
      <c r="IK23" s="241"/>
      <c r="IV23" s="242"/>
      <c r="JG23" s="243"/>
      <c r="JQ23" s="244"/>
    </row>
    <row r="24" spans="1:27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2"/>
      <c r="M24" s="162"/>
      <c r="N24" s="788"/>
      <c r="O24" s="788"/>
      <c r="P24" s="789"/>
      <c r="Q24" s="791"/>
      <c r="R24" s="791"/>
      <c r="S24" s="791"/>
      <c r="T24" s="791"/>
      <c r="U24" s="791"/>
      <c r="V24" s="792"/>
      <c r="W24" s="793"/>
      <c r="X24" s="793"/>
      <c r="Y24" s="793"/>
      <c r="Z24" s="793"/>
      <c r="AA24" s="793"/>
      <c r="AB24" s="793"/>
      <c r="AC24" s="793"/>
      <c r="AD24" s="793"/>
      <c r="AE24" s="793"/>
      <c r="AF24" s="793"/>
      <c r="AG24" s="793"/>
      <c r="AH24" s="793"/>
      <c r="AI24" s="793"/>
      <c r="AJ24" s="793"/>
      <c r="AK24" s="793"/>
      <c r="AL24" s="793"/>
      <c r="AM24" s="793"/>
      <c r="AN24" s="793"/>
      <c r="AO24" s="793"/>
      <c r="AP24" s="793"/>
      <c r="AQ24" s="793"/>
      <c r="AR24" s="793"/>
      <c r="AS24" s="793"/>
      <c r="AT24" s="793"/>
      <c r="AU24" s="793"/>
      <c r="AV24" s="793"/>
      <c r="AW24" s="793"/>
      <c r="AX24" s="793"/>
      <c r="AY24" s="793"/>
      <c r="AZ24" s="793"/>
      <c r="BA24" s="793"/>
      <c r="BB24" s="793"/>
      <c r="BC24" s="793"/>
      <c r="BD24" s="793"/>
      <c r="BE24" s="793"/>
      <c r="BF24" s="793"/>
      <c r="BG24" s="793"/>
      <c r="BH24" s="793"/>
      <c r="BI24" s="794"/>
      <c r="BJ24" s="819"/>
      <c r="BK24" s="819"/>
      <c r="BL24" s="819"/>
      <c r="BM24" s="819"/>
      <c r="BN24" s="819"/>
      <c r="BO24" s="819"/>
      <c r="BP24" s="819"/>
      <c r="BQ24" s="819"/>
      <c r="BR24" s="819"/>
      <c r="BS24" s="819"/>
      <c r="BT24" s="800"/>
      <c r="BU24" s="801"/>
      <c r="BV24" s="801"/>
      <c r="BW24" s="801"/>
      <c r="BX24" s="801"/>
      <c r="BY24" s="801"/>
      <c r="BZ24" s="801"/>
      <c r="CA24" s="801"/>
      <c r="CB24" s="801"/>
      <c r="CC24" s="802"/>
      <c r="CD24" s="804"/>
      <c r="CE24" s="804"/>
      <c r="CF24" s="804"/>
      <c r="CG24" s="804"/>
      <c r="CH24" s="804"/>
      <c r="CI24" s="804"/>
      <c r="CJ24" s="804"/>
      <c r="CK24" s="804"/>
      <c r="CL24" s="804"/>
      <c r="CM24" s="804"/>
      <c r="CN24" s="805"/>
      <c r="CO24" s="806"/>
      <c r="CP24" s="806"/>
      <c r="CQ24" s="806"/>
      <c r="CR24" s="806"/>
      <c r="CS24" s="806"/>
      <c r="CT24" s="806"/>
      <c r="CU24" s="806"/>
      <c r="CV24" s="806"/>
      <c r="CW24" s="806"/>
      <c r="CX24" s="806"/>
      <c r="CY24" s="806"/>
      <c r="CZ24" s="365"/>
      <c r="DA24" s="366"/>
      <c r="DB24" s="366"/>
      <c r="DC24" s="808"/>
      <c r="DD24" s="808"/>
      <c r="DE24" s="808"/>
      <c r="DF24" s="808"/>
      <c r="DG24" s="808"/>
      <c r="DH24" s="808"/>
      <c r="DI24" s="808"/>
      <c r="DJ24" s="808"/>
      <c r="DK24" s="808"/>
      <c r="DL24" s="808"/>
      <c r="DM24" s="809"/>
      <c r="DN24" s="810"/>
      <c r="DO24" s="810"/>
      <c r="DP24" s="810"/>
      <c r="DQ24" s="810"/>
      <c r="DR24" s="810"/>
      <c r="DS24" s="810"/>
      <c r="DT24" s="810"/>
      <c r="DU24" s="810"/>
      <c r="DV24" s="811"/>
      <c r="DW24" s="823"/>
      <c r="DX24" s="824"/>
      <c r="DY24" s="824"/>
      <c r="DZ24" s="824"/>
      <c r="EA24" s="824"/>
      <c r="EB24" s="824"/>
      <c r="EC24" s="824"/>
      <c r="ED24" s="824"/>
      <c r="EE24" s="824"/>
      <c r="EF24" s="824"/>
      <c r="EG24" s="826"/>
      <c r="EH24" s="826"/>
      <c r="EI24" s="826"/>
      <c r="EJ24" s="826"/>
      <c r="EK24" s="826"/>
      <c r="EL24" s="826"/>
      <c r="EM24" s="826"/>
      <c r="EN24" s="826"/>
      <c r="EO24" s="826"/>
      <c r="EP24" s="826"/>
      <c r="EQ24" s="826"/>
      <c r="ER24" s="826"/>
      <c r="ES24" s="826"/>
      <c r="ET24" s="826"/>
      <c r="EU24" s="826"/>
      <c r="EV24" s="826"/>
      <c r="EW24" s="826"/>
      <c r="EX24" s="826"/>
      <c r="EY24" s="826"/>
      <c r="EZ24" s="826"/>
      <c r="FA24" s="826"/>
      <c r="FB24" s="826"/>
      <c r="FC24" s="826"/>
      <c r="FD24" s="826"/>
      <c r="FE24" s="830"/>
      <c r="FF24" s="831"/>
      <c r="FG24" s="831"/>
      <c r="FH24" s="831"/>
      <c r="FI24" s="831"/>
      <c r="FJ24" s="831"/>
      <c r="FK24" s="831"/>
      <c r="FL24" s="831"/>
      <c r="FM24" s="832"/>
      <c r="FN24" s="833"/>
      <c r="FO24" s="833"/>
      <c r="FP24" s="833"/>
      <c r="FQ24" s="833"/>
      <c r="FR24" s="833"/>
      <c r="FS24" s="833"/>
      <c r="FT24" s="833"/>
      <c r="FU24" s="833"/>
      <c r="FV24" s="833"/>
      <c r="FW24" s="838"/>
      <c r="FX24" s="839"/>
      <c r="FY24" s="839"/>
      <c r="FZ24" s="839"/>
      <c r="GA24" s="839"/>
      <c r="GB24" s="839"/>
      <c r="GC24" s="839"/>
      <c r="GD24" s="839"/>
      <c r="GE24" s="839"/>
      <c r="GF24" s="839"/>
      <c r="GG24" s="840"/>
      <c r="GH24" s="840"/>
      <c r="GI24" s="840"/>
      <c r="GJ24" s="840"/>
      <c r="GK24" s="840"/>
      <c r="GL24" s="840"/>
      <c r="GM24" s="840"/>
      <c r="GN24" s="840"/>
      <c r="GO24" s="841"/>
      <c r="GP24" s="167"/>
      <c r="GQ24" s="2"/>
      <c r="GR24" s="2"/>
      <c r="GS24" s="2"/>
      <c r="GT24" s="2"/>
      <c r="GU24" s="2"/>
      <c r="GV24" s="240"/>
      <c r="GW24" s="240"/>
      <c r="GX24" s="240"/>
      <c r="GY24" s="240"/>
      <c r="GZ24" s="240"/>
      <c r="HF24" s="818"/>
      <c r="HG24" s="818"/>
      <c r="HH24" s="818"/>
      <c r="HI24" s="818"/>
      <c r="HJ24" s="818"/>
      <c r="HK24" s="818"/>
      <c r="HL24" s="818"/>
      <c r="HM24" s="818"/>
      <c r="HN24" s="818"/>
      <c r="HO24" s="818"/>
      <c r="HP24" s="818"/>
      <c r="HQ24" s="818"/>
      <c r="HR24" s="818"/>
      <c r="HS24" s="818"/>
      <c r="HT24" s="818"/>
      <c r="HU24" s="148"/>
      <c r="HV24" s="148"/>
      <c r="IK24" s="241"/>
      <c r="IV24" s="242"/>
      <c r="JG24" s="243"/>
      <c r="JQ24" s="244"/>
    </row>
    <row r="25" spans="1:27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2"/>
      <c r="M25" s="162"/>
      <c r="N25" s="788">
        <v>4</v>
      </c>
      <c r="O25" s="788"/>
      <c r="P25" s="789"/>
      <c r="Q25" s="791"/>
      <c r="R25" s="791"/>
      <c r="S25" s="791"/>
      <c r="T25" s="791"/>
      <c r="U25" s="791"/>
      <c r="V25" s="792"/>
      <c r="W25" s="793"/>
      <c r="X25" s="793"/>
      <c r="Y25" s="793"/>
      <c r="Z25" s="793"/>
      <c r="AA25" s="793"/>
      <c r="AB25" s="793"/>
      <c r="AC25" s="793"/>
      <c r="AD25" s="793"/>
      <c r="AE25" s="793"/>
      <c r="AF25" s="793"/>
      <c r="AG25" s="793"/>
      <c r="AH25" s="793"/>
      <c r="AI25" s="793"/>
      <c r="AJ25" s="793"/>
      <c r="AK25" s="793"/>
      <c r="AL25" s="793"/>
      <c r="AM25" s="793"/>
      <c r="AN25" s="793"/>
      <c r="AO25" s="793"/>
      <c r="AP25" s="793"/>
      <c r="AQ25" s="793"/>
      <c r="AR25" s="793"/>
      <c r="AS25" s="793"/>
      <c r="AT25" s="793"/>
      <c r="AU25" s="793"/>
      <c r="AV25" s="793"/>
      <c r="AW25" s="793"/>
      <c r="AX25" s="793"/>
      <c r="AY25" s="793"/>
      <c r="AZ25" s="793"/>
      <c r="BA25" s="793"/>
      <c r="BB25" s="793"/>
      <c r="BC25" s="793"/>
      <c r="BD25" s="793"/>
      <c r="BE25" s="793"/>
      <c r="BF25" s="793"/>
      <c r="BG25" s="793"/>
      <c r="BH25" s="793"/>
      <c r="BI25" s="794"/>
      <c r="BJ25" s="819"/>
      <c r="BK25" s="819"/>
      <c r="BL25" s="819"/>
      <c r="BM25" s="819"/>
      <c r="BN25" s="819"/>
      <c r="BO25" s="819"/>
      <c r="BP25" s="819"/>
      <c r="BQ25" s="819"/>
      <c r="BR25" s="819"/>
      <c r="BS25" s="819"/>
      <c r="BT25" s="800"/>
      <c r="BU25" s="801"/>
      <c r="BV25" s="801"/>
      <c r="BW25" s="801"/>
      <c r="BX25" s="801"/>
      <c r="BY25" s="801"/>
      <c r="BZ25" s="801"/>
      <c r="CA25" s="801"/>
      <c r="CB25" s="801"/>
      <c r="CC25" s="802"/>
      <c r="CD25" s="804"/>
      <c r="CE25" s="804"/>
      <c r="CF25" s="804"/>
      <c r="CG25" s="804"/>
      <c r="CH25" s="804"/>
      <c r="CI25" s="804"/>
      <c r="CJ25" s="804"/>
      <c r="CK25" s="804"/>
      <c r="CL25" s="804"/>
      <c r="CM25" s="804"/>
      <c r="CN25" s="805" t="s">
        <v>41</v>
      </c>
      <c r="CO25" s="806"/>
      <c r="CP25" s="806"/>
      <c r="CQ25" s="806"/>
      <c r="CR25" s="806"/>
      <c r="CS25" s="806"/>
      <c r="CT25" s="806"/>
      <c r="CU25" s="806"/>
      <c r="CV25" s="806"/>
      <c r="CW25" s="806"/>
      <c r="CX25" s="806"/>
      <c r="CY25" s="806"/>
      <c r="CZ25" s="365"/>
      <c r="DA25" s="366"/>
      <c r="DB25" s="366"/>
      <c r="DC25" s="808"/>
      <c r="DD25" s="808"/>
      <c r="DE25" s="808"/>
      <c r="DF25" s="808"/>
      <c r="DG25" s="808"/>
      <c r="DH25" s="808"/>
      <c r="DI25" s="808"/>
      <c r="DJ25" s="808"/>
      <c r="DK25" s="808"/>
      <c r="DL25" s="808"/>
      <c r="DM25" s="809"/>
      <c r="DN25" s="810"/>
      <c r="DO25" s="810"/>
      <c r="DP25" s="810"/>
      <c r="DQ25" s="810"/>
      <c r="DR25" s="810"/>
      <c r="DS25" s="810"/>
      <c r="DT25" s="810"/>
      <c r="DU25" s="810"/>
      <c r="DV25" s="811"/>
      <c r="DW25" s="823"/>
      <c r="DX25" s="824"/>
      <c r="DY25" s="824"/>
      <c r="DZ25" s="824"/>
      <c r="EA25" s="824"/>
      <c r="EB25" s="824"/>
      <c r="EC25" s="824"/>
      <c r="ED25" s="824"/>
      <c r="EE25" s="824"/>
      <c r="EF25" s="824"/>
      <c r="EG25" s="826">
        <f>BEZ_Hilf_4_Anz*BEZ_Hilf_4_EHPreis*((BEZ_Hilf_4_GKZ/100)+1)</f>
        <v>0</v>
      </c>
      <c r="EH25" s="826"/>
      <c r="EI25" s="826"/>
      <c r="EJ25" s="826"/>
      <c r="EK25" s="826"/>
      <c r="EL25" s="826"/>
      <c r="EM25" s="826"/>
      <c r="EN25" s="826"/>
      <c r="EO25" s="826"/>
      <c r="EP25" s="826"/>
      <c r="EQ25" s="826"/>
      <c r="ER25" s="826"/>
      <c r="ES25" s="826"/>
      <c r="ET25" s="826"/>
      <c r="EU25" s="826">
        <f>BEZ_Hilf_4_PreisJeKiste*KI_N</f>
        <v>0</v>
      </c>
      <c r="EV25" s="826"/>
      <c r="EW25" s="826"/>
      <c r="EX25" s="826"/>
      <c r="EY25" s="826"/>
      <c r="EZ25" s="826"/>
      <c r="FA25" s="826"/>
      <c r="FB25" s="826"/>
      <c r="FC25" s="826"/>
      <c r="FD25" s="826"/>
      <c r="FE25" s="830"/>
      <c r="FF25" s="831"/>
      <c r="FG25" s="831"/>
      <c r="FH25" s="831"/>
      <c r="FI25" s="831"/>
      <c r="FJ25" s="831"/>
      <c r="FK25" s="831"/>
      <c r="FL25" s="831"/>
      <c r="FM25" s="832"/>
      <c r="FN25" s="833">
        <f>BEZ_Hilf_4_gJeEH*BEZ_Hilf_4_Anz</f>
        <v>0</v>
      </c>
      <c r="FO25" s="833"/>
      <c r="FP25" s="833"/>
      <c r="FQ25" s="833"/>
      <c r="FR25" s="833"/>
      <c r="FS25" s="833"/>
      <c r="FT25" s="833"/>
      <c r="FU25" s="833"/>
      <c r="FV25" s="833"/>
      <c r="FW25" s="428"/>
      <c r="FX25" s="429"/>
      <c r="FY25" s="429"/>
      <c r="FZ25" s="429"/>
      <c r="GA25" s="429"/>
      <c r="GB25" s="429"/>
      <c r="GC25" s="429"/>
      <c r="GD25" s="429"/>
      <c r="GE25" s="429"/>
      <c r="GF25" s="429"/>
      <c r="GG25" s="429"/>
      <c r="GH25" s="429"/>
      <c r="GI25" s="429"/>
      <c r="GJ25" s="429"/>
      <c r="GK25" s="429"/>
      <c r="GL25" s="429"/>
      <c r="GM25" s="429"/>
      <c r="GN25" s="429"/>
      <c r="GO25" s="430"/>
      <c r="GP25" s="167"/>
      <c r="GQ25" s="351"/>
      <c r="GR25" s="2"/>
      <c r="GS25" s="2"/>
      <c r="GT25" s="2"/>
      <c r="GU25" s="2"/>
      <c r="GV25" s="240"/>
      <c r="GW25" s="240"/>
      <c r="GX25" s="240"/>
      <c r="GY25" s="240"/>
      <c r="GZ25" s="240"/>
      <c r="HF25" s="818"/>
      <c r="HG25" s="818"/>
      <c r="HH25" s="818"/>
      <c r="HI25" s="818"/>
      <c r="HJ25" s="818"/>
      <c r="HK25" s="818"/>
      <c r="HL25" s="818"/>
      <c r="HM25" s="818"/>
      <c r="HN25" s="818"/>
      <c r="HO25" s="818"/>
      <c r="HP25" s="818"/>
      <c r="HQ25" s="818"/>
      <c r="HR25" s="818"/>
      <c r="HS25" s="818"/>
      <c r="HT25" s="818"/>
      <c r="HU25" s="148"/>
      <c r="HV25" s="148"/>
      <c r="IK25" s="241"/>
      <c r="IV25" s="242"/>
      <c r="JG25" s="243"/>
      <c r="JQ25" s="244"/>
    </row>
    <row r="26" spans="1:27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3"/>
      <c r="M26" s="162"/>
      <c r="N26" s="788"/>
      <c r="O26" s="788"/>
      <c r="P26" s="789"/>
      <c r="Q26" s="791"/>
      <c r="R26" s="791"/>
      <c r="S26" s="791"/>
      <c r="T26" s="791"/>
      <c r="U26" s="791"/>
      <c r="V26" s="792"/>
      <c r="W26" s="793"/>
      <c r="X26" s="793"/>
      <c r="Y26" s="793"/>
      <c r="Z26" s="793"/>
      <c r="AA26" s="793"/>
      <c r="AB26" s="793"/>
      <c r="AC26" s="793"/>
      <c r="AD26" s="793"/>
      <c r="AE26" s="793"/>
      <c r="AF26" s="793"/>
      <c r="AG26" s="793"/>
      <c r="AH26" s="793"/>
      <c r="AI26" s="793"/>
      <c r="AJ26" s="793"/>
      <c r="AK26" s="793"/>
      <c r="AL26" s="793"/>
      <c r="AM26" s="793"/>
      <c r="AN26" s="793"/>
      <c r="AO26" s="793"/>
      <c r="AP26" s="793"/>
      <c r="AQ26" s="793"/>
      <c r="AR26" s="793"/>
      <c r="AS26" s="793"/>
      <c r="AT26" s="793"/>
      <c r="AU26" s="793"/>
      <c r="AV26" s="793"/>
      <c r="AW26" s="793"/>
      <c r="AX26" s="793"/>
      <c r="AY26" s="793"/>
      <c r="AZ26" s="793"/>
      <c r="BA26" s="793"/>
      <c r="BB26" s="793"/>
      <c r="BC26" s="793"/>
      <c r="BD26" s="793"/>
      <c r="BE26" s="793"/>
      <c r="BF26" s="793"/>
      <c r="BG26" s="793"/>
      <c r="BH26" s="793"/>
      <c r="BI26" s="794"/>
      <c r="BJ26" s="819"/>
      <c r="BK26" s="819"/>
      <c r="BL26" s="819"/>
      <c r="BM26" s="819"/>
      <c r="BN26" s="819"/>
      <c r="BO26" s="819"/>
      <c r="BP26" s="819"/>
      <c r="BQ26" s="819"/>
      <c r="BR26" s="819"/>
      <c r="BS26" s="819"/>
      <c r="BT26" s="800"/>
      <c r="BU26" s="801"/>
      <c r="BV26" s="801"/>
      <c r="BW26" s="801"/>
      <c r="BX26" s="801"/>
      <c r="BY26" s="801"/>
      <c r="BZ26" s="801"/>
      <c r="CA26" s="801"/>
      <c r="CB26" s="801"/>
      <c r="CC26" s="802"/>
      <c r="CD26" s="804"/>
      <c r="CE26" s="804"/>
      <c r="CF26" s="804"/>
      <c r="CG26" s="804"/>
      <c r="CH26" s="804"/>
      <c r="CI26" s="804"/>
      <c r="CJ26" s="804"/>
      <c r="CK26" s="804"/>
      <c r="CL26" s="804"/>
      <c r="CM26" s="804"/>
      <c r="CN26" s="805"/>
      <c r="CO26" s="806"/>
      <c r="CP26" s="806"/>
      <c r="CQ26" s="806"/>
      <c r="CR26" s="806"/>
      <c r="CS26" s="806"/>
      <c r="CT26" s="806"/>
      <c r="CU26" s="806"/>
      <c r="CV26" s="806"/>
      <c r="CW26" s="806"/>
      <c r="CX26" s="806"/>
      <c r="CY26" s="806"/>
      <c r="CZ26" s="365"/>
      <c r="DA26" s="366"/>
      <c r="DB26" s="366"/>
      <c r="DC26" s="808"/>
      <c r="DD26" s="808"/>
      <c r="DE26" s="808"/>
      <c r="DF26" s="808"/>
      <c r="DG26" s="808"/>
      <c r="DH26" s="808"/>
      <c r="DI26" s="808"/>
      <c r="DJ26" s="808"/>
      <c r="DK26" s="808"/>
      <c r="DL26" s="808"/>
      <c r="DM26" s="809"/>
      <c r="DN26" s="810"/>
      <c r="DO26" s="810"/>
      <c r="DP26" s="810"/>
      <c r="DQ26" s="810"/>
      <c r="DR26" s="810"/>
      <c r="DS26" s="810"/>
      <c r="DT26" s="810"/>
      <c r="DU26" s="810"/>
      <c r="DV26" s="811"/>
      <c r="DW26" s="823"/>
      <c r="DX26" s="824"/>
      <c r="DY26" s="824"/>
      <c r="DZ26" s="824"/>
      <c r="EA26" s="824"/>
      <c r="EB26" s="824"/>
      <c r="EC26" s="824"/>
      <c r="ED26" s="824"/>
      <c r="EE26" s="824"/>
      <c r="EF26" s="824"/>
      <c r="EG26" s="826"/>
      <c r="EH26" s="826"/>
      <c r="EI26" s="826"/>
      <c r="EJ26" s="826"/>
      <c r="EK26" s="826"/>
      <c r="EL26" s="826"/>
      <c r="EM26" s="826"/>
      <c r="EN26" s="826"/>
      <c r="EO26" s="826"/>
      <c r="EP26" s="826"/>
      <c r="EQ26" s="826"/>
      <c r="ER26" s="826"/>
      <c r="ES26" s="826"/>
      <c r="ET26" s="826"/>
      <c r="EU26" s="826"/>
      <c r="EV26" s="826"/>
      <c r="EW26" s="826"/>
      <c r="EX26" s="826"/>
      <c r="EY26" s="826"/>
      <c r="EZ26" s="826"/>
      <c r="FA26" s="826"/>
      <c r="FB26" s="826"/>
      <c r="FC26" s="826"/>
      <c r="FD26" s="826"/>
      <c r="FE26" s="830"/>
      <c r="FF26" s="831"/>
      <c r="FG26" s="831"/>
      <c r="FH26" s="831"/>
      <c r="FI26" s="831"/>
      <c r="FJ26" s="831"/>
      <c r="FK26" s="831"/>
      <c r="FL26" s="831"/>
      <c r="FM26" s="832"/>
      <c r="FN26" s="833"/>
      <c r="FO26" s="833"/>
      <c r="FP26" s="833"/>
      <c r="FQ26" s="833"/>
      <c r="FR26" s="833"/>
      <c r="FS26" s="833"/>
      <c r="FT26" s="833"/>
      <c r="FU26" s="833"/>
      <c r="FV26" s="833"/>
      <c r="FW26" s="428"/>
      <c r="FX26" s="429"/>
      <c r="FY26" s="429"/>
      <c r="FZ26" s="429"/>
      <c r="GA26" s="429"/>
      <c r="GB26" s="429"/>
      <c r="GC26" s="429"/>
      <c r="GD26" s="429"/>
      <c r="GE26" s="429"/>
      <c r="GF26" s="429"/>
      <c r="GG26" s="429"/>
      <c r="GH26" s="429"/>
      <c r="GI26" s="429"/>
      <c r="GJ26" s="429"/>
      <c r="GK26" s="429"/>
      <c r="GL26" s="429"/>
      <c r="GM26" s="429"/>
      <c r="GN26" s="429"/>
      <c r="GO26" s="430"/>
      <c r="GP26" s="167"/>
      <c r="GQ26" s="2"/>
      <c r="GR26" s="2"/>
      <c r="GS26" s="2"/>
      <c r="GT26" s="2"/>
      <c r="GU26" s="2"/>
      <c r="GV26" s="240"/>
      <c r="GW26" s="240"/>
      <c r="GX26" s="240"/>
      <c r="GY26" s="240"/>
      <c r="GZ26" s="240"/>
      <c r="HU26" s="148"/>
      <c r="HV26" s="148"/>
      <c r="IK26" s="241"/>
      <c r="IV26" s="242"/>
      <c r="JG26" s="243"/>
      <c r="JQ26" s="244"/>
    </row>
    <row r="27" spans="1:27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6"/>
      <c r="M27" s="167"/>
      <c r="N27" s="788">
        <v>5</v>
      </c>
      <c r="O27" s="788"/>
      <c r="P27" s="789"/>
      <c r="Q27" s="791"/>
      <c r="R27" s="791"/>
      <c r="S27" s="791"/>
      <c r="T27" s="791"/>
      <c r="U27" s="791"/>
      <c r="V27" s="792"/>
      <c r="W27" s="793"/>
      <c r="X27" s="793"/>
      <c r="Y27" s="793"/>
      <c r="Z27" s="793"/>
      <c r="AA27" s="793"/>
      <c r="AB27" s="793"/>
      <c r="AC27" s="793"/>
      <c r="AD27" s="793"/>
      <c r="AE27" s="793"/>
      <c r="AF27" s="793"/>
      <c r="AG27" s="793"/>
      <c r="AH27" s="793"/>
      <c r="AI27" s="793"/>
      <c r="AJ27" s="793"/>
      <c r="AK27" s="793"/>
      <c r="AL27" s="793"/>
      <c r="AM27" s="793"/>
      <c r="AN27" s="793"/>
      <c r="AO27" s="793"/>
      <c r="AP27" s="793"/>
      <c r="AQ27" s="793"/>
      <c r="AR27" s="793"/>
      <c r="AS27" s="793"/>
      <c r="AT27" s="793"/>
      <c r="AU27" s="793"/>
      <c r="AV27" s="793"/>
      <c r="AW27" s="793"/>
      <c r="AX27" s="793"/>
      <c r="AY27" s="793"/>
      <c r="AZ27" s="793"/>
      <c r="BA27" s="793"/>
      <c r="BB27" s="793"/>
      <c r="BC27" s="793"/>
      <c r="BD27" s="793"/>
      <c r="BE27" s="793"/>
      <c r="BF27" s="793"/>
      <c r="BG27" s="793"/>
      <c r="BH27" s="793"/>
      <c r="BI27" s="794"/>
      <c r="BJ27" s="819"/>
      <c r="BK27" s="819"/>
      <c r="BL27" s="819"/>
      <c r="BM27" s="819"/>
      <c r="BN27" s="819"/>
      <c r="BO27" s="819"/>
      <c r="BP27" s="819"/>
      <c r="BQ27" s="819"/>
      <c r="BR27" s="819"/>
      <c r="BS27" s="819"/>
      <c r="BT27" s="800"/>
      <c r="BU27" s="801"/>
      <c r="BV27" s="801"/>
      <c r="BW27" s="801"/>
      <c r="BX27" s="801"/>
      <c r="BY27" s="801"/>
      <c r="BZ27" s="801"/>
      <c r="CA27" s="801"/>
      <c r="CB27" s="801"/>
      <c r="CC27" s="802"/>
      <c r="CD27" s="804"/>
      <c r="CE27" s="804"/>
      <c r="CF27" s="804"/>
      <c r="CG27" s="804"/>
      <c r="CH27" s="804"/>
      <c r="CI27" s="804"/>
      <c r="CJ27" s="804"/>
      <c r="CK27" s="804"/>
      <c r="CL27" s="804"/>
      <c r="CM27" s="804"/>
      <c r="CN27" s="805" t="s">
        <v>41</v>
      </c>
      <c r="CO27" s="806"/>
      <c r="CP27" s="806"/>
      <c r="CQ27" s="806"/>
      <c r="CR27" s="806"/>
      <c r="CS27" s="806"/>
      <c r="CT27" s="806"/>
      <c r="CU27" s="806"/>
      <c r="CV27" s="806"/>
      <c r="CW27" s="806"/>
      <c r="CX27" s="806"/>
      <c r="CY27" s="806"/>
      <c r="CZ27" s="365"/>
      <c r="DA27" s="366"/>
      <c r="DB27" s="366"/>
      <c r="DC27" s="808"/>
      <c r="DD27" s="808"/>
      <c r="DE27" s="808"/>
      <c r="DF27" s="808"/>
      <c r="DG27" s="808"/>
      <c r="DH27" s="808"/>
      <c r="DI27" s="808"/>
      <c r="DJ27" s="808"/>
      <c r="DK27" s="808"/>
      <c r="DL27" s="808"/>
      <c r="DM27" s="809"/>
      <c r="DN27" s="810"/>
      <c r="DO27" s="810"/>
      <c r="DP27" s="810"/>
      <c r="DQ27" s="810"/>
      <c r="DR27" s="810"/>
      <c r="DS27" s="810"/>
      <c r="DT27" s="810"/>
      <c r="DU27" s="810"/>
      <c r="DV27" s="811"/>
      <c r="DW27" s="823"/>
      <c r="DX27" s="824"/>
      <c r="DY27" s="824"/>
      <c r="DZ27" s="824"/>
      <c r="EA27" s="824"/>
      <c r="EB27" s="824"/>
      <c r="EC27" s="824"/>
      <c r="ED27" s="824"/>
      <c r="EE27" s="824"/>
      <c r="EF27" s="824"/>
      <c r="EG27" s="826">
        <f>BEZ_Hilf_5_Anz*BEZ_Hilf_5_EHPreis*((BEZ_Hilf_5_GKZ/100)+1)</f>
        <v>0</v>
      </c>
      <c r="EH27" s="826"/>
      <c r="EI27" s="826"/>
      <c r="EJ27" s="826"/>
      <c r="EK27" s="826"/>
      <c r="EL27" s="826"/>
      <c r="EM27" s="826"/>
      <c r="EN27" s="826"/>
      <c r="EO27" s="826"/>
      <c r="EP27" s="826"/>
      <c r="EQ27" s="826"/>
      <c r="ER27" s="826"/>
      <c r="ES27" s="826"/>
      <c r="ET27" s="826"/>
      <c r="EU27" s="826">
        <f>BEZ_Hilf_5_PreisJeKiste*KI_N</f>
        <v>0</v>
      </c>
      <c r="EV27" s="826"/>
      <c r="EW27" s="826"/>
      <c r="EX27" s="826"/>
      <c r="EY27" s="826"/>
      <c r="EZ27" s="826"/>
      <c r="FA27" s="826"/>
      <c r="FB27" s="826"/>
      <c r="FC27" s="826"/>
      <c r="FD27" s="826"/>
      <c r="FE27" s="830"/>
      <c r="FF27" s="831"/>
      <c r="FG27" s="831"/>
      <c r="FH27" s="831"/>
      <c r="FI27" s="831"/>
      <c r="FJ27" s="831"/>
      <c r="FK27" s="831"/>
      <c r="FL27" s="831"/>
      <c r="FM27" s="832"/>
      <c r="FN27" s="833">
        <f>BEZ_Hilf_5_gJeEH*BEZ_Hilf_5_Anz</f>
        <v>0</v>
      </c>
      <c r="FO27" s="833"/>
      <c r="FP27" s="833"/>
      <c r="FQ27" s="833"/>
      <c r="FR27" s="833"/>
      <c r="FS27" s="833"/>
      <c r="FT27" s="833"/>
      <c r="FU27" s="833"/>
      <c r="FV27" s="833"/>
      <c r="FW27" s="842" t="s">
        <v>182</v>
      </c>
      <c r="FX27" s="843"/>
      <c r="FY27" s="843"/>
      <c r="FZ27" s="843"/>
      <c r="GA27" s="843"/>
      <c r="GB27" s="843"/>
      <c r="GC27" s="843"/>
      <c r="GD27" s="843"/>
      <c r="GE27" s="843"/>
      <c r="GF27" s="843"/>
      <c r="GG27" s="843"/>
      <c r="GH27" s="843"/>
      <c r="GI27" s="843"/>
      <c r="GJ27" s="843"/>
      <c r="GK27" s="843"/>
      <c r="GL27" s="843"/>
      <c r="GM27" s="843"/>
      <c r="GN27" s="843"/>
      <c r="GO27" s="844"/>
      <c r="GP27" s="167"/>
      <c r="GQ27" s="351"/>
      <c r="GR27" s="2"/>
      <c r="GS27" s="2"/>
      <c r="GT27" s="2"/>
      <c r="GU27" s="2"/>
      <c r="GV27" s="240"/>
      <c r="GW27" s="240"/>
      <c r="GX27" s="240"/>
      <c r="GY27" s="240"/>
      <c r="GZ27" s="240"/>
      <c r="HU27" s="148"/>
      <c r="HV27" s="148"/>
      <c r="IK27" s="241"/>
      <c r="IV27" s="242"/>
      <c r="JG27" s="243"/>
      <c r="JQ27" s="244"/>
    </row>
    <row r="28" spans="1:27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6"/>
      <c r="M28" s="167"/>
      <c r="N28" s="788"/>
      <c r="O28" s="788"/>
      <c r="P28" s="789"/>
      <c r="Q28" s="791"/>
      <c r="R28" s="791"/>
      <c r="S28" s="791"/>
      <c r="T28" s="791"/>
      <c r="U28" s="791"/>
      <c r="V28" s="792"/>
      <c r="W28" s="793"/>
      <c r="X28" s="793"/>
      <c r="Y28" s="793"/>
      <c r="Z28" s="793"/>
      <c r="AA28" s="793"/>
      <c r="AB28" s="793"/>
      <c r="AC28" s="793"/>
      <c r="AD28" s="793"/>
      <c r="AE28" s="793"/>
      <c r="AF28" s="793"/>
      <c r="AG28" s="793"/>
      <c r="AH28" s="793"/>
      <c r="AI28" s="793"/>
      <c r="AJ28" s="793"/>
      <c r="AK28" s="793"/>
      <c r="AL28" s="793"/>
      <c r="AM28" s="793"/>
      <c r="AN28" s="793"/>
      <c r="AO28" s="793"/>
      <c r="AP28" s="793"/>
      <c r="AQ28" s="793"/>
      <c r="AR28" s="793"/>
      <c r="AS28" s="793"/>
      <c r="AT28" s="793"/>
      <c r="AU28" s="793"/>
      <c r="AV28" s="793"/>
      <c r="AW28" s="793"/>
      <c r="AX28" s="793"/>
      <c r="AY28" s="793"/>
      <c r="AZ28" s="793"/>
      <c r="BA28" s="793"/>
      <c r="BB28" s="793"/>
      <c r="BC28" s="793"/>
      <c r="BD28" s="793"/>
      <c r="BE28" s="793"/>
      <c r="BF28" s="793"/>
      <c r="BG28" s="793"/>
      <c r="BH28" s="793"/>
      <c r="BI28" s="794"/>
      <c r="BJ28" s="819"/>
      <c r="BK28" s="819"/>
      <c r="BL28" s="819"/>
      <c r="BM28" s="819"/>
      <c r="BN28" s="819"/>
      <c r="BO28" s="819"/>
      <c r="BP28" s="819"/>
      <c r="BQ28" s="819"/>
      <c r="BR28" s="819"/>
      <c r="BS28" s="819"/>
      <c r="BT28" s="800"/>
      <c r="BU28" s="801"/>
      <c r="BV28" s="801"/>
      <c r="BW28" s="801"/>
      <c r="BX28" s="801"/>
      <c r="BY28" s="801"/>
      <c r="BZ28" s="801"/>
      <c r="CA28" s="801"/>
      <c r="CB28" s="801"/>
      <c r="CC28" s="802"/>
      <c r="CD28" s="804"/>
      <c r="CE28" s="804"/>
      <c r="CF28" s="804"/>
      <c r="CG28" s="804"/>
      <c r="CH28" s="804"/>
      <c r="CI28" s="804"/>
      <c r="CJ28" s="804"/>
      <c r="CK28" s="804"/>
      <c r="CL28" s="804"/>
      <c r="CM28" s="804"/>
      <c r="CN28" s="805"/>
      <c r="CO28" s="806"/>
      <c r="CP28" s="806"/>
      <c r="CQ28" s="806"/>
      <c r="CR28" s="806"/>
      <c r="CS28" s="806"/>
      <c r="CT28" s="806"/>
      <c r="CU28" s="806"/>
      <c r="CV28" s="806"/>
      <c r="CW28" s="806"/>
      <c r="CX28" s="806"/>
      <c r="CY28" s="806"/>
      <c r="CZ28" s="365"/>
      <c r="DA28" s="366"/>
      <c r="DB28" s="366"/>
      <c r="DC28" s="808"/>
      <c r="DD28" s="808"/>
      <c r="DE28" s="808"/>
      <c r="DF28" s="808"/>
      <c r="DG28" s="808"/>
      <c r="DH28" s="808"/>
      <c r="DI28" s="808"/>
      <c r="DJ28" s="808"/>
      <c r="DK28" s="808"/>
      <c r="DL28" s="808"/>
      <c r="DM28" s="809"/>
      <c r="DN28" s="810"/>
      <c r="DO28" s="810"/>
      <c r="DP28" s="810"/>
      <c r="DQ28" s="810"/>
      <c r="DR28" s="810"/>
      <c r="DS28" s="810"/>
      <c r="DT28" s="810"/>
      <c r="DU28" s="810"/>
      <c r="DV28" s="811"/>
      <c r="DW28" s="823"/>
      <c r="DX28" s="824"/>
      <c r="DY28" s="824"/>
      <c r="DZ28" s="824"/>
      <c r="EA28" s="824"/>
      <c r="EB28" s="824"/>
      <c r="EC28" s="824"/>
      <c r="ED28" s="824"/>
      <c r="EE28" s="824"/>
      <c r="EF28" s="824"/>
      <c r="EG28" s="826"/>
      <c r="EH28" s="826"/>
      <c r="EI28" s="826"/>
      <c r="EJ28" s="826"/>
      <c r="EK28" s="826"/>
      <c r="EL28" s="826"/>
      <c r="EM28" s="826"/>
      <c r="EN28" s="826"/>
      <c r="EO28" s="826"/>
      <c r="EP28" s="826"/>
      <c r="EQ28" s="826"/>
      <c r="ER28" s="826"/>
      <c r="ES28" s="826"/>
      <c r="ET28" s="826"/>
      <c r="EU28" s="826"/>
      <c r="EV28" s="826"/>
      <c r="EW28" s="826"/>
      <c r="EX28" s="826"/>
      <c r="EY28" s="826"/>
      <c r="EZ28" s="826"/>
      <c r="FA28" s="826"/>
      <c r="FB28" s="826"/>
      <c r="FC28" s="826"/>
      <c r="FD28" s="826"/>
      <c r="FE28" s="830"/>
      <c r="FF28" s="831"/>
      <c r="FG28" s="831"/>
      <c r="FH28" s="831"/>
      <c r="FI28" s="831"/>
      <c r="FJ28" s="831"/>
      <c r="FK28" s="831"/>
      <c r="FL28" s="831"/>
      <c r="FM28" s="832"/>
      <c r="FN28" s="833"/>
      <c r="FO28" s="833"/>
      <c r="FP28" s="833"/>
      <c r="FQ28" s="833"/>
      <c r="FR28" s="833"/>
      <c r="FS28" s="833"/>
      <c r="FT28" s="833"/>
      <c r="FU28" s="833"/>
      <c r="FV28" s="833"/>
      <c r="FW28" s="842"/>
      <c r="FX28" s="843"/>
      <c r="FY28" s="843"/>
      <c r="FZ28" s="843"/>
      <c r="GA28" s="843"/>
      <c r="GB28" s="843"/>
      <c r="GC28" s="843"/>
      <c r="GD28" s="843"/>
      <c r="GE28" s="843"/>
      <c r="GF28" s="843"/>
      <c r="GG28" s="843"/>
      <c r="GH28" s="843"/>
      <c r="GI28" s="843"/>
      <c r="GJ28" s="843"/>
      <c r="GK28" s="843"/>
      <c r="GL28" s="843"/>
      <c r="GM28" s="843"/>
      <c r="GN28" s="843"/>
      <c r="GO28" s="844"/>
      <c r="GP28" s="167"/>
      <c r="GQ28" s="2"/>
      <c r="GR28" s="2"/>
      <c r="GS28" s="2"/>
      <c r="GT28" s="2"/>
      <c r="GU28" s="2"/>
      <c r="GV28" s="240"/>
      <c r="GW28" s="240"/>
      <c r="GX28" s="240"/>
      <c r="GY28" s="240"/>
      <c r="GZ28" s="240"/>
      <c r="HF28" s="148"/>
      <c r="HG28" s="148"/>
      <c r="HH28" s="148"/>
      <c r="HI28" s="148"/>
      <c r="HJ28" s="148"/>
      <c r="HK28" s="148"/>
      <c r="HL28" s="148"/>
      <c r="HM28" s="148"/>
      <c r="HN28" s="148"/>
      <c r="HO28" s="148"/>
      <c r="HP28" s="148"/>
      <c r="HQ28" s="148"/>
      <c r="HR28" s="148"/>
      <c r="HS28" s="148"/>
      <c r="HT28" s="148"/>
      <c r="HU28" s="148"/>
      <c r="HV28" s="148"/>
      <c r="IK28" s="241"/>
      <c r="IV28" s="242"/>
      <c r="JG28" s="243"/>
      <c r="JQ28" s="244"/>
    </row>
    <row r="29" spans="1:27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6"/>
      <c r="M29" s="167"/>
      <c r="N29" s="788">
        <v>6</v>
      </c>
      <c r="O29" s="788"/>
      <c r="P29" s="789"/>
      <c r="Q29" s="791"/>
      <c r="R29" s="791"/>
      <c r="S29" s="791"/>
      <c r="T29" s="791"/>
      <c r="U29" s="791"/>
      <c r="V29" s="792"/>
      <c r="W29" s="793"/>
      <c r="X29" s="793"/>
      <c r="Y29" s="793"/>
      <c r="Z29" s="793"/>
      <c r="AA29" s="793"/>
      <c r="AB29" s="793"/>
      <c r="AC29" s="793"/>
      <c r="AD29" s="793"/>
      <c r="AE29" s="793"/>
      <c r="AF29" s="793"/>
      <c r="AG29" s="793"/>
      <c r="AH29" s="793"/>
      <c r="AI29" s="793"/>
      <c r="AJ29" s="793"/>
      <c r="AK29" s="793"/>
      <c r="AL29" s="793"/>
      <c r="AM29" s="793"/>
      <c r="AN29" s="793"/>
      <c r="AO29" s="793"/>
      <c r="AP29" s="793"/>
      <c r="AQ29" s="793"/>
      <c r="AR29" s="793"/>
      <c r="AS29" s="793"/>
      <c r="AT29" s="793"/>
      <c r="AU29" s="793"/>
      <c r="AV29" s="793"/>
      <c r="AW29" s="793"/>
      <c r="AX29" s="793"/>
      <c r="AY29" s="793"/>
      <c r="AZ29" s="793"/>
      <c r="BA29" s="793"/>
      <c r="BB29" s="793"/>
      <c r="BC29" s="793"/>
      <c r="BD29" s="793"/>
      <c r="BE29" s="793"/>
      <c r="BF29" s="793"/>
      <c r="BG29" s="793"/>
      <c r="BH29" s="793"/>
      <c r="BI29" s="794"/>
      <c r="BJ29" s="796"/>
      <c r="BK29" s="796"/>
      <c r="BL29" s="796"/>
      <c r="BM29" s="796"/>
      <c r="BN29" s="796"/>
      <c r="BO29" s="796"/>
      <c r="BP29" s="796"/>
      <c r="BQ29" s="796"/>
      <c r="BR29" s="796"/>
      <c r="BS29" s="796"/>
      <c r="BT29" s="800"/>
      <c r="BU29" s="801"/>
      <c r="BV29" s="801"/>
      <c r="BW29" s="801"/>
      <c r="BX29" s="801"/>
      <c r="BY29" s="801"/>
      <c r="BZ29" s="801"/>
      <c r="CA29" s="801"/>
      <c r="CB29" s="801"/>
      <c r="CC29" s="802"/>
      <c r="CD29" s="804"/>
      <c r="CE29" s="804"/>
      <c r="CF29" s="804"/>
      <c r="CG29" s="804"/>
      <c r="CH29" s="804"/>
      <c r="CI29" s="804"/>
      <c r="CJ29" s="804"/>
      <c r="CK29" s="804"/>
      <c r="CL29" s="804"/>
      <c r="CM29" s="804"/>
      <c r="CN29" s="805" t="s">
        <v>115</v>
      </c>
      <c r="CO29" s="806"/>
      <c r="CP29" s="806"/>
      <c r="CQ29" s="806"/>
      <c r="CR29" s="806"/>
      <c r="CS29" s="806"/>
      <c r="CT29" s="806"/>
      <c r="CU29" s="806"/>
      <c r="CV29" s="806"/>
      <c r="CW29" s="806"/>
      <c r="CX29" s="806"/>
      <c r="CY29" s="806"/>
      <c r="CZ29" s="365"/>
      <c r="DA29" s="366"/>
      <c r="DB29" s="366"/>
      <c r="DC29" s="808"/>
      <c r="DD29" s="808"/>
      <c r="DE29" s="808"/>
      <c r="DF29" s="808"/>
      <c r="DG29" s="808"/>
      <c r="DH29" s="808"/>
      <c r="DI29" s="808"/>
      <c r="DJ29" s="808"/>
      <c r="DK29" s="808"/>
      <c r="DL29" s="808"/>
      <c r="DM29" s="809"/>
      <c r="DN29" s="810"/>
      <c r="DO29" s="810"/>
      <c r="DP29" s="810"/>
      <c r="DQ29" s="810"/>
      <c r="DR29" s="810"/>
      <c r="DS29" s="810"/>
      <c r="DT29" s="810"/>
      <c r="DU29" s="810"/>
      <c r="DV29" s="811"/>
      <c r="DW29" s="823"/>
      <c r="DX29" s="824"/>
      <c r="DY29" s="824"/>
      <c r="DZ29" s="824"/>
      <c r="EA29" s="824"/>
      <c r="EB29" s="824"/>
      <c r="EC29" s="824"/>
      <c r="ED29" s="824"/>
      <c r="EE29" s="824"/>
      <c r="EF29" s="824"/>
      <c r="EG29" s="826">
        <f>BEZ_Hilf_6_Anz*BEZ_Hilf_6_EHPreis*((BEZ_Hilf_6_GKZ/100)+1)</f>
        <v>0</v>
      </c>
      <c r="EH29" s="826"/>
      <c r="EI29" s="826"/>
      <c r="EJ29" s="826"/>
      <c r="EK29" s="826"/>
      <c r="EL29" s="826"/>
      <c r="EM29" s="826"/>
      <c r="EN29" s="826"/>
      <c r="EO29" s="826"/>
      <c r="EP29" s="826"/>
      <c r="EQ29" s="826"/>
      <c r="ER29" s="826"/>
      <c r="ES29" s="826"/>
      <c r="ET29" s="826"/>
      <c r="EU29" s="826">
        <f>BEZ_Hilf_6_PreisJeKiste*KI_N</f>
        <v>0</v>
      </c>
      <c r="EV29" s="826"/>
      <c r="EW29" s="826"/>
      <c r="EX29" s="826"/>
      <c r="EY29" s="826"/>
      <c r="EZ29" s="826"/>
      <c r="FA29" s="826"/>
      <c r="FB29" s="826"/>
      <c r="FC29" s="826"/>
      <c r="FD29" s="826"/>
      <c r="FE29" s="830"/>
      <c r="FF29" s="831"/>
      <c r="FG29" s="831"/>
      <c r="FH29" s="831"/>
      <c r="FI29" s="831"/>
      <c r="FJ29" s="831"/>
      <c r="FK29" s="831"/>
      <c r="FL29" s="831"/>
      <c r="FM29" s="832"/>
      <c r="FN29" s="833">
        <f>BEZ_Hilf_6_gJeEH*BEZ_Hilf_6_Anz</f>
        <v>0</v>
      </c>
      <c r="FO29" s="833"/>
      <c r="FP29" s="833"/>
      <c r="FQ29" s="833"/>
      <c r="FR29" s="833"/>
      <c r="FS29" s="833"/>
      <c r="FT29" s="833"/>
      <c r="FU29" s="833"/>
      <c r="FV29" s="833"/>
      <c r="FW29" s="845">
        <f>ROUNDUP(SUM(FN19:FV98)/1000,0)</f>
        <v>1</v>
      </c>
      <c r="FX29" s="846"/>
      <c r="FY29" s="846"/>
      <c r="FZ29" s="846"/>
      <c r="GA29" s="846"/>
      <c r="GB29" s="846"/>
      <c r="GC29" s="846"/>
      <c r="GD29" s="846"/>
      <c r="GE29" s="846"/>
      <c r="GF29" s="846"/>
      <c r="GG29" s="836" t="s">
        <v>301</v>
      </c>
      <c r="GH29" s="836"/>
      <c r="GI29" s="836"/>
      <c r="GJ29" s="836"/>
      <c r="GK29" s="836"/>
      <c r="GL29" s="836"/>
      <c r="GM29" s="836"/>
      <c r="GN29" s="836"/>
      <c r="GO29" s="837"/>
      <c r="GP29" s="167"/>
      <c r="GQ29" s="351"/>
      <c r="GR29" s="2"/>
      <c r="GS29" s="2"/>
      <c r="GT29" s="2"/>
      <c r="GU29" s="2"/>
      <c r="GV29" s="240"/>
      <c r="GW29" s="240"/>
      <c r="GX29" s="240"/>
      <c r="GY29" s="240"/>
      <c r="GZ29" s="240"/>
      <c r="HU29" s="148"/>
      <c r="HV29" s="148"/>
      <c r="IK29" s="241"/>
      <c r="IV29" s="242"/>
      <c r="JG29" s="243"/>
      <c r="JQ29" s="244"/>
    </row>
    <row r="30" spans="1:27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6"/>
      <c r="M30" s="167"/>
      <c r="N30" s="788"/>
      <c r="O30" s="788"/>
      <c r="P30" s="789"/>
      <c r="Q30" s="791"/>
      <c r="R30" s="791"/>
      <c r="S30" s="791"/>
      <c r="T30" s="791"/>
      <c r="U30" s="791"/>
      <c r="V30" s="792"/>
      <c r="W30" s="793"/>
      <c r="X30" s="793"/>
      <c r="Y30" s="793"/>
      <c r="Z30" s="793"/>
      <c r="AA30" s="793"/>
      <c r="AB30" s="793"/>
      <c r="AC30" s="793"/>
      <c r="AD30" s="793"/>
      <c r="AE30" s="793"/>
      <c r="AF30" s="793"/>
      <c r="AG30" s="793"/>
      <c r="AH30" s="793"/>
      <c r="AI30" s="793"/>
      <c r="AJ30" s="793"/>
      <c r="AK30" s="793"/>
      <c r="AL30" s="793"/>
      <c r="AM30" s="793"/>
      <c r="AN30" s="793"/>
      <c r="AO30" s="793"/>
      <c r="AP30" s="793"/>
      <c r="AQ30" s="793"/>
      <c r="AR30" s="793"/>
      <c r="AS30" s="793"/>
      <c r="AT30" s="793"/>
      <c r="AU30" s="793"/>
      <c r="AV30" s="793"/>
      <c r="AW30" s="793"/>
      <c r="AX30" s="793"/>
      <c r="AY30" s="793"/>
      <c r="AZ30" s="793"/>
      <c r="BA30" s="793"/>
      <c r="BB30" s="793"/>
      <c r="BC30" s="793"/>
      <c r="BD30" s="793"/>
      <c r="BE30" s="793"/>
      <c r="BF30" s="793"/>
      <c r="BG30" s="793"/>
      <c r="BH30" s="793"/>
      <c r="BI30" s="794"/>
      <c r="BJ30" s="796"/>
      <c r="BK30" s="796"/>
      <c r="BL30" s="796"/>
      <c r="BM30" s="796"/>
      <c r="BN30" s="796"/>
      <c r="BO30" s="796"/>
      <c r="BP30" s="796"/>
      <c r="BQ30" s="796"/>
      <c r="BR30" s="796"/>
      <c r="BS30" s="796"/>
      <c r="BT30" s="800"/>
      <c r="BU30" s="801"/>
      <c r="BV30" s="801"/>
      <c r="BW30" s="801"/>
      <c r="BX30" s="801"/>
      <c r="BY30" s="801"/>
      <c r="BZ30" s="801"/>
      <c r="CA30" s="801"/>
      <c r="CB30" s="801"/>
      <c r="CC30" s="802"/>
      <c r="CD30" s="804"/>
      <c r="CE30" s="804"/>
      <c r="CF30" s="804"/>
      <c r="CG30" s="804"/>
      <c r="CH30" s="804"/>
      <c r="CI30" s="804"/>
      <c r="CJ30" s="804"/>
      <c r="CK30" s="804"/>
      <c r="CL30" s="804"/>
      <c r="CM30" s="804"/>
      <c r="CN30" s="805"/>
      <c r="CO30" s="806"/>
      <c r="CP30" s="806"/>
      <c r="CQ30" s="806"/>
      <c r="CR30" s="806"/>
      <c r="CS30" s="806"/>
      <c r="CT30" s="806"/>
      <c r="CU30" s="806"/>
      <c r="CV30" s="806"/>
      <c r="CW30" s="806"/>
      <c r="CX30" s="806"/>
      <c r="CY30" s="806"/>
      <c r="CZ30" s="365"/>
      <c r="DA30" s="366"/>
      <c r="DB30" s="366"/>
      <c r="DC30" s="808"/>
      <c r="DD30" s="808"/>
      <c r="DE30" s="808"/>
      <c r="DF30" s="808"/>
      <c r="DG30" s="808"/>
      <c r="DH30" s="808"/>
      <c r="DI30" s="808"/>
      <c r="DJ30" s="808"/>
      <c r="DK30" s="808"/>
      <c r="DL30" s="808"/>
      <c r="DM30" s="809"/>
      <c r="DN30" s="810"/>
      <c r="DO30" s="810"/>
      <c r="DP30" s="810"/>
      <c r="DQ30" s="810"/>
      <c r="DR30" s="810"/>
      <c r="DS30" s="810"/>
      <c r="DT30" s="810"/>
      <c r="DU30" s="810"/>
      <c r="DV30" s="811"/>
      <c r="DW30" s="823"/>
      <c r="DX30" s="824"/>
      <c r="DY30" s="824"/>
      <c r="DZ30" s="824"/>
      <c r="EA30" s="824"/>
      <c r="EB30" s="824"/>
      <c r="EC30" s="824"/>
      <c r="ED30" s="824"/>
      <c r="EE30" s="824"/>
      <c r="EF30" s="824"/>
      <c r="EG30" s="826"/>
      <c r="EH30" s="826"/>
      <c r="EI30" s="826"/>
      <c r="EJ30" s="826"/>
      <c r="EK30" s="826"/>
      <c r="EL30" s="826"/>
      <c r="EM30" s="826"/>
      <c r="EN30" s="826"/>
      <c r="EO30" s="826"/>
      <c r="EP30" s="826"/>
      <c r="EQ30" s="826"/>
      <c r="ER30" s="826"/>
      <c r="ES30" s="826"/>
      <c r="ET30" s="826"/>
      <c r="EU30" s="826"/>
      <c r="EV30" s="826"/>
      <c r="EW30" s="826"/>
      <c r="EX30" s="826"/>
      <c r="EY30" s="826"/>
      <c r="EZ30" s="826"/>
      <c r="FA30" s="826"/>
      <c r="FB30" s="826"/>
      <c r="FC30" s="826"/>
      <c r="FD30" s="826"/>
      <c r="FE30" s="830"/>
      <c r="FF30" s="831"/>
      <c r="FG30" s="831"/>
      <c r="FH30" s="831"/>
      <c r="FI30" s="831"/>
      <c r="FJ30" s="831"/>
      <c r="FK30" s="831"/>
      <c r="FL30" s="831"/>
      <c r="FM30" s="832"/>
      <c r="FN30" s="833"/>
      <c r="FO30" s="833"/>
      <c r="FP30" s="833"/>
      <c r="FQ30" s="833"/>
      <c r="FR30" s="833"/>
      <c r="FS30" s="833"/>
      <c r="FT30" s="833"/>
      <c r="FU30" s="833"/>
      <c r="FV30" s="833"/>
      <c r="FW30" s="845"/>
      <c r="FX30" s="846"/>
      <c r="FY30" s="846"/>
      <c r="FZ30" s="846"/>
      <c r="GA30" s="846"/>
      <c r="GB30" s="846"/>
      <c r="GC30" s="846"/>
      <c r="GD30" s="846"/>
      <c r="GE30" s="846"/>
      <c r="GF30" s="846"/>
      <c r="GG30" s="836"/>
      <c r="GH30" s="836"/>
      <c r="GI30" s="836"/>
      <c r="GJ30" s="836"/>
      <c r="GK30" s="836"/>
      <c r="GL30" s="836"/>
      <c r="GM30" s="836"/>
      <c r="GN30" s="836"/>
      <c r="GO30" s="837"/>
      <c r="GP30" s="167"/>
      <c r="GQ30" s="2"/>
      <c r="GR30" s="2"/>
      <c r="GS30" s="2"/>
      <c r="GT30" s="2"/>
      <c r="GU30" s="2"/>
      <c r="GV30" s="240"/>
      <c r="GW30" s="240"/>
      <c r="GX30" s="240"/>
      <c r="GY30" s="240"/>
      <c r="GZ30" s="240"/>
      <c r="HU30" s="148"/>
      <c r="HV30" s="148"/>
      <c r="IK30" s="241"/>
      <c r="IV30" s="242"/>
      <c r="JG30" s="243"/>
      <c r="JQ30" s="244"/>
    </row>
    <row r="31" spans="1:27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6"/>
      <c r="M31" s="167"/>
      <c r="N31" s="788">
        <v>7</v>
      </c>
      <c r="O31" s="788"/>
      <c r="P31" s="789"/>
      <c r="Q31" s="791" t="s">
        <v>419</v>
      </c>
      <c r="R31" s="791"/>
      <c r="S31" s="791"/>
      <c r="T31" s="791"/>
      <c r="U31" s="791"/>
      <c r="V31" s="792" t="s">
        <v>418</v>
      </c>
      <c r="W31" s="793"/>
      <c r="X31" s="793"/>
      <c r="Y31" s="793"/>
      <c r="Z31" s="793"/>
      <c r="AA31" s="793"/>
      <c r="AB31" s="793"/>
      <c r="AC31" s="793"/>
      <c r="AD31" s="793"/>
      <c r="AE31" s="793"/>
      <c r="AF31" s="793"/>
      <c r="AG31" s="793"/>
      <c r="AH31" s="793"/>
      <c r="AI31" s="793"/>
      <c r="AJ31" s="793"/>
      <c r="AK31" s="793"/>
      <c r="AL31" s="793"/>
      <c r="AM31" s="793"/>
      <c r="AN31" s="793"/>
      <c r="AO31" s="793"/>
      <c r="AP31" s="793"/>
      <c r="AQ31" s="793"/>
      <c r="AR31" s="793"/>
      <c r="AS31" s="793"/>
      <c r="AT31" s="793"/>
      <c r="AU31" s="793"/>
      <c r="AV31" s="793"/>
      <c r="AW31" s="793"/>
      <c r="AX31" s="793"/>
      <c r="AY31" s="793"/>
      <c r="AZ31" s="793"/>
      <c r="BA31" s="793"/>
      <c r="BB31" s="793"/>
      <c r="BC31" s="793"/>
      <c r="BD31" s="793"/>
      <c r="BE31" s="793"/>
      <c r="BF31" s="793"/>
      <c r="BG31" s="793"/>
      <c r="BH31" s="793"/>
      <c r="BI31" s="794"/>
      <c r="BJ31" s="819">
        <v>1</v>
      </c>
      <c r="BK31" s="819"/>
      <c r="BL31" s="819"/>
      <c r="BM31" s="819"/>
      <c r="BN31" s="819"/>
      <c r="BO31" s="819"/>
      <c r="BP31" s="819"/>
      <c r="BQ31" s="819"/>
      <c r="BR31" s="819"/>
      <c r="BS31" s="819"/>
      <c r="BT31" s="800"/>
      <c r="BU31" s="801"/>
      <c r="BV31" s="801"/>
      <c r="BW31" s="801"/>
      <c r="BX31" s="801"/>
      <c r="BY31" s="801"/>
      <c r="BZ31" s="801"/>
      <c r="CA31" s="801"/>
      <c r="CB31" s="801"/>
      <c r="CC31" s="802"/>
      <c r="CD31" s="804" t="s">
        <v>36</v>
      </c>
      <c r="CE31" s="804"/>
      <c r="CF31" s="804"/>
      <c r="CG31" s="804"/>
      <c r="CH31" s="804"/>
      <c r="CI31" s="804"/>
      <c r="CJ31" s="804"/>
      <c r="CK31" s="804"/>
      <c r="CL31" s="804"/>
      <c r="CM31" s="804"/>
      <c r="CN31" s="805" t="s">
        <v>374</v>
      </c>
      <c r="CO31" s="806"/>
      <c r="CP31" s="806"/>
      <c r="CQ31" s="806"/>
      <c r="CR31" s="806"/>
      <c r="CS31" s="806"/>
      <c r="CT31" s="806"/>
      <c r="CU31" s="806"/>
      <c r="CV31" s="806"/>
      <c r="CW31" s="806"/>
      <c r="CX31" s="806"/>
      <c r="CY31" s="806"/>
      <c r="CZ31" s="365"/>
      <c r="DA31" s="366"/>
      <c r="DB31" s="366"/>
      <c r="DC31" s="808">
        <v>0.85</v>
      </c>
      <c r="DD31" s="808"/>
      <c r="DE31" s="808"/>
      <c r="DF31" s="808"/>
      <c r="DG31" s="808"/>
      <c r="DH31" s="808"/>
      <c r="DI31" s="808"/>
      <c r="DJ31" s="808"/>
      <c r="DK31" s="808"/>
      <c r="DL31" s="808"/>
      <c r="DM31" s="809">
        <v>5</v>
      </c>
      <c r="DN31" s="810"/>
      <c r="DO31" s="810"/>
      <c r="DP31" s="810"/>
      <c r="DQ31" s="810"/>
      <c r="DR31" s="810"/>
      <c r="DS31" s="810"/>
      <c r="DT31" s="810"/>
      <c r="DU31" s="810"/>
      <c r="DV31" s="811"/>
      <c r="DW31" s="823">
        <f>BEZ_Hilf_7_EHPreis*(BEZ_Hilf_7_GKZ/100+1)</f>
        <v>0.89249999999999996</v>
      </c>
      <c r="DX31" s="824"/>
      <c r="DY31" s="824"/>
      <c r="DZ31" s="824"/>
      <c r="EA31" s="824"/>
      <c r="EB31" s="824"/>
      <c r="EC31" s="824"/>
      <c r="ED31" s="824"/>
      <c r="EE31" s="824"/>
      <c r="EF31" s="824"/>
      <c r="EG31" s="826">
        <f>BEZ_Hilf_7_Anz*BEZ_Hilf_7_EHPreis*((BEZ_Hilf_7_GKZ/100)+1)</f>
        <v>0.89249999999999996</v>
      </c>
      <c r="EH31" s="826"/>
      <c r="EI31" s="826"/>
      <c r="EJ31" s="826"/>
      <c r="EK31" s="826"/>
      <c r="EL31" s="826"/>
      <c r="EM31" s="826"/>
      <c r="EN31" s="826"/>
      <c r="EO31" s="826"/>
      <c r="EP31" s="826"/>
      <c r="EQ31" s="826"/>
      <c r="ER31" s="826"/>
      <c r="ES31" s="826"/>
      <c r="ET31" s="826"/>
      <c r="EU31" s="826">
        <f>BEZ_Hilf_7_PreisJeKiste*KI_N</f>
        <v>0.89249999999999996</v>
      </c>
      <c r="EV31" s="826"/>
      <c r="EW31" s="826"/>
      <c r="EX31" s="826"/>
      <c r="EY31" s="826"/>
      <c r="EZ31" s="826"/>
      <c r="FA31" s="826"/>
      <c r="FB31" s="826"/>
      <c r="FC31" s="826"/>
      <c r="FD31" s="826"/>
      <c r="FE31" s="830">
        <v>0</v>
      </c>
      <c r="FF31" s="831"/>
      <c r="FG31" s="831"/>
      <c r="FH31" s="831"/>
      <c r="FI31" s="831"/>
      <c r="FJ31" s="831"/>
      <c r="FK31" s="831"/>
      <c r="FL31" s="831"/>
      <c r="FM31" s="832"/>
      <c r="FN31" s="833">
        <f>BEZ_Hilf_7_gJeEH*BEZ_Hilf_7_Anz</f>
        <v>0</v>
      </c>
      <c r="FO31" s="833"/>
      <c r="FP31" s="833"/>
      <c r="FQ31" s="833"/>
      <c r="FR31" s="833"/>
      <c r="FS31" s="833"/>
      <c r="FT31" s="833"/>
      <c r="FU31" s="833"/>
      <c r="FV31" s="833"/>
      <c r="FW31" s="847">
        <f>BEZ_Hilf_GG_KI*KI_N</f>
        <v>1</v>
      </c>
      <c r="FX31" s="848"/>
      <c r="FY31" s="848"/>
      <c r="FZ31" s="848"/>
      <c r="GA31" s="848"/>
      <c r="GB31" s="848"/>
      <c r="GC31" s="848"/>
      <c r="GD31" s="848"/>
      <c r="GE31" s="848"/>
      <c r="GF31" s="848"/>
      <c r="GG31" s="840" t="s">
        <v>300</v>
      </c>
      <c r="GH31" s="840"/>
      <c r="GI31" s="840"/>
      <c r="GJ31" s="840"/>
      <c r="GK31" s="840"/>
      <c r="GL31" s="840"/>
      <c r="GM31" s="840"/>
      <c r="GN31" s="840"/>
      <c r="GO31" s="841"/>
      <c r="GP31" s="167"/>
      <c r="GQ31" s="351"/>
      <c r="GR31" s="2"/>
      <c r="GS31" s="2"/>
      <c r="GT31" s="2"/>
      <c r="GU31" s="2"/>
      <c r="GV31" s="240"/>
      <c r="GW31" s="240"/>
      <c r="GX31" s="240"/>
      <c r="GY31" s="240"/>
      <c r="GZ31" s="240"/>
      <c r="HU31" s="148"/>
      <c r="HV31" s="148"/>
      <c r="IK31" s="241"/>
      <c r="IV31" s="242"/>
      <c r="JG31" s="243"/>
      <c r="JQ31" s="244"/>
    </row>
    <row r="32" spans="1:27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4"/>
      <c r="M32" s="167"/>
      <c r="N32" s="788"/>
      <c r="O32" s="788"/>
      <c r="P32" s="789"/>
      <c r="Q32" s="791"/>
      <c r="R32" s="791"/>
      <c r="S32" s="791"/>
      <c r="T32" s="791"/>
      <c r="U32" s="791"/>
      <c r="V32" s="792"/>
      <c r="W32" s="793"/>
      <c r="X32" s="793"/>
      <c r="Y32" s="793"/>
      <c r="Z32" s="793"/>
      <c r="AA32" s="793"/>
      <c r="AB32" s="793"/>
      <c r="AC32" s="793"/>
      <c r="AD32" s="793"/>
      <c r="AE32" s="793"/>
      <c r="AF32" s="793"/>
      <c r="AG32" s="793"/>
      <c r="AH32" s="793"/>
      <c r="AI32" s="793"/>
      <c r="AJ32" s="793"/>
      <c r="AK32" s="793"/>
      <c r="AL32" s="793"/>
      <c r="AM32" s="793"/>
      <c r="AN32" s="793"/>
      <c r="AO32" s="793"/>
      <c r="AP32" s="793"/>
      <c r="AQ32" s="793"/>
      <c r="AR32" s="793"/>
      <c r="AS32" s="793"/>
      <c r="AT32" s="793"/>
      <c r="AU32" s="793"/>
      <c r="AV32" s="793"/>
      <c r="AW32" s="793"/>
      <c r="AX32" s="793"/>
      <c r="AY32" s="793"/>
      <c r="AZ32" s="793"/>
      <c r="BA32" s="793"/>
      <c r="BB32" s="793"/>
      <c r="BC32" s="793"/>
      <c r="BD32" s="793"/>
      <c r="BE32" s="793"/>
      <c r="BF32" s="793"/>
      <c r="BG32" s="793"/>
      <c r="BH32" s="793"/>
      <c r="BI32" s="794"/>
      <c r="BJ32" s="819"/>
      <c r="BK32" s="819"/>
      <c r="BL32" s="819"/>
      <c r="BM32" s="819"/>
      <c r="BN32" s="819"/>
      <c r="BO32" s="819"/>
      <c r="BP32" s="819"/>
      <c r="BQ32" s="819"/>
      <c r="BR32" s="819"/>
      <c r="BS32" s="819"/>
      <c r="BT32" s="800"/>
      <c r="BU32" s="801"/>
      <c r="BV32" s="801"/>
      <c r="BW32" s="801"/>
      <c r="BX32" s="801"/>
      <c r="BY32" s="801"/>
      <c r="BZ32" s="801"/>
      <c r="CA32" s="801"/>
      <c r="CB32" s="801"/>
      <c r="CC32" s="802"/>
      <c r="CD32" s="804"/>
      <c r="CE32" s="804"/>
      <c r="CF32" s="804"/>
      <c r="CG32" s="804"/>
      <c r="CH32" s="804"/>
      <c r="CI32" s="804"/>
      <c r="CJ32" s="804"/>
      <c r="CK32" s="804"/>
      <c r="CL32" s="804"/>
      <c r="CM32" s="804"/>
      <c r="CN32" s="805"/>
      <c r="CO32" s="806"/>
      <c r="CP32" s="806"/>
      <c r="CQ32" s="806"/>
      <c r="CR32" s="806"/>
      <c r="CS32" s="806"/>
      <c r="CT32" s="806"/>
      <c r="CU32" s="806"/>
      <c r="CV32" s="806"/>
      <c r="CW32" s="806"/>
      <c r="CX32" s="806"/>
      <c r="CY32" s="806"/>
      <c r="CZ32" s="365"/>
      <c r="DA32" s="366"/>
      <c r="DB32" s="366"/>
      <c r="DC32" s="808"/>
      <c r="DD32" s="808"/>
      <c r="DE32" s="808"/>
      <c r="DF32" s="808"/>
      <c r="DG32" s="808"/>
      <c r="DH32" s="808"/>
      <c r="DI32" s="808"/>
      <c r="DJ32" s="808"/>
      <c r="DK32" s="808"/>
      <c r="DL32" s="808"/>
      <c r="DM32" s="809"/>
      <c r="DN32" s="810"/>
      <c r="DO32" s="810"/>
      <c r="DP32" s="810"/>
      <c r="DQ32" s="810"/>
      <c r="DR32" s="810"/>
      <c r="DS32" s="810"/>
      <c r="DT32" s="810"/>
      <c r="DU32" s="810"/>
      <c r="DV32" s="811"/>
      <c r="DW32" s="823"/>
      <c r="DX32" s="824"/>
      <c r="DY32" s="824"/>
      <c r="DZ32" s="824"/>
      <c r="EA32" s="824"/>
      <c r="EB32" s="824"/>
      <c r="EC32" s="824"/>
      <c r="ED32" s="824"/>
      <c r="EE32" s="824"/>
      <c r="EF32" s="824"/>
      <c r="EG32" s="826"/>
      <c r="EH32" s="826"/>
      <c r="EI32" s="826"/>
      <c r="EJ32" s="826"/>
      <c r="EK32" s="826"/>
      <c r="EL32" s="826"/>
      <c r="EM32" s="826"/>
      <c r="EN32" s="826"/>
      <c r="EO32" s="826"/>
      <c r="EP32" s="826"/>
      <c r="EQ32" s="826"/>
      <c r="ER32" s="826"/>
      <c r="ES32" s="826"/>
      <c r="ET32" s="826"/>
      <c r="EU32" s="826"/>
      <c r="EV32" s="826"/>
      <c r="EW32" s="826"/>
      <c r="EX32" s="826"/>
      <c r="EY32" s="826"/>
      <c r="EZ32" s="826"/>
      <c r="FA32" s="826"/>
      <c r="FB32" s="826"/>
      <c r="FC32" s="826"/>
      <c r="FD32" s="826"/>
      <c r="FE32" s="830"/>
      <c r="FF32" s="831"/>
      <c r="FG32" s="831"/>
      <c r="FH32" s="831"/>
      <c r="FI32" s="831"/>
      <c r="FJ32" s="831"/>
      <c r="FK32" s="831"/>
      <c r="FL32" s="831"/>
      <c r="FM32" s="832"/>
      <c r="FN32" s="833"/>
      <c r="FO32" s="833"/>
      <c r="FP32" s="833"/>
      <c r="FQ32" s="833"/>
      <c r="FR32" s="833"/>
      <c r="FS32" s="833"/>
      <c r="FT32" s="833"/>
      <c r="FU32" s="833"/>
      <c r="FV32" s="833"/>
      <c r="FW32" s="847"/>
      <c r="FX32" s="848"/>
      <c r="FY32" s="848"/>
      <c r="FZ32" s="848"/>
      <c r="GA32" s="848"/>
      <c r="GB32" s="848"/>
      <c r="GC32" s="848"/>
      <c r="GD32" s="848"/>
      <c r="GE32" s="848"/>
      <c r="GF32" s="848"/>
      <c r="GG32" s="840"/>
      <c r="GH32" s="840"/>
      <c r="GI32" s="840"/>
      <c r="GJ32" s="840"/>
      <c r="GK32" s="840"/>
      <c r="GL32" s="840"/>
      <c r="GM32" s="840"/>
      <c r="GN32" s="840"/>
      <c r="GO32" s="841"/>
      <c r="GP32" s="167"/>
      <c r="GQ32" s="2"/>
      <c r="GR32" s="2"/>
      <c r="GS32" s="2"/>
      <c r="GT32" s="2"/>
      <c r="GU32" s="2"/>
      <c r="GV32" s="240"/>
      <c r="GW32" s="240"/>
      <c r="GX32" s="240"/>
      <c r="GY32" s="240"/>
      <c r="GZ32" s="240"/>
      <c r="HU32" s="148"/>
      <c r="HV32" s="148"/>
      <c r="IK32" s="241"/>
      <c r="IV32" s="242"/>
      <c r="JG32" s="243"/>
      <c r="JQ32" s="244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4"/>
      <c r="M33" s="190"/>
      <c r="N33" s="788">
        <v>8</v>
      </c>
      <c r="O33" s="788"/>
      <c r="P33" s="789"/>
      <c r="Q33" s="849" t="s">
        <v>400</v>
      </c>
      <c r="R33" s="849"/>
      <c r="S33" s="849"/>
      <c r="T33" s="849"/>
      <c r="U33" s="849"/>
      <c r="V33" s="850" t="s">
        <v>413</v>
      </c>
      <c r="W33" s="851"/>
      <c r="X33" s="851"/>
      <c r="Y33" s="851"/>
      <c r="Z33" s="851"/>
      <c r="AA33" s="851"/>
      <c r="AB33" s="851"/>
      <c r="AC33" s="851"/>
      <c r="AD33" s="851"/>
      <c r="AE33" s="851"/>
      <c r="AF33" s="851"/>
      <c r="AG33" s="851"/>
      <c r="AH33" s="851"/>
      <c r="AI33" s="851"/>
      <c r="AJ33" s="851"/>
      <c r="AK33" s="851"/>
      <c r="AL33" s="851"/>
      <c r="AM33" s="851"/>
      <c r="AN33" s="851"/>
      <c r="AO33" s="851"/>
      <c r="AP33" s="851"/>
      <c r="AQ33" s="851"/>
      <c r="AR33" s="851"/>
      <c r="AS33" s="851"/>
      <c r="AT33" s="851"/>
      <c r="AU33" s="851"/>
      <c r="AV33" s="851"/>
      <c r="AW33" s="851"/>
      <c r="AX33" s="851"/>
      <c r="AY33" s="851"/>
      <c r="AZ33" s="851"/>
      <c r="BA33" s="851"/>
      <c r="BB33" s="851"/>
      <c r="BC33" s="851"/>
      <c r="BD33" s="851"/>
      <c r="BE33" s="851"/>
      <c r="BF33" s="851"/>
      <c r="BG33" s="851"/>
      <c r="BH33" s="851"/>
      <c r="BI33" s="852"/>
      <c r="BJ33" s="853">
        <v>1</v>
      </c>
      <c r="BK33" s="853"/>
      <c r="BL33" s="853"/>
      <c r="BM33" s="853"/>
      <c r="BN33" s="853"/>
      <c r="BO33" s="853"/>
      <c r="BP33" s="853"/>
      <c r="BQ33" s="853"/>
      <c r="BR33" s="853"/>
      <c r="BS33" s="853"/>
      <c r="BT33" s="800">
        <f>KI_N*BEZ_Hilf_8_Anz</f>
        <v>1</v>
      </c>
      <c r="BU33" s="801"/>
      <c r="BV33" s="801"/>
      <c r="BW33" s="801"/>
      <c r="BX33" s="801"/>
      <c r="BY33" s="801"/>
      <c r="BZ33" s="801"/>
      <c r="CA33" s="801"/>
      <c r="CB33" s="801"/>
      <c r="CC33" s="802"/>
      <c r="CD33" s="854" t="s">
        <v>36</v>
      </c>
      <c r="CE33" s="854"/>
      <c r="CF33" s="854"/>
      <c r="CG33" s="854"/>
      <c r="CH33" s="854"/>
      <c r="CI33" s="854"/>
      <c r="CJ33" s="854"/>
      <c r="CK33" s="854"/>
      <c r="CL33" s="854"/>
      <c r="CM33" s="854"/>
      <c r="CN33" s="805" t="s">
        <v>374</v>
      </c>
      <c r="CO33" s="806"/>
      <c r="CP33" s="806"/>
      <c r="CQ33" s="806"/>
      <c r="CR33" s="806"/>
      <c r="CS33" s="806"/>
      <c r="CT33" s="806"/>
      <c r="CU33" s="806"/>
      <c r="CV33" s="806"/>
      <c r="CW33" s="806"/>
      <c r="CX33" s="806"/>
      <c r="CY33" s="806"/>
      <c r="CZ33" s="365"/>
      <c r="DA33" s="366"/>
      <c r="DB33" s="366"/>
      <c r="DC33" s="808">
        <v>5</v>
      </c>
      <c r="DD33" s="808"/>
      <c r="DE33" s="808"/>
      <c r="DF33" s="808"/>
      <c r="DG33" s="808"/>
      <c r="DH33" s="808"/>
      <c r="DI33" s="808"/>
      <c r="DJ33" s="808"/>
      <c r="DK33" s="808"/>
      <c r="DL33" s="808"/>
      <c r="DM33" s="809">
        <v>5</v>
      </c>
      <c r="DN33" s="810"/>
      <c r="DO33" s="810"/>
      <c r="DP33" s="810"/>
      <c r="DQ33" s="810"/>
      <c r="DR33" s="810"/>
      <c r="DS33" s="810"/>
      <c r="DT33" s="810"/>
      <c r="DU33" s="810"/>
      <c r="DV33" s="811"/>
      <c r="DW33" s="823">
        <f>BEZ_Hilf_8_EHPreis*(BEZ_Hilf_8_GKZ/100+1)</f>
        <v>5.25</v>
      </c>
      <c r="DX33" s="824"/>
      <c r="DY33" s="824"/>
      <c r="DZ33" s="824"/>
      <c r="EA33" s="824"/>
      <c r="EB33" s="824"/>
      <c r="EC33" s="824"/>
      <c r="ED33" s="824"/>
      <c r="EE33" s="824"/>
      <c r="EF33" s="824"/>
      <c r="EG33" s="826">
        <f>BEZ_Hilf_8_Anz*BEZ_Hilf_8_EHPreis*((BEZ_Hilf_8_GKZ/100)+1)</f>
        <v>5.25</v>
      </c>
      <c r="EH33" s="826"/>
      <c r="EI33" s="826"/>
      <c r="EJ33" s="826"/>
      <c r="EK33" s="826"/>
      <c r="EL33" s="826"/>
      <c r="EM33" s="826"/>
      <c r="EN33" s="826"/>
      <c r="EO33" s="826"/>
      <c r="EP33" s="826"/>
      <c r="EQ33" s="826"/>
      <c r="ER33" s="826"/>
      <c r="ES33" s="826"/>
      <c r="ET33" s="826"/>
      <c r="EU33" s="826">
        <f>BEZ_Hilf_8_PreisJeKiste*KI_N</f>
        <v>5.25</v>
      </c>
      <c r="EV33" s="826"/>
      <c r="EW33" s="826"/>
      <c r="EX33" s="826"/>
      <c r="EY33" s="826"/>
      <c r="EZ33" s="826"/>
      <c r="FA33" s="826"/>
      <c r="FB33" s="826"/>
      <c r="FC33" s="826"/>
      <c r="FD33" s="826"/>
      <c r="FE33" s="830">
        <v>0</v>
      </c>
      <c r="FF33" s="831"/>
      <c r="FG33" s="831"/>
      <c r="FH33" s="831"/>
      <c r="FI33" s="831"/>
      <c r="FJ33" s="831"/>
      <c r="FK33" s="831"/>
      <c r="FL33" s="831"/>
      <c r="FM33" s="832"/>
      <c r="FN33" s="833">
        <f>BEZ_Hilf_8_gJeEH*BEZ_Hilf_8_Anz</f>
        <v>0</v>
      </c>
      <c r="FO33" s="833"/>
      <c r="FP33" s="833"/>
      <c r="FQ33" s="833"/>
      <c r="FR33" s="833"/>
      <c r="FS33" s="833"/>
      <c r="FT33" s="833"/>
      <c r="FU33" s="833"/>
      <c r="FV33" s="833"/>
      <c r="FW33" s="428"/>
      <c r="FX33" s="429"/>
      <c r="FY33" s="429"/>
      <c r="FZ33" s="429"/>
      <c r="GA33" s="429"/>
      <c r="GB33" s="429"/>
      <c r="GC33" s="429"/>
      <c r="GD33" s="429"/>
      <c r="GE33" s="429"/>
      <c r="GF33" s="429"/>
      <c r="GG33" s="429"/>
      <c r="GH33" s="429"/>
      <c r="GI33" s="429"/>
      <c r="GJ33" s="429"/>
      <c r="GK33" s="429"/>
      <c r="GL33" s="429"/>
      <c r="GM33" s="429"/>
      <c r="GN33" s="429"/>
      <c r="GO33" s="430"/>
      <c r="GP33" s="167"/>
      <c r="GQ33" s="351"/>
      <c r="GR33" s="2"/>
      <c r="GS33" s="2"/>
      <c r="GT33" s="2"/>
      <c r="GU33" s="2"/>
      <c r="GV33" s="240"/>
      <c r="GW33" s="240"/>
      <c r="GX33" s="240"/>
      <c r="GY33" s="240"/>
      <c r="GZ33" s="240"/>
      <c r="HF33" s="148"/>
      <c r="HG33" s="148"/>
      <c r="HH33" s="148"/>
      <c r="HI33" s="148"/>
      <c r="HJ33" s="148"/>
      <c r="HK33" s="148"/>
      <c r="HL33" s="148"/>
      <c r="HM33" s="148"/>
      <c r="HN33" s="148"/>
      <c r="HO33" s="148"/>
      <c r="HP33" s="148"/>
      <c r="HQ33" s="148"/>
      <c r="HR33" s="148"/>
      <c r="HS33" s="148"/>
      <c r="HT33" s="148"/>
      <c r="HU33" s="148"/>
      <c r="HV33" s="148"/>
      <c r="IK33" s="241"/>
      <c r="IV33" s="242"/>
      <c r="JG33" s="243"/>
      <c r="JQ33" s="244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6"/>
      <c r="M34" s="167"/>
      <c r="N34" s="788"/>
      <c r="O34" s="788"/>
      <c r="P34" s="789"/>
      <c r="Q34" s="849"/>
      <c r="R34" s="849"/>
      <c r="S34" s="849"/>
      <c r="T34" s="849"/>
      <c r="U34" s="849"/>
      <c r="V34" s="850"/>
      <c r="W34" s="851"/>
      <c r="X34" s="851"/>
      <c r="Y34" s="851"/>
      <c r="Z34" s="851"/>
      <c r="AA34" s="851"/>
      <c r="AB34" s="851"/>
      <c r="AC34" s="851"/>
      <c r="AD34" s="851"/>
      <c r="AE34" s="851"/>
      <c r="AF34" s="851"/>
      <c r="AG34" s="851"/>
      <c r="AH34" s="851"/>
      <c r="AI34" s="851"/>
      <c r="AJ34" s="851"/>
      <c r="AK34" s="851"/>
      <c r="AL34" s="851"/>
      <c r="AM34" s="851"/>
      <c r="AN34" s="851"/>
      <c r="AO34" s="851"/>
      <c r="AP34" s="851"/>
      <c r="AQ34" s="851"/>
      <c r="AR34" s="851"/>
      <c r="AS34" s="851"/>
      <c r="AT34" s="851"/>
      <c r="AU34" s="851"/>
      <c r="AV34" s="851"/>
      <c r="AW34" s="851"/>
      <c r="AX34" s="851"/>
      <c r="AY34" s="851"/>
      <c r="AZ34" s="851"/>
      <c r="BA34" s="851"/>
      <c r="BB34" s="851"/>
      <c r="BC34" s="851"/>
      <c r="BD34" s="851"/>
      <c r="BE34" s="851"/>
      <c r="BF34" s="851"/>
      <c r="BG34" s="851"/>
      <c r="BH34" s="851"/>
      <c r="BI34" s="852"/>
      <c r="BJ34" s="853"/>
      <c r="BK34" s="853"/>
      <c r="BL34" s="853"/>
      <c r="BM34" s="853"/>
      <c r="BN34" s="853"/>
      <c r="BO34" s="853"/>
      <c r="BP34" s="853"/>
      <c r="BQ34" s="853"/>
      <c r="BR34" s="853"/>
      <c r="BS34" s="853"/>
      <c r="BT34" s="800"/>
      <c r="BU34" s="801"/>
      <c r="BV34" s="801"/>
      <c r="BW34" s="801"/>
      <c r="BX34" s="801"/>
      <c r="BY34" s="801"/>
      <c r="BZ34" s="801"/>
      <c r="CA34" s="801"/>
      <c r="CB34" s="801"/>
      <c r="CC34" s="802"/>
      <c r="CD34" s="854"/>
      <c r="CE34" s="854"/>
      <c r="CF34" s="854"/>
      <c r="CG34" s="854"/>
      <c r="CH34" s="854"/>
      <c r="CI34" s="854"/>
      <c r="CJ34" s="854"/>
      <c r="CK34" s="854"/>
      <c r="CL34" s="854"/>
      <c r="CM34" s="854"/>
      <c r="CN34" s="805"/>
      <c r="CO34" s="806"/>
      <c r="CP34" s="806"/>
      <c r="CQ34" s="806"/>
      <c r="CR34" s="806"/>
      <c r="CS34" s="806"/>
      <c r="CT34" s="806"/>
      <c r="CU34" s="806"/>
      <c r="CV34" s="806"/>
      <c r="CW34" s="806"/>
      <c r="CX34" s="806"/>
      <c r="CY34" s="806"/>
      <c r="CZ34" s="365"/>
      <c r="DA34" s="366"/>
      <c r="DB34" s="366"/>
      <c r="DC34" s="808"/>
      <c r="DD34" s="808"/>
      <c r="DE34" s="808"/>
      <c r="DF34" s="808"/>
      <c r="DG34" s="808"/>
      <c r="DH34" s="808"/>
      <c r="DI34" s="808"/>
      <c r="DJ34" s="808"/>
      <c r="DK34" s="808"/>
      <c r="DL34" s="808"/>
      <c r="DM34" s="809"/>
      <c r="DN34" s="810"/>
      <c r="DO34" s="810"/>
      <c r="DP34" s="810"/>
      <c r="DQ34" s="810"/>
      <c r="DR34" s="810"/>
      <c r="DS34" s="810"/>
      <c r="DT34" s="810"/>
      <c r="DU34" s="810"/>
      <c r="DV34" s="811"/>
      <c r="DW34" s="823"/>
      <c r="DX34" s="824"/>
      <c r="DY34" s="824"/>
      <c r="DZ34" s="824"/>
      <c r="EA34" s="824"/>
      <c r="EB34" s="824"/>
      <c r="EC34" s="824"/>
      <c r="ED34" s="824"/>
      <c r="EE34" s="824"/>
      <c r="EF34" s="824"/>
      <c r="EG34" s="826"/>
      <c r="EH34" s="826"/>
      <c r="EI34" s="826"/>
      <c r="EJ34" s="826"/>
      <c r="EK34" s="826"/>
      <c r="EL34" s="826"/>
      <c r="EM34" s="826"/>
      <c r="EN34" s="826"/>
      <c r="EO34" s="826"/>
      <c r="EP34" s="826"/>
      <c r="EQ34" s="826"/>
      <c r="ER34" s="826"/>
      <c r="ES34" s="826"/>
      <c r="ET34" s="826"/>
      <c r="EU34" s="826"/>
      <c r="EV34" s="826"/>
      <c r="EW34" s="826"/>
      <c r="EX34" s="826"/>
      <c r="EY34" s="826"/>
      <c r="EZ34" s="826"/>
      <c r="FA34" s="826"/>
      <c r="FB34" s="826"/>
      <c r="FC34" s="826"/>
      <c r="FD34" s="826"/>
      <c r="FE34" s="830"/>
      <c r="FF34" s="831"/>
      <c r="FG34" s="831"/>
      <c r="FH34" s="831"/>
      <c r="FI34" s="831"/>
      <c r="FJ34" s="831"/>
      <c r="FK34" s="831"/>
      <c r="FL34" s="831"/>
      <c r="FM34" s="832"/>
      <c r="FN34" s="833"/>
      <c r="FO34" s="833"/>
      <c r="FP34" s="833"/>
      <c r="FQ34" s="833"/>
      <c r="FR34" s="833"/>
      <c r="FS34" s="833"/>
      <c r="FT34" s="833"/>
      <c r="FU34" s="833"/>
      <c r="FV34" s="833"/>
      <c r="FW34" s="428"/>
      <c r="FX34" s="429"/>
      <c r="FY34" s="429"/>
      <c r="FZ34" s="429"/>
      <c r="GA34" s="429"/>
      <c r="GB34" s="429"/>
      <c r="GC34" s="429"/>
      <c r="GD34" s="429"/>
      <c r="GE34" s="429"/>
      <c r="GF34" s="429"/>
      <c r="GG34" s="429"/>
      <c r="GH34" s="429"/>
      <c r="GI34" s="429"/>
      <c r="GJ34" s="429"/>
      <c r="GK34" s="429"/>
      <c r="GL34" s="429"/>
      <c r="GM34" s="429"/>
      <c r="GN34" s="429"/>
      <c r="GO34" s="430"/>
      <c r="GP34" s="167"/>
      <c r="GQ34" s="2"/>
      <c r="GR34" s="2"/>
      <c r="GS34" s="2"/>
      <c r="GT34" s="2"/>
      <c r="GU34" s="2"/>
      <c r="GV34" s="240"/>
      <c r="GW34" s="240"/>
      <c r="GX34" s="240"/>
      <c r="GY34" s="240"/>
      <c r="GZ34" s="240"/>
      <c r="HF34" s="818"/>
      <c r="HG34" s="818"/>
      <c r="HH34" s="818"/>
      <c r="HI34" s="818"/>
      <c r="HJ34" s="818"/>
      <c r="HK34" s="818"/>
      <c r="HL34" s="818"/>
      <c r="HM34" s="818"/>
      <c r="HN34" s="818"/>
      <c r="HO34" s="818"/>
      <c r="HP34" s="818"/>
      <c r="HQ34" s="818"/>
      <c r="HR34" s="818"/>
      <c r="HS34" s="818"/>
      <c r="HT34" s="818"/>
      <c r="HU34" s="148"/>
      <c r="HV34" s="148"/>
      <c r="IK34" s="241"/>
      <c r="IV34" s="242"/>
      <c r="JG34" s="243"/>
      <c r="JQ34" s="244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6"/>
      <c r="M35" s="167"/>
      <c r="N35" s="788">
        <v>9</v>
      </c>
      <c r="O35" s="788"/>
      <c r="P35" s="789"/>
      <c r="Q35" s="849" t="s">
        <v>477</v>
      </c>
      <c r="R35" s="849"/>
      <c r="S35" s="849"/>
      <c r="T35" s="849"/>
      <c r="U35" s="849"/>
      <c r="V35" s="850" t="s">
        <v>480</v>
      </c>
      <c r="W35" s="851"/>
      <c r="X35" s="851"/>
      <c r="Y35" s="851"/>
      <c r="Z35" s="851"/>
      <c r="AA35" s="851"/>
      <c r="AB35" s="851"/>
      <c r="AC35" s="851"/>
      <c r="AD35" s="851"/>
      <c r="AE35" s="851"/>
      <c r="AF35" s="851"/>
      <c r="AG35" s="851"/>
      <c r="AH35" s="851"/>
      <c r="AI35" s="851"/>
      <c r="AJ35" s="851"/>
      <c r="AK35" s="851"/>
      <c r="AL35" s="851"/>
      <c r="AM35" s="851"/>
      <c r="AN35" s="851"/>
      <c r="AO35" s="851"/>
      <c r="AP35" s="851"/>
      <c r="AQ35" s="851"/>
      <c r="AR35" s="851"/>
      <c r="AS35" s="851"/>
      <c r="AT35" s="851"/>
      <c r="AU35" s="851"/>
      <c r="AV35" s="851"/>
      <c r="AW35" s="851"/>
      <c r="AX35" s="851"/>
      <c r="AY35" s="851"/>
      <c r="AZ35" s="851"/>
      <c r="BA35" s="851"/>
      <c r="BB35" s="851"/>
      <c r="BC35" s="851"/>
      <c r="BD35" s="851"/>
      <c r="BE35" s="851"/>
      <c r="BF35" s="851"/>
      <c r="BG35" s="851"/>
      <c r="BH35" s="851"/>
      <c r="BI35" s="852"/>
      <c r="BJ35" s="855">
        <f>INNEN_H * SE_TSLS_N / 100 *2</f>
        <v>80</v>
      </c>
      <c r="BK35" s="855"/>
      <c r="BL35" s="855"/>
      <c r="BM35" s="855"/>
      <c r="BN35" s="855"/>
      <c r="BO35" s="855"/>
      <c r="BP35" s="855"/>
      <c r="BQ35" s="855"/>
      <c r="BR35" s="855"/>
      <c r="BS35" s="855"/>
      <c r="BT35" s="800">
        <f>KI_N*BEZ_Hilf_9_Anz</f>
        <v>80</v>
      </c>
      <c r="BU35" s="801"/>
      <c r="BV35" s="801"/>
      <c r="BW35" s="801"/>
      <c r="BX35" s="801"/>
      <c r="BY35" s="801"/>
      <c r="BZ35" s="801"/>
      <c r="CA35" s="801"/>
      <c r="CB35" s="801"/>
      <c r="CC35" s="802"/>
      <c r="CD35" s="854" t="s">
        <v>36</v>
      </c>
      <c r="CE35" s="854"/>
      <c r="CF35" s="854"/>
      <c r="CG35" s="854"/>
      <c r="CH35" s="854"/>
      <c r="CI35" s="854"/>
      <c r="CJ35" s="854"/>
      <c r="CK35" s="854"/>
      <c r="CL35" s="854"/>
      <c r="CM35" s="854"/>
      <c r="CN35" s="805" t="s">
        <v>82</v>
      </c>
      <c r="CO35" s="806"/>
      <c r="CP35" s="806"/>
      <c r="CQ35" s="806"/>
      <c r="CR35" s="806"/>
      <c r="CS35" s="806"/>
      <c r="CT35" s="806"/>
      <c r="CU35" s="806"/>
      <c r="CV35" s="806"/>
      <c r="CW35" s="806"/>
      <c r="CX35" s="806"/>
      <c r="CY35" s="806"/>
      <c r="CZ35" s="365"/>
      <c r="DA35" s="366"/>
      <c r="DB35" s="366"/>
      <c r="DC35" s="808">
        <v>6.0000000000000001E-3</v>
      </c>
      <c r="DD35" s="808"/>
      <c r="DE35" s="808"/>
      <c r="DF35" s="808"/>
      <c r="DG35" s="808"/>
      <c r="DH35" s="808"/>
      <c r="DI35" s="808"/>
      <c r="DJ35" s="808"/>
      <c r="DK35" s="808"/>
      <c r="DL35" s="808"/>
      <c r="DM35" s="809">
        <v>10</v>
      </c>
      <c r="DN35" s="810"/>
      <c r="DO35" s="810"/>
      <c r="DP35" s="810"/>
      <c r="DQ35" s="810"/>
      <c r="DR35" s="810"/>
      <c r="DS35" s="810"/>
      <c r="DT35" s="810"/>
      <c r="DU35" s="810"/>
      <c r="DV35" s="811"/>
      <c r="DW35" s="823">
        <f>BEZ_Hilf_9_EHPreis*(BEZ_Hilf_9_GKZ/100+1)</f>
        <v>6.6000000000000008E-3</v>
      </c>
      <c r="DX35" s="824"/>
      <c r="DY35" s="824"/>
      <c r="DZ35" s="824"/>
      <c r="EA35" s="824"/>
      <c r="EB35" s="824"/>
      <c r="EC35" s="824"/>
      <c r="ED35" s="824"/>
      <c r="EE35" s="824"/>
      <c r="EF35" s="824"/>
      <c r="EG35" s="826">
        <f>BEZ_Hilf_9_Anz*BEZ_Hilf_9_EHPreis*((BEZ_Hilf_9_GKZ/100)+1)</f>
        <v>0.52800000000000002</v>
      </c>
      <c r="EH35" s="826"/>
      <c r="EI35" s="826"/>
      <c r="EJ35" s="826"/>
      <c r="EK35" s="826"/>
      <c r="EL35" s="826"/>
      <c r="EM35" s="826"/>
      <c r="EN35" s="826"/>
      <c r="EO35" s="826"/>
      <c r="EP35" s="826"/>
      <c r="EQ35" s="826"/>
      <c r="ER35" s="826"/>
      <c r="ES35" s="826"/>
      <c r="ET35" s="826"/>
      <c r="EU35" s="826">
        <f>BEZ_Hilf_9_PreisJeKiste*KI_N</f>
        <v>0.52800000000000002</v>
      </c>
      <c r="EV35" s="826"/>
      <c r="EW35" s="826"/>
      <c r="EX35" s="826"/>
      <c r="EY35" s="826"/>
      <c r="EZ35" s="826"/>
      <c r="FA35" s="826"/>
      <c r="FB35" s="826"/>
      <c r="FC35" s="826"/>
      <c r="FD35" s="826"/>
      <c r="FE35" s="830">
        <v>0</v>
      </c>
      <c r="FF35" s="831"/>
      <c r="FG35" s="831"/>
      <c r="FH35" s="831"/>
      <c r="FI35" s="831"/>
      <c r="FJ35" s="831"/>
      <c r="FK35" s="831"/>
      <c r="FL35" s="831"/>
      <c r="FM35" s="832"/>
      <c r="FN35" s="833">
        <f>BEZ_Hilf_9_gJeEH*BEZ_Hilf_9_Anz</f>
        <v>0</v>
      </c>
      <c r="FO35" s="833"/>
      <c r="FP35" s="833"/>
      <c r="FQ35" s="833"/>
      <c r="FR35" s="833"/>
      <c r="FS35" s="833"/>
      <c r="FT35" s="833"/>
      <c r="FU35" s="833"/>
      <c r="FV35" s="833"/>
      <c r="FW35" s="856" t="s">
        <v>302</v>
      </c>
      <c r="FX35" s="857"/>
      <c r="FY35" s="857"/>
      <c r="FZ35" s="857"/>
      <c r="GA35" s="857"/>
      <c r="GB35" s="857"/>
      <c r="GC35" s="857"/>
      <c r="GD35" s="857"/>
      <c r="GE35" s="857"/>
      <c r="GF35" s="857"/>
      <c r="GG35" s="857"/>
      <c r="GH35" s="857"/>
      <c r="GI35" s="857"/>
      <c r="GJ35" s="857"/>
      <c r="GK35" s="857"/>
      <c r="GL35" s="857"/>
      <c r="GM35" s="857"/>
      <c r="GN35" s="857"/>
      <c r="GO35" s="858"/>
      <c r="GP35" s="167"/>
      <c r="GQ35" s="351"/>
      <c r="GR35" s="2"/>
      <c r="GS35" s="2"/>
      <c r="GT35" s="2"/>
      <c r="GU35" s="2"/>
      <c r="GV35" s="240"/>
      <c r="GW35" s="240"/>
      <c r="GX35" s="240"/>
      <c r="GY35" s="240"/>
      <c r="GZ35" s="240"/>
      <c r="HF35" s="818"/>
      <c r="HG35" s="818"/>
      <c r="HH35" s="818"/>
      <c r="HI35" s="818"/>
      <c r="HJ35" s="818"/>
      <c r="HK35" s="818"/>
      <c r="HL35" s="818"/>
      <c r="HM35" s="818"/>
      <c r="HN35" s="818"/>
      <c r="HO35" s="818"/>
      <c r="HP35" s="818"/>
      <c r="HQ35" s="818"/>
      <c r="HR35" s="818"/>
      <c r="HS35" s="818"/>
      <c r="HT35" s="818"/>
      <c r="HU35" s="148"/>
      <c r="HV35" s="148"/>
      <c r="IK35" s="241"/>
      <c r="IV35" s="242"/>
      <c r="JG35" s="243"/>
      <c r="JQ35" s="244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5"/>
      <c r="M36" s="248"/>
      <c r="N36" s="788"/>
      <c r="O36" s="788"/>
      <c r="P36" s="789"/>
      <c r="Q36" s="849"/>
      <c r="R36" s="849"/>
      <c r="S36" s="849"/>
      <c r="T36" s="849"/>
      <c r="U36" s="849"/>
      <c r="V36" s="850"/>
      <c r="W36" s="851"/>
      <c r="X36" s="851"/>
      <c r="Y36" s="851"/>
      <c r="Z36" s="851"/>
      <c r="AA36" s="851"/>
      <c r="AB36" s="851"/>
      <c r="AC36" s="851"/>
      <c r="AD36" s="851"/>
      <c r="AE36" s="851"/>
      <c r="AF36" s="851"/>
      <c r="AG36" s="851"/>
      <c r="AH36" s="851"/>
      <c r="AI36" s="851"/>
      <c r="AJ36" s="851"/>
      <c r="AK36" s="851"/>
      <c r="AL36" s="851"/>
      <c r="AM36" s="851"/>
      <c r="AN36" s="851"/>
      <c r="AO36" s="851"/>
      <c r="AP36" s="851"/>
      <c r="AQ36" s="851"/>
      <c r="AR36" s="851"/>
      <c r="AS36" s="851"/>
      <c r="AT36" s="851"/>
      <c r="AU36" s="851"/>
      <c r="AV36" s="851"/>
      <c r="AW36" s="851"/>
      <c r="AX36" s="851"/>
      <c r="AY36" s="851"/>
      <c r="AZ36" s="851"/>
      <c r="BA36" s="851"/>
      <c r="BB36" s="851"/>
      <c r="BC36" s="851"/>
      <c r="BD36" s="851"/>
      <c r="BE36" s="851"/>
      <c r="BF36" s="851"/>
      <c r="BG36" s="851"/>
      <c r="BH36" s="851"/>
      <c r="BI36" s="852"/>
      <c r="BJ36" s="855"/>
      <c r="BK36" s="855"/>
      <c r="BL36" s="855"/>
      <c r="BM36" s="855"/>
      <c r="BN36" s="855"/>
      <c r="BO36" s="855"/>
      <c r="BP36" s="855"/>
      <c r="BQ36" s="855"/>
      <c r="BR36" s="855"/>
      <c r="BS36" s="855"/>
      <c r="BT36" s="800"/>
      <c r="BU36" s="801"/>
      <c r="BV36" s="801"/>
      <c r="BW36" s="801"/>
      <c r="BX36" s="801"/>
      <c r="BY36" s="801"/>
      <c r="BZ36" s="801"/>
      <c r="CA36" s="801"/>
      <c r="CB36" s="801"/>
      <c r="CC36" s="802"/>
      <c r="CD36" s="854"/>
      <c r="CE36" s="854"/>
      <c r="CF36" s="854"/>
      <c r="CG36" s="854"/>
      <c r="CH36" s="854"/>
      <c r="CI36" s="854"/>
      <c r="CJ36" s="854"/>
      <c r="CK36" s="854"/>
      <c r="CL36" s="854"/>
      <c r="CM36" s="854"/>
      <c r="CN36" s="805"/>
      <c r="CO36" s="806"/>
      <c r="CP36" s="806"/>
      <c r="CQ36" s="806"/>
      <c r="CR36" s="806"/>
      <c r="CS36" s="806"/>
      <c r="CT36" s="806"/>
      <c r="CU36" s="806"/>
      <c r="CV36" s="806"/>
      <c r="CW36" s="806"/>
      <c r="CX36" s="806"/>
      <c r="CY36" s="806"/>
      <c r="CZ36" s="365"/>
      <c r="DA36" s="366"/>
      <c r="DB36" s="366"/>
      <c r="DC36" s="808"/>
      <c r="DD36" s="808"/>
      <c r="DE36" s="808"/>
      <c r="DF36" s="808"/>
      <c r="DG36" s="808"/>
      <c r="DH36" s="808"/>
      <c r="DI36" s="808"/>
      <c r="DJ36" s="808"/>
      <c r="DK36" s="808"/>
      <c r="DL36" s="808"/>
      <c r="DM36" s="809"/>
      <c r="DN36" s="810"/>
      <c r="DO36" s="810"/>
      <c r="DP36" s="810"/>
      <c r="DQ36" s="810"/>
      <c r="DR36" s="810"/>
      <c r="DS36" s="810"/>
      <c r="DT36" s="810"/>
      <c r="DU36" s="810"/>
      <c r="DV36" s="811"/>
      <c r="DW36" s="823"/>
      <c r="DX36" s="824"/>
      <c r="DY36" s="824"/>
      <c r="DZ36" s="824"/>
      <c r="EA36" s="824"/>
      <c r="EB36" s="824"/>
      <c r="EC36" s="824"/>
      <c r="ED36" s="824"/>
      <c r="EE36" s="824"/>
      <c r="EF36" s="824"/>
      <c r="EG36" s="826"/>
      <c r="EH36" s="826"/>
      <c r="EI36" s="826"/>
      <c r="EJ36" s="826"/>
      <c r="EK36" s="826"/>
      <c r="EL36" s="826"/>
      <c r="EM36" s="826"/>
      <c r="EN36" s="826"/>
      <c r="EO36" s="826"/>
      <c r="EP36" s="826"/>
      <c r="EQ36" s="826"/>
      <c r="ER36" s="826"/>
      <c r="ES36" s="826"/>
      <c r="ET36" s="826"/>
      <c r="EU36" s="826"/>
      <c r="EV36" s="826"/>
      <c r="EW36" s="826"/>
      <c r="EX36" s="826"/>
      <c r="EY36" s="826"/>
      <c r="EZ36" s="826"/>
      <c r="FA36" s="826"/>
      <c r="FB36" s="826"/>
      <c r="FC36" s="826"/>
      <c r="FD36" s="826"/>
      <c r="FE36" s="830"/>
      <c r="FF36" s="831"/>
      <c r="FG36" s="831"/>
      <c r="FH36" s="831"/>
      <c r="FI36" s="831"/>
      <c r="FJ36" s="831"/>
      <c r="FK36" s="831"/>
      <c r="FL36" s="831"/>
      <c r="FM36" s="832"/>
      <c r="FN36" s="833"/>
      <c r="FO36" s="833"/>
      <c r="FP36" s="833"/>
      <c r="FQ36" s="833"/>
      <c r="FR36" s="833"/>
      <c r="FS36" s="833"/>
      <c r="FT36" s="833"/>
      <c r="FU36" s="833"/>
      <c r="FV36" s="833"/>
      <c r="FW36" s="856"/>
      <c r="FX36" s="857"/>
      <c r="FY36" s="857"/>
      <c r="FZ36" s="857"/>
      <c r="GA36" s="857"/>
      <c r="GB36" s="857"/>
      <c r="GC36" s="857"/>
      <c r="GD36" s="857"/>
      <c r="GE36" s="857"/>
      <c r="GF36" s="857"/>
      <c r="GG36" s="857"/>
      <c r="GH36" s="857"/>
      <c r="GI36" s="857"/>
      <c r="GJ36" s="857"/>
      <c r="GK36" s="857"/>
      <c r="GL36" s="857"/>
      <c r="GM36" s="857"/>
      <c r="GN36" s="857"/>
      <c r="GO36" s="858"/>
      <c r="GP36" s="167"/>
      <c r="GQ36" s="2"/>
      <c r="GR36" s="2"/>
      <c r="GS36" s="2"/>
      <c r="GT36" s="2"/>
      <c r="GU36" s="2"/>
      <c r="GV36" s="240"/>
      <c r="GW36" s="240"/>
      <c r="GX36" s="240"/>
      <c r="GY36" s="240"/>
      <c r="GZ36" s="240"/>
      <c r="HU36" s="148"/>
      <c r="HV36" s="148"/>
      <c r="IK36" s="241"/>
      <c r="IV36" s="242"/>
      <c r="JG36" s="243"/>
      <c r="JQ36" s="244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5"/>
      <c r="M37" s="248"/>
      <c r="N37" s="788">
        <v>10</v>
      </c>
      <c r="O37" s="788"/>
      <c r="P37" s="789"/>
      <c r="Q37" s="849" t="s">
        <v>401</v>
      </c>
      <c r="R37" s="849"/>
      <c r="S37" s="849"/>
      <c r="T37" s="849"/>
      <c r="U37" s="849"/>
      <c r="V37" s="850" t="s">
        <v>414</v>
      </c>
      <c r="W37" s="851"/>
      <c r="X37" s="851"/>
      <c r="Y37" s="851"/>
      <c r="Z37" s="851"/>
      <c r="AA37" s="851"/>
      <c r="AB37" s="851"/>
      <c r="AC37" s="851"/>
      <c r="AD37" s="851"/>
      <c r="AE37" s="851"/>
      <c r="AF37" s="851"/>
      <c r="AG37" s="851"/>
      <c r="AH37" s="851"/>
      <c r="AI37" s="851"/>
      <c r="AJ37" s="851"/>
      <c r="AK37" s="851"/>
      <c r="AL37" s="851"/>
      <c r="AM37" s="851"/>
      <c r="AN37" s="851"/>
      <c r="AO37" s="851"/>
      <c r="AP37" s="851"/>
      <c r="AQ37" s="851"/>
      <c r="AR37" s="851"/>
      <c r="AS37" s="851"/>
      <c r="AT37" s="851"/>
      <c r="AU37" s="851"/>
      <c r="AV37" s="851"/>
      <c r="AW37" s="851"/>
      <c r="AX37" s="851"/>
      <c r="AY37" s="851"/>
      <c r="AZ37" s="851"/>
      <c r="BA37" s="851"/>
      <c r="BB37" s="851"/>
      <c r="BC37" s="851"/>
      <c r="BD37" s="851"/>
      <c r="BE37" s="851"/>
      <c r="BF37" s="851"/>
      <c r="BG37" s="851"/>
      <c r="BH37" s="851"/>
      <c r="BI37" s="852"/>
      <c r="BJ37" s="859">
        <v>1</v>
      </c>
      <c r="BK37" s="859"/>
      <c r="BL37" s="859"/>
      <c r="BM37" s="859"/>
      <c r="BN37" s="859"/>
      <c r="BO37" s="859"/>
      <c r="BP37" s="859"/>
      <c r="BQ37" s="859"/>
      <c r="BR37" s="859"/>
      <c r="BS37" s="859"/>
      <c r="BT37" s="800">
        <f>KI_N*BEZ_Hilf_10_Anz</f>
        <v>1</v>
      </c>
      <c r="BU37" s="801"/>
      <c r="BV37" s="801"/>
      <c r="BW37" s="801"/>
      <c r="BX37" s="801"/>
      <c r="BY37" s="801"/>
      <c r="BZ37" s="801"/>
      <c r="CA37" s="801"/>
      <c r="CB37" s="801"/>
      <c r="CC37" s="802"/>
      <c r="CD37" s="854" t="s">
        <v>385</v>
      </c>
      <c r="CE37" s="854"/>
      <c r="CF37" s="854"/>
      <c r="CG37" s="854"/>
      <c r="CH37" s="854"/>
      <c r="CI37" s="854"/>
      <c r="CJ37" s="854"/>
      <c r="CK37" s="854"/>
      <c r="CL37" s="854"/>
      <c r="CM37" s="854"/>
      <c r="CN37" s="805" t="s">
        <v>82</v>
      </c>
      <c r="CO37" s="806"/>
      <c r="CP37" s="806"/>
      <c r="CQ37" s="806"/>
      <c r="CR37" s="806"/>
      <c r="CS37" s="806"/>
      <c r="CT37" s="806"/>
      <c r="CU37" s="806"/>
      <c r="CV37" s="806"/>
      <c r="CW37" s="806"/>
      <c r="CX37" s="806"/>
      <c r="CY37" s="806"/>
      <c r="CZ37" s="365"/>
      <c r="DA37" s="366"/>
      <c r="DB37" s="366"/>
      <c r="DC37" s="808">
        <v>0.03</v>
      </c>
      <c r="DD37" s="808"/>
      <c r="DE37" s="808"/>
      <c r="DF37" s="808"/>
      <c r="DG37" s="808"/>
      <c r="DH37" s="808"/>
      <c r="DI37" s="808"/>
      <c r="DJ37" s="808"/>
      <c r="DK37" s="808"/>
      <c r="DL37" s="808"/>
      <c r="DM37" s="809">
        <v>5</v>
      </c>
      <c r="DN37" s="810"/>
      <c r="DO37" s="810"/>
      <c r="DP37" s="810"/>
      <c r="DQ37" s="810"/>
      <c r="DR37" s="810"/>
      <c r="DS37" s="810"/>
      <c r="DT37" s="810"/>
      <c r="DU37" s="810"/>
      <c r="DV37" s="811"/>
      <c r="DW37" s="823">
        <f>BEZ_Hilf_10_EHPreis*(BEZ_Hilf_10_GKZ/100+1)</f>
        <v>3.15E-2</v>
      </c>
      <c r="DX37" s="824"/>
      <c r="DY37" s="824"/>
      <c r="DZ37" s="824"/>
      <c r="EA37" s="824"/>
      <c r="EB37" s="824"/>
      <c r="EC37" s="824"/>
      <c r="ED37" s="824"/>
      <c r="EE37" s="824"/>
      <c r="EF37" s="824"/>
      <c r="EG37" s="826">
        <f>BEZ_Hilf_10_Anz*BEZ_Hilf_10_EHPreis*((BEZ_Hilf_10_GKZ/100)+1)</f>
        <v>3.15E-2</v>
      </c>
      <c r="EH37" s="826"/>
      <c r="EI37" s="826"/>
      <c r="EJ37" s="826"/>
      <c r="EK37" s="826"/>
      <c r="EL37" s="826"/>
      <c r="EM37" s="826"/>
      <c r="EN37" s="826"/>
      <c r="EO37" s="826"/>
      <c r="EP37" s="826"/>
      <c r="EQ37" s="826"/>
      <c r="ER37" s="826"/>
      <c r="ES37" s="826"/>
      <c r="ET37" s="826"/>
      <c r="EU37" s="826">
        <f>BEZ_Hilf_10_PreisJeKiste*KI_N</f>
        <v>3.15E-2</v>
      </c>
      <c r="EV37" s="826"/>
      <c r="EW37" s="826"/>
      <c r="EX37" s="826"/>
      <c r="EY37" s="826"/>
      <c r="EZ37" s="826"/>
      <c r="FA37" s="826"/>
      <c r="FB37" s="826"/>
      <c r="FC37" s="826"/>
      <c r="FD37" s="826"/>
      <c r="FE37" s="830">
        <v>13.700000000000001</v>
      </c>
      <c r="FF37" s="831"/>
      <c r="FG37" s="831"/>
      <c r="FH37" s="831"/>
      <c r="FI37" s="831"/>
      <c r="FJ37" s="831"/>
      <c r="FK37" s="831"/>
      <c r="FL37" s="831"/>
      <c r="FM37" s="832"/>
      <c r="FN37" s="833">
        <f>BEZ_Hilf_10_gJeEH*BEZ_Hilf_10_Anz</f>
        <v>13.700000000000001</v>
      </c>
      <c r="FO37" s="833"/>
      <c r="FP37" s="833"/>
      <c r="FQ37" s="833"/>
      <c r="FR37" s="833"/>
      <c r="FS37" s="833"/>
      <c r="FT37" s="833"/>
      <c r="FU37" s="833"/>
      <c r="FV37" s="833"/>
      <c r="FW37" s="856"/>
      <c r="FX37" s="857"/>
      <c r="FY37" s="857"/>
      <c r="FZ37" s="857"/>
      <c r="GA37" s="857"/>
      <c r="GB37" s="857"/>
      <c r="GC37" s="857"/>
      <c r="GD37" s="857"/>
      <c r="GE37" s="857"/>
      <c r="GF37" s="857"/>
      <c r="GG37" s="857"/>
      <c r="GH37" s="857"/>
      <c r="GI37" s="857"/>
      <c r="GJ37" s="857"/>
      <c r="GK37" s="857"/>
      <c r="GL37" s="857"/>
      <c r="GM37" s="857"/>
      <c r="GN37" s="857"/>
      <c r="GO37" s="858"/>
      <c r="GP37" s="167"/>
      <c r="GQ37" s="351"/>
      <c r="GR37" s="2"/>
      <c r="GS37" s="2"/>
      <c r="GT37" s="2"/>
      <c r="GU37" s="2"/>
      <c r="GV37" s="240"/>
      <c r="GW37" s="240"/>
      <c r="GX37" s="240"/>
      <c r="GY37" s="240"/>
      <c r="GZ37" s="240"/>
      <c r="HU37" s="148"/>
      <c r="HV37" s="148"/>
      <c r="IK37" s="241"/>
      <c r="IV37" s="242"/>
      <c r="JG37" s="243"/>
      <c r="JQ37" s="244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5"/>
      <c r="M38" s="248"/>
      <c r="N38" s="788"/>
      <c r="O38" s="788"/>
      <c r="P38" s="789"/>
      <c r="Q38" s="849"/>
      <c r="R38" s="849"/>
      <c r="S38" s="849"/>
      <c r="T38" s="849"/>
      <c r="U38" s="849"/>
      <c r="V38" s="850"/>
      <c r="W38" s="851"/>
      <c r="X38" s="851"/>
      <c r="Y38" s="851"/>
      <c r="Z38" s="851"/>
      <c r="AA38" s="851"/>
      <c r="AB38" s="851"/>
      <c r="AC38" s="851"/>
      <c r="AD38" s="851"/>
      <c r="AE38" s="851"/>
      <c r="AF38" s="851"/>
      <c r="AG38" s="851"/>
      <c r="AH38" s="851"/>
      <c r="AI38" s="851"/>
      <c r="AJ38" s="851"/>
      <c r="AK38" s="851"/>
      <c r="AL38" s="851"/>
      <c r="AM38" s="851"/>
      <c r="AN38" s="851"/>
      <c r="AO38" s="851"/>
      <c r="AP38" s="851"/>
      <c r="AQ38" s="851"/>
      <c r="AR38" s="851"/>
      <c r="AS38" s="851"/>
      <c r="AT38" s="851"/>
      <c r="AU38" s="851"/>
      <c r="AV38" s="851"/>
      <c r="AW38" s="851"/>
      <c r="AX38" s="851"/>
      <c r="AY38" s="851"/>
      <c r="AZ38" s="851"/>
      <c r="BA38" s="851"/>
      <c r="BB38" s="851"/>
      <c r="BC38" s="851"/>
      <c r="BD38" s="851"/>
      <c r="BE38" s="851"/>
      <c r="BF38" s="851"/>
      <c r="BG38" s="851"/>
      <c r="BH38" s="851"/>
      <c r="BI38" s="852"/>
      <c r="BJ38" s="859"/>
      <c r="BK38" s="859"/>
      <c r="BL38" s="859"/>
      <c r="BM38" s="859"/>
      <c r="BN38" s="859"/>
      <c r="BO38" s="859"/>
      <c r="BP38" s="859"/>
      <c r="BQ38" s="859"/>
      <c r="BR38" s="859"/>
      <c r="BS38" s="859"/>
      <c r="BT38" s="800"/>
      <c r="BU38" s="801"/>
      <c r="BV38" s="801"/>
      <c r="BW38" s="801"/>
      <c r="BX38" s="801"/>
      <c r="BY38" s="801"/>
      <c r="BZ38" s="801"/>
      <c r="CA38" s="801"/>
      <c r="CB38" s="801"/>
      <c r="CC38" s="802"/>
      <c r="CD38" s="854"/>
      <c r="CE38" s="854"/>
      <c r="CF38" s="854"/>
      <c r="CG38" s="854"/>
      <c r="CH38" s="854"/>
      <c r="CI38" s="854"/>
      <c r="CJ38" s="854"/>
      <c r="CK38" s="854"/>
      <c r="CL38" s="854"/>
      <c r="CM38" s="854"/>
      <c r="CN38" s="805"/>
      <c r="CO38" s="806"/>
      <c r="CP38" s="806"/>
      <c r="CQ38" s="806"/>
      <c r="CR38" s="806"/>
      <c r="CS38" s="806"/>
      <c r="CT38" s="806"/>
      <c r="CU38" s="806"/>
      <c r="CV38" s="806"/>
      <c r="CW38" s="806"/>
      <c r="CX38" s="806"/>
      <c r="CY38" s="806"/>
      <c r="CZ38" s="365"/>
      <c r="DA38" s="366"/>
      <c r="DB38" s="366"/>
      <c r="DC38" s="808"/>
      <c r="DD38" s="808"/>
      <c r="DE38" s="808"/>
      <c r="DF38" s="808"/>
      <c r="DG38" s="808"/>
      <c r="DH38" s="808"/>
      <c r="DI38" s="808"/>
      <c r="DJ38" s="808"/>
      <c r="DK38" s="808"/>
      <c r="DL38" s="808"/>
      <c r="DM38" s="809"/>
      <c r="DN38" s="810"/>
      <c r="DO38" s="810"/>
      <c r="DP38" s="810"/>
      <c r="DQ38" s="810"/>
      <c r="DR38" s="810"/>
      <c r="DS38" s="810"/>
      <c r="DT38" s="810"/>
      <c r="DU38" s="810"/>
      <c r="DV38" s="811"/>
      <c r="DW38" s="823"/>
      <c r="DX38" s="824"/>
      <c r="DY38" s="824"/>
      <c r="DZ38" s="824"/>
      <c r="EA38" s="824"/>
      <c r="EB38" s="824"/>
      <c r="EC38" s="824"/>
      <c r="ED38" s="824"/>
      <c r="EE38" s="824"/>
      <c r="EF38" s="824"/>
      <c r="EG38" s="826"/>
      <c r="EH38" s="826"/>
      <c r="EI38" s="826"/>
      <c r="EJ38" s="826"/>
      <c r="EK38" s="826"/>
      <c r="EL38" s="826"/>
      <c r="EM38" s="826"/>
      <c r="EN38" s="826"/>
      <c r="EO38" s="826"/>
      <c r="EP38" s="826"/>
      <c r="EQ38" s="826"/>
      <c r="ER38" s="826"/>
      <c r="ES38" s="826"/>
      <c r="ET38" s="826"/>
      <c r="EU38" s="826"/>
      <c r="EV38" s="826"/>
      <c r="EW38" s="826"/>
      <c r="EX38" s="826"/>
      <c r="EY38" s="826"/>
      <c r="EZ38" s="826"/>
      <c r="FA38" s="826"/>
      <c r="FB38" s="826"/>
      <c r="FC38" s="826"/>
      <c r="FD38" s="826"/>
      <c r="FE38" s="830"/>
      <c r="FF38" s="831"/>
      <c r="FG38" s="831"/>
      <c r="FH38" s="831"/>
      <c r="FI38" s="831"/>
      <c r="FJ38" s="831"/>
      <c r="FK38" s="831"/>
      <c r="FL38" s="831"/>
      <c r="FM38" s="832"/>
      <c r="FN38" s="833"/>
      <c r="FO38" s="833"/>
      <c r="FP38" s="833"/>
      <c r="FQ38" s="833"/>
      <c r="FR38" s="833"/>
      <c r="FS38" s="833"/>
      <c r="FT38" s="833"/>
      <c r="FU38" s="833"/>
      <c r="FV38" s="833"/>
      <c r="FW38" s="856"/>
      <c r="FX38" s="857"/>
      <c r="FY38" s="857"/>
      <c r="FZ38" s="857"/>
      <c r="GA38" s="857"/>
      <c r="GB38" s="857"/>
      <c r="GC38" s="857"/>
      <c r="GD38" s="857"/>
      <c r="GE38" s="857"/>
      <c r="GF38" s="857"/>
      <c r="GG38" s="857"/>
      <c r="GH38" s="857"/>
      <c r="GI38" s="857"/>
      <c r="GJ38" s="857"/>
      <c r="GK38" s="857"/>
      <c r="GL38" s="857"/>
      <c r="GM38" s="857"/>
      <c r="GN38" s="857"/>
      <c r="GO38" s="858"/>
      <c r="GP38" s="167"/>
      <c r="GQ38" s="2"/>
      <c r="GR38" s="2"/>
      <c r="GS38" s="2"/>
      <c r="GT38" s="2"/>
      <c r="GU38" s="2"/>
      <c r="GV38" s="240"/>
      <c r="GW38" s="240"/>
      <c r="GX38" s="240"/>
      <c r="GY38" s="240"/>
      <c r="GZ38" s="240"/>
      <c r="HF38" s="148"/>
      <c r="HG38" s="148"/>
      <c r="HH38" s="148"/>
      <c r="HI38" s="148"/>
      <c r="HJ38" s="148"/>
      <c r="HK38" s="148"/>
      <c r="HL38" s="148"/>
      <c r="HM38" s="148"/>
      <c r="HN38" s="148"/>
      <c r="HO38" s="148"/>
      <c r="HP38" s="148"/>
      <c r="HQ38" s="148"/>
      <c r="HR38" s="148"/>
      <c r="HS38" s="148"/>
      <c r="HT38" s="148"/>
      <c r="HU38" s="148"/>
      <c r="HV38" s="148"/>
      <c r="IK38" s="241"/>
      <c r="IV38" s="242"/>
      <c r="JG38" s="243"/>
      <c r="JQ38" s="244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5"/>
      <c r="M39" s="248"/>
      <c r="N39" s="788">
        <v>11</v>
      </c>
      <c r="O39" s="788"/>
      <c r="P39" s="789"/>
      <c r="Q39" s="849" t="s">
        <v>478</v>
      </c>
      <c r="R39" s="849"/>
      <c r="S39" s="849"/>
      <c r="T39" s="849"/>
      <c r="U39" s="849"/>
      <c r="V39" s="792" t="s">
        <v>481</v>
      </c>
      <c r="W39" s="793"/>
      <c r="X39" s="793"/>
      <c r="Y39" s="793"/>
      <c r="Z39" s="793"/>
      <c r="AA39" s="793"/>
      <c r="AB39" s="793"/>
      <c r="AC39" s="793"/>
      <c r="AD39" s="793"/>
      <c r="AE39" s="793"/>
      <c r="AF39" s="793"/>
      <c r="AG39" s="793"/>
      <c r="AH39" s="793"/>
      <c r="AI39" s="793"/>
      <c r="AJ39" s="793"/>
      <c r="AK39" s="793"/>
      <c r="AL39" s="793"/>
      <c r="AM39" s="793"/>
      <c r="AN39" s="793"/>
      <c r="AO39" s="793"/>
      <c r="AP39" s="793"/>
      <c r="AQ39" s="793"/>
      <c r="AR39" s="793"/>
      <c r="AS39" s="793"/>
      <c r="AT39" s="793"/>
      <c r="AU39" s="793"/>
      <c r="AV39" s="793"/>
      <c r="AW39" s="793"/>
      <c r="AX39" s="793"/>
      <c r="AY39" s="793"/>
      <c r="AZ39" s="793"/>
      <c r="BA39" s="793"/>
      <c r="BB39" s="793"/>
      <c r="BC39" s="793"/>
      <c r="BD39" s="793"/>
      <c r="BE39" s="793"/>
      <c r="BF39" s="793"/>
      <c r="BG39" s="793"/>
      <c r="BH39" s="793"/>
      <c r="BI39" s="794"/>
      <c r="BJ39" s="796">
        <f>IF(Eingaben!AJ104="nein",0,(AUSSEN_RECH_B*AUSSEN_RECH_L) /10^6)</f>
        <v>0</v>
      </c>
      <c r="BK39" s="796"/>
      <c r="BL39" s="796"/>
      <c r="BM39" s="796"/>
      <c r="BN39" s="796"/>
      <c r="BO39" s="796"/>
      <c r="BP39" s="796"/>
      <c r="BQ39" s="796"/>
      <c r="BR39" s="796"/>
      <c r="BS39" s="796"/>
      <c r="BT39" s="800"/>
      <c r="BU39" s="801"/>
      <c r="BV39" s="801"/>
      <c r="BW39" s="801"/>
      <c r="BX39" s="801"/>
      <c r="BY39" s="801"/>
      <c r="BZ39" s="801"/>
      <c r="CA39" s="801"/>
      <c r="CB39" s="801"/>
      <c r="CC39" s="802"/>
      <c r="CD39" s="804" t="s">
        <v>448</v>
      </c>
      <c r="CE39" s="804"/>
      <c r="CF39" s="804"/>
      <c r="CG39" s="804"/>
      <c r="CH39" s="804"/>
      <c r="CI39" s="804"/>
      <c r="CJ39" s="804"/>
      <c r="CK39" s="804"/>
      <c r="CL39" s="804"/>
      <c r="CM39" s="804"/>
      <c r="CN39" s="805"/>
      <c r="CO39" s="806"/>
      <c r="CP39" s="806"/>
      <c r="CQ39" s="806"/>
      <c r="CR39" s="806"/>
      <c r="CS39" s="806"/>
      <c r="CT39" s="806"/>
      <c r="CU39" s="806"/>
      <c r="CV39" s="806"/>
      <c r="CW39" s="806"/>
      <c r="CX39" s="806"/>
      <c r="CY39" s="806"/>
      <c r="CZ39" s="365"/>
      <c r="DA39" s="366"/>
      <c r="DB39" s="366"/>
      <c r="DC39" s="808">
        <v>1</v>
      </c>
      <c r="DD39" s="808"/>
      <c r="DE39" s="808"/>
      <c r="DF39" s="808"/>
      <c r="DG39" s="808"/>
      <c r="DH39" s="808"/>
      <c r="DI39" s="808"/>
      <c r="DJ39" s="808"/>
      <c r="DK39" s="808"/>
      <c r="DL39" s="808"/>
      <c r="DM39" s="809">
        <v>10</v>
      </c>
      <c r="DN39" s="810"/>
      <c r="DO39" s="810"/>
      <c r="DP39" s="810"/>
      <c r="DQ39" s="810"/>
      <c r="DR39" s="810"/>
      <c r="DS39" s="810"/>
      <c r="DT39" s="810"/>
      <c r="DU39" s="810"/>
      <c r="DV39" s="811"/>
      <c r="DW39" s="823">
        <f>BEZ_Hilf_11_EHPreis*(BEZ_Hilf_11_GKZ/100+1)</f>
        <v>1.1000000000000001</v>
      </c>
      <c r="DX39" s="824"/>
      <c r="DY39" s="824"/>
      <c r="DZ39" s="824"/>
      <c r="EA39" s="824"/>
      <c r="EB39" s="824"/>
      <c r="EC39" s="824"/>
      <c r="ED39" s="824"/>
      <c r="EE39" s="824"/>
      <c r="EF39" s="824"/>
      <c r="EG39" s="826">
        <f>BEZ_Hilf_11_Anz*BEZ_Hilf_11_EHPreis*((BEZ_Hilf_11_GKZ/100)+1)</f>
        <v>0</v>
      </c>
      <c r="EH39" s="826"/>
      <c r="EI39" s="826"/>
      <c r="EJ39" s="826"/>
      <c r="EK39" s="826"/>
      <c r="EL39" s="826"/>
      <c r="EM39" s="826"/>
      <c r="EN39" s="826"/>
      <c r="EO39" s="826"/>
      <c r="EP39" s="826"/>
      <c r="EQ39" s="826"/>
      <c r="ER39" s="826"/>
      <c r="ES39" s="826"/>
      <c r="ET39" s="826"/>
      <c r="EU39" s="826">
        <f>BEZ_Hilf_11_PreisJeKiste*KI_N</f>
        <v>0</v>
      </c>
      <c r="EV39" s="826"/>
      <c r="EW39" s="826"/>
      <c r="EX39" s="826"/>
      <c r="EY39" s="826"/>
      <c r="EZ39" s="826"/>
      <c r="FA39" s="826"/>
      <c r="FB39" s="826"/>
      <c r="FC39" s="826"/>
      <c r="FD39" s="826"/>
      <c r="FE39" s="830">
        <v>280</v>
      </c>
      <c r="FF39" s="831"/>
      <c r="FG39" s="831"/>
      <c r="FH39" s="831"/>
      <c r="FI39" s="831"/>
      <c r="FJ39" s="831"/>
      <c r="FK39" s="831"/>
      <c r="FL39" s="831"/>
      <c r="FM39" s="832"/>
      <c r="FN39" s="833">
        <f>BEZ_Hilf_11_gJeEH*BEZ_Hilf_11_Anz</f>
        <v>0</v>
      </c>
      <c r="FO39" s="833"/>
      <c r="FP39" s="833"/>
      <c r="FQ39" s="833"/>
      <c r="FR39" s="833"/>
      <c r="FS39" s="833"/>
      <c r="FT39" s="833"/>
      <c r="FU39" s="833"/>
      <c r="FV39" s="833"/>
      <c r="FW39" s="860">
        <f>100/Kalkulation!AN177*Kalkulation!AN171</f>
        <v>18.156240962633746</v>
      </c>
      <c r="FX39" s="861"/>
      <c r="FY39" s="861"/>
      <c r="FZ39" s="861"/>
      <c r="GA39" s="861"/>
      <c r="GB39" s="861"/>
      <c r="GC39" s="861"/>
      <c r="GD39" s="861"/>
      <c r="GE39" s="861"/>
      <c r="GF39" s="431"/>
      <c r="GG39" s="862" t="s">
        <v>285</v>
      </c>
      <c r="GH39" s="862"/>
      <c r="GI39" s="862"/>
      <c r="GJ39" s="862"/>
      <c r="GK39" s="429"/>
      <c r="GL39" s="429"/>
      <c r="GM39" s="429"/>
      <c r="GN39" s="429"/>
      <c r="GO39" s="430"/>
      <c r="GP39" s="167"/>
      <c r="GQ39" s="351"/>
      <c r="GR39" s="2"/>
      <c r="GS39" s="2"/>
      <c r="GT39" s="2"/>
      <c r="GU39" s="2"/>
      <c r="GV39" s="240"/>
      <c r="GW39" s="240"/>
      <c r="GX39" s="240"/>
      <c r="GY39" s="240"/>
      <c r="GZ39" s="240"/>
      <c r="HF39" s="148"/>
      <c r="HG39" s="148"/>
      <c r="HH39" s="148"/>
      <c r="HI39" s="148"/>
      <c r="HJ39" s="148"/>
      <c r="HK39" s="148"/>
      <c r="HL39" s="148"/>
      <c r="HM39" s="148"/>
      <c r="HN39" s="148"/>
      <c r="HO39" s="148"/>
      <c r="HP39" s="148"/>
      <c r="HQ39" s="148"/>
      <c r="HR39" s="148"/>
      <c r="HS39" s="148"/>
      <c r="HT39" s="148"/>
      <c r="HU39" s="148"/>
      <c r="HV39" s="148"/>
      <c r="IK39" s="241"/>
      <c r="IV39" s="242"/>
      <c r="JG39" s="243"/>
      <c r="JQ39" s="244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5"/>
      <c r="M40" s="248"/>
      <c r="N40" s="788"/>
      <c r="O40" s="788"/>
      <c r="P40" s="789"/>
      <c r="Q40" s="849"/>
      <c r="R40" s="849"/>
      <c r="S40" s="849"/>
      <c r="T40" s="849"/>
      <c r="U40" s="849"/>
      <c r="V40" s="792"/>
      <c r="W40" s="793"/>
      <c r="X40" s="793"/>
      <c r="Y40" s="793"/>
      <c r="Z40" s="793"/>
      <c r="AA40" s="793"/>
      <c r="AB40" s="793"/>
      <c r="AC40" s="793"/>
      <c r="AD40" s="793"/>
      <c r="AE40" s="793"/>
      <c r="AF40" s="793"/>
      <c r="AG40" s="793"/>
      <c r="AH40" s="793"/>
      <c r="AI40" s="793"/>
      <c r="AJ40" s="793"/>
      <c r="AK40" s="793"/>
      <c r="AL40" s="793"/>
      <c r="AM40" s="793"/>
      <c r="AN40" s="793"/>
      <c r="AO40" s="793"/>
      <c r="AP40" s="793"/>
      <c r="AQ40" s="793"/>
      <c r="AR40" s="793"/>
      <c r="AS40" s="793"/>
      <c r="AT40" s="793"/>
      <c r="AU40" s="793"/>
      <c r="AV40" s="793"/>
      <c r="AW40" s="793"/>
      <c r="AX40" s="793"/>
      <c r="AY40" s="793"/>
      <c r="AZ40" s="793"/>
      <c r="BA40" s="793"/>
      <c r="BB40" s="793"/>
      <c r="BC40" s="793"/>
      <c r="BD40" s="793"/>
      <c r="BE40" s="793"/>
      <c r="BF40" s="793"/>
      <c r="BG40" s="793"/>
      <c r="BH40" s="793"/>
      <c r="BI40" s="794"/>
      <c r="BJ40" s="796"/>
      <c r="BK40" s="796"/>
      <c r="BL40" s="796"/>
      <c r="BM40" s="796"/>
      <c r="BN40" s="796"/>
      <c r="BO40" s="796"/>
      <c r="BP40" s="796"/>
      <c r="BQ40" s="796"/>
      <c r="BR40" s="796"/>
      <c r="BS40" s="796"/>
      <c r="BT40" s="800"/>
      <c r="BU40" s="801"/>
      <c r="BV40" s="801"/>
      <c r="BW40" s="801"/>
      <c r="BX40" s="801"/>
      <c r="BY40" s="801"/>
      <c r="BZ40" s="801"/>
      <c r="CA40" s="801"/>
      <c r="CB40" s="801"/>
      <c r="CC40" s="802"/>
      <c r="CD40" s="804"/>
      <c r="CE40" s="804"/>
      <c r="CF40" s="804"/>
      <c r="CG40" s="804"/>
      <c r="CH40" s="804"/>
      <c r="CI40" s="804"/>
      <c r="CJ40" s="804"/>
      <c r="CK40" s="804"/>
      <c r="CL40" s="804"/>
      <c r="CM40" s="804"/>
      <c r="CN40" s="805"/>
      <c r="CO40" s="806"/>
      <c r="CP40" s="806"/>
      <c r="CQ40" s="806"/>
      <c r="CR40" s="806"/>
      <c r="CS40" s="806"/>
      <c r="CT40" s="806"/>
      <c r="CU40" s="806"/>
      <c r="CV40" s="806"/>
      <c r="CW40" s="806"/>
      <c r="CX40" s="806"/>
      <c r="CY40" s="806"/>
      <c r="CZ40" s="365"/>
      <c r="DA40" s="366"/>
      <c r="DB40" s="366"/>
      <c r="DC40" s="808"/>
      <c r="DD40" s="808"/>
      <c r="DE40" s="808"/>
      <c r="DF40" s="808"/>
      <c r="DG40" s="808"/>
      <c r="DH40" s="808"/>
      <c r="DI40" s="808"/>
      <c r="DJ40" s="808"/>
      <c r="DK40" s="808"/>
      <c r="DL40" s="808"/>
      <c r="DM40" s="809"/>
      <c r="DN40" s="810"/>
      <c r="DO40" s="810"/>
      <c r="DP40" s="810"/>
      <c r="DQ40" s="810"/>
      <c r="DR40" s="810"/>
      <c r="DS40" s="810"/>
      <c r="DT40" s="810"/>
      <c r="DU40" s="810"/>
      <c r="DV40" s="811"/>
      <c r="DW40" s="823"/>
      <c r="DX40" s="824"/>
      <c r="DY40" s="824"/>
      <c r="DZ40" s="824"/>
      <c r="EA40" s="824"/>
      <c r="EB40" s="824"/>
      <c r="EC40" s="824"/>
      <c r="ED40" s="824"/>
      <c r="EE40" s="824"/>
      <c r="EF40" s="824"/>
      <c r="EG40" s="826"/>
      <c r="EH40" s="826"/>
      <c r="EI40" s="826"/>
      <c r="EJ40" s="826"/>
      <c r="EK40" s="826"/>
      <c r="EL40" s="826"/>
      <c r="EM40" s="826"/>
      <c r="EN40" s="826"/>
      <c r="EO40" s="826"/>
      <c r="EP40" s="826"/>
      <c r="EQ40" s="826"/>
      <c r="ER40" s="826"/>
      <c r="ES40" s="826"/>
      <c r="ET40" s="826"/>
      <c r="EU40" s="826"/>
      <c r="EV40" s="826"/>
      <c r="EW40" s="826"/>
      <c r="EX40" s="826"/>
      <c r="EY40" s="826"/>
      <c r="EZ40" s="826"/>
      <c r="FA40" s="826"/>
      <c r="FB40" s="826"/>
      <c r="FC40" s="826"/>
      <c r="FD40" s="826"/>
      <c r="FE40" s="830"/>
      <c r="FF40" s="831"/>
      <c r="FG40" s="831"/>
      <c r="FH40" s="831"/>
      <c r="FI40" s="831"/>
      <c r="FJ40" s="831"/>
      <c r="FK40" s="831"/>
      <c r="FL40" s="831"/>
      <c r="FM40" s="832"/>
      <c r="FN40" s="833"/>
      <c r="FO40" s="833"/>
      <c r="FP40" s="833"/>
      <c r="FQ40" s="833"/>
      <c r="FR40" s="833"/>
      <c r="FS40" s="833"/>
      <c r="FT40" s="833"/>
      <c r="FU40" s="833"/>
      <c r="FV40" s="833"/>
      <c r="FW40" s="860"/>
      <c r="FX40" s="861"/>
      <c r="FY40" s="861"/>
      <c r="FZ40" s="861"/>
      <c r="GA40" s="861"/>
      <c r="GB40" s="861"/>
      <c r="GC40" s="861"/>
      <c r="GD40" s="861"/>
      <c r="GE40" s="861"/>
      <c r="GF40" s="431"/>
      <c r="GG40" s="862"/>
      <c r="GH40" s="862"/>
      <c r="GI40" s="862"/>
      <c r="GJ40" s="862"/>
      <c r="GK40" s="429"/>
      <c r="GL40" s="429"/>
      <c r="GM40" s="429"/>
      <c r="GN40" s="429"/>
      <c r="GO40" s="430"/>
      <c r="GP40" s="167"/>
      <c r="GQ40" s="2"/>
      <c r="GR40" s="2"/>
      <c r="GS40" s="2"/>
      <c r="GT40" s="2"/>
      <c r="GU40" s="2"/>
      <c r="GV40" s="240"/>
      <c r="GW40" s="240"/>
      <c r="GX40" s="240"/>
      <c r="GY40" s="240"/>
      <c r="GZ40" s="240"/>
      <c r="HF40" s="148"/>
      <c r="HG40" s="148"/>
      <c r="HH40" s="148"/>
      <c r="HI40" s="148"/>
      <c r="HJ40" s="148"/>
      <c r="HK40" s="148"/>
      <c r="HL40" s="148"/>
      <c r="HM40" s="148"/>
      <c r="HN40" s="148"/>
      <c r="HO40" s="148"/>
      <c r="HP40" s="148"/>
      <c r="HQ40" s="148"/>
      <c r="HR40" s="148"/>
      <c r="HS40" s="148"/>
      <c r="HT40" s="148"/>
      <c r="HU40" s="148"/>
      <c r="HV40" s="148"/>
      <c r="IK40" s="241"/>
      <c r="IV40" s="242"/>
      <c r="JG40" s="243"/>
      <c r="JQ40" s="244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5"/>
      <c r="M41" s="248"/>
      <c r="N41" s="788">
        <v>12</v>
      </c>
      <c r="O41" s="788"/>
      <c r="P41" s="789"/>
      <c r="Q41" s="791" t="s">
        <v>479</v>
      </c>
      <c r="R41" s="791"/>
      <c r="S41" s="791"/>
      <c r="T41" s="791"/>
      <c r="U41" s="791"/>
      <c r="V41" s="792" t="s">
        <v>482</v>
      </c>
      <c r="W41" s="793"/>
      <c r="X41" s="793"/>
      <c r="Y41" s="793"/>
      <c r="Z41" s="793"/>
      <c r="AA41" s="793"/>
      <c r="AB41" s="793"/>
      <c r="AC41" s="793"/>
      <c r="AD41" s="793"/>
      <c r="AE41" s="793"/>
      <c r="AF41" s="793"/>
      <c r="AG41" s="793"/>
      <c r="AH41" s="793"/>
      <c r="AI41" s="793"/>
      <c r="AJ41" s="793"/>
      <c r="AK41" s="793"/>
      <c r="AL41" s="793"/>
      <c r="AM41" s="793"/>
      <c r="AN41" s="793"/>
      <c r="AO41" s="793"/>
      <c r="AP41" s="793"/>
      <c r="AQ41" s="793"/>
      <c r="AR41" s="793"/>
      <c r="AS41" s="793"/>
      <c r="AT41" s="793"/>
      <c r="AU41" s="793"/>
      <c r="AV41" s="793"/>
      <c r="AW41" s="793"/>
      <c r="AX41" s="793"/>
      <c r="AY41" s="793"/>
      <c r="AZ41" s="793"/>
      <c r="BA41" s="793"/>
      <c r="BB41" s="793"/>
      <c r="BC41" s="793"/>
      <c r="BD41" s="793"/>
      <c r="BE41" s="793"/>
      <c r="BF41" s="793"/>
      <c r="BG41" s="793"/>
      <c r="BH41" s="793"/>
      <c r="BI41" s="794"/>
      <c r="BJ41" s="863">
        <f>IF(Eingaben!AJ109="nein",0,(INNEN_H * INNEN_L * 2)/10^6 + (INNEN_B * INNEN_H * 2) /10^6)</f>
        <v>0</v>
      </c>
      <c r="BK41" s="863"/>
      <c r="BL41" s="863"/>
      <c r="BM41" s="863"/>
      <c r="BN41" s="863"/>
      <c r="BO41" s="863"/>
      <c r="BP41" s="863"/>
      <c r="BQ41" s="863"/>
      <c r="BR41" s="863"/>
      <c r="BS41" s="863"/>
      <c r="BT41" s="802">
        <f>KI_N*BJ41</f>
        <v>0</v>
      </c>
      <c r="BU41" s="864"/>
      <c r="BV41" s="864"/>
      <c r="BW41" s="864"/>
      <c r="BX41" s="864"/>
      <c r="BY41" s="864"/>
      <c r="BZ41" s="864"/>
      <c r="CA41" s="864"/>
      <c r="CB41" s="864"/>
      <c r="CC41" s="800"/>
      <c r="CD41" s="804" t="s">
        <v>448</v>
      </c>
      <c r="CE41" s="804"/>
      <c r="CF41" s="804"/>
      <c r="CG41" s="804"/>
      <c r="CH41" s="804"/>
      <c r="CI41" s="804"/>
      <c r="CJ41" s="804"/>
      <c r="CK41" s="804"/>
      <c r="CL41" s="804"/>
      <c r="CM41" s="804"/>
      <c r="CN41" s="805"/>
      <c r="CO41" s="806"/>
      <c r="CP41" s="806"/>
      <c r="CQ41" s="806"/>
      <c r="CR41" s="806"/>
      <c r="CS41" s="806"/>
      <c r="CT41" s="806"/>
      <c r="CU41" s="806"/>
      <c r="CV41" s="806"/>
      <c r="CW41" s="806"/>
      <c r="CX41" s="806"/>
      <c r="CY41" s="806"/>
      <c r="CZ41" s="365"/>
      <c r="DA41" s="366"/>
      <c r="DB41" s="366"/>
      <c r="DC41" s="808">
        <v>0.9</v>
      </c>
      <c r="DD41" s="808"/>
      <c r="DE41" s="808"/>
      <c r="DF41" s="808"/>
      <c r="DG41" s="808"/>
      <c r="DH41" s="808"/>
      <c r="DI41" s="808"/>
      <c r="DJ41" s="808"/>
      <c r="DK41" s="808"/>
      <c r="DL41" s="808"/>
      <c r="DM41" s="865">
        <v>15</v>
      </c>
      <c r="DN41" s="866"/>
      <c r="DO41" s="866"/>
      <c r="DP41" s="866"/>
      <c r="DQ41" s="866"/>
      <c r="DR41" s="866"/>
      <c r="DS41" s="866"/>
      <c r="DT41" s="866"/>
      <c r="DU41" s="866"/>
      <c r="DV41" s="866"/>
      <c r="DW41" s="824">
        <f>BEZ_Hilf_12_EHPreis*(BEZ_Hilf_12_GKZ/100+1)</f>
        <v>1.0349999999999999</v>
      </c>
      <c r="DX41" s="824"/>
      <c r="DY41" s="824"/>
      <c r="DZ41" s="824"/>
      <c r="EA41" s="824"/>
      <c r="EB41" s="824"/>
      <c r="EC41" s="824"/>
      <c r="ED41" s="824"/>
      <c r="EE41" s="824"/>
      <c r="EF41" s="824"/>
      <c r="EG41" s="826">
        <f>BEZ_Hilf_12_Anz*BEZ_Hilf_12_EHPreis*((BEZ_Hilf_12_GKZ/100)+1)</f>
        <v>0</v>
      </c>
      <c r="EH41" s="826"/>
      <c r="EI41" s="826"/>
      <c r="EJ41" s="826"/>
      <c r="EK41" s="826"/>
      <c r="EL41" s="826"/>
      <c r="EM41" s="826"/>
      <c r="EN41" s="826"/>
      <c r="EO41" s="826"/>
      <c r="EP41" s="826"/>
      <c r="EQ41" s="826"/>
      <c r="ER41" s="826"/>
      <c r="ES41" s="826"/>
      <c r="ET41" s="826"/>
      <c r="EU41" s="826">
        <f>BEZ_Hilf_12_PreisJeKiste*KI_N</f>
        <v>0</v>
      </c>
      <c r="EV41" s="826"/>
      <c r="EW41" s="826"/>
      <c r="EX41" s="826"/>
      <c r="EY41" s="826"/>
      <c r="EZ41" s="826"/>
      <c r="FA41" s="826"/>
      <c r="FB41" s="826"/>
      <c r="FC41" s="826"/>
      <c r="FD41" s="826"/>
      <c r="FE41" s="867">
        <v>293.3</v>
      </c>
      <c r="FF41" s="867"/>
      <c r="FG41" s="867"/>
      <c r="FH41" s="867"/>
      <c r="FI41" s="867"/>
      <c r="FJ41" s="867"/>
      <c r="FK41" s="867"/>
      <c r="FL41" s="867"/>
      <c r="FM41" s="867"/>
      <c r="FN41" s="833">
        <f>BEZ_Hilf_12_gJeEH*BEZ_Hilf_12_Anz</f>
        <v>0</v>
      </c>
      <c r="FO41" s="833"/>
      <c r="FP41" s="833"/>
      <c r="FQ41" s="833"/>
      <c r="FR41" s="833"/>
      <c r="FS41" s="833"/>
      <c r="FT41" s="833"/>
      <c r="FU41" s="833"/>
      <c r="FV41" s="833"/>
      <c r="FW41" s="245"/>
      <c r="FX41" s="246"/>
      <c r="FY41" s="246"/>
      <c r="FZ41" s="246"/>
      <c r="GA41" s="246"/>
      <c r="GB41" s="246"/>
      <c r="GC41" s="246"/>
      <c r="GD41" s="246"/>
      <c r="GE41" s="246"/>
      <c r="GF41" s="246"/>
      <c r="GG41" s="246"/>
      <c r="GH41" s="246"/>
      <c r="GI41" s="246"/>
      <c r="GJ41" s="246"/>
      <c r="GK41" s="246"/>
      <c r="GL41" s="246"/>
      <c r="GM41" s="246"/>
      <c r="GN41" s="246"/>
      <c r="GO41" s="247"/>
      <c r="GP41" s="167"/>
      <c r="GQ41" s="351"/>
      <c r="GR41" s="2"/>
      <c r="GS41" s="2"/>
      <c r="GT41" s="2"/>
      <c r="GU41" s="2"/>
      <c r="GX41" s="249"/>
      <c r="GY41" s="249"/>
      <c r="HF41" s="148"/>
      <c r="HG41" s="148"/>
      <c r="HH41" s="148"/>
      <c r="HI41" s="148"/>
      <c r="HJ41" s="148"/>
      <c r="HK41" s="148"/>
      <c r="HL41" s="148"/>
      <c r="HM41" s="148"/>
      <c r="HN41" s="148"/>
      <c r="HO41" s="148"/>
      <c r="HP41" s="148"/>
      <c r="HQ41" s="148"/>
      <c r="HR41" s="148"/>
      <c r="HS41" s="148"/>
      <c r="HT41" s="148"/>
      <c r="HU41" s="148"/>
      <c r="HV41" s="148"/>
      <c r="IK41" s="241"/>
      <c r="IV41" s="242"/>
      <c r="JG41" s="243"/>
      <c r="JQ41" s="244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6"/>
      <c r="M42" s="167"/>
      <c r="N42" s="788"/>
      <c r="O42" s="788"/>
      <c r="P42" s="789"/>
      <c r="Q42" s="791"/>
      <c r="R42" s="791"/>
      <c r="S42" s="791"/>
      <c r="T42" s="791"/>
      <c r="U42" s="791"/>
      <c r="V42" s="792"/>
      <c r="W42" s="793"/>
      <c r="X42" s="793"/>
      <c r="Y42" s="793"/>
      <c r="Z42" s="793"/>
      <c r="AA42" s="793"/>
      <c r="AB42" s="793"/>
      <c r="AC42" s="793"/>
      <c r="AD42" s="793"/>
      <c r="AE42" s="793"/>
      <c r="AF42" s="793"/>
      <c r="AG42" s="793"/>
      <c r="AH42" s="793"/>
      <c r="AI42" s="793"/>
      <c r="AJ42" s="793"/>
      <c r="AK42" s="793"/>
      <c r="AL42" s="793"/>
      <c r="AM42" s="793"/>
      <c r="AN42" s="793"/>
      <c r="AO42" s="793"/>
      <c r="AP42" s="793"/>
      <c r="AQ42" s="793"/>
      <c r="AR42" s="793"/>
      <c r="AS42" s="793"/>
      <c r="AT42" s="793"/>
      <c r="AU42" s="793"/>
      <c r="AV42" s="793"/>
      <c r="AW42" s="793"/>
      <c r="AX42" s="793"/>
      <c r="AY42" s="793"/>
      <c r="AZ42" s="793"/>
      <c r="BA42" s="793"/>
      <c r="BB42" s="793"/>
      <c r="BC42" s="793"/>
      <c r="BD42" s="793"/>
      <c r="BE42" s="793"/>
      <c r="BF42" s="793"/>
      <c r="BG42" s="793"/>
      <c r="BH42" s="793"/>
      <c r="BI42" s="794"/>
      <c r="BJ42" s="863"/>
      <c r="BK42" s="863"/>
      <c r="BL42" s="863"/>
      <c r="BM42" s="863"/>
      <c r="BN42" s="863"/>
      <c r="BO42" s="863"/>
      <c r="BP42" s="863"/>
      <c r="BQ42" s="863"/>
      <c r="BR42" s="863"/>
      <c r="BS42" s="863"/>
      <c r="BT42" s="802"/>
      <c r="BU42" s="864"/>
      <c r="BV42" s="864"/>
      <c r="BW42" s="864"/>
      <c r="BX42" s="864"/>
      <c r="BY42" s="864"/>
      <c r="BZ42" s="864"/>
      <c r="CA42" s="864"/>
      <c r="CB42" s="864"/>
      <c r="CC42" s="800"/>
      <c r="CD42" s="804"/>
      <c r="CE42" s="804"/>
      <c r="CF42" s="804"/>
      <c r="CG42" s="804"/>
      <c r="CH42" s="804"/>
      <c r="CI42" s="804"/>
      <c r="CJ42" s="804"/>
      <c r="CK42" s="804"/>
      <c r="CL42" s="804"/>
      <c r="CM42" s="804"/>
      <c r="CN42" s="805"/>
      <c r="CO42" s="806"/>
      <c r="CP42" s="806"/>
      <c r="CQ42" s="806"/>
      <c r="CR42" s="806"/>
      <c r="CS42" s="806"/>
      <c r="CT42" s="806"/>
      <c r="CU42" s="806"/>
      <c r="CV42" s="806"/>
      <c r="CW42" s="806"/>
      <c r="CX42" s="806"/>
      <c r="CY42" s="806"/>
      <c r="CZ42" s="365"/>
      <c r="DA42" s="366"/>
      <c r="DB42" s="366"/>
      <c r="DC42" s="808"/>
      <c r="DD42" s="808"/>
      <c r="DE42" s="808"/>
      <c r="DF42" s="808"/>
      <c r="DG42" s="808"/>
      <c r="DH42" s="808"/>
      <c r="DI42" s="808"/>
      <c r="DJ42" s="808"/>
      <c r="DK42" s="808"/>
      <c r="DL42" s="808"/>
      <c r="DM42" s="865"/>
      <c r="DN42" s="866"/>
      <c r="DO42" s="866"/>
      <c r="DP42" s="866"/>
      <c r="DQ42" s="866"/>
      <c r="DR42" s="866"/>
      <c r="DS42" s="866"/>
      <c r="DT42" s="866"/>
      <c r="DU42" s="866"/>
      <c r="DV42" s="866"/>
      <c r="DW42" s="824"/>
      <c r="DX42" s="824"/>
      <c r="DY42" s="824"/>
      <c r="DZ42" s="824"/>
      <c r="EA42" s="824"/>
      <c r="EB42" s="824"/>
      <c r="EC42" s="824"/>
      <c r="ED42" s="824"/>
      <c r="EE42" s="824"/>
      <c r="EF42" s="824"/>
      <c r="EG42" s="826"/>
      <c r="EH42" s="826"/>
      <c r="EI42" s="826"/>
      <c r="EJ42" s="826"/>
      <c r="EK42" s="826"/>
      <c r="EL42" s="826"/>
      <c r="EM42" s="826"/>
      <c r="EN42" s="826"/>
      <c r="EO42" s="826"/>
      <c r="EP42" s="826"/>
      <c r="EQ42" s="826"/>
      <c r="ER42" s="826"/>
      <c r="ES42" s="826"/>
      <c r="ET42" s="826"/>
      <c r="EU42" s="826"/>
      <c r="EV42" s="826"/>
      <c r="EW42" s="826"/>
      <c r="EX42" s="826"/>
      <c r="EY42" s="826"/>
      <c r="EZ42" s="826"/>
      <c r="FA42" s="826"/>
      <c r="FB42" s="826"/>
      <c r="FC42" s="826"/>
      <c r="FD42" s="826"/>
      <c r="FE42" s="867"/>
      <c r="FF42" s="867"/>
      <c r="FG42" s="867"/>
      <c r="FH42" s="867"/>
      <c r="FI42" s="867"/>
      <c r="FJ42" s="867"/>
      <c r="FK42" s="867"/>
      <c r="FL42" s="867"/>
      <c r="FM42" s="867"/>
      <c r="FN42" s="833"/>
      <c r="FO42" s="833"/>
      <c r="FP42" s="833"/>
      <c r="FQ42" s="833"/>
      <c r="FR42" s="833"/>
      <c r="FS42" s="833"/>
      <c r="FT42" s="833"/>
      <c r="FU42" s="833"/>
      <c r="FV42" s="833"/>
      <c r="FW42" s="245"/>
      <c r="FX42" s="246"/>
      <c r="FY42" s="246"/>
      <c r="FZ42" s="246"/>
      <c r="GA42" s="246"/>
      <c r="GB42" s="246"/>
      <c r="GC42" s="246"/>
      <c r="GD42" s="246"/>
      <c r="GE42" s="246"/>
      <c r="GF42" s="246"/>
      <c r="GG42" s="246"/>
      <c r="GH42" s="246"/>
      <c r="GI42" s="246"/>
      <c r="GJ42" s="246"/>
      <c r="GK42" s="246"/>
      <c r="GL42" s="246"/>
      <c r="GM42" s="246"/>
      <c r="GN42" s="246"/>
      <c r="GO42" s="247"/>
      <c r="GP42" s="167"/>
      <c r="GQ42" s="2"/>
      <c r="GR42" s="2"/>
      <c r="GS42" s="2"/>
      <c r="GT42" s="2"/>
      <c r="GU42" s="2"/>
      <c r="GX42" s="249"/>
      <c r="GY42" s="249"/>
      <c r="HF42" s="148"/>
      <c r="HG42" s="148"/>
      <c r="HH42" s="148"/>
      <c r="HI42" s="148"/>
      <c r="HJ42" s="148"/>
      <c r="HK42" s="148"/>
      <c r="HL42" s="148"/>
      <c r="HM42" s="148"/>
      <c r="HN42" s="148"/>
      <c r="HO42" s="148"/>
      <c r="HP42" s="148"/>
      <c r="HQ42" s="148"/>
      <c r="HR42" s="148"/>
      <c r="HS42" s="148"/>
      <c r="HT42" s="148"/>
      <c r="HU42" s="148"/>
      <c r="HV42" s="148"/>
      <c r="IK42" s="241"/>
      <c r="IV42" s="242"/>
      <c r="JG42" s="243"/>
      <c r="JQ42" s="244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2"/>
      <c r="M43" s="162"/>
      <c r="N43" s="788">
        <v>13</v>
      </c>
      <c r="O43" s="788"/>
      <c r="P43" s="788"/>
      <c r="Q43" s="868" t="s">
        <v>422</v>
      </c>
      <c r="R43" s="868"/>
      <c r="S43" s="868"/>
      <c r="T43" s="868"/>
      <c r="U43" s="868"/>
      <c r="V43" s="869" t="s">
        <v>423</v>
      </c>
      <c r="W43" s="869"/>
      <c r="X43" s="869"/>
      <c r="Y43" s="869"/>
      <c r="Z43" s="869"/>
      <c r="AA43" s="869"/>
      <c r="AB43" s="869"/>
      <c r="AC43" s="869"/>
      <c r="AD43" s="869"/>
      <c r="AE43" s="869"/>
      <c r="AF43" s="869"/>
      <c r="AG43" s="869"/>
      <c r="AH43" s="869"/>
      <c r="AI43" s="869"/>
      <c r="AJ43" s="869"/>
      <c r="AK43" s="869"/>
      <c r="AL43" s="869"/>
      <c r="AM43" s="869"/>
      <c r="AN43" s="869"/>
      <c r="AO43" s="869"/>
      <c r="AP43" s="869"/>
      <c r="AQ43" s="869"/>
      <c r="AR43" s="869"/>
      <c r="AS43" s="869"/>
      <c r="AT43" s="869"/>
      <c r="AU43" s="869"/>
      <c r="AV43" s="869"/>
      <c r="AW43" s="869"/>
      <c r="AX43" s="869"/>
      <c r="AY43" s="869"/>
      <c r="AZ43" s="869"/>
      <c r="BA43" s="869"/>
      <c r="BB43" s="869"/>
      <c r="BC43" s="869"/>
      <c r="BD43" s="869"/>
      <c r="BE43" s="869"/>
      <c r="BF43" s="869"/>
      <c r="BG43" s="869"/>
      <c r="BH43" s="869"/>
      <c r="BI43" s="869"/>
      <c r="BJ43" s="870">
        <v>1</v>
      </c>
      <c r="BK43" s="870"/>
      <c r="BL43" s="870"/>
      <c r="BM43" s="870"/>
      <c r="BN43" s="870"/>
      <c r="BO43" s="870"/>
      <c r="BP43" s="870"/>
      <c r="BQ43" s="870"/>
      <c r="BR43" s="870"/>
      <c r="BS43" s="870"/>
      <c r="BT43" s="871">
        <f>KI_N*BEZ_Hilf_13_Anz</f>
        <v>1</v>
      </c>
      <c r="BU43" s="872"/>
      <c r="BV43" s="872"/>
      <c r="BW43" s="872"/>
      <c r="BX43" s="872"/>
      <c r="BY43" s="872"/>
      <c r="BZ43" s="872"/>
      <c r="CA43" s="872"/>
      <c r="CB43" s="872"/>
      <c r="CC43" s="873"/>
      <c r="CD43" s="874" t="s">
        <v>36</v>
      </c>
      <c r="CE43" s="874"/>
      <c r="CF43" s="874"/>
      <c r="CG43" s="874"/>
      <c r="CH43" s="874"/>
      <c r="CI43" s="874"/>
      <c r="CJ43" s="874"/>
      <c r="CK43" s="874"/>
      <c r="CL43" s="874"/>
      <c r="CM43" s="874"/>
      <c r="CN43" s="806" t="s">
        <v>82</v>
      </c>
      <c r="CO43" s="806"/>
      <c r="CP43" s="806"/>
      <c r="CQ43" s="806"/>
      <c r="CR43" s="806"/>
      <c r="CS43" s="806"/>
      <c r="CT43" s="806"/>
      <c r="CU43" s="806"/>
      <c r="CV43" s="806"/>
      <c r="CW43" s="806"/>
      <c r="CX43" s="806"/>
      <c r="CY43" s="806"/>
      <c r="CZ43" s="365"/>
      <c r="DA43" s="366"/>
      <c r="DB43" s="366"/>
      <c r="DC43" s="875">
        <v>0.1</v>
      </c>
      <c r="DD43" s="875"/>
      <c r="DE43" s="875"/>
      <c r="DF43" s="875"/>
      <c r="DG43" s="875"/>
      <c r="DH43" s="875"/>
      <c r="DI43" s="875"/>
      <c r="DJ43" s="875"/>
      <c r="DK43" s="875"/>
      <c r="DL43" s="875"/>
      <c r="DM43" s="865">
        <v>5</v>
      </c>
      <c r="DN43" s="866"/>
      <c r="DO43" s="866"/>
      <c r="DP43" s="866"/>
      <c r="DQ43" s="866"/>
      <c r="DR43" s="866"/>
      <c r="DS43" s="866"/>
      <c r="DT43" s="866"/>
      <c r="DU43" s="866"/>
      <c r="DV43" s="866"/>
      <c r="DW43" s="824">
        <f>BEZ_Hilf_13_EHPreis*(BEZ_Hilf_13_GKZ/100+1)</f>
        <v>0.10500000000000001</v>
      </c>
      <c r="DX43" s="824"/>
      <c r="DY43" s="824"/>
      <c r="DZ43" s="824"/>
      <c r="EA43" s="824"/>
      <c r="EB43" s="824"/>
      <c r="EC43" s="824"/>
      <c r="ED43" s="824"/>
      <c r="EE43" s="824"/>
      <c r="EF43" s="824"/>
      <c r="EG43" s="826">
        <f>BEZ_Hilf_13_Anz*BEZ_Hilf_13_EHPreis*((BEZ_Hilf_13_GKZ/100)+1)</f>
        <v>0.10500000000000001</v>
      </c>
      <c r="EH43" s="826"/>
      <c r="EI43" s="826"/>
      <c r="EJ43" s="826"/>
      <c r="EK43" s="826"/>
      <c r="EL43" s="826"/>
      <c r="EM43" s="826"/>
      <c r="EN43" s="826"/>
      <c r="EO43" s="826"/>
      <c r="EP43" s="826"/>
      <c r="EQ43" s="826"/>
      <c r="ER43" s="826"/>
      <c r="ES43" s="826"/>
      <c r="ET43" s="826"/>
      <c r="EU43" s="826">
        <f>BEZ_Hilf_13_PreisJeKiste*KI_N</f>
        <v>0.10500000000000001</v>
      </c>
      <c r="EV43" s="826"/>
      <c r="EW43" s="826"/>
      <c r="EX43" s="826"/>
      <c r="EY43" s="826"/>
      <c r="EZ43" s="826"/>
      <c r="FA43" s="826"/>
      <c r="FB43" s="826"/>
      <c r="FC43" s="826"/>
      <c r="FD43" s="826"/>
      <c r="FE43" s="867">
        <v>0</v>
      </c>
      <c r="FF43" s="867"/>
      <c r="FG43" s="867"/>
      <c r="FH43" s="867"/>
      <c r="FI43" s="867"/>
      <c r="FJ43" s="867"/>
      <c r="FK43" s="867"/>
      <c r="FL43" s="867"/>
      <c r="FM43" s="867"/>
      <c r="FN43" s="833">
        <f>BEZ_Hilf_13_gJeEH*BEZ_Hilf_13_Anz</f>
        <v>0</v>
      </c>
      <c r="FO43" s="833"/>
      <c r="FP43" s="833"/>
      <c r="FQ43" s="833"/>
      <c r="FR43" s="833"/>
      <c r="FS43" s="833"/>
      <c r="FT43" s="833"/>
      <c r="FU43" s="833"/>
      <c r="FV43" s="833"/>
      <c r="FW43" s="245"/>
      <c r="FX43" s="246"/>
      <c r="FY43" s="246"/>
      <c r="FZ43" s="246"/>
      <c r="GA43" s="246"/>
      <c r="GB43" s="246"/>
      <c r="GC43" s="246"/>
      <c r="GD43" s="246"/>
      <c r="GE43" s="246"/>
      <c r="GF43" s="246"/>
      <c r="GG43" s="246"/>
      <c r="GH43" s="246"/>
      <c r="GI43" s="246"/>
      <c r="GJ43" s="246"/>
      <c r="GK43" s="246"/>
      <c r="GL43" s="246"/>
      <c r="GM43" s="246"/>
      <c r="GN43" s="246"/>
      <c r="GO43" s="247"/>
      <c r="GP43" s="167"/>
      <c r="GQ43" s="351"/>
      <c r="GR43" s="2"/>
      <c r="GS43" s="2"/>
      <c r="GT43" s="2"/>
      <c r="GU43" s="2"/>
      <c r="GX43" s="249"/>
      <c r="GY43" s="249"/>
      <c r="HF43" s="148"/>
      <c r="HG43" s="148"/>
      <c r="HH43" s="148"/>
      <c r="HI43" s="148"/>
      <c r="HJ43" s="148"/>
      <c r="HK43" s="148"/>
      <c r="HL43" s="148"/>
      <c r="HM43" s="148"/>
      <c r="HN43" s="148"/>
      <c r="HO43" s="148"/>
      <c r="HP43" s="148"/>
      <c r="HQ43" s="148"/>
      <c r="HR43" s="148"/>
      <c r="HS43" s="148"/>
      <c r="HT43" s="148"/>
      <c r="HU43" s="148"/>
      <c r="HV43" s="148"/>
      <c r="IK43" s="241"/>
      <c r="IV43" s="242"/>
      <c r="JG43" s="243"/>
      <c r="JQ43" s="244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2"/>
      <c r="M44" s="162"/>
      <c r="N44" s="788"/>
      <c r="O44" s="788"/>
      <c r="P44" s="788"/>
      <c r="Q44" s="868"/>
      <c r="R44" s="868"/>
      <c r="S44" s="868"/>
      <c r="T44" s="868"/>
      <c r="U44" s="868"/>
      <c r="V44" s="869"/>
      <c r="W44" s="869"/>
      <c r="X44" s="869"/>
      <c r="Y44" s="869"/>
      <c r="Z44" s="869"/>
      <c r="AA44" s="869"/>
      <c r="AB44" s="869"/>
      <c r="AC44" s="869"/>
      <c r="AD44" s="869"/>
      <c r="AE44" s="869"/>
      <c r="AF44" s="869"/>
      <c r="AG44" s="869"/>
      <c r="AH44" s="869"/>
      <c r="AI44" s="869"/>
      <c r="AJ44" s="869"/>
      <c r="AK44" s="869"/>
      <c r="AL44" s="869"/>
      <c r="AM44" s="869"/>
      <c r="AN44" s="869"/>
      <c r="AO44" s="869"/>
      <c r="AP44" s="869"/>
      <c r="AQ44" s="869"/>
      <c r="AR44" s="869"/>
      <c r="AS44" s="869"/>
      <c r="AT44" s="869"/>
      <c r="AU44" s="869"/>
      <c r="AV44" s="869"/>
      <c r="AW44" s="869"/>
      <c r="AX44" s="869"/>
      <c r="AY44" s="869"/>
      <c r="AZ44" s="869"/>
      <c r="BA44" s="869"/>
      <c r="BB44" s="869"/>
      <c r="BC44" s="869"/>
      <c r="BD44" s="869"/>
      <c r="BE44" s="869"/>
      <c r="BF44" s="869"/>
      <c r="BG44" s="869"/>
      <c r="BH44" s="869"/>
      <c r="BI44" s="869"/>
      <c r="BJ44" s="870"/>
      <c r="BK44" s="870"/>
      <c r="BL44" s="870"/>
      <c r="BM44" s="870"/>
      <c r="BN44" s="870"/>
      <c r="BO44" s="870"/>
      <c r="BP44" s="870"/>
      <c r="BQ44" s="870"/>
      <c r="BR44" s="870"/>
      <c r="BS44" s="870"/>
      <c r="BT44" s="871"/>
      <c r="BU44" s="872"/>
      <c r="BV44" s="872"/>
      <c r="BW44" s="872"/>
      <c r="BX44" s="872"/>
      <c r="BY44" s="872"/>
      <c r="BZ44" s="872"/>
      <c r="CA44" s="872"/>
      <c r="CB44" s="872"/>
      <c r="CC44" s="873"/>
      <c r="CD44" s="874"/>
      <c r="CE44" s="874"/>
      <c r="CF44" s="874"/>
      <c r="CG44" s="874"/>
      <c r="CH44" s="874"/>
      <c r="CI44" s="874"/>
      <c r="CJ44" s="874"/>
      <c r="CK44" s="874"/>
      <c r="CL44" s="874"/>
      <c r="CM44" s="874"/>
      <c r="CN44" s="806"/>
      <c r="CO44" s="806"/>
      <c r="CP44" s="806"/>
      <c r="CQ44" s="806"/>
      <c r="CR44" s="806"/>
      <c r="CS44" s="806"/>
      <c r="CT44" s="806"/>
      <c r="CU44" s="806"/>
      <c r="CV44" s="806"/>
      <c r="CW44" s="806"/>
      <c r="CX44" s="806"/>
      <c r="CY44" s="806"/>
      <c r="CZ44" s="365"/>
      <c r="DA44" s="366"/>
      <c r="DB44" s="366"/>
      <c r="DC44" s="875"/>
      <c r="DD44" s="875"/>
      <c r="DE44" s="875"/>
      <c r="DF44" s="875"/>
      <c r="DG44" s="875"/>
      <c r="DH44" s="875"/>
      <c r="DI44" s="875"/>
      <c r="DJ44" s="875"/>
      <c r="DK44" s="875"/>
      <c r="DL44" s="875"/>
      <c r="DM44" s="865"/>
      <c r="DN44" s="866"/>
      <c r="DO44" s="866"/>
      <c r="DP44" s="866"/>
      <c r="DQ44" s="866"/>
      <c r="DR44" s="866"/>
      <c r="DS44" s="866"/>
      <c r="DT44" s="866"/>
      <c r="DU44" s="866"/>
      <c r="DV44" s="866"/>
      <c r="DW44" s="824"/>
      <c r="DX44" s="824"/>
      <c r="DY44" s="824"/>
      <c r="DZ44" s="824"/>
      <c r="EA44" s="824"/>
      <c r="EB44" s="824"/>
      <c r="EC44" s="824"/>
      <c r="ED44" s="824"/>
      <c r="EE44" s="824"/>
      <c r="EF44" s="824"/>
      <c r="EG44" s="826"/>
      <c r="EH44" s="826"/>
      <c r="EI44" s="826"/>
      <c r="EJ44" s="826"/>
      <c r="EK44" s="826"/>
      <c r="EL44" s="826"/>
      <c r="EM44" s="826"/>
      <c r="EN44" s="826"/>
      <c r="EO44" s="826"/>
      <c r="EP44" s="826"/>
      <c r="EQ44" s="826"/>
      <c r="ER44" s="826"/>
      <c r="ES44" s="826"/>
      <c r="ET44" s="826"/>
      <c r="EU44" s="826"/>
      <c r="EV44" s="826"/>
      <c r="EW44" s="826"/>
      <c r="EX44" s="826"/>
      <c r="EY44" s="826"/>
      <c r="EZ44" s="826"/>
      <c r="FA44" s="826"/>
      <c r="FB44" s="826"/>
      <c r="FC44" s="826"/>
      <c r="FD44" s="826"/>
      <c r="FE44" s="867"/>
      <c r="FF44" s="867"/>
      <c r="FG44" s="867"/>
      <c r="FH44" s="867"/>
      <c r="FI44" s="867"/>
      <c r="FJ44" s="867"/>
      <c r="FK44" s="867"/>
      <c r="FL44" s="867"/>
      <c r="FM44" s="867"/>
      <c r="FN44" s="833"/>
      <c r="FO44" s="833"/>
      <c r="FP44" s="833"/>
      <c r="FQ44" s="833"/>
      <c r="FR44" s="833"/>
      <c r="FS44" s="833"/>
      <c r="FT44" s="833"/>
      <c r="FU44" s="833"/>
      <c r="FV44" s="833"/>
      <c r="FW44" s="245"/>
      <c r="FX44" s="246"/>
      <c r="FY44" s="246"/>
      <c r="FZ44" s="246"/>
      <c r="GA44" s="246"/>
      <c r="GB44" s="246"/>
      <c r="GC44" s="246"/>
      <c r="GD44" s="246"/>
      <c r="GE44" s="246"/>
      <c r="GF44" s="246"/>
      <c r="GG44" s="246"/>
      <c r="GH44" s="246"/>
      <c r="GI44" s="246"/>
      <c r="GJ44" s="246"/>
      <c r="GK44" s="246"/>
      <c r="GL44" s="246"/>
      <c r="GM44" s="246"/>
      <c r="GN44" s="246"/>
      <c r="GO44" s="247"/>
      <c r="GP44" s="167"/>
      <c r="GQ44" s="2"/>
      <c r="GR44" s="2"/>
      <c r="GS44" s="2"/>
      <c r="GT44" s="2"/>
      <c r="GU44" s="2"/>
      <c r="GX44" s="249"/>
      <c r="GY44" s="249"/>
      <c r="HF44" s="148"/>
      <c r="HG44" s="148"/>
      <c r="HH44" s="148"/>
      <c r="HI44" s="148"/>
      <c r="HJ44" s="148"/>
      <c r="HK44" s="148"/>
      <c r="HL44" s="148"/>
      <c r="HM44" s="148"/>
      <c r="HN44" s="148"/>
      <c r="HO44" s="148"/>
      <c r="HP44" s="148"/>
      <c r="HQ44" s="148"/>
      <c r="HR44" s="148"/>
      <c r="HS44" s="148"/>
      <c r="HT44" s="148"/>
      <c r="HU44" s="148"/>
      <c r="HV44" s="148"/>
      <c r="IK44" s="241"/>
      <c r="IV44" s="242"/>
      <c r="JG44" s="243"/>
      <c r="JQ44" s="244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2"/>
      <c r="M45" s="162"/>
      <c r="N45" s="788">
        <v>14</v>
      </c>
      <c r="O45" s="788"/>
      <c r="P45" s="788"/>
      <c r="Q45" s="868"/>
      <c r="R45" s="868"/>
      <c r="S45" s="868"/>
      <c r="T45" s="868"/>
      <c r="U45" s="868"/>
      <c r="V45" s="869" t="s">
        <v>420</v>
      </c>
      <c r="W45" s="869"/>
      <c r="X45" s="869"/>
      <c r="Y45" s="869"/>
      <c r="Z45" s="869"/>
      <c r="AA45" s="869"/>
      <c r="AB45" s="869"/>
      <c r="AC45" s="869"/>
      <c r="AD45" s="869"/>
      <c r="AE45" s="869"/>
      <c r="AF45" s="869"/>
      <c r="AG45" s="869"/>
      <c r="AH45" s="869"/>
      <c r="AI45" s="869"/>
      <c r="AJ45" s="869"/>
      <c r="AK45" s="869"/>
      <c r="AL45" s="869"/>
      <c r="AM45" s="869"/>
      <c r="AN45" s="869"/>
      <c r="AO45" s="869"/>
      <c r="AP45" s="869"/>
      <c r="AQ45" s="869"/>
      <c r="AR45" s="869"/>
      <c r="AS45" s="869"/>
      <c r="AT45" s="869"/>
      <c r="AU45" s="869"/>
      <c r="AV45" s="869"/>
      <c r="AW45" s="869"/>
      <c r="AX45" s="869"/>
      <c r="AY45" s="869"/>
      <c r="AZ45" s="869"/>
      <c r="BA45" s="869"/>
      <c r="BB45" s="869"/>
      <c r="BC45" s="869"/>
      <c r="BD45" s="869"/>
      <c r="BE45" s="869"/>
      <c r="BF45" s="869"/>
      <c r="BG45" s="869"/>
      <c r="BH45" s="869"/>
      <c r="BI45" s="869"/>
      <c r="BJ45" s="870">
        <v>1</v>
      </c>
      <c r="BK45" s="870"/>
      <c r="BL45" s="870"/>
      <c r="BM45" s="870"/>
      <c r="BN45" s="870"/>
      <c r="BO45" s="870"/>
      <c r="BP45" s="870"/>
      <c r="BQ45" s="870"/>
      <c r="BR45" s="870"/>
      <c r="BS45" s="870"/>
      <c r="BT45" s="871">
        <f>KI_N*BEZ_Hilf_14_Anz</f>
        <v>1</v>
      </c>
      <c r="BU45" s="872"/>
      <c r="BV45" s="872"/>
      <c r="BW45" s="872"/>
      <c r="BX45" s="872"/>
      <c r="BY45" s="872"/>
      <c r="BZ45" s="872"/>
      <c r="CA45" s="872"/>
      <c r="CB45" s="872"/>
      <c r="CC45" s="873"/>
      <c r="CD45" s="874" t="s">
        <v>36</v>
      </c>
      <c r="CE45" s="874"/>
      <c r="CF45" s="874"/>
      <c r="CG45" s="874"/>
      <c r="CH45" s="874"/>
      <c r="CI45" s="874"/>
      <c r="CJ45" s="874"/>
      <c r="CK45" s="874"/>
      <c r="CL45" s="874"/>
      <c r="CM45" s="874"/>
      <c r="CN45" s="806" t="s">
        <v>82</v>
      </c>
      <c r="CO45" s="806"/>
      <c r="CP45" s="806"/>
      <c r="CQ45" s="806"/>
      <c r="CR45" s="806"/>
      <c r="CS45" s="806"/>
      <c r="CT45" s="806"/>
      <c r="CU45" s="806"/>
      <c r="CV45" s="806"/>
      <c r="CW45" s="806"/>
      <c r="CX45" s="806"/>
      <c r="CY45" s="806"/>
      <c r="CZ45" s="365"/>
      <c r="DA45" s="366"/>
      <c r="DB45" s="367"/>
      <c r="DC45" s="875">
        <v>1</v>
      </c>
      <c r="DD45" s="875"/>
      <c r="DE45" s="875"/>
      <c r="DF45" s="875"/>
      <c r="DG45" s="875"/>
      <c r="DH45" s="875"/>
      <c r="DI45" s="875"/>
      <c r="DJ45" s="875"/>
      <c r="DK45" s="875"/>
      <c r="DL45" s="875"/>
      <c r="DM45" s="866">
        <v>25</v>
      </c>
      <c r="DN45" s="866"/>
      <c r="DO45" s="866"/>
      <c r="DP45" s="866"/>
      <c r="DQ45" s="866"/>
      <c r="DR45" s="866"/>
      <c r="DS45" s="866"/>
      <c r="DT45" s="866"/>
      <c r="DU45" s="866"/>
      <c r="DV45" s="866"/>
      <c r="DW45" s="824">
        <f>BEZ_Hilf_14_EHPreis*(BEZ_Hilf_14_GKZ/100+1)</f>
        <v>1.25</v>
      </c>
      <c r="DX45" s="824"/>
      <c r="DY45" s="824"/>
      <c r="DZ45" s="824"/>
      <c r="EA45" s="824"/>
      <c r="EB45" s="824"/>
      <c r="EC45" s="824"/>
      <c r="ED45" s="824"/>
      <c r="EE45" s="824"/>
      <c r="EF45" s="824"/>
      <c r="EG45" s="826">
        <f>BEZ_Hilf_14_Anz*BEZ_Hilf_14_EHPreis*((BEZ_Hilf_14_GKZ/100)+1)</f>
        <v>1.25</v>
      </c>
      <c r="EH45" s="826"/>
      <c r="EI45" s="826"/>
      <c r="EJ45" s="826"/>
      <c r="EK45" s="826"/>
      <c r="EL45" s="826"/>
      <c r="EM45" s="826"/>
      <c r="EN45" s="826"/>
      <c r="EO45" s="826"/>
      <c r="EP45" s="826"/>
      <c r="EQ45" s="826"/>
      <c r="ER45" s="826"/>
      <c r="ES45" s="826"/>
      <c r="ET45" s="826"/>
      <c r="EU45" s="826">
        <f>BEZ_Hilf_14_PreisJeKiste*KI_N</f>
        <v>1.25</v>
      </c>
      <c r="EV45" s="826"/>
      <c r="EW45" s="826"/>
      <c r="EX45" s="826"/>
      <c r="EY45" s="826"/>
      <c r="EZ45" s="826"/>
      <c r="FA45" s="826"/>
      <c r="FB45" s="826"/>
      <c r="FC45" s="826"/>
      <c r="FD45" s="826"/>
      <c r="FE45" s="867"/>
      <c r="FF45" s="867"/>
      <c r="FG45" s="867"/>
      <c r="FH45" s="867"/>
      <c r="FI45" s="867"/>
      <c r="FJ45" s="867"/>
      <c r="FK45" s="867"/>
      <c r="FL45" s="867"/>
      <c r="FM45" s="867"/>
      <c r="FN45" s="833">
        <f>BEZ_Hilf_14_gJeEH*BEZ_Hilf_14_Anz</f>
        <v>0</v>
      </c>
      <c r="FO45" s="833"/>
      <c r="FP45" s="833"/>
      <c r="FQ45" s="833"/>
      <c r="FR45" s="833"/>
      <c r="FS45" s="833"/>
      <c r="FT45" s="833"/>
      <c r="FU45" s="833"/>
      <c r="FV45" s="833"/>
      <c r="FW45" s="245"/>
      <c r="FX45" s="246"/>
      <c r="FY45" s="246"/>
      <c r="FZ45" s="246"/>
      <c r="GA45" s="246"/>
      <c r="GB45" s="246"/>
      <c r="GC45" s="246"/>
      <c r="GD45" s="246"/>
      <c r="GE45" s="246"/>
      <c r="GF45" s="246"/>
      <c r="GG45" s="246"/>
      <c r="GH45" s="246"/>
      <c r="GI45" s="246"/>
      <c r="GJ45" s="246"/>
      <c r="GK45" s="246"/>
      <c r="GL45" s="246"/>
      <c r="GM45" s="246"/>
      <c r="GN45" s="246"/>
      <c r="GO45" s="247"/>
      <c r="GP45" s="167"/>
      <c r="GQ45" s="351"/>
      <c r="GR45" s="2"/>
      <c r="GS45" s="2"/>
      <c r="GT45" s="2"/>
      <c r="GU45" s="2"/>
      <c r="GX45" s="249"/>
      <c r="GY45" s="249"/>
      <c r="HF45" s="148"/>
      <c r="HG45" s="148"/>
      <c r="HH45" s="148"/>
      <c r="HI45" s="148"/>
      <c r="HJ45" s="148"/>
      <c r="HK45" s="148"/>
      <c r="HL45" s="148"/>
      <c r="HM45" s="148"/>
      <c r="HN45" s="148"/>
      <c r="HO45" s="148"/>
      <c r="HP45" s="148"/>
      <c r="HQ45" s="148"/>
      <c r="HR45" s="148"/>
      <c r="HS45" s="148"/>
      <c r="HT45" s="148"/>
      <c r="HU45" s="148"/>
      <c r="HV45" s="148"/>
      <c r="IK45" s="241"/>
      <c r="IV45" s="242"/>
      <c r="JG45" s="243"/>
      <c r="JQ45" s="244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2"/>
      <c r="M46" s="162"/>
      <c r="N46" s="788"/>
      <c r="O46" s="788"/>
      <c r="P46" s="788"/>
      <c r="Q46" s="868"/>
      <c r="R46" s="868"/>
      <c r="S46" s="868"/>
      <c r="T46" s="868"/>
      <c r="U46" s="868"/>
      <c r="V46" s="869"/>
      <c r="W46" s="869"/>
      <c r="X46" s="869"/>
      <c r="Y46" s="869"/>
      <c r="Z46" s="869"/>
      <c r="AA46" s="869"/>
      <c r="AB46" s="869"/>
      <c r="AC46" s="869"/>
      <c r="AD46" s="869"/>
      <c r="AE46" s="869"/>
      <c r="AF46" s="869"/>
      <c r="AG46" s="869"/>
      <c r="AH46" s="869"/>
      <c r="AI46" s="869"/>
      <c r="AJ46" s="869"/>
      <c r="AK46" s="869"/>
      <c r="AL46" s="869"/>
      <c r="AM46" s="869"/>
      <c r="AN46" s="869"/>
      <c r="AO46" s="869"/>
      <c r="AP46" s="869"/>
      <c r="AQ46" s="869"/>
      <c r="AR46" s="869"/>
      <c r="AS46" s="869"/>
      <c r="AT46" s="869"/>
      <c r="AU46" s="869"/>
      <c r="AV46" s="869"/>
      <c r="AW46" s="869"/>
      <c r="AX46" s="869"/>
      <c r="AY46" s="869"/>
      <c r="AZ46" s="869"/>
      <c r="BA46" s="869"/>
      <c r="BB46" s="869"/>
      <c r="BC46" s="869"/>
      <c r="BD46" s="869"/>
      <c r="BE46" s="869"/>
      <c r="BF46" s="869"/>
      <c r="BG46" s="869"/>
      <c r="BH46" s="869"/>
      <c r="BI46" s="869"/>
      <c r="BJ46" s="870"/>
      <c r="BK46" s="870"/>
      <c r="BL46" s="870"/>
      <c r="BM46" s="870"/>
      <c r="BN46" s="870"/>
      <c r="BO46" s="870"/>
      <c r="BP46" s="870"/>
      <c r="BQ46" s="870"/>
      <c r="BR46" s="870"/>
      <c r="BS46" s="870"/>
      <c r="BT46" s="871"/>
      <c r="BU46" s="872"/>
      <c r="BV46" s="872"/>
      <c r="BW46" s="872"/>
      <c r="BX46" s="872"/>
      <c r="BY46" s="872"/>
      <c r="BZ46" s="872"/>
      <c r="CA46" s="872"/>
      <c r="CB46" s="872"/>
      <c r="CC46" s="873"/>
      <c r="CD46" s="874"/>
      <c r="CE46" s="874"/>
      <c r="CF46" s="874"/>
      <c r="CG46" s="874"/>
      <c r="CH46" s="874"/>
      <c r="CI46" s="874"/>
      <c r="CJ46" s="874"/>
      <c r="CK46" s="874"/>
      <c r="CL46" s="874"/>
      <c r="CM46" s="874"/>
      <c r="CN46" s="806"/>
      <c r="CO46" s="806"/>
      <c r="CP46" s="806"/>
      <c r="CQ46" s="806"/>
      <c r="CR46" s="806"/>
      <c r="CS46" s="806"/>
      <c r="CT46" s="806"/>
      <c r="CU46" s="806"/>
      <c r="CV46" s="806"/>
      <c r="CW46" s="806"/>
      <c r="CX46" s="806"/>
      <c r="CY46" s="806"/>
      <c r="CZ46" s="365"/>
      <c r="DA46" s="366"/>
      <c r="DB46" s="367"/>
      <c r="DC46" s="875"/>
      <c r="DD46" s="875"/>
      <c r="DE46" s="875"/>
      <c r="DF46" s="875"/>
      <c r="DG46" s="875"/>
      <c r="DH46" s="875"/>
      <c r="DI46" s="875"/>
      <c r="DJ46" s="875"/>
      <c r="DK46" s="875"/>
      <c r="DL46" s="875"/>
      <c r="DM46" s="866"/>
      <c r="DN46" s="866"/>
      <c r="DO46" s="866"/>
      <c r="DP46" s="866"/>
      <c r="DQ46" s="866"/>
      <c r="DR46" s="866"/>
      <c r="DS46" s="866"/>
      <c r="DT46" s="866"/>
      <c r="DU46" s="866"/>
      <c r="DV46" s="866"/>
      <c r="DW46" s="824"/>
      <c r="DX46" s="824"/>
      <c r="DY46" s="824"/>
      <c r="DZ46" s="824"/>
      <c r="EA46" s="824"/>
      <c r="EB46" s="824"/>
      <c r="EC46" s="824"/>
      <c r="ED46" s="824"/>
      <c r="EE46" s="824"/>
      <c r="EF46" s="824"/>
      <c r="EG46" s="826"/>
      <c r="EH46" s="826"/>
      <c r="EI46" s="826"/>
      <c r="EJ46" s="826"/>
      <c r="EK46" s="826"/>
      <c r="EL46" s="826"/>
      <c r="EM46" s="826"/>
      <c r="EN46" s="826"/>
      <c r="EO46" s="826"/>
      <c r="EP46" s="826"/>
      <c r="EQ46" s="826"/>
      <c r="ER46" s="826"/>
      <c r="ES46" s="826"/>
      <c r="ET46" s="826"/>
      <c r="EU46" s="826"/>
      <c r="EV46" s="826"/>
      <c r="EW46" s="826"/>
      <c r="EX46" s="826"/>
      <c r="EY46" s="826"/>
      <c r="EZ46" s="826"/>
      <c r="FA46" s="826"/>
      <c r="FB46" s="826"/>
      <c r="FC46" s="826"/>
      <c r="FD46" s="826"/>
      <c r="FE46" s="867"/>
      <c r="FF46" s="867"/>
      <c r="FG46" s="867"/>
      <c r="FH46" s="867"/>
      <c r="FI46" s="867"/>
      <c r="FJ46" s="867"/>
      <c r="FK46" s="867"/>
      <c r="FL46" s="867"/>
      <c r="FM46" s="867"/>
      <c r="FN46" s="833"/>
      <c r="FO46" s="833"/>
      <c r="FP46" s="833"/>
      <c r="FQ46" s="833"/>
      <c r="FR46" s="833"/>
      <c r="FS46" s="833"/>
      <c r="FT46" s="833"/>
      <c r="FU46" s="833"/>
      <c r="FV46" s="833"/>
      <c r="FW46" s="245"/>
      <c r="FX46" s="246"/>
      <c r="FY46" s="246"/>
      <c r="FZ46" s="246"/>
      <c r="GA46" s="246"/>
      <c r="GB46" s="246"/>
      <c r="GC46" s="246"/>
      <c r="GD46" s="246"/>
      <c r="GE46" s="246"/>
      <c r="GF46" s="246"/>
      <c r="GG46" s="246"/>
      <c r="GH46" s="246"/>
      <c r="GI46" s="246"/>
      <c r="GJ46" s="246"/>
      <c r="GK46" s="246"/>
      <c r="GL46" s="246"/>
      <c r="GM46" s="246"/>
      <c r="GN46" s="246"/>
      <c r="GO46" s="247"/>
      <c r="GP46" s="167"/>
      <c r="GQ46" s="2"/>
      <c r="GR46" s="2"/>
      <c r="GS46" s="2"/>
      <c r="GT46" s="2"/>
      <c r="GU46" s="2"/>
      <c r="GX46" s="249"/>
      <c r="GY46" s="249"/>
      <c r="HF46" s="148"/>
      <c r="HG46" s="148"/>
      <c r="HH46" s="148"/>
      <c r="HI46" s="148"/>
      <c r="HJ46" s="148"/>
      <c r="HK46" s="148"/>
      <c r="HL46" s="148"/>
      <c r="HM46" s="148"/>
      <c r="HN46" s="148"/>
      <c r="HO46" s="148"/>
      <c r="HP46" s="148"/>
      <c r="HQ46" s="148"/>
      <c r="HR46" s="148"/>
      <c r="HS46" s="148"/>
      <c r="HT46" s="148"/>
      <c r="HU46" s="148"/>
      <c r="HV46" s="148"/>
      <c r="IK46" s="241"/>
      <c r="IV46" s="242"/>
      <c r="JG46" s="243"/>
      <c r="JQ46" s="244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2"/>
      <c r="M47" s="162"/>
      <c r="N47" s="788">
        <v>15</v>
      </c>
      <c r="O47" s="788"/>
      <c r="P47" s="788"/>
      <c r="Q47" s="868"/>
      <c r="R47" s="868"/>
      <c r="S47" s="868"/>
      <c r="T47" s="868"/>
      <c r="U47" s="868"/>
      <c r="V47" s="869"/>
      <c r="W47" s="869"/>
      <c r="X47" s="869"/>
      <c r="Y47" s="869"/>
      <c r="Z47" s="869"/>
      <c r="AA47" s="869"/>
      <c r="AB47" s="869"/>
      <c r="AC47" s="869"/>
      <c r="AD47" s="869"/>
      <c r="AE47" s="869"/>
      <c r="AF47" s="869"/>
      <c r="AG47" s="869"/>
      <c r="AH47" s="869"/>
      <c r="AI47" s="869"/>
      <c r="AJ47" s="869"/>
      <c r="AK47" s="869"/>
      <c r="AL47" s="869"/>
      <c r="AM47" s="869"/>
      <c r="AN47" s="869"/>
      <c r="AO47" s="869"/>
      <c r="AP47" s="869"/>
      <c r="AQ47" s="869"/>
      <c r="AR47" s="869"/>
      <c r="AS47" s="869"/>
      <c r="AT47" s="869"/>
      <c r="AU47" s="869"/>
      <c r="AV47" s="869"/>
      <c r="AW47" s="869"/>
      <c r="AX47" s="869"/>
      <c r="AY47" s="869"/>
      <c r="AZ47" s="869"/>
      <c r="BA47" s="869"/>
      <c r="BB47" s="869"/>
      <c r="BC47" s="869"/>
      <c r="BD47" s="869"/>
      <c r="BE47" s="869"/>
      <c r="BF47" s="869"/>
      <c r="BG47" s="869"/>
      <c r="BH47" s="869"/>
      <c r="BI47" s="869"/>
      <c r="BJ47" s="870"/>
      <c r="BK47" s="870"/>
      <c r="BL47" s="870"/>
      <c r="BM47" s="870"/>
      <c r="BN47" s="870"/>
      <c r="BO47" s="870"/>
      <c r="BP47" s="870"/>
      <c r="BQ47" s="870"/>
      <c r="BR47" s="870"/>
      <c r="BS47" s="870"/>
      <c r="BT47" s="871">
        <f>KI_N*BEZ_Hilf_15_Anz</f>
        <v>0</v>
      </c>
      <c r="BU47" s="872"/>
      <c r="BV47" s="872"/>
      <c r="BW47" s="872"/>
      <c r="BX47" s="872"/>
      <c r="BY47" s="872"/>
      <c r="BZ47" s="872"/>
      <c r="CA47" s="872"/>
      <c r="CB47" s="872"/>
      <c r="CC47" s="873"/>
      <c r="CD47" s="874"/>
      <c r="CE47" s="874"/>
      <c r="CF47" s="874"/>
      <c r="CG47" s="874"/>
      <c r="CH47" s="874"/>
      <c r="CI47" s="874"/>
      <c r="CJ47" s="874"/>
      <c r="CK47" s="874"/>
      <c r="CL47" s="874"/>
      <c r="CM47" s="874"/>
      <c r="CN47" s="806" t="s">
        <v>82</v>
      </c>
      <c r="CO47" s="806"/>
      <c r="CP47" s="806"/>
      <c r="CQ47" s="806"/>
      <c r="CR47" s="806"/>
      <c r="CS47" s="806"/>
      <c r="CT47" s="806"/>
      <c r="CU47" s="806"/>
      <c r="CV47" s="806"/>
      <c r="CW47" s="806"/>
      <c r="CX47" s="806"/>
      <c r="CY47" s="806"/>
      <c r="CZ47" s="365"/>
      <c r="DA47" s="366"/>
      <c r="DB47" s="367"/>
      <c r="DC47" s="875"/>
      <c r="DD47" s="875"/>
      <c r="DE47" s="875"/>
      <c r="DF47" s="875"/>
      <c r="DG47" s="875"/>
      <c r="DH47" s="875"/>
      <c r="DI47" s="875"/>
      <c r="DJ47" s="875"/>
      <c r="DK47" s="875"/>
      <c r="DL47" s="875"/>
      <c r="DM47" s="866"/>
      <c r="DN47" s="866"/>
      <c r="DO47" s="866"/>
      <c r="DP47" s="866"/>
      <c r="DQ47" s="866"/>
      <c r="DR47" s="866"/>
      <c r="DS47" s="866"/>
      <c r="DT47" s="866"/>
      <c r="DU47" s="866"/>
      <c r="DV47" s="866"/>
      <c r="DW47" s="824">
        <f>BEZ_Hilf_15_EHPreis*(BEZ_Hilf_15_GKZ/100+1)</f>
        <v>0</v>
      </c>
      <c r="DX47" s="824"/>
      <c r="DY47" s="824"/>
      <c r="DZ47" s="824"/>
      <c r="EA47" s="824"/>
      <c r="EB47" s="824"/>
      <c r="EC47" s="824"/>
      <c r="ED47" s="824"/>
      <c r="EE47" s="824"/>
      <c r="EF47" s="824"/>
      <c r="EG47" s="826">
        <f>BEZ_Hilf_15_Anz*BEZ_Hilf_15_EHPreis*((BEZ_Hilf_15_GKZ/100)+1)</f>
        <v>0</v>
      </c>
      <c r="EH47" s="826"/>
      <c r="EI47" s="826"/>
      <c r="EJ47" s="826"/>
      <c r="EK47" s="826"/>
      <c r="EL47" s="826"/>
      <c r="EM47" s="826"/>
      <c r="EN47" s="826"/>
      <c r="EO47" s="826"/>
      <c r="EP47" s="826"/>
      <c r="EQ47" s="826"/>
      <c r="ER47" s="826"/>
      <c r="ES47" s="826"/>
      <c r="ET47" s="826"/>
      <c r="EU47" s="826">
        <f>BEZ_Hilf_15_PreisJeKiste*KI_N</f>
        <v>0</v>
      </c>
      <c r="EV47" s="826"/>
      <c r="EW47" s="826"/>
      <c r="EX47" s="826"/>
      <c r="EY47" s="826"/>
      <c r="EZ47" s="826"/>
      <c r="FA47" s="826"/>
      <c r="FB47" s="826"/>
      <c r="FC47" s="826"/>
      <c r="FD47" s="826"/>
      <c r="FE47" s="867"/>
      <c r="FF47" s="867"/>
      <c r="FG47" s="867"/>
      <c r="FH47" s="867"/>
      <c r="FI47" s="867"/>
      <c r="FJ47" s="867"/>
      <c r="FK47" s="867"/>
      <c r="FL47" s="867"/>
      <c r="FM47" s="867"/>
      <c r="FN47" s="833">
        <f>BEZ_Hilf_15_gJeEH*BEZ_Hilf_15_Anz</f>
        <v>0</v>
      </c>
      <c r="FO47" s="833"/>
      <c r="FP47" s="833"/>
      <c r="FQ47" s="833"/>
      <c r="FR47" s="833"/>
      <c r="FS47" s="833"/>
      <c r="FT47" s="833"/>
      <c r="FU47" s="833"/>
      <c r="FV47" s="833"/>
      <c r="FW47" s="245"/>
      <c r="FX47" s="246"/>
      <c r="FY47" s="246"/>
      <c r="FZ47" s="246"/>
      <c r="GA47" s="246"/>
      <c r="GB47" s="246"/>
      <c r="GC47" s="246"/>
      <c r="GD47" s="246"/>
      <c r="GE47" s="246"/>
      <c r="GF47" s="246"/>
      <c r="GG47" s="246"/>
      <c r="GH47" s="246"/>
      <c r="GI47" s="246"/>
      <c r="GJ47" s="246"/>
      <c r="GK47" s="246"/>
      <c r="GL47" s="246"/>
      <c r="GM47" s="246"/>
      <c r="GN47" s="246"/>
      <c r="GO47" s="247"/>
      <c r="GP47" s="167"/>
      <c r="GQ47" s="351"/>
      <c r="GR47" s="2"/>
      <c r="GS47" s="2"/>
      <c r="GT47" s="2"/>
      <c r="GU47" s="2"/>
      <c r="GX47" s="249"/>
      <c r="GY47" s="249"/>
      <c r="HF47" s="148"/>
      <c r="HG47" s="148"/>
      <c r="HH47" s="148"/>
      <c r="HI47" s="148"/>
      <c r="HJ47" s="148"/>
      <c r="HK47" s="148"/>
      <c r="HL47" s="148"/>
      <c r="HM47" s="148"/>
      <c r="HN47" s="148"/>
      <c r="HO47" s="148"/>
      <c r="HP47" s="148"/>
      <c r="HQ47" s="148"/>
      <c r="HR47" s="148"/>
      <c r="HS47" s="148"/>
      <c r="HT47" s="148"/>
      <c r="HU47" s="148"/>
      <c r="HV47" s="148"/>
      <c r="IK47" s="241"/>
      <c r="IV47" s="242"/>
      <c r="JG47" s="243"/>
      <c r="JQ47" s="244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2"/>
      <c r="M48" s="162"/>
      <c r="N48" s="788"/>
      <c r="O48" s="788"/>
      <c r="P48" s="788"/>
      <c r="Q48" s="868"/>
      <c r="R48" s="868"/>
      <c r="S48" s="868"/>
      <c r="T48" s="868"/>
      <c r="U48" s="868"/>
      <c r="V48" s="869"/>
      <c r="W48" s="869"/>
      <c r="X48" s="869"/>
      <c r="Y48" s="869"/>
      <c r="Z48" s="869"/>
      <c r="AA48" s="869"/>
      <c r="AB48" s="869"/>
      <c r="AC48" s="869"/>
      <c r="AD48" s="869"/>
      <c r="AE48" s="869"/>
      <c r="AF48" s="869"/>
      <c r="AG48" s="869"/>
      <c r="AH48" s="869"/>
      <c r="AI48" s="869"/>
      <c r="AJ48" s="869"/>
      <c r="AK48" s="869"/>
      <c r="AL48" s="869"/>
      <c r="AM48" s="869"/>
      <c r="AN48" s="869"/>
      <c r="AO48" s="869"/>
      <c r="AP48" s="869"/>
      <c r="AQ48" s="869"/>
      <c r="AR48" s="869"/>
      <c r="AS48" s="869"/>
      <c r="AT48" s="869"/>
      <c r="AU48" s="869"/>
      <c r="AV48" s="869"/>
      <c r="AW48" s="869"/>
      <c r="AX48" s="869"/>
      <c r="AY48" s="869"/>
      <c r="AZ48" s="869"/>
      <c r="BA48" s="869"/>
      <c r="BB48" s="869"/>
      <c r="BC48" s="869"/>
      <c r="BD48" s="869"/>
      <c r="BE48" s="869"/>
      <c r="BF48" s="869"/>
      <c r="BG48" s="869"/>
      <c r="BH48" s="869"/>
      <c r="BI48" s="869"/>
      <c r="BJ48" s="870"/>
      <c r="BK48" s="870"/>
      <c r="BL48" s="870"/>
      <c r="BM48" s="870"/>
      <c r="BN48" s="870"/>
      <c r="BO48" s="870"/>
      <c r="BP48" s="870"/>
      <c r="BQ48" s="870"/>
      <c r="BR48" s="870"/>
      <c r="BS48" s="870"/>
      <c r="BT48" s="871"/>
      <c r="BU48" s="872"/>
      <c r="BV48" s="872"/>
      <c r="BW48" s="872"/>
      <c r="BX48" s="872"/>
      <c r="BY48" s="872"/>
      <c r="BZ48" s="872"/>
      <c r="CA48" s="872"/>
      <c r="CB48" s="872"/>
      <c r="CC48" s="873"/>
      <c r="CD48" s="874"/>
      <c r="CE48" s="874"/>
      <c r="CF48" s="874"/>
      <c r="CG48" s="874"/>
      <c r="CH48" s="874"/>
      <c r="CI48" s="874"/>
      <c r="CJ48" s="874"/>
      <c r="CK48" s="874"/>
      <c r="CL48" s="874"/>
      <c r="CM48" s="874"/>
      <c r="CN48" s="806"/>
      <c r="CO48" s="806"/>
      <c r="CP48" s="806"/>
      <c r="CQ48" s="806"/>
      <c r="CR48" s="806"/>
      <c r="CS48" s="806"/>
      <c r="CT48" s="806"/>
      <c r="CU48" s="806"/>
      <c r="CV48" s="806"/>
      <c r="CW48" s="806"/>
      <c r="CX48" s="806"/>
      <c r="CY48" s="806"/>
      <c r="CZ48" s="365"/>
      <c r="DA48" s="366"/>
      <c r="DB48" s="367"/>
      <c r="DC48" s="875"/>
      <c r="DD48" s="875"/>
      <c r="DE48" s="875"/>
      <c r="DF48" s="875"/>
      <c r="DG48" s="875"/>
      <c r="DH48" s="875"/>
      <c r="DI48" s="875"/>
      <c r="DJ48" s="875"/>
      <c r="DK48" s="875"/>
      <c r="DL48" s="875"/>
      <c r="DM48" s="866"/>
      <c r="DN48" s="866"/>
      <c r="DO48" s="866"/>
      <c r="DP48" s="866"/>
      <c r="DQ48" s="866"/>
      <c r="DR48" s="866"/>
      <c r="DS48" s="866"/>
      <c r="DT48" s="866"/>
      <c r="DU48" s="866"/>
      <c r="DV48" s="866"/>
      <c r="DW48" s="824"/>
      <c r="DX48" s="824"/>
      <c r="DY48" s="824"/>
      <c r="DZ48" s="824"/>
      <c r="EA48" s="824"/>
      <c r="EB48" s="824"/>
      <c r="EC48" s="824"/>
      <c r="ED48" s="824"/>
      <c r="EE48" s="824"/>
      <c r="EF48" s="824"/>
      <c r="EG48" s="826"/>
      <c r="EH48" s="826"/>
      <c r="EI48" s="826"/>
      <c r="EJ48" s="826"/>
      <c r="EK48" s="826"/>
      <c r="EL48" s="826"/>
      <c r="EM48" s="826"/>
      <c r="EN48" s="826"/>
      <c r="EO48" s="826"/>
      <c r="EP48" s="826"/>
      <c r="EQ48" s="826"/>
      <c r="ER48" s="826"/>
      <c r="ES48" s="826"/>
      <c r="ET48" s="826"/>
      <c r="EU48" s="826"/>
      <c r="EV48" s="826"/>
      <c r="EW48" s="826"/>
      <c r="EX48" s="826"/>
      <c r="EY48" s="826"/>
      <c r="EZ48" s="826"/>
      <c r="FA48" s="826"/>
      <c r="FB48" s="826"/>
      <c r="FC48" s="826"/>
      <c r="FD48" s="826"/>
      <c r="FE48" s="867"/>
      <c r="FF48" s="867"/>
      <c r="FG48" s="867"/>
      <c r="FH48" s="867"/>
      <c r="FI48" s="867"/>
      <c r="FJ48" s="867"/>
      <c r="FK48" s="867"/>
      <c r="FL48" s="867"/>
      <c r="FM48" s="867"/>
      <c r="FN48" s="833"/>
      <c r="FO48" s="833"/>
      <c r="FP48" s="833"/>
      <c r="FQ48" s="833"/>
      <c r="FR48" s="833"/>
      <c r="FS48" s="833"/>
      <c r="FT48" s="833"/>
      <c r="FU48" s="833"/>
      <c r="FV48" s="833"/>
      <c r="FW48" s="245"/>
      <c r="FX48" s="246"/>
      <c r="FY48" s="246"/>
      <c r="FZ48" s="246"/>
      <c r="GA48" s="246"/>
      <c r="GB48" s="246"/>
      <c r="GC48" s="246"/>
      <c r="GD48" s="246"/>
      <c r="GE48" s="246"/>
      <c r="GF48" s="246"/>
      <c r="GG48" s="246"/>
      <c r="GH48" s="246"/>
      <c r="GI48" s="246"/>
      <c r="GJ48" s="246"/>
      <c r="GK48" s="246"/>
      <c r="GL48" s="246"/>
      <c r="GM48" s="246"/>
      <c r="GN48" s="246"/>
      <c r="GO48" s="247"/>
      <c r="GP48" s="167"/>
      <c r="GQ48" s="2"/>
      <c r="GR48" s="2"/>
      <c r="GS48" s="2"/>
      <c r="GT48" s="2"/>
      <c r="GU48" s="2"/>
      <c r="GX48" s="249"/>
      <c r="GY48" s="249"/>
      <c r="HF48" s="148"/>
      <c r="HG48" s="148"/>
      <c r="HH48" s="148"/>
      <c r="HI48" s="148"/>
      <c r="HJ48" s="148"/>
      <c r="HK48" s="148"/>
      <c r="HL48" s="148"/>
      <c r="HM48" s="148"/>
      <c r="HN48" s="148"/>
      <c r="HO48" s="148"/>
      <c r="HP48" s="148"/>
      <c r="HQ48" s="148"/>
      <c r="HR48" s="148"/>
      <c r="HS48" s="148"/>
      <c r="HT48" s="148"/>
      <c r="HU48" s="148"/>
      <c r="HV48" s="148"/>
      <c r="IK48" s="241"/>
      <c r="IV48" s="242"/>
      <c r="JG48" s="243"/>
      <c r="JQ48" s="244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6"/>
      <c r="M49" s="167"/>
      <c r="N49" s="788">
        <v>16</v>
      </c>
      <c r="O49" s="788"/>
      <c r="P49" s="788"/>
      <c r="Q49" s="868"/>
      <c r="R49" s="868"/>
      <c r="S49" s="868"/>
      <c r="T49" s="868"/>
      <c r="U49" s="868"/>
      <c r="V49" s="869"/>
      <c r="W49" s="869"/>
      <c r="X49" s="869"/>
      <c r="Y49" s="869"/>
      <c r="Z49" s="869"/>
      <c r="AA49" s="869"/>
      <c r="AB49" s="869"/>
      <c r="AC49" s="869"/>
      <c r="AD49" s="869"/>
      <c r="AE49" s="869"/>
      <c r="AF49" s="869"/>
      <c r="AG49" s="869"/>
      <c r="AH49" s="869"/>
      <c r="AI49" s="869"/>
      <c r="AJ49" s="869"/>
      <c r="AK49" s="869"/>
      <c r="AL49" s="869"/>
      <c r="AM49" s="869"/>
      <c r="AN49" s="869"/>
      <c r="AO49" s="869"/>
      <c r="AP49" s="869"/>
      <c r="AQ49" s="869"/>
      <c r="AR49" s="869"/>
      <c r="AS49" s="869"/>
      <c r="AT49" s="869"/>
      <c r="AU49" s="869"/>
      <c r="AV49" s="869"/>
      <c r="AW49" s="869"/>
      <c r="AX49" s="869"/>
      <c r="AY49" s="869"/>
      <c r="AZ49" s="869"/>
      <c r="BA49" s="869"/>
      <c r="BB49" s="869"/>
      <c r="BC49" s="869"/>
      <c r="BD49" s="869"/>
      <c r="BE49" s="869"/>
      <c r="BF49" s="869"/>
      <c r="BG49" s="869"/>
      <c r="BH49" s="869"/>
      <c r="BI49" s="869"/>
      <c r="BJ49" s="870"/>
      <c r="BK49" s="870"/>
      <c r="BL49" s="870"/>
      <c r="BM49" s="870"/>
      <c r="BN49" s="870"/>
      <c r="BO49" s="870"/>
      <c r="BP49" s="870"/>
      <c r="BQ49" s="870"/>
      <c r="BR49" s="870"/>
      <c r="BS49" s="870"/>
      <c r="BT49" s="871">
        <f>KI_N*BEZ_Hilf_16_Anz</f>
        <v>0</v>
      </c>
      <c r="BU49" s="872"/>
      <c r="BV49" s="872"/>
      <c r="BW49" s="872"/>
      <c r="BX49" s="872"/>
      <c r="BY49" s="872"/>
      <c r="BZ49" s="872"/>
      <c r="CA49" s="872"/>
      <c r="CB49" s="872"/>
      <c r="CC49" s="873"/>
      <c r="CD49" s="874"/>
      <c r="CE49" s="874"/>
      <c r="CF49" s="874"/>
      <c r="CG49" s="874"/>
      <c r="CH49" s="874"/>
      <c r="CI49" s="874"/>
      <c r="CJ49" s="874"/>
      <c r="CK49" s="874"/>
      <c r="CL49" s="874"/>
      <c r="CM49" s="874"/>
      <c r="CN49" s="806" t="s">
        <v>82</v>
      </c>
      <c r="CO49" s="806"/>
      <c r="CP49" s="806"/>
      <c r="CQ49" s="806"/>
      <c r="CR49" s="806"/>
      <c r="CS49" s="806"/>
      <c r="CT49" s="806"/>
      <c r="CU49" s="806"/>
      <c r="CV49" s="806"/>
      <c r="CW49" s="806"/>
      <c r="CX49" s="806"/>
      <c r="CY49" s="806"/>
      <c r="CZ49" s="365"/>
      <c r="DA49" s="366"/>
      <c r="DB49" s="367"/>
      <c r="DC49" s="875"/>
      <c r="DD49" s="875"/>
      <c r="DE49" s="875"/>
      <c r="DF49" s="875"/>
      <c r="DG49" s="875"/>
      <c r="DH49" s="875"/>
      <c r="DI49" s="875"/>
      <c r="DJ49" s="875"/>
      <c r="DK49" s="875"/>
      <c r="DL49" s="875"/>
      <c r="DM49" s="866"/>
      <c r="DN49" s="866"/>
      <c r="DO49" s="866"/>
      <c r="DP49" s="866"/>
      <c r="DQ49" s="866"/>
      <c r="DR49" s="866"/>
      <c r="DS49" s="866"/>
      <c r="DT49" s="866"/>
      <c r="DU49" s="866"/>
      <c r="DV49" s="866"/>
      <c r="DW49" s="824">
        <f>BEZ_Hilf_16_EHPreis*(BEZ_Hilf_16_GKZ/100+1)</f>
        <v>0</v>
      </c>
      <c r="DX49" s="824"/>
      <c r="DY49" s="824"/>
      <c r="DZ49" s="824"/>
      <c r="EA49" s="824"/>
      <c r="EB49" s="824"/>
      <c r="EC49" s="824"/>
      <c r="ED49" s="824"/>
      <c r="EE49" s="824"/>
      <c r="EF49" s="824"/>
      <c r="EG49" s="826">
        <f>BEZ_Hilf_16_Anz*BEZ_Hilf_16_EHPreis*((BEZ_Hilf_16_GKZ/100)+1)</f>
        <v>0</v>
      </c>
      <c r="EH49" s="826"/>
      <c r="EI49" s="826"/>
      <c r="EJ49" s="826"/>
      <c r="EK49" s="826"/>
      <c r="EL49" s="826"/>
      <c r="EM49" s="826"/>
      <c r="EN49" s="826"/>
      <c r="EO49" s="826"/>
      <c r="EP49" s="826"/>
      <c r="EQ49" s="826"/>
      <c r="ER49" s="826"/>
      <c r="ES49" s="826"/>
      <c r="ET49" s="826"/>
      <c r="EU49" s="826">
        <f>BEZ_Hilf_16_PreisJeKiste*KI_N</f>
        <v>0</v>
      </c>
      <c r="EV49" s="826"/>
      <c r="EW49" s="826"/>
      <c r="EX49" s="826"/>
      <c r="EY49" s="826"/>
      <c r="EZ49" s="826"/>
      <c r="FA49" s="826"/>
      <c r="FB49" s="826"/>
      <c r="FC49" s="826"/>
      <c r="FD49" s="826"/>
      <c r="FE49" s="867"/>
      <c r="FF49" s="867"/>
      <c r="FG49" s="867"/>
      <c r="FH49" s="867"/>
      <c r="FI49" s="867"/>
      <c r="FJ49" s="867"/>
      <c r="FK49" s="867"/>
      <c r="FL49" s="867"/>
      <c r="FM49" s="867"/>
      <c r="FN49" s="833">
        <f>BEZ_Hilf_16_gJeEH*BEZ_Hilf_16_Anz</f>
        <v>0</v>
      </c>
      <c r="FO49" s="833"/>
      <c r="FP49" s="833"/>
      <c r="FQ49" s="833"/>
      <c r="FR49" s="833"/>
      <c r="FS49" s="833"/>
      <c r="FT49" s="833"/>
      <c r="FU49" s="833"/>
      <c r="FV49" s="833"/>
      <c r="FW49" s="245"/>
      <c r="FX49" s="246"/>
      <c r="FY49" s="246"/>
      <c r="FZ49" s="246"/>
      <c r="GA49" s="246"/>
      <c r="GB49" s="246"/>
      <c r="GC49" s="246"/>
      <c r="GD49" s="246"/>
      <c r="GE49" s="246"/>
      <c r="GF49" s="246"/>
      <c r="GG49" s="246"/>
      <c r="GH49" s="246"/>
      <c r="GI49" s="246"/>
      <c r="GJ49" s="246"/>
      <c r="GK49" s="246"/>
      <c r="GL49" s="246"/>
      <c r="GM49" s="246"/>
      <c r="GN49" s="246"/>
      <c r="GO49" s="247"/>
      <c r="GP49" s="167"/>
      <c r="GQ49" s="351"/>
      <c r="GR49" s="2"/>
      <c r="GS49" s="2"/>
      <c r="GT49" s="2"/>
      <c r="GU49" s="2"/>
      <c r="GX49" s="249"/>
      <c r="GY49" s="249"/>
      <c r="HF49" s="148"/>
      <c r="HG49" s="148"/>
      <c r="HH49" s="148"/>
      <c r="HI49" s="148"/>
      <c r="HJ49" s="148"/>
      <c r="HK49" s="148"/>
      <c r="HL49" s="148"/>
      <c r="HM49" s="148"/>
      <c r="HN49" s="148"/>
      <c r="HO49" s="148"/>
      <c r="HP49" s="148"/>
      <c r="HQ49" s="148"/>
      <c r="HR49" s="148"/>
      <c r="HS49" s="148"/>
      <c r="HT49" s="148"/>
      <c r="HU49" s="148"/>
      <c r="HV49" s="148"/>
      <c r="IK49" s="241"/>
      <c r="IV49" s="242"/>
      <c r="JG49" s="243"/>
      <c r="JQ49" s="244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6"/>
      <c r="M50" s="167"/>
      <c r="N50" s="788"/>
      <c r="O50" s="788"/>
      <c r="P50" s="788"/>
      <c r="Q50" s="868"/>
      <c r="R50" s="868"/>
      <c r="S50" s="868"/>
      <c r="T50" s="868"/>
      <c r="U50" s="868"/>
      <c r="V50" s="869"/>
      <c r="W50" s="869"/>
      <c r="X50" s="869"/>
      <c r="Y50" s="869"/>
      <c r="Z50" s="869"/>
      <c r="AA50" s="869"/>
      <c r="AB50" s="869"/>
      <c r="AC50" s="869"/>
      <c r="AD50" s="869"/>
      <c r="AE50" s="869"/>
      <c r="AF50" s="869"/>
      <c r="AG50" s="869"/>
      <c r="AH50" s="869"/>
      <c r="AI50" s="869"/>
      <c r="AJ50" s="869"/>
      <c r="AK50" s="869"/>
      <c r="AL50" s="869"/>
      <c r="AM50" s="869"/>
      <c r="AN50" s="869"/>
      <c r="AO50" s="869"/>
      <c r="AP50" s="869"/>
      <c r="AQ50" s="869"/>
      <c r="AR50" s="869"/>
      <c r="AS50" s="869"/>
      <c r="AT50" s="869"/>
      <c r="AU50" s="869"/>
      <c r="AV50" s="869"/>
      <c r="AW50" s="869"/>
      <c r="AX50" s="869"/>
      <c r="AY50" s="869"/>
      <c r="AZ50" s="869"/>
      <c r="BA50" s="869"/>
      <c r="BB50" s="869"/>
      <c r="BC50" s="869"/>
      <c r="BD50" s="869"/>
      <c r="BE50" s="869"/>
      <c r="BF50" s="869"/>
      <c r="BG50" s="869"/>
      <c r="BH50" s="869"/>
      <c r="BI50" s="869"/>
      <c r="BJ50" s="870"/>
      <c r="BK50" s="870"/>
      <c r="BL50" s="870"/>
      <c r="BM50" s="870"/>
      <c r="BN50" s="870"/>
      <c r="BO50" s="870"/>
      <c r="BP50" s="870"/>
      <c r="BQ50" s="870"/>
      <c r="BR50" s="870"/>
      <c r="BS50" s="870"/>
      <c r="BT50" s="871"/>
      <c r="BU50" s="872"/>
      <c r="BV50" s="872"/>
      <c r="BW50" s="872"/>
      <c r="BX50" s="872"/>
      <c r="BY50" s="872"/>
      <c r="BZ50" s="872"/>
      <c r="CA50" s="872"/>
      <c r="CB50" s="872"/>
      <c r="CC50" s="873"/>
      <c r="CD50" s="874"/>
      <c r="CE50" s="874"/>
      <c r="CF50" s="874"/>
      <c r="CG50" s="874"/>
      <c r="CH50" s="874"/>
      <c r="CI50" s="874"/>
      <c r="CJ50" s="874"/>
      <c r="CK50" s="874"/>
      <c r="CL50" s="874"/>
      <c r="CM50" s="874"/>
      <c r="CN50" s="806"/>
      <c r="CO50" s="806"/>
      <c r="CP50" s="806"/>
      <c r="CQ50" s="806"/>
      <c r="CR50" s="806"/>
      <c r="CS50" s="806"/>
      <c r="CT50" s="806"/>
      <c r="CU50" s="806"/>
      <c r="CV50" s="806"/>
      <c r="CW50" s="806"/>
      <c r="CX50" s="806"/>
      <c r="CY50" s="806"/>
      <c r="CZ50" s="365"/>
      <c r="DA50" s="366"/>
      <c r="DB50" s="367"/>
      <c r="DC50" s="875"/>
      <c r="DD50" s="875"/>
      <c r="DE50" s="875"/>
      <c r="DF50" s="875"/>
      <c r="DG50" s="875"/>
      <c r="DH50" s="875"/>
      <c r="DI50" s="875"/>
      <c r="DJ50" s="875"/>
      <c r="DK50" s="875"/>
      <c r="DL50" s="875"/>
      <c r="DM50" s="866"/>
      <c r="DN50" s="866"/>
      <c r="DO50" s="866"/>
      <c r="DP50" s="866"/>
      <c r="DQ50" s="866"/>
      <c r="DR50" s="866"/>
      <c r="DS50" s="866"/>
      <c r="DT50" s="866"/>
      <c r="DU50" s="866"/>
      <c r="DV50" s="866"/>
      <c r="DW50" s="824"/>
      <c r="DX50" s="824"/>
      <c r="DY50" s="824"/>
      <c r="DZ50" s="824"/>
      <c r="EA50" s="824"/>
      <c r="EB50" s="824"/>
      <c r="EC50" s="824"/>
      <c r="ED50" s="824"/>
      <c r="EE50" s="824"/>
      <c r="EF50" s="824"/>
      <c r="EG50" s="826"/>
      <c r="EH50" s="826"/>
      <c r="EI50" s="826"/>
      <c r="EJ50" s="826"/>
      <c r="EK50" s="826"/>
      <c r="EL50" s="826"/>
      <c r="EM50" s="826"/>
      <c r="EN50" s="826"/>
      <c r="EO50" s="826"/>
      <c r="EP50" s="826"/>
      <c r="EQ50" s="826"/>
      <c r="ER50" s="826"/>
      <c r="ES50" s="826"/>
      <c r="ET50" s="826"/>
      <c r="EU50" s="826"/>
      <c r="EV50" s="826"/>
      <c r="EW50" s="826"/>
      <c r="EX50" s="826"/>
      <c r="EY50" s="826"/>
      <c r="EZ50" s="826"/>
      <c r="FA50" s="826"/>
      <c r="FB50" s="826"/>
      <c r="FC50" s="826"/>
      <c r="FD50" s="826"/>
      <c r="FE50" s="867"/>
      <c r="FF50" s="867"/>
      <c r="FG50" s="867"/>
      <c r="FH50" s="867"/>
      <c r="FI50" s="867"/>
      <c r="FJ50" s="867"/>
      <c r="FK50" s="867"/>
      <c r="FL50" s="867"/>
      <c r="FM50" s="867"/>
      <c r="FN50" s="833"/>
      <c r="FO50" s="833"/>
      <c r="FP50" s="833"/>
      <c r="FQ50" s="833"/>
      <c r="FR50" s="833"/>
      <c r="FS50" s="833"/>
      <c r="FT50" s="833"/>
      <c r="FU50" s="833"/>
      <c r="FV50" s="833"/>
      <c r="FW50" s="245"/>
      <c r="FX50" s="246"/>
      <c r="FY50" s="246"/>
      <c r="FZ50" s="246"/>
      <c r="GA50" s="246"/>
      <c r="GB50" s="246"/>
      <c r="GC50" s="246"/>
      <c r="GD50" s="246"/>
      <c r="GE50" s="246"/>
      <c r="GF50" s="246"/>
      <c r="GG50" s="246"/>
      <c r="GH50" s="246"/>
      <c r="GI50" s="246"/>
      <c r="GJ50" s="246"/>
      <c r="GK50" s="246"/>
      <c r="GL50" s="246"/>
      <c r="GM50" s="246"/>
      <c r="GN50" s="246"/>
      <c r="GO50" s="247"/>
      <c r="GP50" s="167"/>
      <c r="GQ50" s="2"/>
      <c r="GR50" s="2"/>
      <c r="GS50" s="2"/>
      <c r="GT50" s="2"/>
      <c r="GU50" s="2"/>
      <c r="GX50" s="249"/>
      <c r="GY50" s="249"/>
      <c r="HF50" s="148"/>
      <c r="HG50" s="148"/>
      <c r="HH50" s="148"/>
      <c r="HI50" s="148"/>
      <c r="HJ50" s="148"/>
      <c r="HK50" s="148"/>
      <c r="HL50" s="148"/>
      <c r="HM50" s="148"/>
      <c r="HN50" s="148"/>
      <c r="HO50" s="148"/>
      <c r="HP50" s="148"/>
      <c r="HQ50" s="148"/>
      <c r="HR50" s="148"/>
      <c r="HS50" s="148"/>
      <c r="HT50" s="148"/>
      <c r="HU50" s="148"/>
      <c r="HV50" s="148"/>
      <c r="IK50" s="241"/>
      <c r="IV50" s="242"/>
      <c r="JG50" s="243"/>
      <c r="JQ50" s="244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6"/>
      <c r="M51" s="167"/>
      <c r="N51" s="788">
        <v>17</v>
      </c>
      <c r="O51" s="788"/>
      <c r="P51" s="788"/>
      <c r="Q51" s="868"/>
      <c r="R51" s="868"/>
      <c r="S51" s="868"/>
      <c r="T51" s="868"/>
      <c r="U51" s="868"/>
      <c r="V51" s="869"/>
      <c r="W51" s="869"/>
      <c r="X51" s="869"/>
      <c r="Y51" s="869"/>
      <c r="Z51" s="869"/>
      <c r="AA51" s="869"/>
      <c r="AB51" s="869"/>
      <c r="AC51" s="869"/>
      <c r="AD51" s="869"/>
      <c r="AE51" s="869"/>
      <c r="AF51" s="869"/>
      <c r="AG51" s="869"/>
      <c r="AH51" s="869"/>
      <c r="AI51" s="869"/>
      <c r="AJ51" s="869"/>
      <c r="AK51" s="869"/>
      <c r="AL51" s="869"/>
      <c r="AM51" s="869"/>
      <c r="AN51" s="869"/>
      <c r="AO51" s="869"/>
      <c r="AP51" s="869"/>
      <c r="AQ51" s="869"/>
      <c r="AR51" s="869"/>
      <c r="AS51" s="869"/>
      <c r="AT51" s="869"/>
      <c r="AU51" s="869"/>
      <c r="AV51" s="869"/>
      <c r="AW51" s="869"/>
      <c r="AX51" s="869"/>
      <c r="AY51" s="869"/>
      <c r="AZ51" s="869"/>
      <c r="BA51" s="869"/>
      <c r="BB51" s="869"/>
      <c r="BC51" s="869"/>
      <c r="BD51" s="869"/>
      <c r="BE51" s="869"/>
      <c r="BF51" s="869"/>
      <c r="BG51" s="869"/>
      <c r="BH51" s="869"/>
      <c r="BI51" s="869"/>
      <c r="BJ51" s="870"/>
      <c r="BK51" s="870"/>
      <c r="BL51" s="870"/>
      <c r="BM51" s="870"/>
      <c r="BN51" s="870"/>
      <c r="BO51" s="870"/>
      <c r="BP51" s="870"/>
      <c r="BQ51" s="870"/>
      <c r="BR51" s="870"/>
      <c r="BS51" s="870"/>
      <c r="BT51" s="871">
        <f>KI_N*BEZ_Hilf_17_Anz</f>
        <v>0</v>
      </c>
      <c r="BU51" s="872"/>
      <c r="BV51" s="872"/>
      <c r="BW51" s="872"/>
      <c r="BX51" s="872"/>
      <c r="BY51" s="872"/>
      <c r="BZ51" s="872"/>
      <c r="CA51" s="872"/>
      <c r="CB51" s="872"/>
      <c r="CC51" s="873"/>
      <c r="CD51" s="874"/>
      <c r="CE51" s="874"/>
      <c r="CF51" s="874"/>
      <c r="CG51" s="874"/>
      <c r="CH51" s="874"/>
      <c r="CI51" s="874"/>
      <c r="CJ51" s="874"/>
      <c r="CK51" s="874"/>
      <c r="CL51" s="874"/>
      <c r="CM51" s="874"/>
      <c r="CN51" s="806"/>
      <c r="CO51" s="806"/>
      <c r="CP51" s="806"/>
      <c r="CQ51" s="806"/>
      <c r="CR51" s="806"/>
      <c r="CS51" s="806"/>
      <c r="CT51" s="806"/>
      <c r="CU51" s="806"/>
      <c r="CV51" s="806"/>
      <c r="CW51" s="806"/>
      <c r="CX51" s="806"/>
      <c r="CY51" s="806"/>
      <c r="CZ51" s="365"/>
      <c r="DA51" s="366"/>
      <c r="DB51" s="367"/>
      <c r="DC51" s="875"/>
      <c r="DD51" s="875"/>
      <c r="DE51" s="875"/>
      <c r="DF51" s="875"/>
      <c r="DG51" s="875"/>
      <c r="DH51" s="875"/>
      <c r="DI51" s="875"/>
      <c r="DJ51" s="875"/>
      <c r="DK51" s="875"/>
      <c r="DL51" s="875"/>
      <c r="DM51" s="866"/>
      <c r="DN51" s="866"/>
      <c r="DO51" s="866"/>
      <c r="DP51" s="866"/>
      <c r="DQ51" s="866"/>
      <c r="DR51" s="866"/>
      <c r="DS51" s="866"/>
      <c r="DT51" s="866"/>
      <c r="DU51" s="866"/>
      <c r="DV51" s="866"/>
      <c r="DW51" s="824">
        <f>BEZ_Hilf_17_EHPreis*(BEZ_Hilf_17_GKZ/100+1)</f>
        <v>0</v>
      </c>
      <c r="DX51" s="824"/>
      <c r="DY51" s="824"/>
      <c r="DZ51" s="824"/>
      <c r="EA51" s="824"/>
      <c r="EB51" s="824"/>
      <c r="EC51" s="824"/>
      <c r="ED51" s="824"/>
      <c r="EE51" s="824"/>
      <c r="EF51" s="824"/>
      <c r="EG51" s="826">
        <f>BEZ_Hilf_17_Anz*BEZ_Hilf_17_EHPreis*((BEZ_Hilf_17_GKZ/100)+1)</f>
        <v>0</v>
      </c>
      <c r="EH51" s="826"/>
      <c r="EI51" s="826"/>
      <c r="EJ51" s="826"/>
      <c r="EK51" s="826"/>
      <c r="EL51" s="826"/>
      <c r="EM51" s="826"/>
      <c r="EN51" s="826"/>
      <c r="EO51" s="826"/>
      <c r="EP51" s="826"/>
      <c r="EQ51" s="826"/>
      <c r="ER51" s="826"/>
      <c r="ES51" s="826"/>
      <c r="ET51" s="826"/>
      <c r="EU51" s="826">
        <f>BEZ_Hilf_17_PreisJeKiste*KI_N</f>
        <v>0</v>
      </c>
      <c r="EV51" s="826"/>
      <c r="EW51" s="826"/>
      <c r="EX51" s="826"/>
      <c r="EY51" s="826"/>
      <c r="EZ51" s="826"/>
      <c r="FA51" s="826"/>
      <c r="FB51" s="826"/>
      <c r="FC51" s="826"/>
      <c r="FD51" s="826"/>
      <c r="FE51" s="867"/>
      <c r="FF51" s="867"/>
      <c r="FG51" s="867"/>
      <c r="FH51" s="867"/>
      <c r="FI51" s="867"/>
      <c r="FJ51" s="867"/>
      <c r="FK51" s="867"/>
      <c r="FL51" s="867"/>
      <c r="FM51" s="867"/>
      <c r="FN51" s="833">
        <f>BEZ_Hilf_17_gJeEH*BEZ_Hilf_17_Anz</f>
        <v>0</v>
      </c>
      <c r="FO51" s="833"/>
      <c r="FP51" s="833"/>
      <c r="FQ51" s="833"/>
      <c r="FR51" s="833"/>
      <c r="FS51" s="833"/>
      <c r="FT51" s="833"/>
      <c r="FU51" s="833"/>
      <c r="FV51" s="833"/>
      <c r="FW51" s="245"/>
      <c r="FX51" s="246"/>
      <c r="FY51" s="246"/>
      <c r="FZ51" s="246"/>
      <c r="GA51" s="246"/>
      <c r="GB51" s="246"/>
      <c r="GC51" s="246"/>
      <c r="GD51" s="246"/>
      <c r="GE51" s="246"/>
      <c r="GF51" s="246"/>
      <c r="GG51" s="246"/>
      <c r="GH51" s="246"/>
      <c r="GI51" s="246"/>
      <c r="GJ51" s="246"/>
      <c r="GK51" s="246"/>
      <c r="GL51" s="246"/>
      <c r="GM51" s="246"/>
      <c r="GN51" s="246"/>
      <c r="GO51" s="247"/>
      <c r="GP51" s="167"/>
      <c r="GQ51" s="351"/>
      <c r="GR51" s="2"/>
      <c r="GS51" s="2"/>
      <c r="GT51" s="2"/>
      <c r="GU51" s="2"/>
      <c r="GX51" s="249"/>
      <c r="GY51" s="249"/>
      <c r="HF51" s="148"/>
      <c r="HG51" s="148"/>
      <c r="HH51" s="148"/>
      <c r="HI51" s="148"/>
      <c r="HJ51" s="148"/>
      <c r="HK51" s="148"/>
      <c r="HL51" s="148"/>
      <c r="HM51" s="148"/>
      <c r="HN51" s="148"/>
      <c r="HO51" s="148"/>
      <c r="HP51" s="148"/>
      <c r="HQ51" s="148"/>
      <c r="HR51" s="148"/>
      <c r="HS51" s="148"/>
      <c r="HT51" s="148"/>
      <c r="HU51" s="148"/>
      <c r="HV51" s="148"/>
      <c r="IK51" s="241"/>
      <c r="IV51" s="242"/>
      <c r="JG51" s="243"/>
      <c r="JQ51" s="244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6"/>
      <c r="M52" s="167"/>
      <c r="N52" s="788"/>
      <c r="O52" s="788"/>
      <c r="P52" s="788"/>
      <c r="Q52" s="868"/>
      <c r="R52" s="868"/>
      <c r="S52" s="868"/>
      <c r="T52" s="868"/>
      <c r="U52" s="868"/>
      <c r="V52" s="869"/>
      <c r="W52" s="869"/>
      <c r="X52" s="869"/>
      <c r="Y52" s="869"/>
      <c r="Z52" s="869"/>
      <c r="AA52" s="869"/>
      <c r="AB52" s="869"/>
      <c r="AC52" s="869"/>
      <c r="AD52" s="869"/>
      <c r="AE52" s="869"/>
      <c r="AF52" s="869"/>
      <c r="AG52" s="869"/>
      <c r="AH52" s="869"/>
      <c r="AI52" s="869"/>
      <c r="AJ52" s="869"/>
      <c r="AK52" s="869"/>
      <c r="AL52" s="869"/>
      <c r="AM52" s="869"/>
      <c r="AN52" s="869"/>
      <c r="AO52" s="869"/>
      <c r="AP52" s="869"/>
      <c r="AQ52" s="869"/>
      <c r="AR52" s="869"/>
      <c r="AS52" s="869"/>
      <c r="AT52" s="869"/>
      <c r="AU52" s="869"/>
      <c r="AV52" s="869"/>
      <c r="AW52" s="869"/>
      <c r="AX52" s="869"/>
      <c r="AY52" s="869"/>
      <c r="AZ52" s="869"/>
      <c r="BA52" s="869"/>
      <c r="BB52" s="869"/>
      <c r="BC52" s="869"/>
      <c r="BD52" s="869"/>
      <c r="BE52" s="869"/>
      <c r="BF52" s="869"/>
      <c r="BG52" s="869"/>
      <c r="BH52" s="869"/>
      <c r="BI52" s="869"/>
      <c r="BJ52" s="870"/>
      <c r="BK52" s="870"/>
      <c r="BL52" s="870"/>
      <c r="BM52" s="870"/>
      <c r="BN52" s="870"/>
      <c r="BO52" s="870"/>
      <c r="BP52" s="870"/>
      <c r="BQ52" s="870"/>
      <c r="BR52" s="870"/>
      <c r="BS52" s="870"/>
      <c r="BT52" s="871"/>
      <c r="BU52" s="872"/>
      <c r="BV52" s="872"/>
      <c r="BW52" s="872"/>
      <c r="BX52" s="872"/>
      <c r="BY52" s="872"/>
      <c r="BZ52" s="872"/>
      <c r="CA52" s="872"/>
      <c r="CB52" s="872"/>
      <c r="CC52" s="873"/>
      <c r="CD52" s="874"/>
      <c r="CE52" s="874"/>
      <c r="CF52" s="874"/>
      <c r="CG52" s="874"/>
      <c r="CH52" s="874"/>
      <c r="CI52" s="874"/>
      <c r="CJ52" s="874"/>
      <c r="CK52" s="874"/>
      <c r="CL52" s="874"/>
      <c r="CM52" s="874"/>
      <c r="CN52" s="806"/>
      <c r="CO52" s="806"/>
      <c r="CP52" s="806"/>
      <c r="CQ52" s="806"/>
      <c r="CR52" s="806"/>
      <c r="CS52" s="806"/>
      <c r="CT52" s="806"/>
      <c r="CU52" s="806"/>
      <c r="CV52" s="806"/>
      <c r="CW52" s="806"/>
      <c r="CX52" s="806"/>
      <c r="CY52" s="806"/>
      <c r="CZ52" s="365"/>
      <c r="DA52" s="366"/>
      <c r="DB52" s="367"/>
      <c r="DC52" s="875"/>
      <c r="DD52" s="875"/>
      <c r="DE52" s="875"/>
      <c r="DF52" s="875"/>
      <c r="DG52" s="875"/>
      <c r="DH52" s="875"/>
      <c r="DI52" s="875"/>
      <c r="DJ52" s="875"/>
      <c r="DK52" s="875"/>
      <c r="DL52" s="875"/>
      <c r="DM52" s="866"/>
      <c r="DN52" s="866"/>
      <c r="DO52" s="866"/>
      <c r="DP52" s="866"/>
      <c r="DQ52" s="866"/>
      <c r="DR52" s="866"/>
      <c r="DS52" s="866"/>
      <c r="DT52" s="866"/>
      <c r="DU52" s="866"/>
      <c r="DV52" s="866"/>
      <c r="DW52" s="824"/>
      <c r="DX52" s="824"/>
      <c r="DY52" s="824"/>
      <c r="DZ52" s="824"/>
      <c r="EA52" s="824"/>
      <c r="EB52" s="824"/>
      <c r="EC52" s="824"/>
      <c r="ED52" s="824"/>
      <c r="EE52" s="824"/>
      <c r="EF52" s="824"/>
      <c r="EG52" s="826"/>
      <c r="EH52" s="826"/>
      <c r="EI52" s="826"/>
      <c r="EJ52" s="826"/>
      <c r="EK52" s="826"/>
      <c r="EL52" s="826"/>
      <c r="EM52" s="826"/>
      <c r="EN52" s="826"/>
      <c r="EO52" s="826"/>
      <c r="EP52" s="826"/>
      <c r="EQ52" s="826"/>
      <c r="ER52" s="826"/>
      <c r="ES52" s="826"/>
      <c r="ET52" s="826"/>
      <c r="EU52" s="826"/>
      <c r="EV52" s="826"/>
      <c r="EW52" s="826"/>
      <c r="EX52" s="826"/>
      <c r="EY52" s="826"/>
      <c r="EZ52" s="826"/>
      <c r="FA52" s="826"/>
      <c r="FB52" s="826"/>
      <c r="FC52" s="826"/>
      <c r="FD52" s="826"/>
      <c r="FE52" s="867"/>
      <c r="FF52" s="867"/>
      <c r="FG52" s="867"/>
      <c r="FH52" s="867"/>
      <c r="FI52" s="867"/>
      <c r="FJ52" s="867"/>
      <c r="FK52" s="867"/>
      <c r="FL52" s="867"/>
      <c r="FM52" s="867"/>
      <c r="FN52" s="833"/>
      <c r="FO52" s="833"/>
      <c r="FP52" s="833"/>
      <c r="FQ52" s="833"/>
      <c r="FR52" s="833"/>
      <c r="FS52" s="833"/>
      <c r="FT52" s="833"/>
      <c r="FU52" s="833"/>
      <c r="FV52" s="833"/>
      <c r="FW52" s="245"/>
      <c r="FX52" s="246"/>
      <c r="FY52" s="246"/>
      <c r="FZ52" s="246"/>
      <c r="GA52" s="246"/>
      <c r="GB52" s="246"/>
      <c r="GC52" s="246"/>
      <c r="GD52" s="246"/>
      <c r="GE52" s="246"/>
      <c r="GF52" s="246"/>
      <c r="GG52" s="246"/>
      <c r="GH52" s="246"/>
      <c r="GI52" s="246"/>
      <c r="GJ52" s="246"/>
      <c r="GK52" s="246"/>
      <c r="GL52" s="246"/>
      <c r="GM52" s="246"/>
      <c r="GN52" s="246"/>
      <c r="GO52" s="247"/>
      <c r="GP52" s="167"/>
      <c r="GQ52" s="2"/>
      <c r="GR52" s="2"/>
      <c r="GS52" s="2"/>
      <c r="GT52" s="2"/>
      <c r="GU52" s="2"/>
      <c r="GX52" s="249"/>
      <c r="GY52" s="249"/>
      <c r="HF52" s="148"/>
      <c r="HG52" s="148"/>
      <c r="HH52" s="148"/>
      <c r="HI52" s="148"/>
      <c r="HJ52" s="148"/>
      <c r="HK52" s="148"/>
      <c r="HL52" s="148"/>
      <c r="HM52" s="148"/>
      <c r="HN52" s="148"/>
      <c r="HO52" s="148"/>
      <c r="HP52" s="148"/>
      <c r="HQ52" s="148"/>
      <c r="HR52" s="148"/>
      <c r="HS52" s="148"/>
      <c r="HT52" s="148"/>
      <c r="HU52" s="148"/>
      <c r="HV52" s="148"/>
      <c r="IK52" s="241"/>
      <c r="IV52" s="242"/>
      <c r="JG52" s="243"/>
      <c r="JQ52" s="244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6"/>
      <c r="M53" s="167"/>
      <c r="N53" s="788">
        <v>18</v>
      </c>
      <c r="O53" s="788"/>
      <c r="P53" s="788"/>
      <c r="Q53" s="868"/>
      <c r="R53" s="868"/>
      <c r="S53" s="868"/>
      <c r="T53" s="868"/>
      <c r="U53" s="868"/>
      <c r="V53" s="869"/>
      <c r="W53" s="869"/>
      <c r="X53" s="869"/>
      <c r="Y53" s="869"/>
      <c r="Z53" s="869"/>
      <c r="AA53" s="869"/>
      <c r="AB53" s="869"/>
      <c r="AC53" s="869"/>
      <c r="AD53" s="869"/>
      <c r="AE53" s="869"/>
      <c r="AF53" s="869"/>
      <c r="AG53" s="869"/>
      <c r="AH53" s="869"/>
      <c r="AI53" s="869"/>
      <c r="AJ53" s="869"/>
      <c r="AK53" s="869"/>
      <c r="AL53" s="869"/>
      <c r="AM53" s="869"/>
      <c r="AN53" s="869"/>
      <c r="AO53" s="869"/>
      <c r="AP53" s="869"/>
      <c r="AQ53" s="869"/>
      <c r="AR53" s="869"/>
      <c r="AS53" s="869"/>
      <c r="AT53" s="869"/>
      <c r="AU53" s="869"/>
      <c r="AV53" s="869"/>
      <c r="AW53" s="869"/>
      <c r="AX53" s="869"/>
      <c r="AY53" s="869"/>
      <c r="AZ53" s="869"/>
      <c r="BA53" s="869"/>
      <c r="BB53" s="869"/>
      <c r="BC53" s="869"/>
      <c r="BD53" s="869"/>
      <c r="BE53" s="869"/>
      <c r="BF53" s="869"/>
      <c r="BG53" s="869"/>
      <c r="BH53" s="869"/>
      <c r="BI53" s="869"/>
      <c r="BJ53" s="870"/>
      <c r="BK53" s="870"/>
      <c r="BL53" s="870"/>
      <c r="BM53" s="870"/>
      <c r="BN53" s="870"/>
      <c r="BO53" s="870"/>
      <c r="BP53" s="870"/>
      <c r="BQ53" s="870"/>
      <c r="BR53" s="870"/>
      <c r="BS53" s="870"/>
      <c r="BT53" s="871">
        <f>KI_N*BEZ_Hilf_18_Anz</f>
        <v>0</v>
      </c>
      <c r="BU53" s="872"/>
      <c r="BV53" s="872"/>
      <c r="BW53" s="872"/>
      <c r="BX53" s="872"/>
      <c r="BY53" s="872"/>
      <c r="BZ53" s="872"/>
      <c r="CA53" s="872"/>
      <c r="CB53" s="872"/>
      <c r="CC53" s="873"/>
      <c r="CD53" s="874"/>
      <c r="CE53" s="874"/>
      <c r="CF53" s="874"/>
      <c r="CG53" s="874"/>
      <c r="CH53" s="874"/>
      <c r="CI53" s="874"/>
      <c r="CJ53" s="874"/>
      <c r="CK53" s="874"/>
      <c r="CL53" s="874"/>
      <c r="CM53" s="874"/>
      <c r="CN53" s="806"/>
      <c r="CO53" s="806"/>
      <c r="CP53" s="806"/>
      <c r="CQ53" s="806"/>
      <c r="CR53" s="806"/>
      <c r="CS53" s="806"/>
      <c r="CT53" s="806"/>
      <c r="CU53" s="806"/>
      <c r="CV53" s="806"/>
      <c r="CW53" s="806"/>
      <c r="CX53" s="806"/>
      <c r="CY53" s="806"/>
      <c r="CZ53" s="365"/>
      <c r="DA53" s="366"/>
      <c r="DB53" s="367"/>
      <c r="DC53" s="875"/>
      <c r="DD53" s="875"/>
      <c r="DE53" s="875"/>
      <c r="DF53" s="875"/>
      <c r="DG53" s="875"/>
      <c r="DH53" s="875"/>
      <c r="DI53" s="875"/>
      <c r="DJ53" s="875"/>
      <c r="DK53" s="875"/>
      <c r="DL53" s="875"/>
      <c r="DM53" s="866"/>
      <c r="DN53" s="866"/>
      <c r="DO53" s="866"/>
      <c r="DP53" s="866"/>
      <c r="DQ53" s="866"/>
      <c r="DR53" s="866"/>
      <c r="DS53" s="866"/>
      <c r="DT53" s="866"/>
      <c r="DU53" s="866"/>
      <c r="DV53" s="866"/>
      <c r="DW53" s="824">
        <f>BEZ_Hilf_18_EHPreis*(BEZ_Hilf_18_GKZ/100+1)</f>
        <v>0</v>
      </c>
      <c r="DX53" s="824"/>
      <c r="DY53" s="824"/>
      <c r="DZ53" s="824"/>
      <c r="EA53" s="824"/>
      <c r="EB53" s="824"/>
      <c r="EC53" s="824"/>
      <c r="ED53" s="824"/>
      <c r="EE53" s="824"/>
      <c r="EF53" s="824"/>
      <c r="EG53" s="826">
        <f>BEZ_Hilf_18_Anz*BEZ_Hilf_18_EHPreis*((BEZ_Hilf_18_GKZ/100)+1)</f>
        <v>0</v>
      </c>
      <c r="EH53" s="826"/>
      <c r="EI53" s="826"/>
      <c r="EJ53" s="826"/>
      <c r="EK53" s="826"/>
      <c r="EL53" s="826"/>
      <c r="EM53" s="826"/>
      <c r="EN53" s="826"/>
      <c r="EO53" s="826"/>
      <c r="EP53" s="826"/>
      <c r="EQ53" s="826"/>
      <c r="ER53" s="826"/>
      <c r="ES53" s="826"/>
      <c r="ET53" s="826"/>
      <c r="EU53" s="826">
        <f>BEZ_Hilf_18_PreisJeKiste*KI_N</f>
        <v>0</v>
      </c>
      <c r="EV53" s="826"/>
      <c r="EW53" s="826"/>
      <c r="EX53" s="826"/>
      <c r="EY53" s="826"/>
      <c r="EZ53" s="826"/>
      <c r="FA53" s="826"/>
      <c r="FB53" s="826"/>
      <c r="FC53" s="826"/>
      <c r="FD53" s="826"/>
      <c r="FE53" s="867"/>
      <c r="FF53" s="867"/>
      <c r="FG53" s="867"/>
      <c r="FH53" s="867"/>
      <c r="FI53" s="867"/>
      <c r="FJ53" s="867"/>
      <c r="FK53" s="867"/>
      <c r="FL53" s="867"/>
      <c r="FM53" s="867"/>
      <c r="FN53" s="833">
        <f>BEZ_Hilf_18_gJeEH*BEZ_Hilf_18_Anz</f>
        <v>0</v>
      </c>
      <c r="FO53" s="833"/>
      <c r="FP53" s="833"/>
      <c r="FQ53" s="833"/>
      <c r="FR53" s="833"/>
      <c r="FS53" s="833"/>
      <c r="FT53" s="833"/>
      <c r="FU53" s="833"/>
      <c r="FV53" s="833"/>
      <c r="FW53" s="245"/>
      <c r="FX53" s="246"/>
      <c r="FY53" s="246"/>
      <c r="FZ53" s="246"/>
      <c r="GA53" s="246"/>
      <c r="GB53" s="246"/>
      <c r="GC53" s="246"/>
      <c r="GD53" s="246"/>
      <c r="GE53" s="246"/>
      <c r="GF53" s="246"/>
      <c r="GG53" s="246"/>
      <c r="GH53" s="246"/>
      <c r="GI53" s="246"/>
      <c r="GJ53" s="246"/>
      <c r="GK53" s="246"/>
      <c r="GL53" s="246"/>
      <c r="GM53" s="246"/>
      <c r="GN53" s="246"/>
      <c r="GO53" s="247"/>
      <c r="GP53" s="167"/>
      <c r="GQ53" s="351"/>
      <c r="GR53" s="2"/>
      <c r="GS53" s="2"/>
      <c r="GT53" s="2"/>
      <c r="GU53" s="2"/>
      <c r="GX53" s="249"/>
      <c r="GY53" s="249"/>
      <c r="HF53" s="148"/>
      <c r="HG53" s="148"/>
      <c r="HH53" s="148"/>
      <c r="HI53" s="148"/>
      <c r="HJ53" s="148"/>
      <c r="HK53" s="148"/>
      <c r="HL53" s="148"/>
      <c r="HM53" s="148"/>
      <c r="HN53" s="148"/>
      <c r="HO53" s="148"/>
      <c r="HP53" s="148"/>
      <c r="HQ53" s="148"/>
      <c r="HR53" s="148"/>
      <c r="HS53" s="148"/>
      <c r="HT53" s="148"/>
      <c r="HU53" s="148"/>
      <c r="HV53" s="148"/>
      <c r="IK53" s="241"/>
      <c r="IV53" s="242"/>
      <c r="JG53" s="243"/>
      <c r="JQ53" s="244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2"/>
      <c r="M54" s="162"/>
      <c r="N54" s="788"/>
      <c r="O54" s="788"/>
      <c r="P54" s="788"/>
      <c r="Q54" s="868"/>
      <c r="R54" s="868"/>
      <c r="S54" s="868"/>
      <c r="T54" s="868"/>
      <c r="U54" s="868"/>
      <c r="V54" s="869"/>
      <c r="W54" s="869"/>
      <c r="X54" s="869"/>
      <c r="Y54" s="869"/>
      <c r="Z54" s="869"/>
      <c r="AA54" s="869"/>
      <c r="AB54" s="869"/>
      <c r="AC54" s="869"/>
      <c r="AD54" s="869"/>
      <c r="AE54" s="869"/>
      <c r="AF54" s="869"/>
      <c r="AG54" s="869"/>
      <c r="AH54" s="869"/>
      <c r="AI54" s="869"/>
      <c r="AJ54" s="869"/>
      <c r="AK54" s="869"/>
      <c r="AL54" s="869"/>
      <c r="AM54" s="869"/>
      <c r="AN54" s="869"/>
      <c r="AO54" s="869"/>
      <c r="AP54" s="869"/>
      <c r="AQ54" s="869"/>
      <c r="AR54" s="869"/>
      <c r="AS54" s="869"/>
      <c r="AT54" s="869"/>
      <c r="AU54" s="869"/>
      <c r="AV54" s="869"/>
      <c r="AW54" s="869"/>
      <c r="AX54" s="869"/>
      <c r="AY54" s="869"/>
      <c r="AZ54" s="869"/>
      <c r="BA54" s="869"/>
      <c r="BB54" s="869"/>
      <c r="BC54" s="869"/>
      <c r="BD54" s="869"/>
      <c r="BE54" s="869"/>
      <c r="BF54" s="869"/>
      <c r="BG54" s="869"/>
      <c r="BH54" s="869"/>
      <c r="BI54" s="869"/>
      <c r="BJ54" s="870"/>
      <c r="BK54" s="870"/>
      <c r="BL54" s="870"/>
      <c r="BM54" s="870"/>
      <c r="BN54" s="870"/>
      <c r="BO54" s="870"/>
      <c r="BP54" s="870"/>
      <c r="BQ54" s="870"/>
      <c r="BR54" s="870"/>
      <c r="BS54" s="870"/>
      <c r="BT54" s="871"/>
      <c r="BU54" s="872"/>
      <c r="BV54" s="872"/>
      <c r="BW54" s="872"/>
      <c r="BX54" s="872"/>
      <c r="BY54" s="872"/>
      <c r="BZ54" s="872"/>
      <c r="CA54" s="872"/>
      <c r="CB54" s="872"/>
      <c r="CC54" s="873"/>
      <c r="CD54" s="874"/>
      <c r="CE54" s="874"/>
      <c r="CF54" s="874"/>
      <c r="CG54" s="874"/>
      <c r="CH54" s="874"/>
      <c r="CI54" s="874"/>
      <c r="CJ54" s="874"/>
      <c r="CK54" s="874"/>
      <c r="CL54" s="874"/>
      <c r="CM54" s="874"/>
      <c r="CN54" s="806"/>
      <c r="CO54" s="806"/>
      <c r="CP54" s="806"/>
      <c r="CQ54" s="806"/>
      <c r="CR54" s="806"/>
      <c r="CS54" s="806"/>
      <c r="CT54" s="806"/>
      <c r="CU54" s="806"/>
      <c r="CV54" s="806"/>
      <c r="CW54" s="806"/>
      <c r="CX54" s="806"/>
      <c r="CY54" s="806"/>
      <c r="CZ54" s="365"/>
      <c r="DA54" s="366"/>
      <c r="DB54" s="367"/>
      <c r="DC54" s="875"/>
      <c r="DD54" s="875"/>
      <c r="DE54" s="875"/>
      <c r="DF54" s="875"/>
      <c r="DG54" s="875"/>
      <c r="DH54" s="875"/>
      <c r="DI54" s="875"/>
      <c r="DJ54" s="875"/>
      <c r="DK54" s="875"/>
      <c r="DL54" s="875"/>
      <c r="DM54" s="866"/>
      <c r="DN54" s="866"/>
      <c r="DO54" s="866"/>
      <c r="DP54" s="866"/>
      <c r="DQ54" s="866"/>
      <c r="DR54" s="866"/>
      <c r="DS54" s="866"/>
      <c r="DT54" s="866"/>
      <c r="DU54" s="866"/>
      <c r="DV54" s="866"/>
      <c r="DW54" s="824"/>
      <c r="DX54" s="824"/>
      <c r="DY54" s="824"/>
      <c r="DZ54" s="824"/>
      <c r="EA54" s="824"/>
      <c r="EB54" s="824"/>
      <c r="EC54" s="824"/>
      <c r="ED54" s="824"/>
      <c r="EE54" s="824"/>
      <c r="EF54" s="824"/>
      <c r="EG54" s="826"/>
      <c r="EH54" s="826"/>
      <c r="EI54" s="826"/>
      <c r="EJ54" s="826"/>
      <c r="EK54" s="826"/>
      <c r="EL54" s="826"/>
      <c r="EM54" s="826"/>
      <c r="EN54" s="826"/>
      <c r="EO54" s="826"/>
      <c r="EP54" s="826"/>
      <c r="EQ54" s="826"/>
      <c r="ER54" s="826"/>
      <c r="ES54" s="826"/>
      <c r="ET54" s="826"/>
      <c r="EU54" s="826"/>
      <c r="EV54" s="826"/>
      <c r="EW54" s="826"/>
      <c r="EX54" s="826"/>
      <c r="EY54" s="826"/>
      <c r="EZ54" s="826"/>
      <c r="FA54" s="826"/>
      <c r="FB54" s="826"/>
      <c r="FC54" s="826"/>
      <c r="FD54" s="826"/>
      <c r="FE54" s="867"/>
      <c r="FF54" s="867"/>
      <c r="FG54" s="867"/>
      <c r="FH54" s="867"/>
      <c r="FI54" s="867"/>
      <c r="FJ54" s="867"/>
      <c r="FK54" s="867"/>
      <c r="FL54" s="867"/>
      <c r="FM54" s="867"/>
      <c r="FN54" s="833"/>
      <c r="FO54" s="833"/>
      <c r="FP54" s="833"/>
      <c r="FQ54" s="833"/>
      <c r="FR54" s="833"/>
      <c r="FS54" s="833"/>
      <c r="FT54" s="833"/>
      <c r="FU54" s="833"/>
      <c r="FV54" s="833"/>
      <c r="FW54" s="245"/>
      <c r="FX54" s="246"/>
      <c r="FY54" s="246"/>
      <c r="FZ54" s="246"/>
      <c r="GA54" s="246"/>
      <c r="GB54" s="246"/>
      <c r="GC54" s="246"/>
      <c r="GD54" s="246"/>
      <c r="GE54" s="246"/>
      <c r="GF54" s="246"/>
      <c r="GG54" s="246"/>
      <c r="GH54" s="246"/>
      <c r="GI54" s="246"/>
      <c r="GJ54" s="246"/>
      <c r="GK54" s="246"/>
      <c r="GL54" s="246"/>
      <c r="GM54" s="246"/>
      <c r="GN54" s="246"/>
      <c r="GO54" s="247"/>
      <c r="GP54" s="167"/>
      <c r="GQ54" s="2"/>
      <c r="GR54" s="2"/>
      <c r="GS54" s="2"/>
      <c r="GT54" s="2"/>
      <c r="GU54" s="2"/>
      <c r="GX54" s="249"/>
      <c r="GY54" s="249"/>
      <c r="HF54" s="148"/>
      <c r="HG54" s="148"/>
      <c r="HH54" s="148"/>
      <c r="HI54" s="148"/>
      <c r="HJ54" s="148"/>
      <c r="HK54" s="148"/>
      <c r="HL54" s="148"/>
      <c r="HM54" s="148"/>
      <c r="HN54" s="148"/>
      <c r="HO54" s="148"/>
      <c r="HP54" s="148"/>
      <c r="HQ54" s="148"/>
      <c r="HR54" s="148"/>
      <c r="HS54" s="148"/>
      <c r="HT54" s="148"/>
      <c r="HU54" s="148"/>
      <c r="HV54" s="148"/>
      <c r="IK54" s="241"/>
      <c r="IV54" s="242"/>
      <c r="JG54" s="243"/>
      <c r="JQ54" s="244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2"/>
      <c r="M55" s="162"/>
      <c r="N55" s="788">
        <v>19</v>
      </c>
      <c r="O55" s="788"/>
      <c r="P55" s="788"/>
      <c r="Q55" s="868"/>
      <c r="R55" s="868"/>
      <c r="S55" s="868"/>
      <c r="T55" s="868"/>
      <c r="U55" s="868"/>
      <c r="V55" s="869"/>
      <c r="W55" s="869"/>
      <c r="X55" s="869"/>
      <c r="Y55" s="869"/>
      <c r="Z55" s="869"/>
      <c r="AA55" s="869"/>
      <c r="AB55" s="869"/>
      <c r="AC55" s="869"/>
      <c r="AD55" s="869"/>
      <c r="AE55" s="869"/>
      <c r="AF55" s="869"/>
      <c r="AG55" s="869"/>
      <c r="AH55" s="869"/>
      <c r="AI55" s="869"/>
      <c r="AJ55" s="869"/>
      <c r="AK55" s="869"/>
      <c r="AL55" s="869"/>
      <c r="AM55" s="869"/>
      <c r="AN55" s="869"/>
      <c r="AO55" s="869"/>
      <c r="AP55" s="869"/>
      <c r="AQ55" s="869"/>
      <c r="AR55" s="869"/>
      <c r="AS55" s="869"/>
      <c r="AT55" s="869"/>
      <c r="AU55" s="869"/>
      <c r="AV55" s="869"/>
      <c r="AW55" s="869"/>
      <c r="AX55" s="869"/>
      <c r="AY55" s="869"/>
      <c r="AZ55" s="869"/>
      <c r="BA55" s="869"/>
      <c r="BB55" s="869"/>
      <c r="BC55" s="869"/>
      <c r="BD55" s="869"/>
      <c r="BE55" s="869"/>
      <c r="BF55" s="869"/>
      <c r="BG55" s="869"/>
      <c r="BH55" s="869"/>
      <c r="BI55" s="869"/>
      <c r="BJ55" s="870"/>
      <c r="BK55" s="870"/>
      <c r="BL55" s="870"/>
      <c r="BM55" s="870"/>
      <c r="BN55" s="870"/>
      <c r="BO55" s="870"/>
      <c r="BP55" s="870"/>
      <c r="BQ55" s="870"/>
      <c r="BR55" s="870"/>
      <c r="BS55" s="870"/>
      <c r="BT55" s="871">
        <f>KI_N*BEZ_Hilf_19_Anz</f>
        <v>0</v>
      </c>
      <c r="BU55" s="872"/>
      <c r="BV55" s="872"/>
      <c r="BW55" s="872"/>
      <c r="BX55" s="872"/>
      <c r="BY55" s="872"/>
      <c r="BZ55" s="872"/>
      <c r="CA55" s="872"/>
      <c r="CB55" s="872"/>
      <c r="CC55" s="873"/>
      <c r="CD55" s="874"/>
      <c r="CE55" s="874"/>
      <c r="CF55" s="874"/>
      <c r="CG55" s="874"/>
      <c r="CH55" s="874"/>
      <c r="CI55" s="874"/>
      <c r="CJ55" s="874"/>
      <c r="CK55" s="874"/>
      <c r="CL55" s="874"/>
      <c r="CM55" s="874"/>
      <c r="CN55" s="806"/>
      <c r="CO55" s="806"/>
      <c r="CP55" s="806"/>
      <c r="CQ55" s="806"/>
      <c r="CR55" s="806"/>
      <c r="CS55" s="806"/>
      <c r="CT55" s="806"/>
      <c r="CU55" s="806"/>
      <c r="CV55" s="806"/>
      <c r="CW55" s="806"/>
      <c r="CX55" s="806"/>
      <c r="CY55" s="806"/>
      <c r="CZ55" s="365"/>
      <c r="DA55" s="366"/>
      <c r="DB55" s="367"/>
      <c r="DC55" s="875"/>
      <c r="DD55" s="875"/>
      <c r="DE55" s="875"/>
      <c r="DF55" s="875"/>
      <c r="DG55" s="875"/>
      <c r="DH55" s="875"/>
      <c r="DI55" s="875"/>
      <c r="DJ55" s="875"/>
      <c r="DK55" s="875"/>
      <c r="DL55" s="875"/>
      <c r="DM55" s="866"/>
      <c r="DN55" s="866"/>
      <c r="DO55" s="866"/>
      <c r="DP55" s="866"/>
      <c r="DQ55" s="866"/>
      <c r="DR55" s="866"/>
      <c r="DS55" s="866"/>
      <c r="DT55" s="866"/>
      <c r="DU55" s="866"/>
      <c r="DV55" s="866"/>
      <c r="DW55" s="824">
        <f>BEZ_Hilf_19_EHPreis*(BEZ_Hilf_19_GKZ/100+1)</f>
        <v>0</v>
      </c>
      <c r="DX55" s="824"/>
      <c r="DY55" s="824"/>
      <c r="DZ55" s="824"/>
      <c r="EA55" s="824"/>
      <c r="EB55" s="824"/>
      <c r="EC55" s="824"/>
      <c r="ED55" s="824"/>
      <c r="EE55" s="824"/>
      <c r="EF55" s="824"/>
      <c r="EG55" s="826">
        <f>BEZ_Hilf_19_Anz*BEZ_Hilf_19_EHPreis*((BEZ_Hilf_19_GKZ/100)+1)</f>
        <v>0</v>
      </c>
      <c r="EH55" s="826"/>
      <c r="EI55" s="826"/>
      <c r="EJ55" s="826"/>
      <c r="EK55" s="826"/>
      <c r="EL55" s="826"/>
      <c r="EM55" s="826"/>
      <c r="EN55" s="826"/>
      <c r="EO55" s="826"/>
      <c r="EP55" s="826"/>
      <c r="EQ55" s="826"/>
      <c r="ER55" s="826"/>
      <c r="ES55" s="826"/>
      <c r="ET55" s="826"/>
      <c r="EU55" s="826">
        <f>BEZ_Hilf_19_PreisJeKiste*KI_N</f>
        <v>0</v>
      </c>
      <c r="EV55" s="826"/>
      <c r="EW55" s="826"/>
      <c r="EX55" s="826"/>
      <c r="EY55" s="826"/>
      <c r="EZ55" s="826"/>
      <c r="FA55" s="826"/>
      <c r="FB55" s="826"/>
      <c r="FC55" s="826"/>
      <c r="FD55" s="826"/>
      <c r="FE55" s="867"/>
      <c r="FF55" s="867"/>
      <c r="FG55" s="867"/>
      <c r="FH55" s="867"/>
      <c r="FI55" s="867"/>
      <c r="FJ55" s="867"/>
      <c r="FK55" s="867"/>
      <c r="FL55" s="867"/>
      <c r="FM55" s="867"/>
      <c r="FN55" s="833">
        <f>BEZ_Hilf_19_gJeEH*BEZ_Hilf_19_Anz</f>
        <v>0</v>
      </c>
      <c r="FO55" s="833"/>
      <c r="FP55" s="833"/>
      <c r="FQ55" s="833"/>
      <c r="FR55" s="833"/>
      <c r="FS55" s="833"/>
      <c r="FT55" s="833"/>
      <c r="FU55" s="833"/>
      <c r="FV55" s="833"/>
      <c r="FW55" s="245"/>
      <c r="FX55" s="246"/>
      <c r="FY55" s="246"/>
      <c r="FZ55" s="246"/>
      <c r="GA55" s="246"/>
      <c r="GB55" s="246"/>
      <c r="GC55" s="246"/>
      <c r="GD55" s="246"/>
      <c r="GE55" s="246"/>
      <c r="GF55" s="246"/>
      <c r="GG55" s="246"/>
      <c r="GH55" s="246"/>
      <c r="GI55" s="246"/>
      <c r="GJ55" s="246"/>
      <c r="GK55" s="246"/>
      <c r="GL55" s="246"/>
      <c r="GM55" s="246"/>
      <c r="GN55" s="246"/>
      <c r="GO55" s="247"/>
      <c r="GP55" s="167"/>
      <c r="GQ55" s="351"/>
      <c r="GR55" s="2"/>
      <c r="GS55" s="2"/>
      <c r="GT55" s="2"/>
      <c r="GU55" s="2"/>
      <c r="GX55" s="249"/>
      <c r="GY55" s="249"/>
      <c r="HF55" s="148"/>
      <c r="HG55" s="148"/>
      <c r="HH55" s="148"/>
      <c r="HI55" s="148"/>
      <c r="HJ55" s="148"/>
      <c r="HK55" s="148"/>
      <c r="HL55" s="148"/>
      <c r="HM55" s="148"/>
      <c r="HN55" s="148"/>
      <c r="HO55" s="148"/>
      <c r="HP55" s="148"/>
      <c r="HQ55" s="148"/>
      <c r="HR55" s="148"/>
      <c r="HS55" s="148"/>
      <c r="HT55" s="148"/>
      <c r="HU55" s="148"/>
      <c r="HV55" s="148"/>
      <c r="IK55" s="241"/>
      <c r="IV55" s="242"/>
      <c r="JG55" s="243"/>
      <c r="JQ55" s="244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2"/>
      <c r="M56" s="162"/>
      <c r="N56" s="788"/>
      <c r="O56" s="788"/>
      <c r="P56" s="788"/>
      <c r="Q56" s="868"/>
      <c r="R56" s="868"/>
      <c r="S56" s="868"/>
      <c r="T56" s="868"/>
      <c r="U56" s="868"/>
      <c r="V56" s="869"/>
      <c r="W56" s="869"/>
      <c r="X56" s="869"/>
      <c r="Y56" s="869"/>
      <c r="Z56" s="869"/>
      <c r="AA56" s="869"/>
      <c r="AB56" s="869"/>
      <c r="AC56" s="869"/>
      <c r="AD56" s="869"/>
      <c r="AE56" s="869"/>
      <c r="AF56" s="869"/>
      <c r="AG56" s="869"/>
      <c r="AH56" s="869"/>
      <c r="AI56" s="869"/>
      <c r="AJ56" s="869"/>
      <c r="AK56" s="869"/>
      <c r="AL56" s="869"/>
      <c r="AM56" s="869"/>
      <c r="AN56" s="869"/>
      <c r="AO56" s="869"/>
      <c r="AP56" s="869"/>
      <c r="AQ56" s="869"/>
      <c r="AR56" s="869"/>
      <c r="AS56" s="869"/>
      <c r="AT56" s="869"/>
      <c r="AU56" s="869"/>
      <c r="AV56" s="869"/>
      <c r="AW56" s="869"/>
      <c r="AX56" s="869"/>
      <c r="AY56" s="869"/>
      <c r="AZ56" s="869"/>
      <c r="BA56" s="869"/>
      <c r="BB56" s="869"/>
      <c r="BC56" s="869"/>
      <c r="BD56" s="869"/>
      <c r="BE56" s="869"/>
      <c r="BF56" s="869"/>
      <c r="BG56" s="869"/>
      <c r="BH56" s="869"/>
      <c r="BI56" s="869"/>
      <c r="BJ56" s="870"/>
      <c r="BK56" s="870"/>
      <c r="BL56" s="870"/>
      <c r="BM56" s="870"/>
      <c r="BN56" s="870"/>
      <c r="BO56" s="870"/>
      <c r="BP56" s="870"/>
      <c r="BQ56" s="870"/>
      <c r="BR56" s="870"/>
      <c r="BS56" s="870"/>
      <c r="BT56" s="871"/>
      <c r="BU56" s="872"/>
      <c r="BV56" s="872"/>
      <c r="BW56" s="872"/>
      <c r="BX56" s="872"/>
      <c r="BY56" s="872"/>
      <c r="BZ56" s="872"/>
      <c r="CA56" s="872"/>
      <c r="CB56" s="872"/>
      <c r="CC56" s="873"/>
      <c r="CD56" s="874"/>
      <c r="CE56" s="874"/>
      <c r="CF56" s="874"/>
      <c r="CG56" s="874"/>
      <c r="CH56" s="874"/>
      <c r="CI56" s="874"/>
      <c r="CJ56" s="874"/>
      <c r="CK56" s="874"/>
      <c r="CL56" s="874"/>
      <c r="CM56" s="874"/>
      <c r="CN56" s="806"/>
      <c r="CO56" s="806"/>
      <c r="CP56" s="806"/>
      <c r="CQ56" s="806"/>
      <c r="CR56" s="806"/>
      <c r="CS56" s="806"/>
      <c r="CT56" s="806"/>
      <c r="CU56" s="806"/>
      <c r="CV56" s="806"/>
      <c r="CW56" s="806"/>
      <c r="CX56" s="806"/>
      <c r="CY56" s="806"/>
      <c r="CZ56" s="365"/>
      <c r="DA56" s="366"/>
      <c r="DB56" s="367"/>
      <c r="DC56" s="875"/>
      <c r="DD56" s="875"/>
      <c r="DE56" s="875"/>
      <c r="DF56" s="875"/>
      <c r="DG56" s="875"/>
      <c r="DH56" s="875"/>
      <c r="DI56" s="875"/>
      <c r="DJ56" s="875"/>
      <c r="DK56" s="875"/>
      <c r="DL56" s="875"/>
      <c r="DM56" s="866"/>
      <c r="DN56" s="866"/>
      <c r="DO56" s="866"/>
      <c r="DP56" s="866"/>
      <c r="DQ56" s="866"/>
      <c r="DR56" s="866"/>
      <c r="DS56" s="866"/>
      <c r="DT56" s="866"/>
      <c r="DU56" s="866"/>
      <c r="DV56" s="866"/>
      <c r="DW56" s="824"/>
      <c r="DX56" s="824"/>
      <c r="DY56" s="824"/>
      <c r="DZ56" s="824"/>
      <c r="EA56" s="824"/>
      <c r="EB56" s="824"/>
      <c r="EC56" s="824"/>
      <c r="ED56" s="824"/>
      <c r="EE56" s="824"/>
      <c r="EF56" s="824"/>
      <c r="EG56" s="826"/>
      <c r="EH56" s="826"/>
      <c r="EI56" s="826"/>
      <c r="EJ56" s="826"/>
      <c r="EK56" s="826"/>
      <c r="EL56" s="826"/>
      <c r="EM56" s="826"/>
      <c r="EN56" s="826"/>
      <c r="EO56" s="826"/>
      <c r="EP56" s="826"/>
      <c r="EQ56" s="826"/>
      <c r="ER56" s="826"/>
      <c r="ES56" s="826"/>
      <c r="ET56" s="826"/>
      <c r="EU56" s="826"/>
      <c r="EV56" s="826"/>
      <c r="EW56" s="826"/>
      <c r="EX56" s="826"/>
      <c r="EY56" s="826"/>
      <c r="EZ56" s="826"/>
      <c r="FA56" s="826"/>
      <c r="FB56" s="826"/>
      <c r="FC56" s="826"/>
      <c r="FD56" s="826"/>
      <c r="FE56" s="867"/>
      <c r="FF56" s="867"/>
      <c r="FG56" s="867"/>
      <c r="FH56" s="867"/>
      <c r="FI56" s="867"/>
      <c r="FJ56" s="867"/>
      <c r="FK56" s="867"/>
      <c r="FL56" s="867"/>
      <c r="FM56" s="867"/>
      <c r="FN56" s="833"/>
      <c r="FO56" s="833"/>
      <c r="FP56" s="833"/>
      <c r="FQ56" s="833"/>
      <c r="FR56" s="833"/>
      <c r="FS56" s="833"/>
      <c r="FT56" s="833"/>
      <c r="FU56" s="833"/>
      <c r="FV56" s="833"/>
      <c r="FW56" s="245"/>
      <c r="FX56" s="246"/>
      <c r="FY56" s="246"/>
      <c r="FZ56" s="246"/>
      <c r="GA56" s="246"/>
      <c r="GB56" s="246"/>
      <c r="GC56" s="246"/>
      <c r="GD56" s="246"/>
      <c r="GE56" s="246"/>
      <c r="GF56" s="246"/>
      <c r="GG56" s="246"/>
      <c r="GH56" s="246"/>
      <c r="GI56" s="246"/>
      <c r="GJ56" s="246"/>
      <c r="GK56" s="246"/>
      <c r="GL56" s="246"/>
      <c r="GM56" s="246"/>
      <c r="GN56" s="246"/>
      <c r="GO56" s="247"/>
      <c r="GP56" s="167"/>
      <c r="GQ56" s="2"/>
      <c r="GR56" s="2"/>
      <c r="GS56" s="2"/>
      <c r="GT56" s="2"/>
      <c r="GU56" s="2"/>
      <c r="GX56" s="249"/>
      <c r="GY56" s="249"/>
      <c r="HF56" s="148"/>
      <c r="HG56" s="148"/>
      <c r="HH56" s="148"/>
      <c r="HI56" s="148"/>
      <c r="HJ56" s="148"/>
      <c r="HK56" s="148"/>
      <c r="HL56" s="148"/>
      <c r="HM56" s="148"/>
      <c r="HN56" s="148"/>
      <c r="HO56" s="148"/>
      <c r="HP56" s="148"/>
      <c r="HQ56" s="148"/>
      <c r="HR56" s="148"/>
      <c r="HS56" s="148"/>
      <c r="HT56" s="148"/>
      <c r="HU56" s="148"/>
      <c r="HV56" s="148"/>
      <c r="IK56" s="241"/>
      <c r="IV56" s="242"/>
      <c r="JG56" s="243"/>
      <c r="JQ56" s="244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2"/>
      <c r="M57" s="162"/>
      <c r="N57" s="788">
        <v>20</v>
      </c>
      <c r="O57" s="788"/>
      <c r="P57" s="788"/>
      <c r="Q57" s="868"/>
      <c r="R57" s="868"/>
      <c r="S57" s="868"/>
      <c r="T57" s="868"/>
      <c r="U57" s="868"/>
      <c r="V57" s="869"/>
      <c r="W57" s="869"/>
      <c r="X57" s="869"/>
      <c r="Y57" s="869"/>
      <c r="Z57" s="869"/>
      <c r="AA57" s="869"/>
      <c r="AB57" s="869"/>
      <c r="AC57" s="869"/>
      <c r="AD57" s="869"/>
      <c r="AE57" s="869"/>
      <c r="AF57" s="869"/>
      <c r="AG57" s="869"/>
      <c r="AH57" s="869"/>
      <c r="AI57" s="869"/>
      <c r="AJ57" s="869"/>
      <c r="AK57" s="869"/>
      <c r="AL57" s="869"/>
      <c r="AM57" s="869"/>
      <c r="AN57" s="869"/>
      <c r="AO57" s="869"/>
      <c r="AP57" s="869"/>
      <c r="AQ57" s="869"/>
      <c r="AR57" s="869"/>
      <c r="AS57" s="869"/>
      <c r="AT57" s="869"/>
      <c r="AU57" s="869"/>
      <c r="AV57" s="869"/>
      <c r="AW57" s="869"/>
      <c r="AX57" s="869"/>
      <c r="AY57" s="869"/>
      <c r="AZ57" s="869"/>
      <c r="BA57" s="869"/>
      <c r="BB57" s="869"/>
      <c r="BC57" s="869"/>
      <c r="BD57" s="869"/>
      <c r="BE57" s="869"/>
      <c r="BF57" s="869"/>
      <c r="BG57" s="869"/>
      <c r="BH57" s="869"/>
      <c r="BI57" s="869"/>
      <c r="BJ57" s="870"/>
      <c r="BK57" s="870"/>
      <c r="BL57" s="870"/>
      <c r="BM57" s="870"/>
      <c r="BN57" s="870"/>
      <c r="BO57" s="870"/>
      <c r="BP57" s="870"/>
      <c r="BQ57" s="870"/>
      <c r="BR57" s="870"/>
      <c r="BS57" s="870"/>
      <c r="BT57" s="871">
        <f>KI_N*BEZ_Hilf_20_Anz</f>
        <v>0</v>
      </c>
      <c r="BU57" s="872"/>
      <c r="BV57" s="872"/>
      <c r="BW57" s="872"/>
      <c r="BX57" s="872"/>
      <c r="BY57" s="872"/>
      <c r="BZ57" s="872"/>
      <c r="CA57" s="872"/>
      <c r="CB57" s="872"/>
      <c r="CC57" s="873"/>
      <c r="CD57" s="874"/>
      <c r="CE57" s="874"/>
      <c r="CF57" s="874"/>
      <c r="CG57" s="874"/>
      <c r="CH57" s="874"/>
      <c r="CI57" s="874"/>
      <c r="CJ57" s="874"/>
      <c r="CK57" s="874"/>
      <c r="CL57" s="874"/>
      <c r="CM57" s="874"/>
      <c r="CN57" s="806"/>
      <c r="CO57" s="806"/>
      <c r="CP57" s="806"/>
      <c r="CQ57" s="806"/>
      <c r="CR57" s="806"/>
      <c r="CS57" s="806"/>
      <c r="CT57" s="806"/>
      <c r="CU57" s="806"/>
      <c r="CV57" s="806"/>
      <c r="CW57" s="806"/>
      <c r="CX57" s="806"/>
      <c r="CY57" s="806"/>
      <c r="CZ57" s="365"/>
      <c r="DA57" s="366"/>
      <c r="DB57" s="367"/>
      <c r="DC57" s="875"/>
      <c r="DD57" s="875"/>
      <c r="DE57" s="875"/>
      <c r="DF57" s="875"/>
      <c r="DG57" s="875"/>
      <c r="DH57" s="875"/>
      <c r="DI57" s="875"/>
      <c r="DJ57" s="875"/>
      <c r="DK57" s="875"/>
      <c r="DL57" s="875"/>
      <c r="DM57" s="866"/>
      <c r="DN57" s="866"/>
      <c r="DO57" s="866"/>
      <c r="DP57" s="866"/>
      <c r="DQ57" s="866"/>
      <c r="DR57" s="866"/>
      <c r="DS57" s="866"/>
      <c r="DT57" s="866"/>
      <c r="DU57" s="866"/>
      <c r="DV57" s="866"/>
      <c r="DW57" s="824">
        <f>BEZ_Hilf_20_EHPreis*(BEZ_Hilf_20_GKZ/100+1)</f>
        <v>0</v>
      </c>
      <c r="DX57" s="824"/>
      <c r="DY57" s="824"/>
      <c r="DZ57" s="824"/>
      <c r="EA57" s="824"/>
      <c r="EB57" s="824"/>
      <c r="EC57" s="824"/>
      <c r="ED57" s="824"/>
      <c r="EE57" s="824"/>
      <c r="EF57" s="824"/>
      <c r="EG57" s="826">
        <f>BEZ_Hilf_20_Anz*BEZ_Hilf_20_EHPreis*((BEZ_Hilf_20_GKZ/100)+1)</f>
        <v>0</v>
      </c>
      <c r="EH57" s="826"/>
      <c r="EI57" s="826"/>
      <c r="EJ57" s="826"/>
      <c r="EK57" s="826"/>
      <c r="EL57" s="826"/>
      <c r="EM57" s="826"/>
      <c r="EN57" s="826"/>
      <c r="EO57" s="826"/>
      <c r="EP57" s="826"/>
      <c r="EQ57" s="826"/>
      <c r="ER57" s="826"/>
      <c r="ES57" s="826"/>
      <c r="ET57" s="826"/>
      <c r="EU57" s="826">
        <f>BEZ_Hilf_20_PreisJeKiste*KI_N</f>
        <v>0</v>
      </c>
      <c r="EV57" s="826"/>
      <c r="EW57" s="826"/>
      <c r="EX57" s="826"/>
      <c r="EY57" s="826"/>
      <c r="EZ57" s="826"/>
      <c r="FA57" s="826"/>
      <c r="FB57" s="826"/>
      <c r="FC57" s="826"/>
      <c r="FD57" s="826"/>
      <c r="FE57" s="867"/>
      <c r="FF57" s="867"/>
      <c r="FG57" s="867"/>
      <c r="FH57" s="867"/>
      <c r="FI57" s="867"/>
      <c r="FJ57" s="867"/>
      <c r="FK57" s="867"/>
      <c r="FL57" s="867"/>
      <c r="FM57" s="867"/>
      <c r="FN57" s="833">
        <f>BEZ_Hilf_20_gJeEH*BEZ_Hilf_20_Anz</f>
        <v>0</v>
      </c>
      <c r="FO57" s="833"/>
      <c r="FP57" s="833"/>
      <c r="FQ57" s="833"/>
      <c r="FR57" s="833"/>
      <c r="FS57" s="833"/>
      <c r="FT57" s="833"/>
      <c r="FU57" s="833"/>
      <c r="FV57" s="833"/>
      <c r="FW57" s="245"/>
      <c r="FX57" s="246"/>
      <c r="FY57" s="246"/>
      <c r="FZ57" s="246"/>
      <c r="GA57" s="246"/>
      <c r="GB57" s="246"/>
      <c r="GC57" s="246"/>
      <c r="GD57" s="246"/>
      <c r="GE57" s="246"/>
      <c r="GF57" s="246"/>
      <c r="GG57" s="246"/>
      <c r="GH57" s="246"/>
      <c r="GI57" s="246"/>
      <c r="GJ57" s="246"/>
      <c r="GK57" s="246"/>
      <c r="GL57" s="246"/>
      <c r="GM57" s="246"/>
      <c r="GN57" s="246"/>
      <c r="GO57" s="247"/>
      <c r="GP57" s="167"/>
      <c r="GQ57" s="351"/>
      <c r="GR57" s="2"/>
      <c r="GS57" s="2"/>
      <c r="GT57" s="2"/>
      <c r="GU57" s="2"/>
      <c r="GX57" s="249"/>
      <c r="GY57" s="249"/>
      <c r="HF57" s="148"/>
      <c r="HG57" s="148"/>
      <c r="HH57" s="148"/>
      <c r="HI57" s="148"/>
      <c r="HJ57" s="148"/>
      <c r="HK57" s="148"/>
      <c r="HL57" s="148"/>
      <c r="HM57" s="148"/>
      <c r="HN57" s="148"/>
      <c r="HO57" s="148"/>
      <c r="HP57" s="148"/>
      <c r="HQ57" s="148"/>
      <c r="HR57" s="148"/>
      <c r="HS57" s="148"/>
      <c r="HT57" s="148"/>
      <c r="HU57" s="148"/>
      <c r="HV57" s="148"/>
      <c r="IK57" s="241"/>
      <c r="IV57" s="242"/>
      <c r="JG57" s="243"/>
      <c r="JQ57" s="244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6"/>
      <c r="M58" s="167"/>
      <c r="N58" s="788"/>
      <c r="O58" s="788"/>
      <c r="P58" s="788"/>
      <c r="Q58" s="868"/>
      <c r="R58" s="868"/>
      <c r="S58" s="868"/>
      <c r="T58" s="868"/>
      <c r="U58" s="868"/>
      <c r="V58" s="869"/>
      <c r="W58" s="869"/>
      <c r="X58" s="869"/>
      <c r="Y58" s="869"/>
      <c r="Z58" s="869"/>
      <c r="AA58" s="869"/>
      <c r="AB58" s="869"/>
      <c r="AC58" s="869"/>
      <c r="AD58" s="869"/>
      <c r="AE58" s="869"/>
      <c r="AF58" s="869"/>
      <c r="AG58" s="869"/>
      <c r="AH58" s="869"/>
      <c r="AI58" s="869"/>
      <c r="AJ58" s="869"/>
      <c r="AK58" s="869"/>
      <c r="AL58" s="869"/>
      <c r="AM58" s="869"/>
      <c r="AN58" s="869"/>
      <c r="AO58" s="869"/>
      <c r="AP58" s="869"/>
      <c r="AQ58" s="869"/>
      <c r="AR58" s="869"/>
      <c r="AS58" s="869"/>
      <c r="AT58" s="869"/>
      <c r="AU58" s="869"/>
      <c r="AV58" s="869"/>
      <c r="AW58" s="869"/>
      <c r="AX58" s="869"/>
      <c r="AY58" s="869"/>
      <c r="AZ58" s="869"/>
      <c r="BA58" s="869"/>
      <c r="BB58" s="869"/>
      <c r="BC58" s="869"/>
      <c r="BD58" s="869"/>
      <c r="BE58" s="869"/>
      <c r="BF58" s="869"/>
      <c r="BG58" s="869"/>
      <c r="BH58" s="869"/>
      <c r="BI58" s="869"/>
      <c r="BJ58" s="870"/>
      <c r="BK58" s="870"/>
      <c r="BL58" s="870"/>
      <c r="BM58" s="870"/>
      <c r="BN58" s="870"/>
      <c r="BO58" s="870"/>
      <c r="BP58" s="870"/>
      <c r="BQ58" s="870"/>
      <c r="BR58" s="870"/>
      <c r="BS58" s="870"/>
      <c r="BT58" s="871"/>
      <c r="BU58" s="872"/>
      <c r="BV58" s="872"/>
      <c r="BW58" s="872"/>
      <c r="BX58" s="872"/>
      <c r="BY58" s="872"/>
      <c r="BZ58" s="872"/>
      <c r="CA58" s="872"/>
      <c r="CB58" s="872"/>
      <c r="CC58" s="873"/>
      <c r="CD58" s="874"/>
      <c r="CE58" s="874"/>
      <c r="CF58" s="874"/>
      <c r="CG58" s="874"/>
      <c r="CH58" s="874"/>
      <c r="CI58" s="874"/>
      <c r="CJ58" s="874"/>
      <c r="CK58" s="874"/>
      <c r="CL58" s="874"/>
      <c r="CM58" s="874"/>
      <c r="CN58" s="806"/>
      <c r="CO58" s="806"/>
      <c r="CP58" s="806"/>
      <c r="CQ58" s="806"/>
      <c r="CR58" s="806"/>
      <c r="CS58" s="806"/>
      <c r="CT58" s="806"/>
      <c r="CU58" s="806"/>
      <c r="CV58" s="806"/>
      <c r="CW58" s="806"/>
      <c r="CX58" s="806"/>
      <c r="CY58" s="806"/>
      <c r="CZ58" s="365"/>
      <c r="DA58" s="366"/>
      <c r="DB58" s="367"/>
      <c r="DC58" s="875"/>
      <c r="DD58" s="875"/>
      <c r="DE58" s="875"/>
      <c r="DF58" s="875"/>
      <c r="DG58" s="875"/>
      <c r="DH58" s="875"/>
      <c r="DI58" s="875"/>
      <c r="DJ58" s="875"/>
      <c r="DK58" s="875"/>
      <c r="DL58" s="875"/>
      <c r="DM58" s="866"/>
      <c r="DN58" s="866"/>
      <c r="DO58" s="866"/>
      <c r="DP58" s="866"/>
      <c r="DQ58" s="866"/>
      <c r="DR58" s="866"/>
      <c r="DS58" s="866"/>
      <c r="DT58" s="866"/>
      <c r="DU58" s="866"/>
      <c r="DV58" s="866"/>
      <c r="DW58" s="824"/>
      <c r="DX58" s="824"/>
      <c r="DY58" s="824"/>
      <c r="DZ58" s="824"/>
      <c r="EA58" s="824"/>
      <c r="EB58" s="824"/>
      <c r="EC58" s="824"/>
      <c r="ED58" s="824"/>
      <c r="EE58" s="824"/>
      <c r="EF58" s="824"/>
      <c r="EG58" s="826"/>
      <c r="EH58" s="826"/>
      <c r="EI58" s="826"/>
      <c r="EJ58" s="826"/>
      <c r="EK58" s="826"/>
      <c r="EL58" s="826"/>
      <c r="EM58" s="826"/>
      <c r="EN58" s="826"/>
      <c r="EO58" s="826"/>
      <c r="EP58" s="826"/>
      <c r="EQ58" s="826"/>
      <c r="ER58" s="826"/>
      <c r="ES58" s="826"/>
      <c r="ET58" s="826"/>
      <c r="EU58" s="826"/>
      <c r="EV58" s="826"/>
      <c r="EW58" s="826"/>
      <c r="EX58" s="826"/>
      <c r="EY58" s="826"/>
      <c r="EZ58" s="826"/>
      <c r="FA58" s="826"/>
      <c r="FB58" s="826"/>
      <c r="FC58" s="826"/>
      <c r="FD58" s="826"/>
      <c r="FE58" s="867"/>
      <c r="FF58" s="867"/>
      <c r="FG58" s="867"/>
      <c r="FH58" s="867"/>
      <c r="FI58" s="867"/>
      <c r="FJ58" s="867"/>
      <c r="FK58" s="867"/>
      <c r="FL58" s="867"/>
      <c r="FM58" s="867"/>
      <c r="FN58" s="833"/>
      <c r="FO58" s="833"/>
      <c r="FP58" s="833"/>
      <c r="FQ58" s="833"/>
      <c r="FR58" s="833"/>
      <c r="FS58" s="833"/>
      <c r="FT58" s="833"/>
      <c r="FU58" s="833"/>
      <c r="FV58" s="833"/>
      <c r="FW58" s="245"/>
      <c r="FX58" s="246"/>
      <c r="FY58" s="246"/>
      <c r="FZ58" s="246"/>
      <c r="GA58" s="246"/>
      <c r="GB58" s="246"/>
      <c r="GC58" s="246"/>
      <c r="GD58" s="246"/>
      <c r="GE58" s="246"/>
      <c r="GF58" s="246"/>
      <c r="GG58" s="246"/>
      <c r="GH58" s="246"/>
      <c r="GI58" s="246"/>
      <c r="GJ58" s="246"/>
      <c r="GK58" s="246"/>
      <c r="GL58" s="246"/>
      <c r="GM58" s="246"/>
      <c r="GN58" s="246"/>
      <c r="GO58" s="247"/>
      <c r="GP58" s="167"/>
      <c r="GQ58" s="2"/>
      <c r="GR58" s="2"/>
      <c r="GS58" s="2"/>
      <c r="GT58" s="2"/>
      <c r="GU58" s="2"/>
      <c r="GX58" s="249"/>
      <c r="GY58" s="249"/>
      <c r="HF58" s="148"/>
      <c r="HG58" s="148"/>
      <c r="HH58" s="148"/>
      <c r="HI58" s="148"/>
      <c r="HJ58" s="148"/>
      <c r="HK58" s="148"/>
      <c r="HL58" s="148"/>
      <c r="HM58" s="148"/>
      <c r="HN58" s="148"/>
      <c r="HO58" s="148"/>
      <c r="HP58" s="148"/>
      <c r="HQ58" s="148"/>
      <c r="HR58" s="148"/>
      <c r="HS58" s="148"/>
      <c r="HT58" s="148"/>
      <c r="HU58" s="148"/>
      <c r="HV58" s="148"/>
      <c r="IK58" s="241"/>
      <c r="IV58" s="242"/>
      <c r="JG58" s="243"/>
      <c r="JQ58" s="244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96"/>
      <c r="M59" s="162"/>
      <c r="N59" s="788">
        <v>21</v>
      </c>
      <c r="O59" s="788"/>
      <c r="P59" s="788"/>
      <c r="Q59" s="868"/>
      <c r="R59" s="868"/>
      <c r="S59" s="868"/>
      <c r="T59" s="868"/>
      <c r="U59" s="868"/>
      <c r="V59" s="869"/>
      <c r="W59" s="869"/>
      <c r="X59" s="869"/>
      <c r="Y59" s="869"/>
      <c r="Z59" s="869"/>
      <c r="AA59" s="869"/>
      <c r="AB59" s="869"/>
      <c r="AC59" s="869"/>
      <c r="AD59" s="869"/>
      <c r="AE59" s="869"/>
      <c r="AF59" s="869"/>
      <c r="AG59" s="869"/>
      <c r="AH59" s="869"/>
      <c r="AI59" s="869"/>
      <c r="AJ59" s="869"/>
      <c r="AK59" s="869"/>
      <c r="AL59" s="869"/>
      <c r="AM59" s="869"/>
      <c r="AN59" s="869"/>
      <c r="AO59" s="869"/>
      <c r="AP59" s="869"/>
      <c r="AQ59" s="869"/>
      <c r="AR59" s="869"/>
      <c r="AS59" s="869"/>
      <c r="AT59" s="869"/>
      <c r="AU59" s="869"/>
      <c r="AV59" s="869"/>
      <c r="AW59" s="869"/>
      <c r="AX59" s="869"/>
      <c r="AY59" s="869"/>
      <c r="AZ59" s="869"/>
      <c r="BA59" s="869"/>
      <c r="BB59" s="869"/>
      <c r="BC59" s="869"/>
      <c r="BD59" s="869"/>
      <c r="BE59" s="869"/>
      <c r="BF59" s="869"/>
      <c r="BG59" s="869"/>
      <c r="BH59" s="869"/>
      <c r="BI59" s="869"/>
      <c r="BJ59" s="870"/>
      <c r="BK59" s="870"/>
      <c r="BL59" s="870"/>
      <c r="BM59" s="870"/>
      <c r="BN59" s="870"/>
      <c r="BO59" s="870"/>
      <c r="BP59" s="870"/>
      <c r="BQ59" s="870"/>
      <c r="BR59" s="870"/>
      <c r="BS59" s="870"/>
      <c r="BT59" s="871">
        <f>KI_N*BEZ_Hilf_21_Anz</f>
        <v>0</v>
      </c>
      <c r="BU59" s="872"/>
      <c r="BV59" s="872"/>
      <c r="BW59" s="872"/>
      <c r="BX59" s="872"/>
      <c r="BY59" s="872"/>
      <c r="BZ59" s="872"/>
      <c r="CA59" s="872"/>
      <c r="CB59" s="872"/>
      <c r="CC59" s="873"/>
      <c r="CD59" s="874"/>
      <c r="CE59" s="874"/>
      <c r="CF59" s="874"/>
      <c r="CG59" s="874"/>
      <c r="CH59" s="874"/>
      <c r="CI59" s="874"/>
      <c r="CJ59" s="874"/>
      <c r="CK59" s="874"/>
      <c r="CL59" s="874"/>
      <c r="CM59" s="874"/>
      <c r="CN59" s="806"/>
      <c r="CO59" s="806"/>
      <c r="CP59" s="806"/>
      <c r="CQ59" s="806"/>
      <c r="CR59" s="806"/>
      <c r="CS59" s="806"/>
      <c r="CT59" s="806"/>
      <c r="CU59" s="806"/>
      <c r="CV59" s="806"/>
      <c r="CW59" s="806"/>
      <c r="CX59" s="806"/>
      <c r="CY59" s="806"/>
      <c r="CZ59" s="365"/>
      <c r="DA59" s="366"/>
      <c r="DB59" s="367"/>
      <c r="DC59" s="875"/>
      <c r="DD59" s="875"/>
      <c r="DE59" s="875"/>
      <c r="DF59" s="875"/>
      <c r="DG59" s="875"/>
      <c r="DH59" s="875"/>
      <c r="DI59" s="875"/>
      <c r="DJ59" s="875"/>
      <c r="DK59" s="875"/>
      <c r="DL59" s="875"/>
      <c r="DM59" s="866"/>
      <c r="DN59" s="866"/>
      <c r="DO59" s="866"/>
      <c r="DP59" s="866"/>
      <c r="DQ59" s="866"/>
      <c r="DR59" s="866"/>
      <c r="DS59" s="866"/>
      <c r="DT59" s="866"/>
      <c r="DU59" s="866"/>
      <c r="DV59" s="866"/>
      <c r="DW59" s="824">
        <f>BEZ_Hilf_21_EHPreis*(BEZ_Hilf_21_GKZ/100+1)</f>
        <v>0</v>
      </c>
      <c r="DX59" s="824"/>
      <c r="DY59" s="824"/>
      <c r="DZ59" s="824"/>
      <c r="EA59" s="824"/>
      <c r="EB59" s="824"/>
      <c r="EC59" s="824"/>
      <c r="ED59" s="824"/>
      <c r="EE59" s="824"/>
      <c r="EF59" s="824"/>
      <c r="EG59" s="826">
        <f>BEZ_Hilf_21_Anz*BEZ_Hilf_21_EHPreis*((BEZ_Hilf_21_GKZ/100)+1)</f>
        <v>0</v>
      </c>
      <c r="EH59" s="826"/>
      <c r="EI59" s="826"/>
      <c r="EJ59" s="826"/>
      <c r="EK59" s="826"/>
      <c r="EL59" s="826"/>
      <c r="EM59" s="826"/>
      <c r="EN59" s="826"/>
      <c r="EO59" s="826"/>
      <c r="EP59" s="826"/>
      <c r="EQ59" s="826"/>
      <c r="ER59" s="826"/>
      <c r="ES59" s="826"/>
      <c r="ET59" s="826"/>
      <c r="EU59" s="826">
        <f>BEZ_Hilf_21_PreisJeKiste*KI_N</f>
        <v>0</v>
      </c>
      <c r="EV59" s="826"/>
      <c r="EW59" s="826"/>
      <c r="EX59" s="826"/>
      <c r="EY59" s="826"/>
      <c r="EZ59" s="826"/>
      <c r="FA59" s="826"/>
      <c r="FB59" s="826"/>
      <c r="FC59" s="826"/>
      <c r="FD59" s="826"/>
      <c r="FE59" s="867"/>
      <c r="FF59" s="867"/>
      <c r="FG59" s="867"/>
      <c r="FH59" s="867"/>
      <c r="FI59" s="867"/>
      <c r="FJ59" s="867"/>
      <c r="FK59" s="867"/>
      <c r="FL59" s="867"/>
      <c r="FM59" s="867"/>
      <c r="FN59" s="833">
        <f>BEZ_Hilf_21_gJeEH*BEZ_Hilf_21_Anz</f>
        <v>0</v>
      </c>
      <c r="FO59" s="833"/>
      <c r="FP59" s="833"/>
      <c r="FQ59" s="833"/>
      <c r="FR59" s="833"/>
      <c r="FS59" s="833"/>
      <c r="FT59" s="833"/>
      <c r="FU59" s="833"/>
      <c r="FV59" s="833"/>
      <c r="FW59" s="245"/>
      <c r="FX59" s="246"/>
      <c r="FY59" s="246"/>
      <c r="FZ59" s="246"/>
      <c r="GA59" s="246"/>
      <c r="GB59" s="246"/>
      <c r="GC59" s="246"/>
      <c r="GD59" s="246"/>
      <c r="GE59" s="246"/>
      <c r="GF59" s="246"/>
      <c r="GG59" s="246"/>
      <c r="GH59" s="246"/>
      <c r="GI59" s="246"/>
      <c r="GJ59" s="246"/>
      <c r="GK59" s="246"/>
      <c r="GL59" s="246"/>
      <c r="GM59" s="246"/>
      <c r="GN59" s="246"/>
      <c r="GO59" s="247"/>
      <c r="GP59" s="167"/>
      <c r="GQ59" s="351"/>
      <c r="GR59" s="2"/>
      <c r="GS59" s="2"/>
      <c r="GT59" s="2"/>
      <c r="GU59" s="2"/>
      <c r="GX59" s="249"/>
      <c r="GY59" s="249"/>
      <c r="HF59" s="148"/>
      <c r="HG59" s="148"/>
      <c r="HH59" s="148"/>
      <c r="HI59" s="148"/>
      <c r="HJ59" s="148"/>
      <c r="HK59" s="148"/>
      <c r="HL59" s="148"/>
      <c r="HM59" s="148"/>
      <c r="HN59" s="148"/>
      <c r="HO59" s="148"/>
      <c r="HP59" s="148"/>
      <c r="HQ59" s="148"/>
      <c r="HR59" s="148"/>
      <c r="HS59" s="148"/>
      <c r="HT59" s="148"/>
      <c r="HU59" s="148"/>
      <c r="HV59" s="148"/>
      <c r="IK59" s="241"/>
      <c r="IV59" s="242"/>
      <c r="JG59" s="243"/>
      <c r="JQ59" s="244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96"/>
      <c r="M60" s="162"/>
      <c r="N60" s="788"/>
      <c r="O60" s="788"/>
      <c r="P60" s="788"/>
      <c r="Q60" s="868"/>
      <c r="R60" s="868"/>
      <c r="S60" s="868"/>
      <c r="T60" s="868"/>
      <c r="U60" s="868"/>
      <c r="V60" s="869"/>
      <c r="W60" s="869"/>
      <c r="X60" s="869"/>
      <c r="Y60" s="869"/>
      <c r="Z60" s="869"/>
      <c r="AA60" s="869"/>
      <c r="AB60" s="869"/>
      <c r="AC60" s="869"/>
      <c r="AD60" s="869"/>
      <c r="AE60" s="869"/>
      <c r="AF60" s="869"/>
      <c r="AG60" s="869"/>
      <c r="AH60" s="869"/>
      <c r="AI60" s="869"/>
      <c r="AJ60" s="869"/>
      <c r="AK60" s="869"/>
      <c r="AL60" s="869"/>
      <c r="AM60" s="869"/>
      <c r="AN60" s="869"/>
      <c r="AO60" s="869"/>
      <c r="AP60" s="869"/>
      <c r="AQ60" s="869"/>
      <c r="AR60" s="869"/>
      <c r="AS60" s="869"/>
      <c r="AT60" s="869"/>
      <c r="AU60" s="869"/>
      <c r="AV60" s="869"/>
      <c r="AW60" s="869"/>
      <c r="AX60" s="869"/>
      <c r="AY60" s="869"/>
      <c r="AZ60" s="869"/>
      <c r="BA60" s="869"/>
      <c r="BB60" s="869"/>
      <c r="BC60" s="869"/>
      <c r="BD60" s="869"/>
      <c r="BE60" s="869"/>
      <c r="BF60" s="869"/>
      <c r="BG60" s="869"/>
      <c r="BH60" s="869"/>
      <c r="BI60" s="869"/>
      <c r="BJ60" s="870"/>
      <c r="BK60" s="870"/>
      <c r="BL60" s="870"/>
      <c r="BM60" s="870"/>
      <c r="BN60" s="870"/>
      <c r="BO60" s="870"/>
      <c r="BP60" s="870"/>
      <c r="BQ60" s="870"/>
      <c r="BR60" s="870"/>
      <c r="BS60" s="870"/>
      <c r="BT60" s="871"/>
      <c r="BU60" s="872"/>
      <c r="BV60" s="872"/>
      <c r="BW60" s="872"/>
      <c r="BX60" s="872"/>
      <c r="BY60" s="872"/>
      <c r="BZ60" s="872"/>
      <c r="CA60" s="872"/>
      <c r="CB60" s="872"/>
      <c r="CC60" s="873"/>
      <c r="CD60" s="874"/>
      <c r="CE60" s="874"/>
      <c r="CF60" s="874"/>
      <c r="CG60" s="874"/>
      <c r="CH60" s="874"/>
      <c r="CI60" s="874"/>
      <c r="CJ60" s="874"/>
      <c r="CK60" s="874"/>
      <c r="CL60" s="874"/>
      <c r="CM60" s="874"/>
      <c r="CN60" s="806"/>
      <c r="CO60" s="806"/>
      <c r="CP60" s="806"/>
      <c r="CQ60" s="806"/>
      <c r="CR60" s="806"/>
      <c r="CS60" s="806"/>
      <c r="CT60" s="806"/>
      <c r="CU60" s="806"/>
      <c r="CV60" s="806"/>
      <c r="CW60" s="806"/>
      <c r="CX60" s="806"/>
      <c r="CY60" s="806"/>
      <c r="CZ60" s="365"/>
      <c r="DA60" s="366"/>
      <c r="DB60" s="367"/>
      <c r="DC60" s="875"/>
      <c r="DD60" s="875"/>
      <c r="DE60" s="875"/>
      <c r="DF60" s="875"/>
      <c r="DG60" s="875"/>
      <c r="DH60" s="875"/>
      <c r="DI60" s="875"/>
      <c r="DJ60" s="875"/>
      <c r="DK60" s="875"/>
      <c r="DL60" s="875"/>
      <c r="DM60" s="866"/>
      <c r="DN60" s="866"/>
      <c r="DO60" s="866"/>
      <c r="DP60" s="866"/>
      <c r="DQ60" s="866"/>
      <c r="DR60" s="866"/>
      <c r="DS60" s="866"/>
      <c r="DT60" s="866"/>
      <c r="DU60" s="866"/>
      <c r="DV60" s="866"/>
      <c r="DW60" s="824"/>
      <c r="DX60" s="824"/>
      <c r="DY60" s="824"/>
      <c r="DZ60" s="824"/>
      <c r="EA60" s="824"/>
      <c r="EB60" s="824"/>
      <c r="EC60" s="824"/>
      <c r="ED60" s="824"/>
      <c r="EE60" s="824"/>
      <c r="EF60" s="824"/>
      <c r="EG60" s="826"/>
      <c r="EH60" s="826"/>
      <c r="EI60" s="826"/>
      <c r="EJ60" s="826"/>
      <c r="EK60" s="826"/>
      <c r="EL60" s="826"/>
      <c r="EM60" s="826"/>
      <c r="EN60" s="826"/>
      <c r="EO60" s="826"/>
      <c r="EP60" s="826"/>
      <c r="EQ60" s="826"/>
      <c r="ER60" s="826"/>
      <c r="ES60" s="826"/>
      <c r="ET60" s="826"/>
      <c r="EU60" s="826"/>
      <c r="EV60" s="826"/>
      <c r="EW60" s="826"/>
      <c r="EX60" s="826"/>
      <c r="EY60" s="826"/>
      <c r="EZ60" s="826"/>
      <c r="FA60" s="826"/>
      <c r="FB60" s="826"/>
      <c r="FC60" s="826"/>
      <c r="FD60" s="826"/>
      <c r="FE60" s="867"/>
      <c r="FF60" s="867"/>
      <c r="FG60" s="867"/>
      <c r="FH60" s="867"/>
      <c r="FI60" s="867"/>
      <c r="FJ60" s="867"/>
      <c r="FK60" s="867"/>
      <c r="FL60" s="867"/>
      <c r="FM60" s="867"/>
      <c r="FN60" s="833"/>
      <c r="FO60" s="833"/>
      <c r="FP60" s="833"/>
      <c r="FQ60" s="833"/>
      <c r="FR60" s="833"/>
      <c r="FS60" s="833"/>
      <c r="FT60" s="833"/>
      <c r="FU60" s="833"/>
      <c r="FV60" s="833"/>
      <c r="FW60" s="245"/>
      <c r="FX60" s="246"/>
      <c r="FY60" s="246"/>
      <c r="FZ60" s="246"/>
      <c r="GA60" s="246"/>
      <c r="GB60" s="246"/>
      <c r="GC60" s="246"/>
      <c r="GD60" s="246"/>
      <c r="GE60" s="246"/>
      <c r="GF60" s="246"/>
      <c r="GG60" s="246"/>
      <c r="GH60" s="246"/>
      <c r="GI60" s="246"/>
      <c r="GJ60" s="246"/>
      <c r="GK60" s="246"/>
      <c r="GL60" s="246"/>
      <c r="GM60" s="246"/>
      <c r="GN60" s="246"/>
      <c r="GO60" s="247"/>
      <c r="GP60" s="167"/>
      <c r="GQ60" s="2"/>
      <c r="GR60" s="2"/>
      <c r="GS60" s="2"/>
      <c r="GT60" s="2"/>
      <c r="GU60" s="2"/>
      <c r="GX60" s="249"/>
      <c r="GY60" s="249"/>
      <c r="HF60" s="148"/>
      <c r="HG60" s="148"/>
      <c r="HH60" s="148"/>
      <c r="HI60" s="148"/>
      <c r="HJ60" s="148"/>
      <c r="HK60" s="148"/>
      <c r="HL60" s="148"/>
      <c r="HM60" s="148"/>
      <c r="HN60" s="148"/>
      <c r="HO60" s="148"/>
      <c r="HP60" s="148"/>
      <c r="HQ60" s="148"/>
      <c r="HR60" s="148"/>
      <c r="HS60" s="148"/>
      <c r="HT60" s="148"/>
      <c r="HU60" s="148"/>
      <c r="HV60" s="148"/>
      <c r="IK60" s="241"/>
      <c r="IV60" s="242"/>
      <c r="JG60" s="243"/>
      <c r="JQ60" s="244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97"/>
      <c r="M61" s="250"/>
      <c r="N61" s="788">
        <v>22</v>
      </c>
      <c r="O61" s="788"/>
      <c r="P61" s="788"/>
      <c r="Q61" s="868"/>
      <c r="R61" s="868"/>
      <c r="S61" s="868"/>
      <c r="T61" s="868"/>
      <c r="U61" s="868"/>
      <c r="V61" s="869"/>
      <c r="W61" s="869"/>
      <c r="X61" s="869"/>
      <c r="Y61" s="869"/>
      <c r="Z61" s="869"/>
      <c r="AA61" s="869"/>
      <c r="AB61" s="869"/>
      <c r="AC61" s="869"/>
      <c r="AD61" s="869"/>
      <c r="AE61" s="869"/>
      <c r="AF61" s="869"/>
      <c r="AG61" s="869"/>
      <c r="AH61" s="869"/>
      <c r="AI61" s="869"/>
      <c r="AJ61" s="869"/>
      <c r="AK61" s="869"/>
      <c r="AL61" s="869"/>
      <c r="AM61" s="869"/>
      <c r="AN61" s="869"/>
      <c r="AO61" s="869"/>
      <c r="AP61" s="869"/>
      <c r="AQ61" s="869"/>
      <c r="AR61" s="869"/>
      <c r="AS61" s="869"/>
      <c r="AT61" s="869"/>
      <c r="AU61" s="869"/>
      <c r="AV61" s="869"/>
      <c r="AW61" s="869"/>
      <c r="AX61" s="869"/>
      <c r="AY61" s="869"/>
      <c r="AZ61" s="869"/>
      <c r="BA61" s="869"/>
      <c r="BB61" s="869"/>
      <c r="BC61" s="869"/>
      <c r="BD61" s="869"/>
      <c r="BE61" s="869"/>
      <c r="BF61" s="869"/>
      <c r="BG61" s="869"/>
      <c r="BH61" s="869"/>
      <c r="BI61" s="869"/>
      <c r="BJ61" s="870"/>
      <c r="BK61" s="870"/>
      <c r="BL61" s="870"/>
      <c r="BM61" s="870"/>
      <c r="BN61" s="870"/>
      <c r="BO61" s="870"/>
      <c r="BP61" s="870"/>
      <c r="BQ61" s="870"/>
      <c r="BR61" s="870"/>
      <c r="BS61" s="870"/>
      <c r="BT61" s="871">
        <f>KI_N*BEZ_Hilf_22_Anz</f>
        <v>0</v>
      </c>
      <c r="BU61" s="872"/>
      <c r="BV61" s="872"/>
      <c r="BW61" s="872"/>
      <c r="BX61" s="872"/>
      <c r="BY61" s="872"/>
      <c r="BZ61" s="872"/>
      <c r="CA61" s="872"/>
      <c r="CB61" s="872"/>
      <c r="CC61" s="873"/>
      <c r="CD61" s="874"/>
      <c r="CE61" s="874"/>
      <c r="CF61" s="874"/>
      <c r="CG61" s="874"/>
      <c r="CH61" s="874"/>
      <c r="CI61" s="874"/>
      <c r="CJ61" s="874"/>
      <c r="CK61" s="874"/>
      <c r="CL61" s="874"/>
      <c r="CM61" s="874"/>
      <c r="CN61" s="806"/>
      <c r="CO61" s="806"/>
      <c r="CP61" s="806"/>
      <c r="CQ61" s="806"/>
      <c r="CR61" s="806"/>
      <c r="CS61" s="806"/>
      <c r="CT61" s="806"/>
      <c r="CU61" s="806"/>
      <c r="CV61" s="806"/>
      <c r="CW61" s="806"/>
      <c r="CX61" s="806"/>
      <c r="CY61" s="806"/>
      <c r="CZ61" s="365"/>
      <c r="DA61" s="366"/>
      <c r="DB61" s="367"/>
      <c r="DC61" s="875"/>
      <c r="DD61" s="875"/>
      <c r="DE61" s="875"/>
      <c r="DF61" s="875"/>
      <c r="DG61" s="875"/>
      <c r="DH61" s="875"/>
      <c r="DI61" s="875"/>
      <c r="DJ61" s="875"/>
      <c r="DK61" s="875"/>
      <c r="DL61" s="875"/>
      <c r="DM61" s="866"/>
      <c r="DN61" s="866"/>
      <c r="DO61" s="866"/>
      <c r="DP61" s="866"/>
      <c r="DQ61" s="866"/>
      <c r="DR61" s="866"/>
      <c r="DS61" s="866"/>
      <c r="DT61" s="866"/>
      <c r="DU61" s="866"/>
      <c r="DV61" s="866"/>
      <c r="DW61" s="824">
        <f>BEZ_Hilf_22_EHPreis*(BEZ_Hilf_22_GKZ/100+1)</f>
        <v>0</v>
      </c>
      <c r="DX61" s="824"/>
      <c r="DY61" s="824"/>
      <c r="DZ61" s="824"/>
      <c r="EA61" s="824"/>
      <c r="EB61" s="824"/>
      <c r="EC61" s="824"/>
      <c r="ED61" s="824"/>
      <c r="EE61" s="824"/>
      <c r="EF61" s="824"/>
      <c r="EG61" s="826">
        <f>BEZ_Hilf_22_Anz*BEZ_Hilf_22_EHPreis*((BEZ_Hilf_22_GKZ/100)+1)</f>
        <v>0</v>
      </c>
      <c r="EH61" s="826"/>
      <c r="EI61" s="826"/>
      <c r="EJ61" s="826"/>
      <c r="EK61" s="826"/>
      <c r="EL61" s="826"/>
      <c r="EM61" s="826"/>
      <c r="EN61" s="826"/>
      <c r="EO61" s="826"/>
      <c r="EP61" s="826"/>
      <c r="EQ61" s="826"/>
      <c r="ER61" s="826"/>
      <c r="ES61" s="826"/>
      <c r="ET61" s="826"/>
      <c r="EU61" s="826">
        <f>BEZ_Hilf_22_PreisJeKiste*KI_N</f>
        <v>0</v>
      </c>
      <c r="EV61" s="826"/>
      <c r="EW61" s="826"/>
      <c r="EX61" s="826"/>
      <c r="EY61" s="826"/>
      <c r="EZ61" s="826"/>
      <c r="FA61" s="826"/>
      <c r="FB61" s="826"/>
      <c r="FC61" s="826"/>
      <c r="FD61" s="826"/>
      <c r="FE61" s="867"/>
      <c r="FF61" s="867"/>
      <c r="FG61" s="867"/>
      <c r="FH61" s="867"/>
      <c r="FI61" s="867"/>
      <c r="FJ61" s="867"/>
      <c r="FK61" s="867"/>
      <c r="FL61" s="867"/>
      <c r="FM61" s="867"/>
      <c r="FN61" s="833">
        <f>BEZ_Hilf_22_gJeEH*BEZ_Hilf_22_Anz</f>
        <v>0</v>
      </c>
      <c r="FO61" s="833"/>
      <c r="FP61" s="833"/>
      <c r="FQ61" s="833"/>
      <c r="FR61" s="833"/>
      <c r="FS61" s="833"/>
      <c r="FT61" s="833"/>
      <c r="FU61" s="833"/>
      <c r="FV61" s="833"/>
      <c r="FW61" s="245"/>
      <c r="FX61" s="246"/>
      <c r="FY61" s="246"/>
      <c r="FZ61" s="246"/>
      <c r="GA61" s="246"/>
      <c r="GB61" s="246"/>
      <c r="GC61" s="246"/>
      <c r="GD61" s="246"/>
      <c r="GE61" s="246"/>
      <c r="GF61" s="246"/>
      <c r="GG61" s="246"/>
      <c r="GH61" s="246"/>
      <c r="GI61" s="246"/>
      <c r="GJ61" s="246"/>
      <c r="GK61" s="246"/>
      <c r="GL61" s="246"/>
      <c r="GM61" s="246"/>
      <c r="GN61" s="246"/>
      <c r="GO61" s="247"/>
      <c r="GP61" s="167"/>
      <c r="GQ61" s="351"/>
      <c r="GR61" s="2"/>
      <c r="GS61" s="2"/>
      <c r="GT61" s="2"/>
      <c r="GU61" s="2"/>
      <c r="GX61" s="249"/>
      <c r="GY61" s="249"/>
      <c r="HF61" s="148"/>
      <c r="HG61" s="148"/>
      <c r="HH61" s="148"/>
      <c r="HI61" s="148"/>
      <c r="HJ61" s="148"/>
      <c r="HK61" s="148"/>
      <c r="HL61" s="148"/>
      <c r="HM61" s="148"/>
      <c r="HN61" s="148"/>
      <c r="HO61" s="148"/>
      <c r="HP61" s="148"/>
      <c r="HQ61" s="148"/>
      <c r="HR61" s="148"/>
      <c r="HS61" s="148"/>
      <c r="HT61" s="148"/>
      <c r="HU61" s="148"/>
      <c r="HV61" s="148"/>
      <c r="IK61" s="241"/>
      <c r="IV61" s="242"/>
      <c r="JG61" s="243"/>
      <c r="JQ61" s="244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97"/>
      <c r="M62" s="250"/>
      <c r="N62" s="788"/>
      <c r="O62" s="788"/>
      <c r="P62" s="788"/>
      <c r="Q62" s="868"/>
      <c r="R62" s="868"/>
      <c r="S62" s="868"/>
      <c r="T62" s="868"/>
      <c r="U62" s="868"/>
      <c r="V62" s="869"/>
      <c r="W62" s="869"/>
      <c r="X62" s="869"/>
      <c r="Y62" s="869"/>
      <c r="Z62" s="869"/>
      <c r="AA62" s="869"/>
      <c r="AB62" s="869"/>
      <c r="AC62" s="869"/>
      <c r="AD62" s="869"/>
      <c r="AE62" s="869"/>
      <c r="AF62" s="869"/>
      <c r="AG62" s="869"/>
      <c r="AH62" s="869"/>
      <c r="AI62" s="869"/>
      <c r="AJ62" s="869"/>
      <c r="AK62" s="869"/>
      <c r="AL62" s="869"/>
      <c r="AM62" s="869"/>
      <c r="AN62" s="869"/>
      <c r="AO62" s="869"/>
      <c r="AP62" s="869"/>
      <c r="AQ62" s="869"/>
      <c r="AR62" s="869"/>
      <c r="AS62" s="869"/>
      <c r="AT62" s="869"/>
      <c r="AU62" s="869"/>
      <c r="AV62" s="869"/>
      <c r="AW62" s="869"/>
      <c r="AX62" s="869"/>
      <c r="AY62" s="869"/>
      <c r="AZ62" s="869"/>
      <c r="BA62" s="869"/>
      <c r="BB62" s="869"/>
      <c r="BC62" s="869"/>
      <c r="BD62" s="869"/>
      <c r="BE62" s="869"/>
      <c r="BF62" s="869"/>
      <c r="BG62" s="869"/>
      <c r="BH62" s="869"/>
      <c r="BI62" s="869"/>
      <c r="BJ62" s="870"/>
      <c r="BK62" s="870"/>
      <c r="BL62" s="870"/>
      <c r="BM62" s="870"/>
      <c r="BN62" s="870"/>
      <c r="BO62" s="870"/>
      <c r="BP62" s="870"/>
      <c r="BQ62" s="870"/>
      <c r="BR62" s="870"/>
      <c r="BS62" s="870"/>
      <c r="BT62" s="871"/>
      <c r="BU62" s="872"/>
      <c r="BV62" s="872"/>
      <c r="BW62" s="872"/>
      <c r="BX62" s="872"/>
      <c r="BY62" s="872"/>
      <c r="BZ62" s="872"/>
      <c r="CA62" s="872"/>
      <c r="CB62" s="872"/>
      <c r="CC62" s="873"/>
      <c r="CD62" s="874"/>
      <c r="CE62" s="874"/>
      <c r="CF62" s="874"/>
      <c r="CG62" s="874"/>
      <c r="CH62" s="874"/>
      <c r="CI62" s="874"/>
      <c r="CJ62" s="874"/>
      <c r="CK62" s="874"/>
      <c r="CL62" s="874"/>
      <c r="CM62" s="874"/>
      <c r="CN62" s="806"/>
      <c r="CO62" s="806"/>
      <c r="CP62" s="806"/>
      <c r="CQ62" s="806"/>
      <c r="CR62" s="806"/>
      <c r="CS62" s="806"/>
      <c r="CT62" s="806"/>
      <c r="CU62" s="806"/>
      <c r="CV62" s="806"/>
      <c r="CW62" s="806"/>
      <c r="CX62" s="806"/>
      <c r="CY62" s="806"/>
      <c r="CZ62" s="365"/>
      <c r="DA62" s="366"/>
      <c r="DB62" s="367"/>
      <c r="DC62" s="875"/>
      <c r="DD62" s="875"/>
      <c r="DE62" s="875"/>
      <c r="DF62" s="875"/>
      <c r="DG62" s="875"/>
      <c r="DH62" s="875"/>
      <c r="DI62" s="875"/>
      <c r="DJ62" s="875"/>
      <c r="DK62" s="875"/>
      <c r="DL62" s="875"/>
      <c r="DM62" s="866"/>
      <c r="DN62" s="866"/>
      <c r="DO62" s="866"/>
      <c r="DP62" s="866"/>
      <c r="DQ62" s="866"/>
      <c r="DR62" s="866"/>
      <c r="DS62" s="866"/>
      <c r="DT62" s="866"/>
      <c r="DU62" s="866"/>
      <c r="DV62" s="866"/>
      <c r="DW62" s="824"/>
      <c r="DX62" s="824"/>
      <c r="DY62" s="824"/>
      <c r="DZ62" s="824"/>
      <c r="EA62" s="824"/>
      <c r="EB62" s="824"/>
      <c r="EC62" s="824"/>
      <c r="ED62" s="824"/>
      <c r="EE62" s="824"/>
      <c r="EF62" s="824"/>
      <c r="EG62" s="826"/>
      <c r="EH62" s="826"/>
      <c r="EI62" s="826"/>
      <c r="EJ62" s="826"/>
      <c r="EK62" s="826"/>
      <c r="EL62" s="826"/>
      <c r="EM62" s="826"/>
      <c r="EN62" s="826"/>
      <c r="EO62" s="826"/>
      <c r="EP62" s="826"/>
      <c r="EQ62" s="826"/>
      <c r="ER62" s="826"/>
      <c r="ES62" s="826"/>
      <c r="ET62" s="826"/>
      <c r="EU62" s="826"/>
      <c r="EV62" s="826"/>
      <c r="EW62" s="826"/>
      <c r="EX62" s="826"/>
      <c r="EY62" s="826"/>
      <c r="EZ62" s="826"/>
      <c r="FA62" s="826"/>
      <c r="FB62" s="826"/>
      <c r="FC62" s="826"/>
      <c r="FD62" s="826"/>
      <c r="FE62" s="867"/>
      <c r="FF62" s="867"/>
      <c r="FG62" s="867"/>
      <c r="FH62" s="867"/>
      <c r="FI62" s="867"/>
      <c r="FJ62" s="867"/>
      <c r="FK62" s="867"/>
      <c r="FL62" s="867"/>
      <c r="FM62" s="867"/>
      <c r="FN62" s="833"/>
      <c r="FO62" s="833"/>
      <c r="FP62" s="833"/>
      <c r="FQ62" s="833"/>
      <c r="FR62" s="833"/>
      <c r="FS62" s="833"/>
      <c r="FT62" s="833"/>
      <c r="FU62" s="833"/>
      <c r="FV62" s="833"/>
      <c r="FW62" s="245"/>
      <c r="FX62" s="246"/>
      <c r="FY62" s="246"/>
      <c r="FZ62" s="246"/>
      <c r="GA62" s="246"/>
      <c r="GB62" s="246"/>
      <c r="GC62" s="246"/>
      <c r="GD62" s="246"/>
      <c r="GE62" s="246"/>
      <c r="GF62" s="246"/>
      <c r="GG62" s="246"/>
      <c r="GH62" s="246"/>
      <c r="GI62" s="246"/>
      <c r="GJ62" s="246"/>
      <c r="GK62" s="246"/>
      <c r="GL62" s="246"/>
      <c r="GM62" s="246"/>
      <c r="GN62" s="246"/>
      <c r="GO62" s="247"/>
      <c r="GP62" s="167"/>
      <c r="GQ62" s="2"/>
      <c r="GR62" s="2"/>
      <c r="GS62" s="2"/>
      <c r="GT62" s="2"/>
      <c r="GU62" s="2"/>
      <c r="GX62" s="249"/>
      <c r="GY62" s="249"/>
      <c r="HF62" s="148"/>
      <c r="HG62" s="148"/>
      <c r="HH62" s="148"/>
      <c r="HI62" s="148"/>
      <c r="HJ62" s="148"/>
      <c r="HK62" s="148"/>
      <c r="HL62" s="148"/>
      <c r="HM62" s="148"/>
      <c r="HN62" s="148"/>
      <c r="HO62" s="148"/>
      <c r="HP62" s="148"/>
      <c r="HQ62" s="148"/>
      <c r="HR62" s="148"/>
      <c r="HS62" s="148"/>
      <c r="HT62" s="148"/>
      <c r="HU62" s="148"/>
      <c r="HV62" s="148"/>
      <c r="IK62" s="241"/>
      <c r="IV62" s="242"/>
      <c r="JG62" s="243"/>
      <c r="JQ62" s="244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97"/>
      <c r="M63" s="250"/>
      <c r="N63" s="788">
        <v>23</v>
      </c>
      <c r="O63" s="788"/>
      <c r="P63" s="788"/>
      <c r="Q63" s="868"/>
      <c r="R63" s="868"/>
      <c r="S63" s="868"/>
      <c r="T63" s="868"/>
      <c r="U63" s="868"/>
      <c r="V63" s="869"/>
      <c r="W63" s="869"/>
      <c r="X63" s="869"/>
      <c r="Y63" s="869"/>
      <c r="Z63" s="869"/>
      <c r="AA63" s="869"/>
      <c r="AB63" s="869"/>
      <c r="AC63" s="869"/>
      <c r="AD63" s="869"/>
      <c r="AE63" s="869"/>
      <c r="AF63" s="869"/>
      <c r="AG63" s="869"/>
      <c r="AH63" s="869"/>
      <c r="AI63" s="869"/>
      <c r="AJ63" s="869"/>
      <c r="AK63" s="869"/>
      <c r="AL63" s="869"/>
      <c r="AM63" s="869"/>
      <c r="AN63" s="869"/>
      <c r="AO63" s="869"/>
      <c r="AP63" s="869"/>
      <c r="AQ63" s="869"/>
      <c r="AR63" s="869"/>
      <c r="AS63" s="869"/>
      <c r="AT63" s="869"/>
      <c r="AU63" s="869"/>
      <c r="AV63" s="869"/>
      <c r="AW63" s="869"/>
      <c r="AX63" s="869"/>
      <c r="AY63" s="869"/>
      <c r="AZ63" s="869"/>
      <c r="BA63" s="869"/>
      <c r="BB63" s="869"/>
      <c r="BC63" s="869"/>
      <c r="BD63" s="869"/>
      <c r="BE63" s="869"/>
      <c r="BF63" s="869"/>
      <c r="BG63" s="869"/>
      <c r="BH63" s="869"/>
      <c r="BI63" s="869"/>
      <c r="BJ63" s="870"/>
      <c r="BK63" s="870"/>
      <c r="BL63" s="870"/>
      <c r="BM63" s="870"/>
      <c r="BN63" s="870"/>
      <c r="BO63" s="870"/>
      <c r="BP63" s="870"/>
      <c r="BQ63" s="870"/>
      <c r="BR63" s="870"/>
      <c r="BS63" s="870"/>
      <c r="BT63" s="871">
        <f>KI_N*BEZ_Hilf_23_Anz</f>
        <v>0</v>
      </c>
      <c r="BU63" s="872"/>
      <c r="BV63" s="872"/>
      <c r="BW63" s="872"/>
      <c r="BX63" s="872"/>
      <c r="BY63" s="872"/>
      <c r="BZ63" s="872"/>
      <c r="CA63" s="872"/>
      <c r="CB63" s="872"/>
      <c r="CC63" s="873"/>
      <c r="CD63" s="874"/>
      <c r="CE63" s="874"/>
      <c r="CF63" s="874"/>
      <c r="CG63" s="874"/>
      <c r="CH63" s="874"/>
      <c r="CI63" s="874"/>
      <c r="CJ63" s="874"/>
      <c r="CK63" s="874"/>
      <c r="CL63" s="874"/>
      <c r="CM63" s="874"/>
      <c r="CN63" s="806"/>
      <c r="CO63" s="806"/>
      <c r="CP63" s="806"/>
      <c r="CQ63" s="806"/>
      <c r="CR63" s="806"/>
      <c r="CS63" s="806"/>
      <c r="CT63" s="806"/>
      <c r="CU63" s="806"/>
      <c r="CV63" s="806"/>
      <c r="CW63" s="806"/>
      <c r="CX63" s="806"/>
      <c r="CY63" s="806"/>
      <c r="CZ63" s="365"/>
      <c r="DA63" s="366"/>
      <c r="DB63" s="367"/>
      <c r="DC63" s="875"/>
      <c r="DD63" s="875"/>
      <c r="DE63" s="875"/>
      <c r="DF63" s="875"/>
      <c r="DG63" s="875"/>
      <c r="DH63" s="875"/>
      <c r="DI63" s="875"/>
      <c r="DJ63" s="875"/>
      <c r="DK63" s="875"/>
      <c r="DL63" s="875"/>
      <c r="DM63" s="866"/>
      <c r="DN63" s="866"/>
      <c r="DO63" s="866"/>
      <c r="DP63" s="866"/>
      <c r="DQ63" s="866"/>
      <c r="DR63" s="866"/>
      <c r="DS63" s="866"/>
      <c r="DT63" s="866"/>
      <c r="DU63" s="866"/>
      <c r="DV63" s="866"/>
      <c r="DW63" s="824">
        <f>BEZ_Hilf_23_EHPreis*(BEZ_Hilf_23_GKZ/100+1)</f>
        <v>0</v>
      </c>
      <c r="DX63" s="824"/>
      <c r="DY63" s="824"/>
      <c r="DZ63" s="824"/>
      <c r="EA63" s="824"/>
      <c r="EB63" s="824"/>
      <c r="EC63" s="824"/>
      <c r="ED63" s="824"/>
      <c r="EE63" s="824"/>
      <c r="EF63" s="824"/>
      <c r="EG63" s="826">
        <f>BEZ_Hilf_23_Anz*BEZ_Hilf_23_EHPreis*((BEZ_Hilf_23_GKZ/100)+1)</f>
        <v>0</v>
      </c>
      <c r="EH63" s="826"/>
      <c r="EI63" s="826"/>
      <c r="EJ63" s="826"/>
      <c r="EK63" s="826"/>
      <c r="EL63" s="826"/>
      <c r="EM63" s="826"/>
      <c r="EN63" s="826"/>
      <c r="EO63" s="826"/>
      <c r="EP63" s="826"/>
      <c r="EQ63" s="826"/>
      <c r="ER63" s="826"/>
      <c r="ES63" s="826"/>
      <c r="ET63" s="826"/>
      <c r="EU63" s="826">
        <f>BEZ_Hilf_23_PreisJeKiste*KI_N</f>
        <v>0</v>
      </c>
      <c r="EV63" s="826"/>
      <c r="EW63" s="826"/>
      <c r="EX63" s="826"/>
      <c r="EY63" s="826"/>
      <c r="EZ63" s="826"/>
      <c r="FA63" s="826"/>
      <c r="FB63" s="826"/>
      <c r="FC63" s="826"/>
      <c r="FD63" s="826"/>
      <c r="FE63" s="867"/>
      <c r="FF63" s="867"/>
      <c r="FG63" s="867"/>
      <c r="FH63" s="867"/>
      <c r="FI63" s="867"/>
      <c r="FJ63" s="867"/>
      <c r="FK63" s="867"/>
      <c r="FL63" s="867"/>
      <c r="FM63" s="867"/>
      <c r="FN63" s="833">
        <f>BEZ_Hilf_23_gJeEH*BEZ_Hilf_23_Anz</f>
        <v>0</v>
      </c>
      <c r="FO63" s="833"/>
      <c r="FP63" s="833"/>
      <c r="FQ63" s="833"/>
      <c r="FR63" s="833"/>
      <c r="FS63" s="833"/>
      <c r="FT63" s="833"/>
      <c r="FU63" s="833"/>
      <c r="FV63" s="833"/>
      <c r="FW63" s="245"/>
      <c r="FX63" s="246"/>
      <c r="FY63" s="246"/>
      <c r="FZ63" s="246"/>
      <c r="GA63" s="246"/>
      <c r="GB63" s="246"/>
      <c r="GC63" s="246"/>
      <c r="GD63" s="246"/>
      <c r="GE63" s="246"/>
      <c r="GF63" s="246"/>
      <c r="GG63" s="246"/>
      <c r="GH63" s="246"/>
      <c r="GI63" s="246"/>
      <c r="GJ63" s="246"/>
      <c r="GK63" s="246"/>
      <c r="GL63" s="246"/>
      <c r="GM63" s="246"/>
      <c r="GN63" s="246"/>
      <c r="GO63" s="247"/>
      <c r="GP63" s="167"/>
      <c r="GQ63" s="351"/>
      <c r="GR63" s="2"/>
      <c r="GS63" s="2"/>
      <c r="GT63" s="2"/>
      <c r="GU63" s="2"/>
      <c r="GX63" s="249"/>
      <c r="GY63" s="249"/>
      <c r="HF63" s="148"/>
      <c r="HG63" s="148"/>
      <c r="HH63" s="148"/>
      <c r="HI63" s="148"/>
      <c r="HJ63" s="148"/>
      <c r="HK63" s="148"/>
      <c r="HL63" s="148"/>
      <c r="HM63" s="148"/>
      <c r="HN63" s="148"/>
      <c r="HO63" s="148"/>
      <c r="HP63" s="148"/>
      <c r="HQ63" s="148"/>
      <c r="HR63" s="148"/>
      <c r="HS63" s="148"/>
      <c r="HT63" s="148"/>
      <c r="HU63" s="148"/>
      <c r="HV63" s="148"/>
      <c r="IK63" s="241"/>
      <c r="IV63" s="242"/>
      <c r="JG63" s="243"/>
      <c r="JQ63" s="244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97"/>
      <c r="M64" s="250"/>
      <c r="N64" s="788"/>
      <c r="O64" s="788"/>
      <c r="P64" s="788"/>
      <c r="Q64" s="868"/>
      <c r="R64" s="868"/>
      <c r="S64" s="868"/>
      <c r="T64" s="868"/>
      <c r="U64" s="868"/>
      <c r="V64" s="869"/>
      <c r="W64" s="869"/>
      <c r="X64" s="869"/>
      <c r="Y64" s="869"/>
      <c r="Z64" s="869"/>
      <c r="AA64" s="869"/>
      <c r="AB64" s="869"/>
      <c r="AC64" s="869"/>
      <c r="AD64" s="869"/>
      <c r="AE64" s="869"/>
      <c r="AF64" s="869"/>
      <c r="AG64" s="869"/>
      <c r="AH64" s="869"/>
      <c r="AI64" s="869"/>
      <c r="AJ64" s="869"/>
      <c r="AK64" s="869"/>
      <c r="AL64" s="869"/>
      <c r="AM64" s="869"/>
      <c r="AN64" s="869"/>
      <c r="AO64" s="869"/>
      <c r="AP64" s="869"/>
      <c r="AQ64" s="869"/>
      <c r="AR64" s="869"/>
      <c r="AS64" s="869"/>
      <c r="AT64" s="869"/>
      <c r="AU64" s="869"/>
      <c r="AV64" s="869"/>
      <c r="AW64" s="869"/>
      <c r="AX64" s="869"/>
      <c r="AY64" s="869"/>
      <c r="AZ64" s="869"/>
      <c r="BA64" s="869"/>
      <c r="BB64" s="869"/>
      <c r="BC64" s="869"/>
      <c r="BD64" s="869"/>
      <c r="BE64" s="869"/>
      <c r="BF64" s="869"/>
      <c r="BG64" s="869"/>
      <c r="BH64" s="869"/>
      <c r="BI64" s="869"/>
      <c r="BJ64" s="870"/>
      <c r="BK64" s="870"/>
      <c r="BL64" s="870"/>
      <c r="BM64" s="870"/>
      <c r="BN64" s="870"/>
      <c r="BO64" s="870"/>
      <c r="BP64" s="870"/>
      <c r="BQ64" s="870"/>
      <c r="BR64" s="870"/>
      <c r="BS64" s="870"/>
      <c r="BT64" s="871"/>
      <c r="BU64" s="872"/>
      <c r="BV64" s="872"/>
      <c r="BW64" s="872"/>
      <c r="BX64" s="872"/>
      <c r="BY64" s="872"/>
      <c r="BZ64" s="872"/>
      <c r="CA64" s="872"/>
      <c r="CB64" s="872"/>
      <c r="CC64" s="873"/>
      <c r="CD64" s="874"/>
      <c r="CE64" s="874"/>
      <c r="CF64" s="874"/>
      <c r="CG64" s="874"/>
      <c r="CH64" s="874"/>
      <c r="CI64" s="874"/>
      <c r="CJ64" s="874"/>
      <c r="CK64" s="874"/>
      <c r="CL64" s="874"/>
      <c r="CM64" s="874"/>
      <c r="CN64" s="806"/>
      <c r="CO64" s="806"/>
      <c r="CP64" s="806"/>
      <c r="CQ64" s="806"/>
      <c r="CR64" s="806"/>
      <c r="CS64" s="806"/>
      <c r="CT64" s="806"/>
      <c r="CU64" s="806"/>
      <c r="CV64" s="806"/>
      <c r="CW64" s="806"/>
      <c r="CX64" s="806"/>
      <c r="CY64" s="806"/>
      <c r="CZ64" s="365"/>
      <c r="DA64" s="366"/>
      <c r="DB64" s="367"/>
      <c r="DC64" s="875"/>
      <c r="DD64" s="875"/>
      <c r="DE64" s="875"/>
      <c r="DF64" s="875"/>
      <c r="DG64" s="875"/>
      <c r="DH64" s="875"/>
      <c r="DI64" s="875"/>
      <c r="DJ64" s="875"/>
      <c r="DK64" s="875"/>
      <c r="DL64" s="875"/>
      <c r="DM64" s="866"/>
      <c r="DN64" s="866"/>
      <c r="DO64" s="866"/>
      <c r="DP64" s="866"/>
      <c r="DQ64" s="866"/>
      <c r="DR64" s="866"/>
      <c r="DS64" s="866"/>
      <c r="DT64" s="866"/>
      <c r="DU64" s="866"/>
      <c r="DV64" s="866"/>
      <c r="DW64" s="824"/>
      <c r="DX64" s="824"/>
      <c r="DY64" s="824"/>
      <c r="DZ64" s="824"/>
      <c r="EA64" s="824"/>
      <c r="EB64" s="824"/>
      <c r="EC64" s="824"/>
      <c r="ED64" s="824"/>
      <c r="EE64" s="824"/>
      <c r="EF64" s="824"/>
      <c r="EG64" s="826"/>
      <c r="EH64" s="826"/>
      <c r="EI64" s="826"/>
      <c r="EJ64" s="826"/>
      <c r="EK64" s="826"/>
      <c r="EL64" s="826"/>
      <c r="EM64" s="826"/>
      <c r="EN64" s="826"/>
      <c r="EO64" s="826"/>
      <c r="EP64" s="826"/>
      <c r="EQ64" s="826"/>
      <c r="ER64" s="826"/>
      <c r="ES64" s="826"/>
      <c r="ET64" s="826"/>
      <c r="EU64" s="826"/>
      <c r="EV64" s="826"/>
      <c r="EW64" s="826"/>
      <c r="EX64" s="826"/>
      <c r="EY64" s="826"/>
      <c r="EZ64" s="826"/>
      <c r="FA64" s="826"/>
      <c r="FB64" s="826"/>
      <c r="FC64" s="826"/>
      <c r="FD64" s="826"/>
      <c r="FE64" s="867"/>
      <c r="FF64" s="867"/>
      <c r="FG64" s="867"/>
      <c r="FH64" s="867"/>
      <c r="FI64" s="867"/>
      <c r="FJ64" s="867"/>
      <c r="FK64" s="867"/>
      <c r="FL64" s="867"/>
      <c r="FM64" s="867"/>
      <c r="FN64" s="833"/>
      <c r="FO64" s="833"/>
      <c r="FP64" s="833"/>
      <c r="FQ64" s="833"/>
      <c r="FR64" s="833"/>
      <c r="FS64" s="833"/>
      <c r="FT64" s="833"/>
      <c r="FU64" s="833"/>
      <c r="FV64" s="833"/>
      <c r="FW64" s="245"/>
      <c r="FX64" s="246"/>
      <c r="FY64" s="246"/>
      <c r="FZ64" s="246"/>
      <c r="GA64" s="246"/>
      <c r="GB64" s="246"/>
      <c r="GC64" s="246"/>
      <c r="GD64" s="246"/>
      <c r="GE64" s="246"/>
      <c r="GF64" s="246"/>
      <c r="GG64" s="246"/>
      <c r="GH64" s="246"/>
      <c r="GI64" s="246"/>
      <c r="GJ64" s="246"/>
      <c r="GK64" s="246"/>
      <c r="GL64" s="246"/>
      <c r="GM64" s="246"/>
      <c r="GN64" s="246"/>
      <c r="GO64" s="247"/>
      <c r="GP64" s="167"/>
      <c r="GQ64" s="2"/>
      <c r="GR64" s="2"/>
      <c r="GS64" s="2"/>
      <c r="GT64" s="2"/>
      <c r="GU64" s="2"/>
      <c r="GX64" s="249"/>
      <c r="GY64" s="249"/>
      <c r="HF64" s="148"/>
      <c r="HG64" s="148"/>
      <c r="HH64" s="148"/>
      <c r="HI64" s="148"/>
      <c r="HJ64" s="148"/>
      <c r="HK64" s="148"/>
      <c r="HL64" s="148"/>
      <c r="HM64" s="148"/>
      <c r="HN64" s="148"/>
      <c r="HO64" s="148"/>
      <c r="HP64" s="148"/>
      <c r="HQ64" s="148"/>
      <c r="HR64" s="148"/>
      <c r="HS64" s="148"/>
      <c r="HT64" s="148"/>
      <c r="HU64" s="148"/>
      <c r="HV64" s="148"/>
      <c r="IK64" s="241"/>
      <c r="IV64" s="242"/>
      <c r="JG64" s="243"/>
      <c r="JQ64" s="244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97"/>
      <c r="M65" s="250"/>
      <c r="N65" s="788">
        <v>24</v>
      </c>
      <c r="O65" s="788"/>
      <c r="P65" s="788"/>
      <c r="Q65" s="868"/>
      <c r="R65" s="868"/>
      <c r="S65" s="868"/>
      <c r="T65" s="868"/>
      <c r="U65" s="868"/>
      <c r="V65" s="869"/>
      <c r="W65" s="869"/>
      <c r="X65" s="869"/>
      <c r="Y65" s="869"/>
      <c r="Z65" s="869"/>
      <c r="AA65" s="869"/>
      <c r="AB65" s="869"/>
      <c r="AC65" s="869"/>
      <c r="AD65" s="869"/>
      <c r="AE65" s="869"/>
      <c r="AF65" s="869"/>
      <c r="AG65" s="869"/>
      <c r="AH65" s="869"/>
      <c r="AI65" s="869"/>
      <c r="AJ65" s="869"/>
      <c r="AK65" s="869"/>
      <c r="AL65" s="869"/>
      <c r="AM65" s="869"/>
      <c r="AN65" s="869"/>
      <c r="AO65" s="869"/>
      <c r="AP65" s="869"/>
      <c r="AQ65" s="869"/>
      <c r="AR65" s="869"/>
      <c r="AS65" s="869"/>
      <c r="AT65" s="869"/>
      <c r="AU65" s="869"/>
      <c r="AV65" s="869"/>
      <c r="AW65" s="869"/>
      <c r="AX65" s="869"/>
      <c r="AY65" s="869"/>
      <c r="AZ65" s="869"/>
      <c r="BA65" s="869"/>
      <c r="BB65" s="869"/>
      <c r="BC65" s="869"/>
      <c r="BD65" s="869"/>
      <c r="BE65" s="869"/>
      <c r="BF65" s="869"/>
      <c r="BG65" s="869"/>
      <c r="BH65" s="869"/>
      <c r="BI65" s="869"/>
      <c r="BJ65" s="870"/>
      <c r="BK65" s="870"/>
      <c r="BL65" s="870"/>
      <c r="BM65" s="870"/>
      <c r="BN65" s="870"/>
      <c r="BO65" s="870"/>
      <c r="BP65" s="870"/>
      <c r="BQ65" s="870"/>
      <c r="BR65" s="870"/>
      <c r="BS65" s="870"/>
      <c r="BT65" s="871">
        <f>KI_N*BEZ_Hilf_24_Anz</f>
        <v>0</v>
      </c>
      <c r="BU65" s="872"/>
      <c r="BV65" s="872"/>
      <c r="BW65" s="872"/>
      <c r="BX65" s="872"/>
      <c r="BY65" s="872"/>
      <c r="BZ65" s="872"/>
      <c r="CA65" s="872"/>
      <c r="CB65" s="872"/>
      <c r="CC65" s="873"/>
      <c r="CD65" s="874"/>
      <c r="CE65" s="874"/>
      <c r="CF65" s="874"/>
      <c r="CG65" s="874"/>
      <c r="CH65" s="874"/>
      <c r="CI65" s="874"/>
      <c r="CJ65" s="874"/>
      <c r="CK65" s="874"/>
      <c r="CL65" s="874"/>
      <c r="CM65" s="874"/>
      <c r="CN65" s="806" t="s">
        <v>82</v>
      </c>
      <c r="CO65" s="806"/>
      <c r="CP65" s="806"/>
      <c r="CQ65" s="806"/>
      <c r="CR65" s="806"/>
      <c r="CS65" s="806"/>
      <c r="CT65" s="806"/>
      <c r="CU65" s="806"/>
      <c r="CV65" s="806"/>
      <c r="CW65" s="806"/>
      <c r="CX65" s="806"/>
      <c r="CY65" s="806"/>
      <c r="CZ65" s="365"/>
      <c r="DA65" s="366"/>
      <c r="DB65" s="367"/>
      <c r="DC65" s="875"/>
      <c r="DD65" s="875"/>
      <c r="DE65" s="875"/>
      <c r="DF65" s="875"/>
      <c r="DG65" s="875"/>
      <c r="DH65" s="875"/>
      <c r="DI65" s="875"/>
      <c r="DJ65" s="875"/>
      <c r="DK65" s="875"/>
      <c r="DL65" s="875"/>
      <c r="DM65" s="866"/>
      <c r="DN65" s="866"/>
      <c r="DO65" s="866"/>
      <c r="DP65" s="866"/>
      <c r="DQ65" s="866"/>
      <c r="DR65" s="866"/>
      <c r="DS65" s="866"/>
      <c r="DT65" s="866"/>
      <c r="DU65" s="866"/>
      <c r="DV65" s="866"/>
      <c r="DW65" s="824">
        <f>BEZ_Hilf_24_EHPreis*(BEZ_Hilf_24_GKZ/100+1)</f>
        <v>0</v>
      </c>
      <c r="DX65" s="824"/>
      <c r="DY65" s="824"/>
      <c r="DZ65" s="824"/>
      <c r="EA65" s="824"/>
      <c r="EB65" s="824"/>
      <c r="EC65" s="824"/>
      <c r="ED65" s="824"/>
      <c r="EE65" s="824"/>
      <c r="EF65" s="824"/>
      <c r="EG65" s="826">
        <f>BEZ_Hilf_24_Anz*BEZ_Hilf_24_EHPreis*((BEZ_Hilf_24_GKZ/100)+1)</f>
        <v>0</v>
      </c>
      <c r="EH65" s="826"/>
      <c r="EI65" s="826"/>
      <c r="EJ65" s="826"/>
      <c r="EK65" s="826"/>
      <c r="EL65" s="826"/>
      <c r="EM65" s="826"/>
      <c r="EN65" s="826"/>
      <c r="EO65" s="826"/>
      <c r="EP65" s="826"/>
      <c r="EQ65" s="826"/>
      <c r="ER65" s="826"/>
      <c r="ES65" s="826"/>
      <c r="ET65" s="826"/>
      <c r="EU65" s="826">
        <f>BEZ_Hilf_24_PreisJeKiste*KI_N</f>
        <v>0</v>
      </c>
      <c r="EV65" s="826"/>
      <c r="EW65" s="826"/>
      <c r="EX65" s="826"/>
      <c r="EY65" s="826"/>
      <c r="EZ65" s="826"/>
      <c r="FA65" s="826"/>
      <c r="FB65" s="826"/>
      <c r="FC65" s="826"/>
      <c r="FD65" s="826"/>
      <c r="FE65" s="867"/>
      <c r="FF65" s="867"/>
      <c r="FG65" s="867"/>
      <c r="FH65" s="867"/>
      <c r="FI65" s="867"/>
      <c r="FJ65" s="867"/>
      <c r="FK65" s="867"/>
      <c r="FL65" s="867"/>
      <c r="FM65" s="867"/>
      <c r="FN65" s="833">
        <f>BEZ_Hilf_24_gJeEH*BEZ_Hilf_24_Anz</f>
        <v>0</v>
      </c>
      <c r="FO65" s="833"/>
      <c r="FP65" s="833"/>
      <c r="FQ65" s="833"/>
      <c r="FR65" s="833"/>
      <c r="FS65" s="833"/>
      <c r="FT65" s="833"/>
      <c r="FU65" s="833"/>
      <c r="FV65" s="833"/>
      <c r="FW65" s="245"/>
      <c r="FX65" s="246"/>
      <c r="FY65" s="246"/>
      <c r="FZ65" s="246"/>
      <c r="GA65" s="246"/>
      <c r="GB65" s="246"/>
      <c r="GC65" s="246"/>
      <c r="GD65" s="246"/>
      <c r="GE65" s="246"/>
      <c r="GF65" s="246"/>
      <c r="GG65" s="246"/>
      <c r="GH65" s="246"/>
      <c r="GI65" s="246"/>
      <c r="GJ65" s="246"/>
      <c r="GK65" s="246"/>
      <c r="GL65" s="246"/>
      <c r="GM65" s="246"/>
      <c r="GN65" s="246"/>
      <c r="GO65" s="247"/>
      <c r="GP65" s="167"/>
      <c r="GQ65" s="351"/>
      <c r="GR65" s="2"/>
      <c r="GS65" s="2"/>
      <c r="GT65" s="2"/>
      <c r="GU65" s="2"/>
      <c r="GX65" s="249"/>
      <c r="GY65" s="249"/>
      <c r="HF65" s="148"/>
      <c r="HG65" s="148"/>
      <c r="HH65" s="148"/>
      <c r="HI65" s="148"/>
      <c r="HJ65" s="148"/>
      <c r="HK65" s="148"/>
      <c r="HL65" s="148"/>
      <c r="HM65" s="148"/>
      <c r="HN65" s="148"/>
      <c r="HO65" s="148"/>
      <c r="HP65" s="148"/>
      <c r="HQ65" s="148"/>
      <c r="HR65" s="148"/>
      <c r="HS65" s="148"/>
      <c r="HT65" s="148"/>
      <c r="HU65" s="148"/>
      <c r="HV65" s="148"/>
      <c r="IK65" s="241"/>
      <c r="IV65" s="242"/>
      <c r="JG65" s="243"/>
      <c r="JQ65" s="244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97"/>
      <c r="M66" s="250"/>
      <c r="N66" s="788"/>
      <c r="O66" s="788"/>
      <c r="P66" s="788"/>
      <c r="Q66" s="868"/>
      <c r="R66" s="868"/>
      <c r="S66" s="868"/>
      <c r="T66" s="868"/>
      <c r="U66" s="868"/>
      <c r="V66" s="869"/>
      <c r="W66" s="869"/>
      <c r="X66" s="869"/>
      <c r="Y66" s="869"/>
      <c r="Z66" s="869"/>
      <c r="AA66" s="869"/>
      <c r="AB66" s="869"/>
      <c r="AC66" s="869"/>
      <c r="AD66" s="869"/>
      <c r="AE66" s="869"/>
      <c r="AF66" s="869"/>
      <c r="AG66" s="869"/>
      <c r="AH66" s="869"/>
      <c r="AI66" s="869"/>
      <c r="AJ66" s="869"/>
      <c r="AK66" s="869"/>
      <c r="AL66" s="869"/>
      <c r="AM66" s="869"/>
      <c r="AN66" s="869"/>
      <c r="AO66" s="869"/>
      <c r="AP66" s="869"/>
      <c r="AQ66" s="869"/>
      <c r="AR66" s="869"/>
      <c r="AS66" s="869"/>
      <c r="AT66" s="869"/>
      <c r="AU66" s="869"/>
      <c r="AV66" s="869"/>
      <c r="AW66" s="869"/>
      <c r="AX66" s="869"/>
      <c r="AY66" s="869"/>
      <c r="AZ66" s="869"/>
      <c r="BA66" s="869"/>
      <c r="BB66" s="869"/>
      <c r="BC66" s="869"/>
      <c r="BD66" s="869"/>
      <c r="BE66" s="869"/>
      <c r="BF66" s="869"/>
      <c r="BG66" s="869"/>
      <c r="BH66" s="869"/>
      <c r="BI66" s="869"/>
      <c r="BJ66" s="870"/>
      <c r="BK66" s="870"/>
      <c r="BL66" s="870"/>
      <c r="BM66" s="870"/>
      <c r="BN66" s="870"/>
      <c r="BO66" s="870"/>
      <c r="BP66" s="870"/>
      <c r="BQ66" s="870"/>
      <c r="BR66" s="870"/>
      <c r="BS66" s="870"/>
      <c r="BT66" s="871"/>
      <c r="BU66" s="872"/>
      <c r="BV66" s="872"/>
      <c r="BW66" s="872"/>
      <c r="BX66" s="872"/>
      <c r="BY66" s="872"/>
      <c r="BZ66" s="872"/>
      <c r="CA66" s="872"/>
      <c r="CB66" s="872"/>
      <c r="CC66" s="873"/>
      <c r="CD66" s="874"/>
      <c r="CE66" s="874"/>
      <c r="CF66" s="874"/>
      <c r="CG66" s="874"/>
      <c r="CH66" s="874"/>
      <c r="CI66" s="874"/>
      <c r="CJ66" s="874"/>
      <c r="CK66" s="874"/>
      <c r="CL66" s="874"/>
      <c r="CM66" s="874"/>
      <c r="CN66" s="806"/>
      <c r="CO66" s="806"/>
      <c r="CP66" s="806"/>
      <c r="CQ66" s="806"/>
      <c r="CR66" s="806"/>
      <c r="CS66" s="806"/>
      <c r="CT66" s="806"/>
      <c r="CU66" s="806"/>
      <c r="CV66" s="806"/>
      <c r="CW66" s="806"/>
      <c r="CX66" s="806"/>
      <c r="CY66" s="806"/>
      <c r="CZ66" s="365"/>
      <c r="DA66" s="366"/>
      <c r="DB66" s="367"/>
      <c r="DC66" s="875"/>
      <c r="DD66" s="875"/>
      <c r="DE66" s="875"/>
      <c r="DF66" s="875"/>
      <c r="DG66" s="875"/>
      <c r="DH66" s="875"/>
      <c r="DI66" s="875"/>
      <c r="DJ66" s="875"/>
      <c r="DK66" s="875"/>
      <c r="DL66" s="875"/>
      <c r="DM66" s="866"/>
      <c r="DN66" s="866"/>
      <c r="DO66" s="866"/>
      <c r="DP66" s="866"/>
      <c r="DQ66" s="866"/>
      <c r="DR66" s="866"/>
      <c r="DS66" s="866"/>
      <c r="DT66" s="866"/>
      <c r="DU66" s="866"/>
      <c r="DV66" s="866"/>
      <c r="DW66" s="824"/>
      <c r="DX66" s="824"/>
      <c r="DY66" s="824"/>
      <c r="DZ66" s="824"/>
      <c r="EA66" s="824"/>
      <c r="EB66" s="824"/>
      <c r="EC66" s="824"/>
      <c r="ED66" s="824"/>
      <c r="EE66" s="824"/>
      <c r="EF66" s="824"/>
      <c r="EG66" s="826"/>
      <c r="EH66" s="826"/>
      <c r="EI66" s="826"/>
      <c r="EJ66" s="826"/>
      <c r="EK66" s="826"/>
      <c r="EL66" s="826"/>
      <c r="EM66" s="826"/>
      <c r="EN66" s="826"/>
      <c r="EO66" s="826"/>
      <c r="EP66" s="826"/>
      <c r="EQ66" s="826"/>
      <c r="ER66" s="826"/>
      <c r="ES66" s="826"/>
      <c r="ET66" s="826"/>
      <c r="EU66" s="826"/>
      <c r="EV66" s="826"/>
      <c r="EW66" s="826"/>
      <c r="EX66" s="826"/>
      <c r="EY66" s="826"/>
      <c r="EZ66" s="826"/>
      <c r="FA66" s="826"/>
      <c r="FB66" s="826"/>
      <c r="FC66" s="826"/>
      <c r="FD66" s="826"/>
      <c r="FE66" s="867"/>
      <c r="FF66" s="867"/>
      <c r="FG66" s="867"/>
      <c r="FH66" s="867"/>
      <c r="FI66" s="867"/>
      <c r="FJ66" s="867"/>
      <c r="FK66" s="867"/>
      <c r="FL66" s="867"/>
      <c r="FM66" s="867"/>
      <c r="FN66" s="833"/>
      <c r="FO66" s="833"/>
      <c r="FP66" s="833"/>
      <c r="FQ66" s="833"/>
      <c r="FR66" s="833"/>
      <c r="FS66" s="833"/>
      <c r="FT66" s="833"/>
      <c r="FU66" s="833"/>
      <c r="FV66" s="833"/>
      <c r="FW66" s="245"/>
      <c r="FX66" s="246"/>
      <c r="FY66" s="246"/>
      <c r="FZ66" s="246"/>
      <c r="GA66" s="246"/>
      <c r="GB66" s="246"/>
      <c r="GC66" s="246"/>
      <c r="GD66" s="246"/>
      <c r="GE66" s="246"/>
      <c r="GF66" s="246"/>
      <c r="GG66" s="246"/>
      <c r="GH66" s="246"/>
      <c r="GI66" s="246"/>
      <c r="GJ66" s="246"/>
      <c r="GK66" s="246"/>
      <c r="GL66" s="246"/>
      <c r="GM66" s="246"/>
      <c r="GN66" s="246"/>
      <c r="GO66" s="247"/>
      <c r="GP66" s="167"/>
      <c r="GQ66" s="2"/>
      <c r="GR66" s="2"/>
      <c r="GS66" s="2"/>
      <c r="GT66" s="2"/>
      <c r="GU66" s="2"/>
      <c r="GX66" s="249"/>
      <c r="GY66" s="249"/>
      <c r="HF66" s="148"/>
      <c r="HG66" s="148"/>
      <c r="HH66" s="148"/>
      <c r="HI66" s="148"/>
      <c r="HJ66" s="148"/>
      <c r="HK66" s="148"/>
      <c r="HL66" s="148"/>
      <c r="HM66" s="148"/>
      <c r="HN66" s="148"/>
      <c r="HO66" s="148"/>
      <c r="HP66" s="148"/>
      <c r="HQ66" s="148"/>
      <c r="HR66" s="148"/>
      <c r="HS66" s="148"/>
      <c r="HT66" s="148"/>
      <c r="HU66" s="148"/>
      <c r="HV66" s="148"/>
      <c r="IK66" s="241"/>
      <c r="IV66" s="242"/>
      <c r="JG66" s="243"/>
      <c r="JQ66" s="244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97"/>
      <c r="M67" s="250"/>
      <c r="N67" s="788">
        <v>25</v>
      </c>
      <c r="O67" s="788"/>
      <c r="P67" s="788"/>
      <c r="Q67" s="868"/>
      <c r="R67" s="868"/>
      <c r="S67" s="868"/>
      <c r="T67" s="868"/>
      <c r="U67" s="868"/>
      <c r="V67" s="869"/>
      <c r="W67" s="869"/>
      <c r="X67" s="869"/>
      <c r="Y67" s="869"/>
      <c r="Z67" s="869"/>
      <c r="AA67" s="869"/>
      <c r="AB67" s="869"/>
      <c r="AC67" s="869"/>
      <c r="AD67" s="869"/>
      <c r="AE67" s="869"/>
      <c r="AF67" s="869"/>
      <c r="AG67" s="869"/>
      <c r="AH67" s="869"/>
      <c r="AI67" s="869"/>
      <c r="AJ67" s="869"/>
      <c r="AK67" s="869"/>
      <c r="AL67" s="869"/>
      <c r="AM67" s="869"/>
      <c r="AN67" s="869"/>
      <c r="AO67" s="869"/>
      <c r="AP67" s="869"/>
      <c r="AQ67" s="869"/>
      <c r="AR67" s="869"/>
      <c r="AS67" s="869"/>
      <c r="AT67" s="869"/>
      <c r="AU67" s="869"/>
      <c r="AV67" s="869"/>
      <c r="AW67" s="869"/>
      <c r="AX67" s="869"/>
      <c r="AY67" s="869"/>
      <c r="AZ67" s="869"/>
      <c r="BA67" s="869"/>
      <c r="BB67" s="869"/>
      <c r="BC67" s="869"/>
      <c r="BD67" s="869"/>
      <c r="BE67" s="869"/>
      <c r="BF67" s="869"/>
      <c r="BG67" s="869"/>
      <c r="BH67" s="869"/>
      <c r="BI67" s="869"/>
      <c r="BJ67" s="870"/>
      <c r="BK67" s="870"/>
      <c r="BL67" s="870"/>
      <c r="BM67" s="870"/>
      <c r="BN67" s="870"/>
      <c r="BO67" s="870"/>
      <c r="BP67" s="870"/>
      <c r="BQ67" s="870"/>
      <c r="BR67" s="870"/>
      <c r="BS67" s="870"/>
      <c r="BT67" s="871">
        <f>KI_N*BEZ_Hilf_25_Anz</f>
        <v>0</v>
      </c>
      <c r="BU67" s="872"/>
      <c r="BV67" s="872"/>
      <c r="BW67" s="872"/>
      <c r="BX67" s="872"/>
      <c r="BY67" s="872"/>
      <c r="BZ67" s="872"/>
      <c r="CA67" s="872"/>
      <c r="CB67" s="872"/>
      <c r="CC67" s="873"/>
      <c r="CD67" s="874"/>
      <c r="CE67" s="874"/>
      <c r="CF67" s="874"/>
      <c r="CG67" s="874"/>
      <c r="CH67" s="874"/>
      <c r="CI67" s="874"/>
      <c r="CJ67" s="874"/>
      <c r="CK67" s="874"/>
      <c r="CL67" s="874"/>
      <c r="CM67" s="874"/>
      <c r="CN67" s="806" t="s">
        <v>82</v>
      </c>
      <c r="CO67" s="806"/>
      <c r="CP67" s="806"/>
      <c r="CQ67" s="806"/>
      <c r="CR67" s="806"/>
      <c r="CS67" s="806"/>
      <c r="CT67" s="806"/>
      <c r="CU67" s="806"/>
      <c r="CV67" s="806"/>
      <c r="CW67" s="806"/>
      <c r="CX67" s="806"/>
      <c r="CY67" s="806"/>
      <c r="CZ67" s="365"/>
      <c r="DA67" s="366"/>
      <c r="DB67" s="367"/>
      <c r="DC67" s="875"/>
      <c r="DD67" s="875"/>
      <c r="DE67" s="875"/>
      <c r="DF67" s="875"/>
      <c r="DG67" s="875"/>
      <c r="DH67" s="875"/>
      <c r="DI67" s="875"/>
      <c r="DJ67" s="875"/>
      <c r="DK67" s="875"/>
      <c r="DL67" s="875"/>
      <c r="DM67" s="866"/>
      <c r="DN67" s="866"/>
      <c r="DO67" s="866"/>
      <c r="DP67" s="866"/>
      <c r="DQ67" s="866"/>
      <c r="DR67" s="866"/>
      <c r="DS67" s="866"/>
      <c r="DT67" s="866"/>
      <c r="DU67" s="866"/>
      <c r="DV67" s="866"/>
      <c r="DW67" s="824">
        <f>BEZ_Hilf_25_EHPreis*(BEZ_Hilf_25_GKZ/100+1)</f>
        <v>0</v>
      </c>
      <c r="DX67" s="824"/>
      <c r="DY67" s="824"/>
      <c r="DZ67" s="824"/>
      <c r="EA67" s="824"/>
      <c r="EB67" s="824"/>
      <c r="EC67" s="824"/>
      <c r="ED67" s="824"/>
      <c r="EE67" s="824"/>
      <c r="EF67" s="824"/>
      <c r="EG67" s="826">
        <f>BEZ_Hilf_25_Anz*BEZ_Hilf_25_EHPreis*((BEZ_Hilf_25_GKZ/100)+1)</f>
        <v>0</v>
      </c>
      <c r="EH67" s="826"/>
      <c r="EI67" s="826"/>
      <c r="EJ67" s="826"/>
      <c r="EK67" s="826"/>
      <c r="EL67" s="826"/>
      <c r="EM67" s="826"/>
      <c r="EN67" s="826"/>
      <c r="EO67" s="826"/>
      <c r="EP67" s="826"/>
      <c r="EQ67" s="826"/>
      <c r="ER67" s="826"/>
      <c r="ES67" s="826"/>
      <c r="ET67" s="826"/>
      <c r="EU67" s="826">
        <f>BEZ_Hilf_25_PreisJeKiste*KI_N</f>
        <v>0</v>
      </c>
      <c r="EV67" s="826"/>
      <c r="EW67" s="826"/>
      <c r="EX67" s="826"/>
      <c r="EY67" s="826"/>
      <c r="EZ67" s="826"/>
      <c r="FA67" s="826"/>
      <c r="FB67" s="826"/>
      <c r="FC67" s="826"/>
      <c r="FD67" s="826"/>
      <c r="FE67" s="867"/>
      <c r="FF67" s="867"/>
      <c r="FG67" s="867"/>
      <c r="FH67" s="867"/>
      <c r="FI67" s="867"/>
      <c r="FJ67" s="867"/>
      <c r="FK67" s="867"/>
      <c r="FL67" s="867"/>
      <c r="FM67" s="867"/>
      <c r="FN67" s="833">
        <f>BEZ_Hilf_25_gJeEH*BEZ_Hilf_25_Anz</f>
        <v>0</v>
      </c>
      <c r="FO67" s="833"/>
      <c r="FP67" s="833"/>
      <c r="FQ67" s="833"/>
      <c r="FR67" s="833"/>
      <c r="FS67" s="833"/>
      <c r="FT67" s="833"/>
      <c r="FU67" s="833"/>
      <c r="FV67" s="833"/>
      <c r="FW67" s="245"/>
      <c r="FX67" s="246"/>
      <c r="FY67" s="246"/>
      <c r="FZ67" s="246"/>
      <c r="GA67" s="246"/>
      <c r="GB67" s="246"/>
      <c r="GC67" s="246"/>
      <c r="GD67" s="246"/>
      <c r="GE67" s="246"/>
      <c r="GF67" s="246"/>
      <c r="GG67" s="246"/>
      <c r="GH67" s="246"/>
      <c r="GI67" s="246"/>
      <c r="GJ67" s="246"/>
      <c r="GK67" s="246"/>
      <c r="GL67" s="246"/>
      <c r="GM67" s="246"/>
      <c r="GN67" s="246"/>
      <c r="GO67" s="247"/>
      <c r="GP67" s="167"/>
      <c r="GQ67" s="351"/>
      <c r="GR67" s="2"/>
      <c r="GS67" s="2"/>
      <c r="GT67" s="2"/>
      <c r="GU67" s="2"/>
      <c r="GX67" s="249"/>
      <c r="GY67" s="249"/>
      <c r="HF67" s="148"/>
      <c r="HG67" s="148"/>
      <c r="HH67" s="148"/>
      <c r="HI67" s="148"/>
      <c r="HJ67" s="148"/>
      <c r="HK67" s="148"/>
      <c r="HL67" s="148"/>
      <c r="HM67" s="148"/>
      <c r="HN67" s="148"/>
      <c r="HO67" s="148"/>
      <c r="HP67" s="148"/>
      <c r="HQ67" s="148"/>
      <c r="HR67" s="148"/>
      <c r="HS67" s="148"/>
      <c r="HT67" s="148"/>
      <c r="HU67" s="148"/>
      <c r="HV67" s="148"/>
      <c r="IK67" s="241"/>
      <c r="IV67" s="242"/>
      <c r="JG67" s="243"/>
      <c r="JQ67" s="244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97"/>
      <c r="M68" s="250"/>
      <c r="N68" s="788"/>
      <c r="O68" s="788"/>
      <c r="P68" s="788"/>
      <c r="Q68" s="868"/>
      <c r="R68" s="868"/>
      <c r="S68" s="868"/>
      <c r="T68" s="868"/>
      <c r="U68" s="868"/>
      <c r="V68" s="869"/>
      <c r="W68" s="869"/>
      <c r="X68" s="869"/>
      <c r="Y68" s="869"/>
      <c r="Z68" s="869"/>
      <c r="AA68" s="869"/>
      <c r="AB68" s="869"/>
      <c r="AC68" s="869"/>
      <c r="AD68" s="869"/>
      <c r="AE68" s="869"/>
      <c r="AF68" s="869"/>
      <c r="AG68" s="869"/>
      <c r="AH68" s="869"/>
      <c r="AI68" s="869"/>
      <c r="AJ68" s="869"/>
      <c r="AK68" s="869"/>
      <c r="AL68" s="869"/>
      <c r="AM68" s="869"/>
      <c r="AN68" s="869"/>
      <c r="AO68" s="869"/>
      <c r="AP68" s="869"/>
      <c r="AQ68" s="869"/>
      <c r="AR68" s="869"/>
      <c r="AS68" s="869"/>
      <c r="AT68" s="869"/>
      <c r="AU68" s="869"/>
      <c r="AV68" s="869"/>
      <c r="AW68" s="869"/>
      <c r="AX68" s="869"/>
      <c r="AY68" s="869"/>
      <c r="AZ68" s="869"/>
      <c r="BA68" s="869"/>
      <c r="BB68" s="869"/>
      <c r="BC68" s="869"/>
      <c r="BD68" s="869"/>
      <c r="BE68" s="869"/>
      <c r="BF68" s="869"/>
      <c r="BG68" s="869"/>
      <c r="BH68" s="869"/>
      <c r="BI68" s="869"/>
      <c r="BJ68" s="870"/>
      <c r="BK68" s="870"/>
      <c r="BL68" s="870"/>
      <c r="BM68" s="870"/>
      <c r="BN68" s="870"/>
      <c r="BO68" s="870"/>
      <c r="BP68" s="870"/>
      <c r="BQ68" s="870"/>
      <c r="BR68" s="870"/>
      <c r="BS68" s="870"/>
      <c r="BT68" s="871"/>
      <c r="BU68" s="872"/>
      <c r="BV68" s="872"/>
      <c r="BW68" s="872"/>
      <c r="BX68" s="872"/>
      <c r="BY68" s="872"/>
      <c r="BZ68" s="872"/>
      <c r="CA68" s="872"/>
      <c r="CB68" s="872"/>
      <c r="CC68" s="873"/>
      <c r="CD68" s="874"/>
      <c r="CE68" s="874"/>
      <c r="CF68" s="874"/>
      <c r="CG68" s="874"/>
      <c r="CH68" s="874"/>
      <c r="CI68" s="874"/>
      <c r="CJ68" s="874"/>
      <c r="CK68" s="874"/>
      <c r="CL68" s="874"/>
      <c r="CM68" s="874"/>
      <c r="CN68" s="806"/>
      <c r="CO68" s="806"/>
      <c r="CP68" s="806"/>
      <c r="CQ68" s="806"/>
      <c r="CR68" s="806"/>
      <c r="CS68" s="806"/>
      <c r="CT68" s="806"/>
      <c r="CU68" s="806"/>
      <c r="CV68" s="806"/>
      <c r="CW68" s="806"/>
      <c r="CX68" s="806"/>
      <c r="CY68" s="806"/>
      <c r="CZ68" s="365"/>
      <c r="DA68" s="366"/>
      <c r="DB68" s="367"/>
      <c r="DC68" s="875"/>
      <c r="DD68" s="875"/>
      <c r="DE68" s="875"/>
      <c r="DF68" s="875"/>
      <c r="DG68" s="875"/>
      <c r="DH68" s="875"/>
      <c r="DI68" s="875"/>
      <c r="DJ68" s="875"/>
      <c r="DK68" s="875"/>
      <c r="DL68" s="875"/>
      <c r="DM68" s="866"/>
      <c r="DN68" s="866"/>
      <c r="DO68" s="866"/>
      <c r="DP68" s="866"/>
      <c r="DQ68" s="866"/>
      <c r="DR68" s="866"/>
      <c r="DS68" s="866"/>
      <c r="DT68" s="866"/>
      <c r="DU68" s="866"/>
      <c r="DV68" s="866"/>
      <c r="DW68" s="824"/>
      <c r="DX68" s="824"/>
      <c r="DY68" s="824"/>
      <c r="DZ68" s="824"/>
      <c r="EA68" s="824"/>
      <c r="EB68" s="824"/>
      <c r="EC68" s="824"/>
      <c r="ED68" s="824"/>
      <c r="EE68" s="824"/>
      <c r="EF68" s="824"/>
      <c r="EG68" s="826"/>
      <c r="EH68" s="826"/>
      <c r="EI68" s="826"/>
      <c r="EJ68" s="826"/>
      <c r="EK68" s="826"/>
      <c r="EL68" s="826"/>
      <c r="EM68" s="826"/>
      <c r="EN68" s="826"/>
      <c r="EO68" s="826"/>
      <c r="EP68" s="826"/>
      <c r="EQ68" s="826"/>
      <c r="ER68" s="826"/>
      <c r="ES68" s="826"/>
      <c r="ET68" s="826"/>
      <c r="EU68" s="826"/>
      <c r="EV68" s="826"/>
      <c r="EW68" s="826"/>
      <c r="EX68" s="826"/>
      <c r="EY68" s="826"/>
      <c r="EZ68" s="826"/>
      <c r="FA68" s="826"/>
      <c r="FB68" s="826"/>
      <c r="FC68" s="826"/>
      <c r="FD68" s="826"/>
      <c r="FE68" s="867"/>
      <c r="FF68" s="867"/>
      <c r="FG68" s="867"/>
      <c r="FH68" s="867"/>
      <c r="FI68" s="867"/>
      <c r="FJ68" s="867"/>
      <c r="FK68" s="867"/>
      <c r="FL68" s="867"/>
      <c r="FM68" s="867"/>
      <c r="FN68" s="833"/>
      <c r="FO68" s="833"/>
      <c r="FP68" s="833"/>
      <c r="FQ68" s="833"/>
      <c r="FR68" s="833"/>
      <c r="FS68" s="833"/>
      <c r="FT68" s="833"/>
      <c r="FU68" s="833"/>
      <c r="FV68" s="833"/>
      <c r="FW68" s="245"/>
      <c r="FX68" s="246"/>
      <c r="FY68" s="246"/>
      <c r="FZ68" s="246"/>
      <c r="GA68" s="246"/>
      <c r="GB68" s="246"/>
      <c r="GC68" s="246"/>
      <c r="GD68" s="246"/>
      <c r="GE68" s="246"/>
      <c r="GF68" s="246"/>
      <c r="GG68" s="246"/>
      <c r="GH68" s="246"/>
      <c r="GI68" s="246"/>
      <c r="GJ68" s="246"/>
      <c r="GK68" s="246"/>
      <c r="GL68" s="246"/>
      <c r="GM68" s="246"/>
      <c r="GN68" s="246"/>
      <c r="GO68" s="247"/>
      <c r="GP68" s="167"/>
      <c r="GQ68" s="2"/>
      <c r="GR68" s="2"/>
      <c r="GS68" s="2"/>
      <c r="GT68" s="2"/>
      <c r="GU68" s="2"/>
      <c r="GX68" s="249"/>
      <c r="GY68" s="249"/>
      <c r="HF68" s="148"/>
      <c r="HG68" s="148"/>
      <c r="HH68" s="148"/>
      <c r="HI68" s="148"/>
      <c r="HJ68" s="148"/>
      <c r="HK68" s="148"/>
      <c r="HL68" s="148"/>
      <c r="HM68" s="148"/>
      <c r="HN68" s="148"/>
      <c r="HO68" s="148"/>
      <c r="HP68" s="148"/>
      <c r="HQ68" s="148"/>
      <c r="HR68" s="148"/>
      <c r="HS68" s="148"/>
      <c r="HT68" s="148"/>
      <c r="HU68" s="148"/>
      <c r="HV68" s="148"/>
      <c r="IK68" s="241"/>
      <c r="IV68" s="242"/>
      <c r="JG68" s="243"/>
      <c r="JQ68" s="244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97"/>
      <c r="M69" s="250"/>
      <c r="N69" s="788">
        <v>26</v>
      </c>
      <c r="O69" s="788"/>
      <c r="P69" s="788"/>
      <c r="Q69" s="868"/>
      <c r="R69" s="868"/>
      <c r="S69" s="868"/>
      <c r="T69" s="868"/>
      <c r="U69" s="868"/>
      <c r="V69" s="869"/>
      <c r="W69" s="869"/>
      <c r="X69" s="869"/>
      <c r="Y69" s="869"/>
      <c r="Z69" s="869"/>
      <c r="AA69" s="869"/>
      <c r="AB69" s="869"/>
      <c r="AC69" s="869"/>
      <c r="AD69" s="869"/>
      <c r="AE69" s="869"/>
      <c r="AF69" s="869"/>
      <c r="AG69" s="869"/>
      <c r="AH69" s="869"/>
      <c r="AI69" s="869"/>
      <c r="AJ69" s="869"/>
      <c r="AK69" s="869"/>
      <c r="AL69" s="869"/>
      <c r="AM69" s="869"/>
      <c r="AN69" s="869"/>
      <c r="AO69" s="869"/>
      <c r="AP69" s="869"/>
      <c r="AQ69" s="869"/>
      <c r="AR69" s="869"/>
      <c r="AS69" s="869"/>
      <c r="AT69" s="869"/>
      <c r="AU69" s="869"/>
      <c r="AV69" s="869"/>
      <c r="AW69" s="869"/>
      <c r="AX69" s="869"/>
      <c r="AY69" s="869"/>
      <c r="AZ69" s="869"/>
      <c r="BA69" s="869"/>
      <c r="BB69" s="869"/>
      <c r="BC69" s="869"/>
      <c r="BD69" s="869"/>
      <c r="BE69" s="869"/>
      <c r="BF69" s="869"/>
      <c r="BG69" s="869"/>
      <c r="BH69" s="869"/>
      <c r="BI69" s="869"/>
      <c r="BJ69" s="870"/>
      <c r="BK69" s="870"/>
      <c r="BL69" s="870"/>
      <c r="BM69" s="870"/>
      <c r="BN69" s="870"/>
      <c r="BO69" s="870"/>
      <c r="BP69" s="870"/>
      <c r="BQ69" s="870"/>
      <c r="BR69" s="870"/>
      <c r="BS69" s="870"/>
      <c r="BT69" s="871">
        <f>KI_N*BEZ_Hilf_26_Anz</f>
        <v>0</v>
      </c>
      <c r="BU69" s="872"/>
      <c r="BV69" s="872"/>
      <c r="BW69" s="872"/>
      <c r="BX69" s="872"/>
      <c r="BY69" s="872"/>
      <c r="BZ69" s="872"/>
      <c r="CA69" s="872"/>
      <c r="CB69" s="872"/>
      <c r="CC69" s="873"/>
      <c r="CD69" s="874"/>
      <c r="CE69" s="874"/>
      <c r="CF69" s="874"/>
      <c r="CG69" s="874"/>
      <c r="CH69" s="874"/>
      <c r="CI69" s="874"/>
      <c r="CJ69" s="874"/>
      <c r="CK69" s="874"/>
      <c r="CL69" s="874"/>
      <c r="CM69" s="874"/>
      <c r="CN69" s="806"/>
      <c r="CO69" s="806"/>
      <c r="CP69" s="806"/>
      <c r="CQ69" s="806"/>
      <c r="CR69" s="806"/>
      <c r="CS69" s="806"/>
      <c r="CT69" s="806"/>
      <c r="CU69" s="806"/>
      <c r="CV69" s="806"/>
      <c r="CW69" s="806"/>
      <c r="CX69" s="806"/>
      <c r="CY69" s="806"/>
      <c r="CZ69" s="365"/>
      <c r="DA69" s="366"/>
      <c r="DB69" s="367"/>
      <c r="DC69" s="875"/>
      <c r="DD69" s="875"/>
      <c r="DE69" s="875"/>
      <c r="DF69" s="875"/>
      <c r="DG69" s="875"/>
      <c r="DH69" s="875"/>
      <c r="DI69" s="875"/>
      <c r="DJ69" s="875"/>
      <c r="DK69" s="875"/>
      <c r="DL69" s="875"/>
      <c r="DM69" s="866"/>
      <c r="DN69" s="866"/>
      <c r="DO69" s="866"/>
      <c r="DP69" s="866"/>
      <c r="DQ69" s="866"/>
      <c r="DR69" s="866"/>
      <c r="DS69" s="866"/>
      <c r="DT69" s="866"/>
      <c r="DU69" s="866"/>
      <c r="DV69" s="866"/>
      <c r="DW69" s="824">
        <f>BEZ_Hilf_26_EHPreis*(BEZ_Hilf_26_GKZ/100+1)</f>
        <v>0</v>
      </c>
      <c r="DX69" s="824"/>
      <c r="DY69" s="824"/>
      <c r="DZ69" s="824"/>
      <c r="EA69" s="824"/>
      <c r="EB69" s="824"/>
      <c r="EC69" s="824"/>
      <c r="ED69" s="824"/>
      <c r="EE69" s="824"/>
      <c r="EF69" s="824"/>
      <c r="EG69" s="826">
        <f>BEZ_Hilf_26_Anz*BEZ_Hilf_26_EHPreis*((BEZ_Hilf_26_GKZ/100)+1)</f>
        <v>0</v>
      </c>
      <c r="EH69" s="826"/>
      <c r="EI69" s="826"/>
      <c r="EJ69" s="826"/>
      <c r="EK69" s="826"/>
      <c r="EL69" s="826"/>
      <c r="EM69" s="826"/>
      <c r="EN69" s="826"/>
      <c r="EO69" s="826"/>
      <c r="EP69" s="826"/>
      <c r="EQ69" s="826"/>
      <c r="ER69" s="826"/>
      <c r="ES69" s="826"/>
      <c r="ET69" s="826"/>
      <c r="EU69" s="826">
        <f>BEZ_Hilf_26_PreisJeKiste*KI_N</f>
        <v>0</v>
      </c>
      <c r="EV69" s="826"/>
      <c r="EW69" s="826"/>
      <c r="EX69" s="826"/>
      <c r="EY69" s="826"/>
      <c r="EZ69" s="826"/>
      <c r="FA69" s="826"/>
      <c r="FB69" s="826"/>
      <c r="FC69" s="826"/>
      <c r="FD69" s="826"/>
      <c r="FE69" s="867"/>
      <c r="FF69" s="867"/>
      <c r="FG69" s="867"/>
      <c r="FH69" s="867"/>
      <c r="FI69" s="867"/>
      <c r="FJ69" s="867"/>
      <c r="FK69" s="867"/>
      <c r="FL69" s="867"/>
      <c r="FM69" s="867"/>
      <c r="FN69" s="833">
        <f>BEZ_Hilf_26_gJeEH*BEZ_Hilf_26_Anz</f>
        <v>0</v>
      </c>
      <c r="FO69" s="833"/>
      <c r="FP69" s="833"/>
      <c r="FQ69" s="833"/>
      <c r="FR69" s="833"/>
      <c r="FS69" s="833"/>
      <c r="FT69" s="833"/>
      <c r="FU69" s="833"/>
      <c r="FV69" s="833"/>
      <c r="FW69" s="245"/>
      <c r="FX69" s="246"/>
      <c r="FY69" s="246"/>
      <c r="FZ69" s="246"/>
      <c r="GA69" s="246"/>
      <c r="GB69" s="246"/>
      <c r="GC69" s="246"/>
      <c r="GD69" s="246"/>
      <c r="GE69" s="246"/>
      <c r="GF69" s="246"/>
      <c r="GG69" s="246"/>
      <c r="GH69" s="246"/>
      <c r="GI69" s="246"/>
      <c r="GJ69" s="246"/>
      <c r="GK69" s="246"/>
      <c r="GL69" s="246"/>
      <c r="GM69" s="246"/>
      <c r="GN69" s="246"/>
      <c r="GO69" s="247"/>
      <c r="GP69" s="167"/>
      <c r="GQ69" s="351"/>
      <c r="GR69" s="2"/>
      <c r="GS69" s="2"/>
      <c r="GT69" s="2"/>
      <c r="GU69" s="2"/>
      <c r="GX69" s="249"/>
      <c r="GY69" s="249"/>
      <c r="HF69" s="148"/>
      <c r="HG69" s="148"/>
      <c r="HH69" s="148"/>
      <c r="HI69" s="148"/>
      <c r="HJ69" s="148"/>
      <c r="HK69" s="148"/>
      <c r="HL69" s="148"/>
      <c r="HM69" s="148"/>
      <c r="HN69" s="148"/>
      <c r="HO69" s="148"/>
      <c r="HP69" s="148"/>
      <c r="HQ69" s="148"/>
      <c r="HR69" s="148"/>
      <c r="HS69" s="148"/>
      <c r="HT69" s="148"/>
      <c r="HU69" s="148"/>
      <c r="HV69" s="148"/>
      <c r="IK69" s="241"/>
      <c r="IV69" s="242"/>
      <c r="JG69" s="243"/>
      <c r="JQ69" s="244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97"/>
      <c r="M70" s="250"/>
      <c r="N70" s="788"/>
      <c r="O70" s="788"/>
      <c r="P70" s="788"/>
      <c r="Q70" s="868"/>
      <c r="R70" s="868"/>
      <c r="S70" s="868"/>
      <c r="T70" s="868"/>
      <c r="U70" s="868"/>
      <c r="V70" s="869"/>
      <c r="W70" s="869"/>
      <c r="X70" s="869"/>
      <c r="Y70" s="869"/>
      <c r="Z70" s="869"/>
      <c r="AA70" s="869"/>
      <c r="AB70" s="869"/>
      <c r="AC70" s="869"/>
      <c r="AD70" s="869"/>
      <c r="AE70" s="869"/>
      <c r="AF70" s="869"/>
      <c r="AG70" s="869"/>
      <c r="AH70" s="869"/>
      <c r="AI70" s="869"/>
      <c r="AJ70" s="869"/>
      <c r="AK70" s="869"/>
      <c r="AL70" s="869"/>
      <c r="AM70" s="869"/>
      <c r="AN70" s="869"/>
      <c r="AO70" s="869"/>
      <c r="AP70" s="869"/>
      <c r="AQ70" s="869"/>
      <c r="AR70" s="869"/>
      <c r="AS70" s="869"/>
      <c r="AT70" s="869"/>
      <c r="AU70" s="869"/>
      <c r="AV70" s="869"/>
      <c r="AW70" s="869"/>
      <c r="AX70" s="869"/>
      <c r="AY70" s="869"/>
      <c r="AZ70" s="869"/>
      <c r="BA70" s="869"/>
      <c r="BB70" s="869"/>
      <c r="BC70" s="869"/>
      <c r="BD70" s="869"/>
      <c r="BE70" s="869"/>
      <c r="BF70" s="869"/>
      <c r="BG70" s="869"/>
      <c r="BH70" s="869"/>
      <c r="BI70" s="869"/>
      <c r="BJ70" s="870"/>
      <c r="BK70" s="870"/>
      <c r="BL70" s="870"/>
      <c r="BM70" s="870"/>
      <c r="BN70" s="870"/>
      <c r="BO70" s="870"/>
      <c r="BP70" s="870"/>
      <c r="BQ70" s="870"/>
      <c r="BR70" s="870"/>
      <c r="BS70" s="870"/>
      <c r="BT70" s="871"/>
      <c r="BU70" s="872"/>
      <c r="BV70" s="872"/>
      <c r="BW70" s="872"/>
      <c r="BX70" s="872"/>
      <c r="BY70" s="872"/>
      <c r="BZ70" s="872"/>
      <c r="CA70" s="872"/>
      <c r="CB70" s="872"/>
      <c r="CC70" s="873"/>
      <c r="CD70" s="874"/>
      <c r="CE70" s="874"/>
      <c r="CF70" s="874"/>
      <c r="CG70" s="874"/>
      <c r="CH70" s="874"/>
      <c r="CI70" s="874"/>
      <c r="CJ70" s="874"/>
      <c r="CK70" s="874"/>
      <c r="CL70" s="874"/>
      <c r="CM70" s="874"/>
      <c r="CN70" s="806"/>
      <c r="CO70" s="806"/>
      <c r="CP70" s="806"/>
      <c r="CQ70" s="806"/>
      <c r="CR70" s="806"/>
      <c r="CS70" s="806"/>
      <c r="CT70" s="806"/>
      <c r="CU70" s="806"/>
      <c r="CV70" s="806"/>
      <c r="CW70" s="806"/>
      <c r="CX70" s="806"/>
      <c r="CY70" s="806"/>
      <c r="CZ70" s="365"/>
      <c r="DA70" s="366"/>
      <c r="DB70" s="367"/>
      <c r="DC70" s="875"/>
      <c r="DD70" s="875"/>
      <c r="DE70" s="875"/>
      <c r="DF70" s="875"/>
      <c r="DG70" s="875"/>
      <c r="DH70" s="875"/>
      <c r="DI70" s="875"/>
      <c r="DJ70" s="875"/>
      <c r="DK70" s="875"/>
      <c r="DL70" s="875"/>
      <c r="DM70" s="866"/>
      <c r="DN70" s="866"/>
      <c r="DO70" s="866"/>
      <c r="DP70" s="866"/>
      <c r="DQ70" s="866"/>
      <c r="DR70" s="866"/>
      <c r="DS70" s="866"/>
      <c r="DT70" s="866"/>
      <c r="DU70" s="866"/>
      <c r="DV70" s="866"/>
      <c r="DW70" s="824"/>
      <c r="DX70" s="824"/>
      <c r="DY70" s="824"/>
      <c r="DZ70" s="824"/>
      <c r="EA70" s="824"/>
      <c r="EB70" s="824"/>
      <c r="EC70" s="824"/>
      <c r="ED70" s="824"/>
      <c r="EE70" s="824"/>
      <c r="EF70" s="824"/>
      <c r="EG70" s="826"/>
      <c r="EH70" s="826"/>
      <c r="EI70" s="826"/>
      <c r="EJ70" s="826"/>
      <c r="EK70" s="826"/>
      <c r="EL70" s="826"/>
      <c r="EM70" s="826"/>
      <c r="EN70" s="826"/>
      <c r="EO70" s="826"/>
      <c r="EP70" s="826"/>
      <c r="EQ70" s="826"/>
      <c r="ER70" s="826"/>
      <c r="ES70" s="826"/>
      <c r="ET70" s="826"/>
      <c r="EU70" s="826"/>
      <c r="EV70" s="826"/>
      <c r="EW70" s="826"/>
      <c r="EX70" s="826"/>
      <c r="EY70" s="826"/>
      <c r="EZ70" s="826"/>
      <c r="FA70" s="826"/>
      <c r="FB70" s="826"/>
      <c r="FC70" s="826"/>
      <c r="FD70" s="826"/>
      <c r="FE70" s="867"/>
      <c r="FF70" s="867"/>
      <c r="FG70" s="867"/>
      <c r="FH70" s="867"/>
      <c r="FI70" s="867"/>
      <c r="FJ70" s="867"/>
      <c r="FK70" s="867"/>
      <c r="FL70" s="867"/>
      <c r="FM70" s="867"/>
      <c r="FN70" s="833"/>
      <c r="FO70" s="833"/>
      <c r="FP70" s="833"/>
      <c r="FQ70" s="833"/>
      <c r="FR70" s="833"/>
      <c r="FS70" s="833"/>
      <c r="FT70" s="833"/>
      <c r="FU70" s="833"/>
      <c r="FV70" s="833"/>
      <c r="FW70" s="245"/>
      <c r="FX70" s="246"/>
      <c r="FY70" s="246"/>
      <c r="FZ70" s="246"/>
      <c r="GA70" s="246"/>
      <c r="GB70" s="246"/>
      <c r="GC70" s="246"/>
      <c r="GD70" s="246"/>
      <c r="GE70" s="246"/>
      <c r="GF70" s="246"/>
      <c r="GG70" s="246"/>
      <c r="GH70" s="246"/>
      <c r="GI70" s="246"/>
      <c r="GJ70" s="246"/>
      <c r="GK70" s="246"/>
      <c r="GL70" s="246"/>
      <c r="GM70" s="246"/>
      <c r="GN70" s="246"/>
      <c r="GO70" s="247"/>
      <c r="GP70" s="167"/>
      <c r="GQ70" s="2"/>
      <c r="GR70" s="2"/>
      <c r="GS70" s="2"/>
      <c r="GT70" s="2"/>
      <c r="GU70" s="2"/>
      <c r="GX70" s="249"/>
      <c r="GY70" s="249"/>
      <c r="HF70" s="148"/>
      <c r="HG70" s="148"/>
      <c r="HH70" s="148"/>
      <c r="HI70" s="148"/>
      <c r="HJ70" s="148"/>
      <c r="HK70" s="148"/>
      <c r="HL70" s="148"/>
      <c r="HM70" s="148"/>
      <c r="HN70" s="148"/>
      <c r="HO70" s="148"/>
      <c r="HP70" s="148"/>
      <c r="HQ70" s="148"/>
      <c r="HR70" s="148"/>
      <c r="HS70" s="148"/>
      <c r="HT70" s="148"/>
      <c r="HU70" s="148"/>
      <c r="HV70" s="148"/>
      <c r="IK70" s="241"/>
      <c r="IV70" s="242"/>
      <c r="JG70" s="243"/>
      <c r="JQ70" s="244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97"/>
      <c r="M71" s="250"/>
      <c r="N71" s="788">
        <v>27</v>
      </c>
      <c r="O71" s="788"/>
      <c r="P71" s="788"/>
      <c r="Q71" s="868"/>
      <c r="R71" s="868"/>
      <c r="S71" s="868"/>
      <c r="T71" s="868"/>
      <c r="U71" s="868"/>
      <c r="V71" s="869"/>
      <c r="W71" s="869"/>
      <c r="X71" s="869"/>
      <c r="Y71" s="869"/>
      <c r="Z71" s="869"/>
      <c r="AA71" s="869"/>
      <c r="AB71" s="869"/>
      <c r="AC71" s="869"/>
      <c r="AD71" s="869"/>
      <c r="AE71" s="869"/>
      <c r="AF71" s="869"/>
      <c r="AG71" s="869"/>
      <c r="AH71" s="869"/>
      <c r="AI71" s="869"/>
      <c r="AJ71" s="869"/>
      <c r="AK71" s="869"/>
      <c r="AL71" s="869"/>
      <c r="AM71" s="869"/>
      <c r="AN71" s="869"/>
      <c r="AO71" s="869"/>
      <c r="AP71" s="869"/>
      <c r="AQ71" s="869"/>
      <c r="AR71" s="869"/>
      <c r="AS71" s="869"/>
      <c r="AT71" s="869"/>
      <c r="AU71" s="869"/>
      <c r="AV71" s="869"/>
      <c r="AW71" s="869"/>
      <c r="AX71" s="869"/>
      <c r="AY71" s="869"/>
      <c r="AZ71" s="869"/>
      <c r="BA71" s="869"/>
      <c r="BB71" s="869"/>
      <c r="BC71" s="869"/>
      <c r="BD71" s="869"/>
      <c r="BE71" s="869"/>
      <c r="BF71" s="869"/>
      <c r="BG71" s="869"/>
      <c r="BH71" s="869"/>
      <c r="BI71" s="869"/>
      <c r="BJ71" s="870"/>
      <c r="BK71" s="870"/>
      <c r="BL71" s="870"/>
      <c r="BM71" s="870"/>
      <c r="BN71" s="870"/>
      <c r="BO71" s="870"/>
      <c r="BP71" s="870"/>
      <c r="BQ71" s="870"/>
      <c r="BR71" s="870"/>
      <c r="BS71" s="870"/>
      <c r="BT71" s="871">
        <f>KI_N*BEZ_Hilf_27_Anz</f>
        <v>0</v>
      </c>
      <c r="BU71" s="872"/>
      <c r="BV71" s="872"/>
      <c r="BW71" s="872"/>
      <c r="BX71" s="872"/>
      <c r="BY71" s="872"/>
      <c r="BZ71" s="872"/>
      <c r="CA71" s="872"/>
      <c r="CB71" s="872"/>
      <c r="CC71" s="873"/>
      <c r="CD71" s="874"/>
      <c r="CE71" s="874"/>
      <c r="CF71" s="874"/>
      <c r="CG71" s="874"/>
      <c r="CH71" s="874"/>
      <c r="CI71" s="874"/>
      <c r="CJ71" s="874"/>
      <c r="CK71" s="874"/>
      <c r="CL71" s="874"/>
      <c r="CM71" s="874"/>
      <c r="CN71" s="806"/>
      <c r="CO71" s="806"/>
      <c r="CP71" s="806"/>
      <c r="CQ71" s="806"/>
      <c r="CR71" s="806"/>
      <c r="CS71" s="806"/>
      <c r="CT71" s="806"/>
      <c r="CU71" s="806"/>
      <c r="CV71" s="806"/>
      <c r="CW71" s="806"/>
      <c r="CX71" s="806"/>
      <c r="CY71" s="806"/>
      <c r="CZ71" s="365"/>
      <c r="DA71" s="366"/>
      <c r="DB71" s="367"/>
      <c r="DC71" s="875"/>
      <c r="DD71" s="875"/>
      <c r="DE71" s="875"/>
      <c r="DF71" s="875"/>
      <c r="DG71" s="875"/>
      <c r="DH71" s="875"/>
      <c r="DI71" s="875"/>
      <c r="DJ71" s="875"/>
      <c r="DK71" s="875"/>
      <c r="DL71" s="875"/>
      <c r="DM71" s="866"/>
      <c r="DN71" s="866"/>
      <c r="DO71" s="866"/>
      <c r="DP71" s="866"/>
      <c r="DQ71" s="866"/>
      <c r="DR71" s="866"/>
      <c r="DS71" s="866"/>
      <c r="DT71" s="866"/>
      <c r="DU71" s="866"/>
      <c r="DV71" s="866"/>
      <c r="DW71" s="824">
        <f>BEZ_Hilf_27_EHPreis*(BEZ_Hilf_27_GKZ/100+1)</f>
        <v>0</v>
      </c>
      <c r="DX71" s="824"/>
      <c r="DY71" s="824"/>
      <c r="DZ71" s="824"/>
      <c r="EA71" s="824"/>
      <c r="EB71" s="824"/>
      <c r="EC71" s="824"/>
      <c r="ED71" s="824"/>
      <c r="EE71" s="824"/>
      <c r="EF71" s="824"/>
      <c r="EG71" s="826">
        <f>BEZ_Hilf_27_Anz*BEZ_Hilf_27_EHPreis*((BEZ_Hilf_27_GKZ/100)+1)</f>
        <v>0</v>
      </c>
      <c r="EH71" s="826"/>
      <c r="EI71" s="826"/>
      <c r="EJ71" s="826"/>
      <c r="EK71" s="826"/>
      <c r="EL71" s="826"/>
      <c r="EM71" s="826"/>
      <c r="EN71" s="826"/>
      <c r="EO71" s="826"/>
      <c r="EP71" s="826"/>
      <c r="EQ71" s="826"/>
      <c r="ER71" s="826"/>
      <c r="ES71" s="826"/>
      <c r="ET71" s="826"/>
      <c r="EU71" s="826">
        <f>BEZ_Hilf_27_PreisJeKiste*KI_N</f>
        <v>0</v>
      </c>
      <c r="EV71" s="826"/>
      <c r="EW71" s="826"/>
      <c r="EX71" s="826"/>
      <c r="EY71" s="826"/>
      <c r="EZ71" s="826"/>
      <c r="FA71" s="826"/>
      <c r="FB71" s="826"/>
      <c r="FC71" s="826"/>
      <c r="FD71" s="826"/>
      <c r="FE71" s="867"/>
      <c r="FF71" s="867"/>
      <c r="FG71" s="867"/>
      <c r="FH71" s="867"/>
      <c r="FI71" s="867"/>
      <c r="FJ71" s="867"/>
      <c r="FK71" s="867"/>
      <c r="FL71" s="867"/>
      <c r="FM71" s="867"/>
      <c r="FN71" s="833">
        <f>BEZ_Hilf_27_gJeEH*BEZ_Hilf_27_Anz</f>
        <v>0</v>
      </c>
      <c r="FO71" s="833"/>
      <c r="FP71" s="833"/>
      <c r="FQ71" s="833"/>
      <c r="FR71" s="833"/>
      <c r="FS71" s="833"/>
      <c r="FT71" s="833"/>
      <c r="FU71" s="833"/>
      <c r="FV71" s="833"/>
      <c r="FW71" s="245"/>
      <c r="FX71" s="246"/>
      <c r="FY71" s="246"/>
      <c r="FZ71" s="246"/>
      <c r="GA71" s="246"/>
      <c r="GB71" s="246"/>
      <c r="GC71" s="246"/>
      <c r="GD71" s="246"/>
      <c r="GE71" s="246"/>
      <c r="GF71" s="246"/>
      <c r="GG71" s="246"/>
      <c r="GH71" s="246"/>
      <c r="GI71" s="246"/>
      <c r="GJ71" s="246"/>
      <c r="GK71" s="246"/>
      <c r="GL71" s="246"/>
      <c r="GM71" s="246"/>
      <c r="GN71" s="246"/>
      <c r="GO71" s="247"/>
      <c r="GP71" s="167"/>
      <c r="GQ71" s="351"/>
      <c r="GR71" s="2"/>
      <c r="GS71" s="2"/>
      <c r="GT71" s="2"/>
      <c r="GU71" s="2"/>
      <c r="GX71" s="249"/>
      <c r="GY71" s="249"/>
      <c r="HF71" s="148"/>
      <c r="HG71" s="148"/>
      <c r="HH71" s="148"/>
      <c r="HI71" s="148"/>
      <c r="HJ71" s="148"/>
      <c r="HK71" s="148"/>
      <c r="HL71" s="148"/>
      <c r="HM71" s="148"/>
      <c r="HN71" s="148"/>
      <c r="HO71" s="148"/>
      <c r="HP71" s="148"/>
      <c r="HQ71" s="148"/>
      <c r="HR71" s="148"/>
      <c r="HS71" s="148"/>
      <c r="HT71" s="148"/>
      <c r="HU71" s="148"/>
      <c r="HV71" s="148"/>
      <c r="IK71" s="241"/>
      <c r="IV71" s="242"/>
      <c r="JG71" s="243"/>
      <c r="JQ71" s="244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97"/>
      <c r="M72" s="250"/>
      <c r="N72" s="788"/>
      <c r="O72" s="788"/>
      <c r="P72" s="788"/>
      <c r="Q72" s="868"/>
      <c r="R72" s="868"/>
      <c r="S72" s="868"/>
      <c r="T72" s="868"/>
      <c r="U72" s="868"/>
      <c r="V72" s="869"/>
      <c r="W72" s="869"/>
      <c r="X72" s="869"/>
      <c r="Y72" s="869"/>
      <c r="Z72" s="869"/>
      <c r="AA72" s="869"/>
      <c r="AB72" s="869"/>
      <c r="AC72" s="869"/>
      <c r="AD72" s="869"/>
      <c r="AE72" s="869"/>
      <c r="AF72" s="869"/>
      <c r="AG72" s="869"/>
      <c r="AH72" s="869"/>
      <c r="AI72" s="869"/>
      <c r="AJ72" s="869"/>
      <c r="AK72" s="869"/>
      <c r="AL72" s="869"/>
      <c r="AM72" s="869"/>
      <c r="AN72" s="869"/>
      <c r="AO72" s="869"/>
      <c r="AP72" s="869"/>
      <c r="AQ72" s="869"/>
      <c r="AR72" s="869"/>
      <c r="AS72" s="869"/>
      <c r="AT72" s="869"/>
      <c r="AU72" s="869"/>
      <c r="AV72" s="869"/>
      <c r="AW72" s="869"/>
      <c r="AX72" s="869"/>
      <c r="AY72" s="869"/>
      <c r="AZ72" s="869"/>
      <c r="BA72" s="869"/>
      <c r="BB72" s="869"/>
      <c r="BC72" s="869"/>
      <c r="BD72" s="869"/>
      <c r="BE72" s="869"/>
      <c r="BF72" s="869"/>
      <c r="BG72" s="869"/>
      <c r="BH72" s="869"/>
      <c r="BI72" s="869"/>
      <c r="BJ72" s="870"/>
      <c r="BK72" s="870"/>
      <c r="BL72" s="870"/>
      <c r="BM72" s="870"/>
      <c r="BN72" s="870"/>
      <c r="BO72" s="870"/>
      <c r="BP72" s="870"/>
      <c r="BQ72" s="870"/>
      <c r="BR72" s="870"/>
      <c r="BS72" s="870"/>
      <c r="BT72" s="871"/>
      <c r="BU72" s="872"/>
      <c r="BV72" s="872"/>
      <c r="BW72" s="872"/>
      <c r="BX72" s="872"/>
      <c r="BY72" s="872"/>
      <c r="BZ72" s="872"/>
      <c r="CA72" s="872"/>
      <c r="CB72" s="872"/>
      <c r="CC72" s="873"/>
      <c r="CD72" s="874"/>
      <c r="CE72" s="874"/>
      <c r="CF72" s="874"/>
      <c r="CG72" s="874"/>
      <c r="CH72" s="874"/>
      <c r="CI72" s="874"/>
      <c r="CJ72" s="874"/>
      <c r="CK72" s="874"/>
      <c r="CL72" s="874"/>
      <c r="CM72" s="874"/>
      <c r="CN72" s="806"/>
      <c r="CO72" s="806"/>
      <c r="CP72" s="806"/>
      <c r="CQ72" s="806"/>
      <c r="CR72" s="806"/>
      <c r="CS72" s="806"/>
      <c r="CT72" s="806"/>
      <c r="CU72" s="806"/>
      <c r="CV72" s="806"/>
      <c r="CW72" s="806"/>
      <c r="CX72" s="806"/>
      <c r="CY72" s="806"/>
      <c r="CZ72" s="365"/>
      <c r="DA72" s="366"/>
      <c r="DB72" s="367"/>
      <c r="DC72" s="875"/>
      <c r="DD72" s="875"/>
      <c r="DE72" s="875"/>
      <c r="DF72" s="875"/>
      <c r="DG72" s="875"/>
      <c r="DH72" s="875"/>
      <c r="DI72" s="875"/>
      <c r="DJ72" s="875"/>
      <c r="DK72" s="875"/>
      <c r="DL72" s="875"/>
      <c r="DM72" s="866"/>
      <c r="DN72" s="866"/>
      <c r="DO72" s="866"/>
      <c r="DP72" s="866"/>
      <c r="DQ72" s="866"/>
      <c r="DR72" s="866"/>
      <c r="DS72" s="866"/>
      <c r="DT72" s="866"/>
      <c r="DU72" s="866"/>
      <c r="DV72" s="866"/>
      <c r="DW72" s="824"/>
      <c r="DX72" s="824"/>
      <c r="DY72" s="824"/>
      <c r="DZ72" s="824"/>
      <c r="EA72" s="824"/>
      <c r="EB72" s="824"/>
      <c r="EC72" s="824"/>
      <c r="ED72" s="824"/>
      <c r="EE72" s="824"/>
      <c r="EF72" s="824"/>
      <c r="EG72" s="826"/>
      <c r="EH72" s="826"/>
      <c r="EI72" s="826"/>
      <c r="EJ72" s="826"/>
      <c r="EK72" s="826"/>
      <c r="EL72" s="826"/>
      <c r="EM72" s="826"/>
      <c r="EN72" s="826"/>
      <c r="EO72" s="826"/>
      <c r="EP72" s="826"/>
      <c r="EQ72" s="826"/>
      <c r="ER72" s="826"/>
      <c r="ES72" s="826"/>
      <c r="ET72" s="826"/>
      <c r="EU72" s="826"/>
      <c r="EV72" s="826"/>
      <c r="EW72" s="826"/>
      <c r="EX72" s="826"/>
      <c r="EY72" s="826"/>
      <c r="EZ72" s="826"/>
      <c r="FA72" s="826"/>
      <c r="FB72" s="826"/>
      <c r="FC72" s="826"/>
      <c r="FD72" s="826"/>
      <c r="FE72" s="867"/>
      <c r="FF72" s="867"/>
      <c r="FG72" s="867"/>
      <c r="FH72" s="867"/>
      <c r="FI72" s="867"/>
      <c r="FJ72" s="867"/>
      <c r="FK72" s="867"/>
      <c r="FL72" s="867"/>
      <c r="FM72" s="867"/>
      <c r="FN72" s="833"/>
      <c r="FO72" s="833"/>
      <c r="FP72" s="833"/>
      <c r="FQ72" s="833"/>
      <c r="FR72" s="833"/>
      <c r="FS72" s="833"/>
      <c r="FT72" s="833"/>
      <c r="FU72" s="833"/>
      <c r="FV72" s="833"/>
      <c r="FW72" s="245"/>
      <c r="FX72" s="246"/>
      <c r="FY72" s="246"/>
      <c r="FZ72" s="246"/>
      <c r="GA72" s="246"/>
      <c r="GB72" s="246"/>
      <c r="GC72" s="246"/>
      <c r="GD72" s="246"/>
      <c r="GE72" s="246"/>
      <c r="GF72" s="246"/>
      <c r="GG72" s="246"/>
      <c r="GH72" s="246"/>
      <c r="GI72" s="246"/>
      <c r="GJ72" s="246"/>
      <c r="GK72" s="246"/>
      <c r="GL72" s="246"/>
      <c r="GM72" s="246"/>
      <c r="GN72" s="246"/>
      <c r="GO72" s="247"/>
      <c r="GP72" s="167"/>
      <c r="GQ72" s="2"/>
      <c r="GR72" s="2"/>
      <c r="GS72" s="2"/>
      <c r="GT72" s="2"/>
      <c r="GU72" s="2"/>
      <c r="GX72" s="249"/>
      <c r="GY72" s="249"/>
      <c r="HF72" s="148"/>
      <c r="HG72" s="148"/>
      <c r="HH72" s="148"/>
      <c r="HI72" s="148"/>
      <c r="HJ72" s="148"/>
      <c r="HK72" s="148"/>
      <c r="HL72" s="148"/>
      <c r="HM72" s="148"/>
      <c r="HN72" s="148"/>
      <c r="HO72" s="148"/>
      <c r="HP72" s="148"/>
      <c r="HQ72" s="148"/>
      <c r="HR72" s="148"/>
      <c r="HS72" s="148"/>
      <c r="HT72" s="148"/>
      <c r="HU72" s="148"/>
      <c r="HV72" s="148"/>
      <c r="IK72" s="241"/>
      <c r="IV72" s="242"/>
      <c r="JG72" s="243"/>
      <c r="JQ72" s="244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97"/>
      <c r="M73" s="250"/>
      <c r="N73" s="788">
        <v>28</v>
      </c>
      <c r="O73" s="788"/>
      <c r="P73" s="788"/>
      <c r="Q73" s="868"/>
      <c r="R73" s="868"/>
      <c r="S73" s="868"/>
      <c r="T73" s="868"/>
      <c r="U73" s="868"/>
      <c r="V73" s="869"/>
      <c r="W73" s="869"/>
      <c r="X73" s="869"/>
      <c r="Y73" s="869"/>
      <c r="Z73" s="869"/>
      <c r="AA73" s="869"/>
      <c r="AB73" s="869"/>
      <c r="AC73" s="869"/>
      <c r="AD73" s="869"/>
      <c r="AE73" s="869"/>
      <c r="AF73" s="869"/>
      <c r="AG73" s="869"/>
      <c r="AH73" s="869"/>
      <c r="AI73" s="869"/>
      <c r="AJ73" s="869"/>
      <c r="AK73" s="869"/>
      <c r="AL73" s="869"/>
      <c r="AM73" s="869"/>
      <c r="AN73" s="869"/>
      <c r="AO73" s="869"/>
      <c r="AP73" s="869"/>
      <c r="AQ73" s="869"/>
      <c r="AR73" s="869"/>
      <c r="AS73" s="869"/>
      <c r="AT73" s="869"/>
      <c r="AU73" s="869"/>
      <c r="AV73" s="869"/>
      <c r="AW73" s="869"/>
      <c r="AX73" s="869"/>
      <c r="AY73" s="869"/>
      <c r="AZ73" s="869"/>
      <c r="BA73" s="869"/>
      <c r="BB73" s="869"/>
      <c r="BC73" s="869"/>
      <c r="BD73" s="869"/>
      <c r="BE73" s="869"/>
      <c r="BF73" s="869"/>
      <c r="BG73" s="869"/>
      <c r="BH73" s="869"/>
      <c r="BI73" s="869"/>
      <c r="BJ73" s="870"/>
      <c r="BK73" s="870"/>
      <c r="BL73" s="870"/>
      <c r="BM73" s="870"/>
      <c r="BN73" s="870"/>
      <c r="BO73" s="870"/>
      <c r="BP73" s="870"/>
      <c r="BQ73" s="870"/>
      <c r="BR73" s="870"/>
      <c r="BS73" s="870"/>
      <c r="BT73" s="871">
        <f>KI_N*BEZ_Hilf_28_Anz</f>
        <v>0</v>
      </c>
      <c r="BU73" s="872"/>
      <c r="BV73" s="872"/>
      <c r="BW73" s="872"/>
      <c r="BX73" s="872"/>
      <c r="BY73" s="872"/>
      <c r="BZ73" s="872"/>
      <c r="CA73" s="872"/>
      <c r="CB73" s="872"/>
      <c r="CC73" s="873"/>
      <c r="CD73" s="874"/>
      <c r="CE73" s="874"/>
      <c r="CF73" s="874"/>
      <c r="CG73" s="874"/>
      <c r="CH73" s="874"/>
      <c r="CI73" s="874"/>
      <c r="CJ73" s="874"/>
      <c r="CK73" s="874"/>
      <c r="CL73" s="874"/>
      <c r="CM73" s="874"/>
      <c r="CN73" s="806"/>
      <c r="CO73" s="806"/>
      <c r="CP73" s="806"/>
      <c r="CQ73" s="806"/>
      <c r="CR73" s="806"/>
      <c r="CS73" s="806"/>
      <c r="CT73" s="806"/>
      <c r="CU73" s="806"/>
      <c r="CV73" s="806"/>
      <c r="CW73" s="806"/>
      <c r="CX73" s="806"/>
      <c r="CY73" s="806"/>
      <c r="CZ73" s="365"/>
      <c r="DA73" s="366"/>
      <c r="DB73" s="367"/>
      <c r="DC73" s="875"/>
      <c r="DD73" s="875"/>
      <c r="DE73" s="875"/>
      <c r="DF73" s="875"/>
      <c r="DG73" s="875"/>
      <c r="DH73" s="875"/>
      <c r="DI73" s="875"/>
      <c r="DJ73" s="875"/>
      <c r="DK73" s="875"/>
      <c r="DL73" s="875"/>
      <c r="DM73" s="866"/>
      <c r="DN73" s="866"/>
      <c r="DO73" s="866"/>
      <c r="DP73" s="866"/>
      <c r="DQ73" s="866"/>
      <c r="DR73" s="866"/>
      <c r="DS73" s="866"/>
      <c r="DT73" s="866"/>
      <c r="DU73" s="866"/>
      <c r="DV73" s="866"/>
      <c r="DW73" s="824">
        <f>BEZ_Hilf_28_EHPreis*(BEZ_Hilf_28_GKZ/100+1)</f>
        <v>0</v>
      </c>
      <c r="DX73" s="824"/>
      <c r="DY73" s="824"/>
      <c r="DZ73" s="824"/>
      <c r="EA73" s="824"/>
      <c r="EB73" s="824"/>
      <c r="EC73" s="824"/>
      <c r="ED73" s="824"/>
      <c r="EE73" s="824"/>
      <c r="EF73" s="824"/>
      <c r="EG73" s="826">
        <f>BEZ_Hilf_28_Anz*BEZ_Hilf_28_EHPreis*((BEZ_Hilf_28_GKZ/100)+1)</f>
        <v>0</v>
      </c>
      <c r="EH73" s="826"/>
      <c r="EI73" s="826"/>
      <c r="EJ73" s="826"/>
      <c r="EK73" s="826"/>
      <c r="EL73" s="826"/>
      <c r="EM73" s="826"/>
      <c r="EN73" s="826"/>
      <c r="EO73" s="826"/>
      <c r="EP73" s="826"/>
      <c r="EQ73" s="826"/>
      <c r="ER73" s="826"/>
      <c r="ES73" s="826"/>
      <c r="ET73" s="826"/>
      <c r="EU73" s="826">
        <f>BEZ_Hilf_28_PreisJeKiste*KI_N</f>
        <v>0</v>
      </c>
      <c r="EV73" s="826"/>
      <c r="EW73" s="826"/>
      <c r="EX73" s="826"/>
      <c r="EY73" s="826"/>
      <c r="EZ73" s="826"/>
      <c r="FA73" s="826"/>
      <c r="FB73" s="826"/>
      <c r="FC73" s="826"/>
      <c r="FD73" s="826"/>
      <c r="FE73" s="867"/>
      <c r="FF73" s="867"/>
      <c r="FG73" s="867"/>
      <c r="FH73" s="867"/>
      <c r="FI73" s="867"/>
      <c r="FJ73" s="867"/>
      <c r="FK73" s="867"/>
      <c r="FL73" s="867"/>
      <c r="FM73" s="867"/>
      <c r="FN73" s="833">
        <f>BEZ_Hilf_28_gJeEH*BEZ_Hilf_28_Anz</f>
        <v>0</v>
      </c>
      <c r="FO73" s="833"/>
      <c r="FP73" s="833"/>
      <c r="FQ73" s="833"/>
      <c r="FR73" s="833"/>
      <c r="FS73" s="833"/>
      <c r="FT73" s="833"/>
      <c r="FU73" s="833"/>
      <c r="FV73" s="833"/>
      <c r="FW73" s="245"/>
      <c r="FX73" s="246"/>
      <c r="FY73" s="246"/>
      <c r="FZ73" s="246"/>
      <c r="GA73" s="246"/>
      <c r="GB73" s="246"/>
      <c r="GC73" s="246"/>
      <c r="GD73" s="246"/>
      <c r="GE73" s="246"/>
      <c r="GF73" s="246"/>
      <c r="GG73" s="246"/>
      <c r="GH73" s="246"/>
      <c r="GI73" s="246"/>
      <c r="GJ73" s="246"/>
      <c r="GK73" s="246"/>
      <c r="GL73" s="246"/>
      <c r="GM73" s="246"/>
      <c r="GN73" s="246"/>
      <c r="GO73" s="247"/>
      <c r="GP73" s="167"/>
      <c r="GQ73" s="351"/>
      <c r="GR73" s="2"/>
      <c r="GS73" s="2"/>
      <c r="GT73" s="2"/>
      <c r="GU73" s="2"/>
      <c r="GX73" s="249"/>
      <c r="GY73" s="249"/>
      <c r="HF73" s="148"/>
      <c r="HG73" s="148"/>
      <c r="HH73" s="148"/>
      <c r="HI73" s="148"/>
      <c r="HJ73" s="148"/>
      <c r="HK73" s="148"/>
      <c r="HL73" s="148"/>
      <c r="HM73" s="148"/>
      <c r="HN73" s="148"/>
      <c r="HO73" s="148"/>
      <c r="HP73" s="148"/>
      <c r="HQ73" s="148"/>
      <c r="HR73" s="148"/>
      <c r="HS73" s="148"/>
      <c r="HT73" s="148"/>
      <c r="HU73" s="148"/>
      <c r="HV73" s="148"/>
      <c r="IK73" s="241"/>
      <c r="IV73" s="242"/>
      <c r="JG73" s="243"/>
      <c r="JQ73" s="244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97"/>
      <c r="M74" s="250"/>
      <c r="N74" s="788"/>
      <c r="O74" s="788"/>
      <c r="P74" s="788"/>
      <c r="Q74" s="868"/>
      <c r="R74" s="868"/>
      <c r="S74" s="868"/>
      <c r="T74" s="868"/>
      <c r="U74" s="868"/>
      <c r="V74" s="869"/>
      <c r="W74" s="869"/>
      <c r="X74" s="869"/>
      <c r="Y74" s="869"/>
      <c r="Z74" s="869"/>
      <c r="AA74" s="869"/>
      <c r="AB74" s="869"/>
      <c r="AC74" s="869"/>
      <c r="AD74" s="869"/>
      <c r="AE74" s="869"/>
      <c r="AF74" s="869"/>
      <c r="AG74" s="869"/>
      <c r="AH74" s="869"/>
      <c r="AI74" s="869"/>
      <c r="AJ74" s="869"/>
      <c r="AK74" s="869"/>
      <c r="AL74" s="869"/>
      <c r="AM74" s="869"/>
      <c r="AN74" s="869"/>
      <c r="AO74" s="869"/>
      <c r="AP74" s="869"/>
      <c r="AQ74" s="869"/>
      <c r="AR74" s="869"/>
      <c r="AS74" s="869"/>
      <c r="AT74" s="869"/>
      <c r="AU74" s="869"/>
      <c r="AV74" s="869"/>
      <c r="AW74" s="869"/>
      <c r="AX74" s="869"/>
      <c r="AY74" s="869"/>
      <c r="AZ74" s="869"/>
      <c r="BA74" s="869"/>
      <c r="BB74" s="869"/>
      <c r="BC74" s="869"/>
      <c r="BD74" s="869"/>
      <c r="BE74" s="869"/>
      <c r="BF74" s="869"/>
      <c r="BG74" s="869"/>
      <c r="BH74" s="869"/>
      <c r="BI74" s="869"/>
      <c r="BJ74" s="870"/>
      <c r="BK74" s="870"/>
      <c r="BL74" s="870"/>
      <c r="BM74" s="870"/>
      <c r="BN74" s="870"/>
      <c r="BO74" s="870"/>
      <c r="BP74" s="870"/>
      <c r="BQ74" s="870"/>
      <c r="BR74" s="870"/>
      <c r="BS74" s="870"/>
      <c r="BT74" s="871"/>
      <c r="BU74" s="872"/>
      <c r="BV74" s="872"/>
      <c r="BW74" s="872"/>
      <c r="BX74" s="872"/>
      <c r="BY74" s="872"/>
      <c r="BZ74" s="872"/>
      <c r="CA74" s="872"/>
      <c r="CB74" s="872"/>
      <c r="CC74" s="873"/>
      <c r="CD74" s="874"/>
      <c r="CE74" s="874"/>
      <c r="CF74" s="874"/>
      <c r="CG74" s="874"/>
      <c r="CH74" s="874"/>
      <c r="CI74" s="874"/>
      <c r="CJ74" s="874"/>
      <c r="CK74" s="874"/>
      <c r="CL74" s="874"/>
      <c r="CM74" s="874"/>
      <c r="CN74" s="806"/>
      <c r="CO74" s="806"/>
      <c r="CP74" s="806"/>
      <c r="CQ74" s="806"/>
      <c r="CR74" s="806"/>
      <c r="CS74" s="806"/>
      <c r="CT74" s="806"/>
      <c r="CU74" s="806"/>
      <c r="CV74" s="806"/>
      <c r="CW74" s="806"/>
      <c r="CX74" s="806"/>
      <c r="CY74" s="806"/>
      <c r="CZ74" s="365"/>
      <c r="DA74" s="366"/>
      <c r="DB74" s="367"/>
      <c r="DC74" s="875"/>
      <c r="DD74" s="875"/>
      <c r="DE74" s="875"/>
      <c r="DF74" s="875"/>
      <c r="DG74" s="875"/>
      <c r="DH74" s="875"/>
      <c r="DI74" s="875"/>
      <c r="DJ74" s="875"/>
      <c r="DK74" s="875"/>
      <c r="DL74" s="875"/>
      <c r="DM74" s="866"/>
      <c r="DN74" s="866"/>
      <c r="DO74" s="866"/>
      <c r="DP74" s="866"/>
      <c r="DQ74" s="866"/>
      <c r="DR74" s="866"/>
      <c r="DS74" s="866"/>
      <c r="DT74" s="866"/>
      <c r="DU74" s="866"/>
      <c r="DV74" s="866"/>
      <c r="DW74" s="824"/>
      <c r="DX74" s="824"/>
      <c r="DY74" s="824"/>
      <c r="DZ74" s="824"/>
      <c r="EA74" s="824"/>
      <c r="EB74" s="824"/>
      <c r="EC74" s="824"/>
      <c r="ED74" s="824"/>
      <c r="EE74" s="824"/>
      <c r="EF74" s="824"/>
      <c r="EG74" s="826"/>
      <c r="EH74" s="826"/>
      <c r="EI74" s="826"/>
      <c r="EJ74" s="826"/>
      <c r="EK74" s="826"/>
      <c r="EL74" s="826"/>
      <c r="EM74" s="826"/>
      <c r="EN74" s="826"/>
      <c r="EO74" s="826"/>
      <c r="EP74" s="826"/>
      <c r="EQ74" s="826"/>
      <c r="ER74" s="826"/>
      <c r="ES74" s="826"/>
      <c r="ET74" s="826"/>
      <c r="EU74" s="826"/>
      <c r="EV74" s="826"/>
      <c r="EW74" s="826"/>
      <c r="EX74" s="826"/>
      <c r="EY74" s="826"/>
      <c r="EZ74" s="826"/>
      <c r="FA74" s="826"/>
      <c r="FB74" s="826"/>
      <c r="FC74" s="826"/>
      <c r="FD74" s="826"/>
      <c r="FE74" s="867"/>
      <c r="FF74" s="867"/>
      <c r="FG74" s="867"/>
      <c r="FH74" s="867"/>
      <c r="FI74" s="867"/>
      <c r="FJ74" s="867"/>
      <c r="FK74" s="867"/>
      <c r="FL74" s="867"/>
      <c r="FM74" s="867"/>
      <c r="FN74" s="833"/>
      <c r="FO74" s="833"/>
      <c r="FP74" s="833"/>
      <c r="FQ74" s="833"/>
      <c r="FR74" s="833"/>
      <c r="FS74" s="833"/>
      <c r="FT74" s="833"/>
      <c r="FU74" s="833"/>
      <c r="FV74" s="833"/>
      <c r="FW74" s="245"/>
      <c r="FX74" s="246"/>
      <c r="FY74" s="246"/>
      <c r="FZ74" s="246"/>
      <c r="GA74" s="246"/>
      <c r="GB74" s="246"/>
      <c r="GC74" s="246"/>
      <c r="GD74" s="246"/>
      <c r="GE74" s="246"/>
      <c r="GF74" s="246"/>
      <c r="GG74" s="246"/>
      <c r="GH74" s="246"/>
      <c r="GI74" s="246"/>
      <c r="GJ74" s="246"/>
      <c r="GK74" s="246"/>
      <c r="GL74" s="246"/>
      <c r="GM74" s="246"/>
      <c r="GN74" s="246"/>
      <c r="GO74" s="247"/>
      <c r="GP74" s="167"/>
      <c r="GQ74" s="2"/>
      <c r="GR74" s="2"/>
      <c r="GS74" s="2"/>
      <c r="GT74" s="2"/>
      <c r="GU74" s="2"/>
      <c r="GX74" s="249"/>
      <c r="GY74" s="249"/>
      <c r="HF74" s="148"/>
      <c r="HG74" s="148"/>
      <c r="HH74" s="148"/>
      <c r="HI74" s="148"/>
      <c r="HJ74" s="148"/>
      <c r="HK74" s="148"/>
      <c r="HL74" s="148"/>
      <c r="HM74" s="148"/>
      <c r="HN74" s="148"/>
      <c r="HO74" s="148"/>
      <c r="HP74" s="148"/>
      <c r="HQ74" s="148"/>
      <c r="HR74" s="148"/>
      <c r="HS74" s="148"/>
      <c r="HT74" s="148"/>
      <c r="HU74" s="148"/>
      <c r="HV74" s="148"/>
      <c r="IK74" s="241"/>
      <c r="IV74" s="242"/>
      <c r="JG74" s="243"/>
      <c r="JQ74" s="244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M75" s="167"/>
      <c r="N75" s="788">
        <v>29</v>
      </c>
      <c r="O75" s="788"/>
      <c r="P75" s="788"/>
      <c r="Q75" s="868"/>
      <c r="R75" s="868"/>
      <c r="S75" s="868"/>
      <c r="T75" s="868"/>
      <c r="U75" s="868"/>
      <c r="V75" s="869"/>
      <c r="W75" s="869"/>
      <c r="X75" s="869"/>
      <c r="Y75" s="869"/>
      <c r="Z75" s="869"/>
      <c r="AA75" s="869"/>
      <c r="AB75" s="869"/>
      <c r="AC75" s="869"/>
      <c r="AD75" s="869"/>
      <c r="AE75" s="869"/>
      <c r="AF75" s="869"/>
      <c r="AG75" s="869"/>
      <c r="AH75" s="869"/>
      <c r="AI75" s="869"/>
      <c r="AJ75" s="869"/>
      <c r="AK75" s="869"/>
      <c r="AL75" s="869"/>
      <c r="AM75" s="869"/>
      <c r="AN75" s="869"/>
      <c r="AO75" s="869"/>
      <c r="AP75" s="869"/>
      <c r="AQ75" s="869"/>
      <c r="AR75" s="869"/>
      <c r="AS75" s="869"/>
      <c r="AT75" s="869"/>
      <c r="AU75" s="869"/>
      <c r="AV75" s="869"/>
      <c r="AW75" s="869"/>
      <c r="AX75" s="869"/>
      <c r="AY75" s="869"/>
      <c r="AZ75" s="869"/>
      <c r="BA75" s="869"/>
      <c r="BB75" s="869"/>
      <c r="BC75" s="869"/>
      <c r="BD75" s="869"/>
      <c r="BE75" s="869"/>
      <c r="BF75" s="869"/>
      <c r="BG75" s="869"/>
      <c r="BH75" s="869"/>
      <c r="BI75" s="869"/>
      <c r="BJ75" s="870"/>
      <c r="BK75" s="870"/>
      <c r="BL75" s="870"/>
      <c r="BM75" s="870"/>
      <c r="BN75" s="870"/>
      <c r="BO75" s="870"/>
      <c r="BP75" s="870"/>
      <c r="BQ75" s="870"/>
      <c r="BR75" s="870"/>
      <c r="BS75" s="870"/>
      <c r="BT75" s="871">
        <f>KI_N*BEZ_Hilf_29_Anz</f>
        <v>0</v>
      </c>
      <c r="BU75" s="872"/>
      <c r="BV75" s="872"/>
      <c r="BW75" s="872"/>
      <c r="BX75" s="872"/>
      <c r="BY75" s="872"/>
      <c r="BZ75" s="872"/>
      <c r="CA75" s="872"/>
      <c r="CB75" s="872"/>
      <c r="CC75" s="873"/>
      <c r="CD75" s="874"/>
      <c r="CE75" s="874"/>
      <c r="CF75" s="874"/>
      <c r="CG75" s="874"/>
      <c r="CH75" s="874"/>
      <c r="CI75" s="874"/>
      <c r="CJ75" s="874"/>
      <c r="CK75" s="874"/>
      <c r="CL75" s="874"/>
      <c r="CM75" s="874"/>
      <c r="CN75" s="806"/>
      <c r="CO75" s="806"/>
      <c r="CP75" s="806"/>
      <c r="CQ75" s="806"/>
      <c r="CR75" s="806"/>
      <c r="CS75" s="806"/>
      <c r="CT75" s="806"/>
      <c r="CU75" s="806"/>
      <c r="CV75" s="806"/>
      <c r="CW75" s="806"/>
      <c r="CX75" s="806"/>
      <c r="CY75" s="806"/>
      <c r="CZ75" s="365"/>
      <c r="DA75" s="366"/>
      <c r="DB75" s="367"/>
      <c r="DC75" s="875"/>
      <c r="DD75" s="875"/>
      <c r="DE75" s="875"/>
      <c r="DF75" s="875"/>
      <c r="DG75" s="875"/>
      <c r="DH75" s="875"/>
      <c r="DI75" s="875"/>
      <c r="DJ75" s="875"/>
      <c r="DK75" s="875"/>
      <c r="DL75" s="875"/>
      <c r="DM75" s="866"/>
      <c r="DN75" s="866"/>
      <c r="DO75" s="866"/>
      <c r="DP75" s="866"/>
      <c r="DQ75" s="866"/>
      <c r="DR75" s="866"/>
      <c r="DS75" s="866"/>
      <c r="DT75" s="866"/>
      <c r="DU75" s="866"/>
      <c r="DV75" s="866"/>
      <c r="DW75" s="824">
        <f>BEZ_Hilf_29_EHPreis*(BEZ_Hilf_29_GKZ/100+1)</f>
        <v>0</v>
      </c>
      <c r="DX75" s="824"/>
      <c r="DY75" s="824"/>
      <c r="DZ75" s="824"/>
      <c r="EA75" s="824"/>
      <c r="EB75" s="824"/>
      <c r="EC75" s="824"/>
      <c r="ED75" s="824"/>
      <c r="EE75" s="824"/>
      <c r="EF75" s="824"/>
      <c r="EG75" s="826">
        <f>BEZ_Hilf_29_Anz*BEZ_Hilf_29_EHPreis*((BEZ_Hilf_29_GKZ/100)+1)</f>
        <v>0</v>
      </c>
      <c r="EH75" s="826"/>
      <c r="EI75" s="826"/>
      <c r="EJ75" s="826"/>
      <c r="EK75" s="826"/>
      <c r="EL75" s="826"/>
      <c r="EM75" s="826"/>
      <c r="EN75" s="826"/>
      <c r="EO75" s="826"/>
      <c r="EP75" s="826"/>
      <c r="EQ75" s="826"/>
      <c r="ER75" s="826"/>
      <c r="ES75" s="826"/>
      <c r="ET75" s="826"/>
      <c r="EU75" s="826">
        <f>BEZ_Hilf_29_PreisJeKiste*KI_N</f>
        <v>0</v>
      </c>
      <c r="EV75" s="826"/>
      <c r="EW75" s="826"/>
      <c r="EX75" s="826"/>
      <c r="EY75" s="826"/>
      <c r="EZ75" s="826"/>
      <c r="FA75" s="826"/>
      <c r="FB75" s="826"/>
      <c r="FC75" s="826"/>
      <c r="FD75" s="826"/>
      <c r="FE75" s="867"/>
      <c r="FF75" s="867"/>
      <c r="FG75" s="867"/>
      <c r="FH75" s="867"/>
      <c r="FI75" s="867"/>
      <c r="FJ75" s="867"/>
      <c r="FK75" s="867"/>
      <c r="FL75" s="867"/>
      <c r="FM75" s="867"/>
      <c r="FN75" s="833">
        <f>BEZ_Hilf_29_gJeEH*BEZ_Hilf_29_Anz</f>
        <v>0</v>
      </c>
      <c r="FO75" s="833"/>
      <c r="FP75" s="833"/>
      <c r="FQ75" s="833"/>
      <c r="FR75" s="833"/>
      <c r="FS75" s="833"/>
      <c r="FT75" s="833"/>
      <c r="FU75" s="833"/>
      <c r="FV75" s="833"/>
      <c r="FW75" s="245"/>
      <c r="FX75" s="246"/>
      <c r="FY75" s="246"/>
      <c r="FZ75" s="246"/>
      <c r="GA75" s="246"/>
      <c r="GB75" s="246"/>
      <c r="GC75" s="246"/>
      <c r="GD75" s="246"/>
      <c r="GE75" s="246"/>
      <c r="GF75" s="246"/>
      <c r="GG75" s="246"/>
      <c r="GH75" s="246"/>
      <c r="GI75" s="246"/>
      <c r="GJ75" s="246"/>
      <c r="GK75" s="246"/>
      <c r="GL75" s="246"/>
      <c r="GM75" s="246"/>
      <c r="GN75" s="246"/>
      <c r="GO75" s="247"/>
      <c r="GP75" s="167"/>
      <c r="GQ75" s="351"/>
      <c r="GR75" s="2"/>
      <c r="GS75" s="2"/>
      <c r="GT75" s="2"/>
      <c r="GU75" s="2"/>
      <c r="GX75" s="249"/>
      <c r="GY75" s="249"/>
      <c r="HF75" s="148"/>
      <c r="HG75" s="148"/>
      <c r="HH75" s="148"/>
      <c r="HI75" s="148"/>
      <c r="HJ75" s="148"/>
      <c r="HK75" s="148"/>
      <c r="HL75" s="148"/>
      <c r="HM75" s="148"/>
      <c r="HN75" s="148"/>
      <c r="HO75" s="148"/>
      <c r="HP75" s="148"/>
      <c r="HQ75" s="148"/>
      <c r="HR75" s="148"/>
      <c r="HS75" s="148"/>
      <c r="HT75" s="148"/>
      <c r="HU75" s="148"/>
      <c r="HV75" s="148"/>
      <c r="IK75" s="241"/>
      <c r="IV75" s="242"/>
      <c r="JG75" s="243"/>
      <c r="JQ75" s="244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2"/>
      <c r="M76" s="162"/>
      <c r="N76" s="788"/>
      <c r="O76" s="788"/>
      <c r="P76" s="788"/>
      <c r="Q76" s="868"/>
      <c r="R76" s="868"/>
      <c r="S76" s="868"/>
      <c r="T76" s="868"/>
      <c r="U76" s="868"/>
      <c r="V76" s="869"/>
      <c r="W76" s="869"/>
      <c r="X76" s="869"/>
      <c r="Y76" s="869"/>
      <c r="Z76" s="869"/>
      <c r="AA76" s="869"/>
      <c r="AB76" s="869"/>
      <c r="AC76" s="869"/>
      <c r="AD76" s="869"/>
      <c r="AE76" s="869"/>
      <c r="AF76" s="869"/>
      <c r="AG76" s="869"/>
      <c r="AH76" s="869"/>
      <c r="AI76" s="869"/>
      <c r="AJ76" s="869"/>
      <c r="AK76" s="869"/>
      <c r="AL76" s="869"/>
      <c r="AM76" s="869"/>
      <c r="AN76" s="869"/>
      <c r="AO76" s="869"/>
      <c r="AP76" s="869"/>
      <c r="AQ76" s="869"/>
      <c r="AR76" s="869"/>
      <c r="AS76" s="869"/>
      <c r="AT76" s="869"/>
      <c r="AU76" s="869"/>
      <c r="AV76" s="869"/>
      <c r="AW76" s="869"/>
      <c r="AX76" s="869"/>
      <c r="AY76" s="869"/>
      <c r="AZ76" s="869"/>
      <c r="BA76" s="869"/>
      <c r="BB76" s="869"/>
      <c r="BC76" s="869"/>
      <c r="BD76" s="869"/>
      <c r="BE76" s="869"/>
      <c r="BF76" s="869"/>
      <c r="BG76" s="869"/>
      <c r="BH76" s="869"/>
      <c r="BI76" s="869"/>
      <c r="BJ76" s="870"/>
      <c r="BK76" s="870"/>
      <c r="BL76" s="870"/>
      <c r="BM76" s="870"/>
      <c r="BN76" s="870"/>
      <c r="BO76" s="870"/>
      <c r="BP76" s="870"/>
      <c r="BQ76" s="870"/>
      <c r="BR76" s="870"/>
      <c r="BS76" s="870"/>
      <c r="BT76" s="871"/>
      <c r="BU76" s="872"/>
      <c r="BV76" s="872"/>
      <c r="BW76" s="872"/>
      <c r="BX76" s="872"/>
      <c r="BY76" s="872"/>
      <c r="BZ76" s="872"/>
      <c r="CA76" s="872"/>
      <c r="CB76" s="872"/>
      <c r="CC76" s="873"/>
      <c r="CD76" s="874"/>
      <c r="CE76" s="874"/>
      <c r="CF76" s="874"/>
      <c r="CG76" s="874"/>
      <c r="CH76" s="874"/>
      <c r="CI76" s="874"/>
      <c r="CJ76" s="874"/>
      <c r="CK76" s="874"/>
      <c r="CL76" s="874"/>
      <c r="CM76" s="874"/>
      <c r="CN76" s="806"/>
      <c r="CO76" s="806"/>
      <c r="CP76" s="806"/>
      <c r="CQ76" s="806"/>
      <c r="CR76" s="806"/>
      <c r="CS76" s="806"/>
      <c r="CT76" s="806"/>
      <c r="CU76" s="806"/>
      <c r="CV76" s="806"/>
      <c r="CW76" s="806"/>
      <c r="CX76" s="806"/>
      <c r="CY76" s="806"/>
      <c r="CZ76" s="365"/>
      <c r="DA76" s="366"/>
      <c r="DB76" s="367"/>
      <c r="DC76" s="875"/>
      <c r="DD76" s="875"/>
      <c r="DE76" s="875"/>
      <c r="DF76" s="875"/>
      <c r="DG76" s="875"/>
      <c r="DH76" s="875"/>
      <c r="DI76" s="875"/>
      <c r="DJ76" s="875"/>
      <c r="DK76" s="875"/>
      <c r="DL76" s="875"/>
      <c r="DM76" s="866"/>
      <c r="DN76" s="866"/>
      <c r="DO76" s="866"/>
      <c r="DP76" s="866"/>
      <c r="DQ76" s="866"/>
      <c r="DR76" s="866"/>
      <c r="DS76" s="866"/>
      <c r="DT76" s="866"/>
      <c r="DU76" s="866"/>
      <c r="DV76" s="866"/>
      <c r="DW76" s="824"/>
      <c r="DX76" s="824"/>
      <c r="DY76" s="824"/>
      <c r="DZ76" s="824"/>
      <c r="EA76" s="824"/>
      <c r="EB76" s="824"/>
      <c r="EC76" s="824"/>
      <c r="ED76" s="824"/>
      <c r="EE76" s="824"/>
      <c r="EF76" s="824"/>
      <c r="EG76" s="826"/>
      <c r="EH76" s="826"/>
      <c r="EI76" s="826"/>
      <c r="EJ76" s="826"/>
      <c r="EK76" s="826"/>
      <c r="EL76" s="826"/>
      <c r="EM76" s="826"/>
      <c r="EN76" s="826"/>
      <c r="EO76" s="826"/>
      <c r="EP76" s="826"/>
      <c r="EQ76" s="826"/>
      <c r="ER76" s="826"/>
      <c r="ES76" s="826"/>
      <c r="ET76" s="826"/>
      <c r="EU76" s="826"/>
      <c r="EV76" s="826"/>
      <c r="EW76" s="826"/>
      <c r="EX76" s="826"/>
      <c r="EY76" s="826"/>
      <c r="EZ76" s="826"/>
      <c r="FA76" s="826"/>
      <c r="FB76" s="826"/>
      <c r="FC76" s="826"/>
      <c r="FD76" s="826"/>
      <c r="FE76" s="867"/>
      <c r="FF76" s="867"/>
      <c r="FG76" s="867"/>
      <c r="FH76" s="867"/>
      <c r="FI76" s="867"/>
      <c r="FJ76" s="867"/>
      <c r="FK76" s="867"/>
      <c r="FL76" s="867"/>
      <c r="FM76" s="867"/>
      <c r="FN76" s="833"/>
      <c r="FO76" s="833"/>
      <c r="FP76" s="833"/>
      <c r="FQ76" s="833"/>
      <c r="FR76" s="833"/>
      <c r="FS76" s="833"/>
      <c r="FT76" s="833"/>
      <c r="FU76" s="833"/>
      <c r="FV76" s="833"/>
      <c r="FW76" s="245"/>
      <c r="FX76" s="246"/>
      <c r="FY76" s="246"/>
      <c r="FZ76" s="246"/>
      <c r="GA76" s="246"/>
      <c r="GB76" s="246"/>
      <c r="GC76" s="246"/>
      <c r="GD76" s="246"/>
      <c r="GE76" s="246"/>
      <c r="GF76" s="246"/>
      <c r="GG76" s="246"/>
      <c r="GH76" s="246"/>
      <c r="GI76" s="246"/>
      <c r="GJ76" s="246"/>
      <c r="GK76" s="246"/>
      <c r="GL76" s="246"/>
      <c r="GM76" s="246"/>
      <c r="GN76" s="246"/>
      <c r="GO76" s="247"/>
      <c r="GP76" s="167"/>
      <c r="GQ76" s="2"/>
      <c r="GR76" s="2"/>
      <c r="GS76" s="2"/>
      <c r="GT76" s="2"/>
      <c r="GU76" s="2"/>
      <c r="GX76" s="249"/>
      <c r="GY76" s="249"/>
      <c r="HF76" s="148"/>
      <c r="HG76" s="148"/>
      <c r="HH76" s="148"/>
      <c r="HI76" s="148"/>
      <c r="HJ76" s="148"/>
      <c r="HK76" s="148"/>
      <c r="HL76" s="148"/>
      <c r="HM76" s="148"/>
      <c r="HN76" s="148"/>
      <c r="HO76" s="148"/>
      <c r="HP76" s="148"/>
      <c r="HQ76" s="148"/>
      <c r="HR76" s="148"/>
      <c r="HS76" s="148"/>
      <c r="HT76" s="148"/>
      <c r="HU76" s="148"/>
      <c r="HV76" s="148"/>
      <c r="IK76" s="241"/>
      <c r="IV76" s="242"/>
      <c r="JG76" s="243"/>
      <c r="JQ76" s="244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2"/>
      <c r="M77" s="162"/>
      <c r="N77" s="788">
        <v>30</v>
      </c>
      <c r="O77" s="788"/>
      <c r="P77" s="788"/>
      <c r="Q77" s="868"/>
      <c r="R77" s="868"/>
      <c r="S77" s="868"/>
      <c r="T77" s="868"/>
      <c r="U77" s="868"/>
      <c r="V77" s="869"/>
      <c r="W77" s="869"/>
      <c r="X77" s="869"/>
      <c r="Y77" s="869"/>
      <c r="Z77" s="869"/>
      <c r="AA77" s="869"/>
      <c r="AB77" s="869"/>
      <c r="AC77" s="869"/>
      <c r="AD77" s="869"/>
      <c r="AE77" s="869"/>
      <c r="AF77" s="869"/>
      <c r="AG77" s="869"/>
      <c r="AH77" s="869"/>
      <c r="AI77" s="869"/>
      <c r="AJ77" s="869"/>
      <c r="AK77" s="869"/>
      <c r="AL77" s="869"/>
      <c r="AM77" s="869"/>
      <c r="AN77" s="869"/>
      <c r="AO77" s="869"/>
      <c r="AP77" s="869"/>
      <c r="AQ77" s="869"/>
      <c r="AR77" s="869"/>
      <c r="AS77" s="869"/>
      <c r="AT77" s="869"/>
      <c r="AU77" s="869"/>
      <c r="AV77" s="869"/>
      <c r="AW77" s="869"/>
      <c r="AX77" s="869"/>
      <c r="AY77" s="869"/>
      <c r="AZ77" s="869"/>
      <c r="BA77" s="869"/>
      <c r="BB77" s="869"/>
      <c r="BC77" s="869"/>
      <c r="BD77" s="869"/>
      <c r="BE77" s="869"/>
      <c r="BF77" s="869"/>
      <c r="BG77" s="869"/>
      <c r="BH77" s="869"/>
      <c r="BI77" s="869"/>
      <c r="BJ77" s="870"/>
      <c r="BK77" s="870"/>
      <c r="BL77" s="870"/>
      <c r="BM77" s="870"/>
      <c r="BN77" s="870"/>
      <c r="BO77" s="870"/>
      <c r="BP77" s="870"/>
      <c r="BQ77" s="870"/>
      <c r="BR77" s="870"/>
      <c r="BS77" s="870"/>
      <c r="BT77" s="871">
        <f>KI_N*BEZ_Hilf_30_Anz</f>
        <v>0</v>
      </c>
      <c r="BU77" s="872"/>
      <c r="BV77" s="872"/>
      <c r="BW77" s="872"/>
      <c r="BX77" s="872"/>
      <c r="BY77" s="872"/>
      <c r="BZ77" s="872"/>
      <c r="CA77" s="872"/>
      <c r="CB77" s="872"/>
      <c r="CC77" s="873"/>
      <c r="CD77" s="874"/>
      <c r="CE77" s="874"/>
      <c r="CF77" s="874"/>
      <c r="CG77" s="874"/>
      <c r="CH77" s="874"/>
      <c r="CI77" s="874"/>
      <c r="CJ77" s="874"/>
      <c r="CK77" s="874"/>
      <c r="CL77" s="874"/>
      <c r="CM77" s="874"/>
      <c r="CN77" s="806"/>
      <c r="CO77" s="806"/>
      <c r="CP77" s="806"/>
      <c r="CQ77" s="806"/>
      <c r="CR77" s="806"/>
      <c r="CS77" s="806"/>
      <c r="CT77" s="806"/>
      <c r="CU77" s="806"/>
      <c r="CV77" s="806"/>
      <c r="CW77" s="806"/>
      <c r="CX77" s="806"/>
      <c r="CY77" s="806"/>
      <c r="CZ77" s="365"/>
      <c r="DA77" s="366"/>
      <c r="DB77" s="367"/>
      <c r="DC77" s="875"/>
      <c r="DD77" s="875"/>
      <c r="DE77" s="875"/>
      <c r="DF77" s="875"/>
      <c r="DG77" s="875"/>
      <c r="DH77" s="875"/>
      <c r="DI77" s="875"/>
      <c r="DJ77" s="875"/>
      <c r="DK77" s="875"/>
      <c r="DL77" s="875"/>
      <c r="DM77" s="866"/>
      <c r="DN77" s="866"/>
      <c r="DO77" s="866"/>
      <c r="DP77" s="866"/>
      <c r="DQ77" s="866"/>
      <c r="DR77" s="866"/>
      <c r="DS77" s="866"/>
      <c r="DT77" s="866"/>
      <c r="DU77" s="866"/>
      <c r="DV77" s="866"/>
      <c r="DW77" s="824">
        <f>BEZ_Hilf_30_EHPreis*(BEZ_Hilf_30_GKZ/100+1)</f>
        <v>0</v>
      </c>
      <c r="DX77" s="824"/>
      <c r="DY77" s="824"/>
      <c r="DZ77" s="824"/>
      <c r="EA77" s="824"/>
      <c r="EB77" s="824"/>
      <c r="EC77" s="824"/>
      <c r="ED77" s="824"/>
      <c r="EE77" s="824"/>
      <c r="EF77" s="824"/>
      <c r="EG77" s="826">
        <f>BEZ_Hilf_30_Anz*BEZ_Hilf_30_EHPreis*((BEZ_Hilf_30_GKZ/100)+1)</f>
        <v>0</v>
      </c>
      <c r="EH77" s="826"/>
      <c r="EI77" s="826"/>
      <c r="EJ77" s="826"/>
      <c r="EK77" s="826"/>
      <c r="EL77" s="826"/>
      <c r="EM77" s="826"/>
      <c r="EN77" s="826"/>
      <c r="EO77" s="826"/>
      <c r="EP77" s="826"/>
      <c r="EQ77" s="826"/>
      <c r="ER77" s="826"/>
      <c r="ES77" s="826"/>
      <c r="ET77" s="826"/>
      <c r="EU77" s="826">
        <f>BEZ_Hilf_30_PreisJeKiste*KI_N</f>
        <v>0</v>
      </c>
      <c r="EV77" s="826"/>
      <c r="EW77" s="826"/>
      <c r="EX77" s="826"/>
      <c r="EY77" s="826"/>
      <c r="EZ77" s="826"/>
      <c r="FA77" s="826"/>
      <c r="FB77" s="826"/>
      <c r="FC77" s="826"/>
      <c r="FD77" s="826"/>
      <c r="FE77" s="867"/>
      <c r="FF77" s="867"/>
      <c r="FG77" s="867"/>
      <c r="FH77" s="867"/>
      <c r="FI77" s="867"/>
      <c r="FJ77" s="867"/>
      <c r="FK77" s="867"/>
      <c r="FL77" s="867"/>
      <c r="FM77" s="867"/>
      <c r="FN77" s="833">
        <f>BEZ_Hilf_30_gJeEH*BEZ_Hilf_30_Anz</f>
        <v>0</v>
      </c>
      <c r="FO77" s="833"/>
      <c r="FP77" s="833"/>
      <c r="FQ77" s="833"/>
      <c r="FR77" s="833"/>
      <c r="FS77" s="833"/>
      <c r="FT77" s="833"/>
      <c r="FU77" s="833"/>
      <c r="FV77" s="833"/>
      <c r="FW77" s="245"/>
      <c r="FX77" s="246"/>
      <c r="FY77" s="246"/>
      <c r="FZ77" s="246"/>
      <c r="GA77" s="246"/>
      <c r="GB77" s="246"/>
      <c r="GC77" s="246"/>
      <c r="GD77" s="246"/>
      <c r="GE77" s="246"/>
      <c r="GF77" s="246"/>
      <c r="GG77" s="246"/>
      <c r="GH77" s="246"/>
      <c r="GI77" s="246"/>
      <c r="GJ77" s="246"/>
      <c r="GK77" s="246"/>
      <c r="GL77" s="246"/>
      <c r="GM77" s="246"/>
      <c r="GN77" s="246"/>
      <c r="GO77" s="247"/>
      <c r="GP77" s="167"/>
      <c r="GQ77" s="351"/>
      <c r="GR77" s="2"/>
      <c r="GS77" s="2"/>
      <c r="GT77" s="2"/>
      <c r="GU77" s="2"/>
      <c r="GX77" s="249"/>
      <c r="GY77" s="249"/>
      <c r="HF77" s="148"/>
      <c r="HG77" s="148"/>
      <c r="HH77" s="148"/>
      <c r="HI77" s="148"/>
      <c r="HJ77" s="148"/>
      <c r="HK77" s="148"/>
      <c r="HL77" s="148"/>
      <c r="HM77" s="148"/>
      <c r="HN77" s="148"/>
      <c r="HO77" s="148"/>
      <c r="HP77" s="148"/>
      <c r="HQ77" s="148"/>
      <c r="HR77" s="148"/>
      <c r="HS77" s="148"/>
      <c r="HT77" s="148"/>
      <c r="HU77" s="148"/>
      <c r="HV77" s="148"/>
      <c r="IK77" s="241"/>
      <c r="IV77" s="242"/>
      <c r="JG77" s="243"/>
      <c r="JQ77" s="244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2"/>
      <c r="M78" s="162"/>
      <c r="N78" s="788"/>
      <c r="O78" s="788"/>
      <c r="P78" s="788"/>
      <c r="Q78" s="868"/>
      <c r="R78" s="868"/>
      <c r="S78" s="868"/>
      <c r="T78" s="868"/>
      <c r="U78" s="868"/>
      <c r="V78" s="869"/>
      <c r="W78" s="869"/>
      <c r="X78" s="869"/>
      <c r="Y78" s="869"/>
      <c r="Z78" s="869"/>
      <c r="AA78" s="869"/>
      <c r="AB78" s="869"/>
      <c r="AC78" s="869"/>
      <c r="AD78" s="869"/>
      <c r="AE78" s="869"/>
      <c r="AF78" s="869"/>
      <c r="AG78" s="869"/>
      <c r="AH78" s="869"/>
      <c r="AI78" s="869"/>
      <c r="AJ78" s="869"/>
      <c r="AK78" s="869"/>
      <c r="AL78" s="869"/>
      <c r="AM78" s="869"/>
      <c r="AN78" s="869"/>
      <c r="AO78" s="869"/>
      <c r="AP78" s="869"/>
      <c r="AQ78" s="869"/>
      <c r="AR78" s="869"/>
      <c r="AS78" s="869"/>
      <c r="AT78" s="869"/>
      <c r="AU78" s="869"/>
      <c r="AV78" s="869"/>
      <c r="AW78" s="869"/>
      <c r="AX78" s="869"/>
      <c r="AY78" s="869"/>
      <c r="AZ78" s="869"/>
      <c r="BA78" s="869"/>
      <c r="BB78" s="869"/>
      <c r="BC78" s="869"/>
      <c r="BD78" s="869"/>
      <c r="BE78" s="869"/>
      <c r="BF78" s="869"/>
      <c r="BG78" s="869"/>
      <c r="BH78" s="869"/>
      <c r="BI78" s="869"/>
      <c r="BJ78" s="870"/>
      <c r="BK78" s="870"/>
      <c r="BL78" s="870"/>
      <c r="BM78" s="870"/>
      <c r="BN78" s="870"/>
      <c r="BO78" s="870"/>
      <c r="BP78" s="870"/>
      <c r="BQ78" s="870"/>
      <c r="BR78" s="870"/>
      <c r="BS78" s="870"/>
      <c r="BT78" s="871"/>
      <c r="BU78" s="872"/>
      <c r="BV78" s="872"/>
      <c r="BW78" s="872"/>
      <c r="BX78" s="872"/>
      <c r="BY78" s="872"/>
      <c r="BZ78" s="872"/>
      <c r="CA78" s="872"/>
      <c r="CB78" s="872"/>
      <c r="CC78" s="873"/>
      <c r="CD78" s="874"/>
      <c r="CE78" s="874"/>
      <c r="CF78" s="874"/>
      <c r="CG78" s="874"/>
      <c r="CH78" s="874"/>
      <c r="CI78" s="874"/>
      <c r="CJ78" s="874"/>
      <c r="CK78" s="874"/>
      <c r="CL78" s="874"/>
      <c r="CM78" s="874"/>
      <c r="CN78" s="806"/>
      <c r="CO78" s="806"/>
      <c r="CP78" s="806"/>
      <c r="CQ78" s="806"/>
      <c r="CR78" s="806"/>
      <c r="CS78" s="806"/>
      <c r="CT78" s="806"/>
      <c r="CU78" s="806"/>
      <c r="CV78" s="806"/>
      <c r="CW78" s="806"/>
      <c r="CX78" s="806"/>
      <c r="CY78" s="806"/>
      <c r="CZ78" s="365"/>
      <c r="DA78" s="366"/>
      <c r="DB78" s="367"/>
      <c r="DC78" s="875"/>
      <c r="DD78" s="875"/>
      <c r="DE78" s="875"/>
      <c r="DF78" s="875"/>
      <c r="DG78" s="875"/>
      <c r="DH78" s="875"/>
      <c r="DI78" s="875"/>
      <c r="DJ78" s="875"/>
      <c r="DK78" s="875"/>
      <c r="DL78" s="875"/>
      <c r="DM78" s="866"/>
      <c r="DN78" s="866"/>
      <c r="DO78" s="866"/>
      <c r="DP78" s="866"/>
      <c r="DQ78" s="866"/>
      <c r="DR78" s="866"/>
      <c r="DS78" s="866"/>
      <c r="DT78" s="866"/>
      <c r="DU78" s="866"/>
      <c r="DV78" s="866"/>
      <c r="DW78" s="824"/>
      <c r="DX78" s="824"/>
      <c r="DY78" s="824"/>
      <c r="DZ78" s="824"/>
      <c r="EA78" s="824"/>
      <c r="EB78" s="824"/>
      <c r="EC78" s="824"/>
      <c r="ED78" s="824"/>
      <c r="EE78" s="824"/>
      <c r="EF78" s="824"/>
      <c r="EG78" s="826"/>
      <c r="EH78" s="826"/>
      <c r="EI78" s="826"/>
      <c r="EJ78" s="826"/>
      <c r="EK78" s="826"/>
      <c r="EL78" s="826"/>
      <c r="EM78" s="826"/>
      <c r="EN78" s="826"/>
      <c r="EO78" s="826"/>
      <c r="EP78" s="826"/>
      <c r="EQ78" s="826"/>
      <c r="ER78" s="826"/>
      <c r="ES78" s="826"/>
      <c r="ET78" s="826"/>
      <c r="EU78" s="826"/>
      <c r="EV78" s="826"/>
      <c r="EW78" s="826"/>
      <c r="EX78" s="826"/>
      <c r="EY78" s="826"/>
      <c r="EZ78" s="826"/>
      <c r="FA78" s="826"/>
      <c r="FB78" s="826"/>
      <c r="FC78" s="826"/>
      <c r="FD78" s="826"/>
      <c r="FE78" s="867"/>
      <c r="FF78" s="867"/>
      <c r="FG78" s="867"/>
      <c r="FH78" s="867"/>
      <c r="FI78" s="867"/>
      <c r="FJ78" s="867"/>
      <c r="FK78" s="867"/>
      <c r="FL78" s="867"/>
      <c r="FM78" s="867"/>
      <c r="FN78" s="833"/>
      <c r="FO78" s="833"/>
      <c r="FP78" s="833"/>
      <c r="FQ78" s="833"/>
      <c r="FR78" s="833"/>
      <c r="FS78" s="833"/>
      <c r="FT78" s="833"/>
      <c r="FU78" s="833"/>
      <c r="FV78" s="833"/>
      <c r="FW78" s="245"/>
      <c r="FX78" s="246"/>
      <c r="FY78" s="246"/>
      <c r="FZ78" s="246"/>
      <c r="GA78" s="246"/>
      <c r="GB78" s="246"/>
      <c r="GC78" s="246"/>
      <c r="GD78" s="246"/>
      <c r="GE78" s="246"/>
      <c r="GF78" s="246"/>
      <c r="GG78" s="246"/>
      <c r="GH78" s="246"/>
      <c r="GI78" s="246"/>
      <c r="GJ78" s="246"/>
      <c r="GK78" s="246"/>
      <c r="GL78" s="246"/>
      <c r="GM78" s="246"/>
      <c r="GN78" s="246"/>
      <c r="GO78" s="247"/>
      <c r="GP78" s="167"/>
      <c r="GQ78" s="2"/>
      <c r="GR78" s="2"/>
      <c r="GS78" s="2"/>
      <c r="GT78" s="2"/>
      <c r="GU78" s="2"/>
      <c r="GX78" s="249"/>
      <c r="GY78" s="249"/>
      <c r="HF78" s="148"/>
      <c r="HG78" s="148"/>
      <c r="HH78" s="148"/>
      <c r="HI78" s="148"/>
      <c r="HJ78" s="148"/>
      <c r="HK78" s="148"/>
      <c r="HL78" s="148"/>
      <c r="HM78" s="148"/>
      <c r="HN78" s="148"/>
      <c r="HO78" s="148"/>
      <c r="HP78" s="148"/>
      <c r="HQ78" s="148"/>
      <c r="HR78" s="148"/>
      <c r="HS78" s="148"/>
      <c r="HT78" s="148"/>
      <c r="HU78" s="148"/>
      <c r="HV78" s="148"/>
      <c r="IK78" s="241"/>
      <c r="IV78" s="242"/>
      <c r="JG78" s="243"/>
      <c r="JQ78" s="244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2"/>
      <c r="M79" s="162"/>
      <c r="N79" s="788">
        <v>31</v>
      </c>
      <c r="O79" s="788"/>
      <c r="P79" s="788"/>
      <c r="Q79" s="868"/>
      <c r="R79" s="868"/>
      <c r="S79" s="868"/>
      <c r="T79" s="868"/>
      <c r="U79" s="868"/>
      <c r="V79" s="869"/>
      <c r="W79" s="869"/>
      <c r="X79" s="869"/>
      <c r="Y79" s="869"/>
      <c r="Z79" s="869"/>
      <c r="AA79" s="869"/>
      <c r="AB79" s="869"/>
      <c r="AC79" s="869"/>
      <c r="AD79" s="869"/>
      <c r="AE79" s="869"/>
      <c r="AF79" s="869"/>
      <c r="AG79" s="869"/>
      <c r="AH79" s="869"/>
      <c r="AI79" s="869"/>
      <c r="AJ79" s="869"/>
      <c r="AK79" s="869"/>
      <c r="AL79" s="869"/>
      <c r="AM79" s="869"/>
      <c r="AN79" s="869"/>
      <c r="AO79" s="869"/>
      <c r="AP79" s="869"/>
      <c r="AQ79" s="869"/>
      <c r="AR79" s="869"/>
      <c r="AS79" s="869"/>
      <c r="AT79" s="869"/>
      <c r="AU79" s="869"/>
      <c r="AV79" s="869"/>
      <c r="AW79" s="869"/>
      <c r="AX79" s="869"/>
      <c r="AY79" s="869"/>
      <c r="AZ79" s="869"/>
      <c r="BA79" s="869"/>
      <c r="BB79" s="869"/>
      <c r="BC79" s="869"/>
      <c r="BD79" s="869"/>
      <c r="BE79" s="869"/>
      <c r="BF79" s="869"/>
      <c r="BG79" s="869"/>
      <c r="BH79" s="869"/>
      <c r="BI79" s="869"/>
      <c r="BJ79" s="870"/>
      <c r="BK79" s="870"/>
      <c r="BL79" s="870"/>
      <c r="BM79" s="870"/>
      <c r="BN79" s="870"/>
      <c r="BO79" s="870"/>
      <c r="BP79" s="870"/>
      <c r="BQ79" s="870"/>
      <c r="BR79" s="870"/>
      <c r="BS79" s="870"/>
      <c r="BT79" s="871">
        <f>KI_N*BEZ_Hilf_31_Anz</f>
        <v>0</v>
      </c>
      <c r="BU79" s="872"/>
      <c r="BV79" s="872"/>
      <c r="BW79" s="872"/>
      <c r="BX79" s="872"/>
      <c r="BY79" s="872"/>
      <c r="BZ79" s="872"/>
      <c r="CA79" s="872"/>
      <c r="CB79" s="872"/>
      <c r="CC79" s="873"/>
      <c r="CD79" s="874"/>
      <c r="CE79" s="874"/>
      <c r="CF79" s="874"/>
      <c r="CG79" s="874"/>
      <c r="CH79" s="874"/>
      <c r="CI79" s="874"/>
      <c r="CJ79" s="874"/>
      <c r="CK79" s="874"/>
      <c r="CL79" s="874"/>
      <c r="CM79" s="874"/>
      <c r="CN79" s="806"/>
      <c r="CO79" s="806"/>
      <c r="CP79" s="806"/>
      <c r="CQ79" s="806"/>
      <c r="CR79" s="806"/>
      <c r="CS79" s="806"/>
      <c r="CT79" s="806"/>
      <c r="CU79" s="806"/>
      <c r="CV79" s="806"/>
      <c r="CW79" s="806"/>
      <c r="CX79" s="806"/>
      <c r="CY79" s="806"/>
      <c r="CZ79" s="365"/>
      <c r="DA79" s="366"/>
      <c r="DB79" s="367"/>
      <c r="DC79" s="875"/>
      <c r="DD79" s="875"/>
      <c r="DE79" s="875"/>
      <c r="DF79" s="875"/>
      <c r="DG79" s="875"/>
      <c r="DH79" s="875"/>
      <c r="DI79" s="875"/>
      <c r="DJ79" s="875"/>
      <c r="DK79" s="875"/>
      <c r="DL79" s="875"/>
      <c r="DM79" s="866"/>
      <c r="DN79" s="866"/>
      <c r="DO79" s="866"/>
      <c r="DP79" s="866"/>
      <c r="DQ79" s="866"/>
      <c r="DR79" s="866"/>
      <c r="DS79" s="866"/>
      <c r="DT79" s="866"/>
      <c r="DU79" s="866"/>
      <c r="DV79" s="866"/>
      <c r="DW79" s="824">
        <f>BEZ_Hilf_31_EHPreis*(BEZ_Hilf_31_GKZ/100+1)</f>
        <v>0</v>
      </c>
      <c r="DX79" s="824"/>
      <c r="DY79" s="824"/>
      <c r="DZ79" s="824"/>
      <c r="EA79" s="824"/>
      <c r="EB79" s="824"/>
      <c r="EC79" s="824"/>
      <c r="ED79" s="824"/>
      <c r="EE79" s="824"/>
      <c r="EF79" s="824"/>
      <c r="EG79" s="826">
        <f>BEZ_Hilf_31_Anz*BEZ_Hilf_31_EHPreis*((BEZ_Hilf_31_GKZ/100)+1)</f>
        <v>0</v>
      </c>
      <c r="EH79" s="826"/>
      <c r="EI79" s="826"/>
      <c r="EJ79" s="826"/>
      <c r="EK79" s="826"/>
      <c r="EL79" s="826"/>
      <c r="EM79" s="826"/>
      <c r="EN79" s="826"/>
      <c r="EO79" s="826"/>
      <c r="EP79" s="826"/>
      <c r="EQ79" s="826"/>
      <c r="ER79" s="826"/>
      <c r="ES79" s="826"/>
      <c r="ET79" s="826"/>
      <c r="EU79" s="826">
        <f>BEZ_Hilf_31_PreisJeKiste*KI_N</f>
        <v>0</v>
      </c>
      <c r="EV79" s="826"/>
      <c r="EW79" s="826"/>
      <c r="EX79" s="826"/>
      <c r="EY79" s="826"/>
      <c r="EZ79" s="826"/>
      <c r="FA79" s="826"/>
      <c r="FB79" s="826"/>
      <c r="FC79" s="826"/>
      <c r="FD79" s="826"/>
      <c r="FE79" s="867"/>
      <c r="FF79" s="867"/>
      <c r="FG79" s="867"/>
      <c r="FH79" s="867"/>
      <c r="FI79" s="867"/>
      <c r="FJ79" s="867"/>
      <c r="FK79" s="867"/>
      <c r="FL79" s="867"/>
      <c r="FM79" s="867"/>
      <c r="FN79" s="833">
        <f>BEZ_Hilf_31_gJeEH*BEZ_Hilf_31_Anz</f>
        <v>0</v>
      </c>
      <c r="FO79" s="833"/>
      <c r="FP79" s="833"/>
      <c r="FQ79" s="833"/>
      <c r="FR79" s="833"/>
      <c r="FS79" s="833"/>
      <c r="FT79" s="833"/>
      <c r="FU79" s="833"/>
      <c r="FV79" s="833"/>
      <c r="FW79" s="245"/>
      <c r="FX79" s="246"/>
      <c r="FY79" s="246"/>
      <c r="FZ79" s="246"/>
      <c r="GA79" s="246"/>
      <c r="GB79" s="246"/>
      <c r="GC79" s="246"/>
      <c r="GD79" s="246"/>
      <c r="GE79" s="246"/>
      <c r="GF79" s="246"/>
      <c r="GG79" s="246"/>
      <c r="GH79" s="246"/>
      <c r="GI79" s="246"/>
      <c r="GJ79" s="246"/>
      <c r="GK79" s="246"/>
      <c r="GL79" s="246"/>
      <c r="GM79" s="246"/>
      <c r="GN79" s="246"/>
      <c r="GO79" s="247"/>
      <c r="GP79" s="167"/>
      <c r="GQ79" s="351"/>
      <c r="GR79" s="2"/>
      <c r="GS79" s="2"/>
      <c r="GT79" s="2"/>
      <c r="GU79" s="2"/>
      <c r="GX79" s="249"/>
      <c r="GY79" s="249"/>
      <c r="HF79" s="148"/>
      <c r="HG79" s="148"/>
      <c r="HH79" s="148"/>
      <c r="HI79" s="148"/>
      <c r="HJ79" s="148"/>
      <c r="HK79" s="148"/>
      <c r="HL79" s="148"/>
      <c r="HM79" s="148"/>
      <c r="HN79" s="148"/>
      <c r="HO79" s="148"/>
      <c r="HP79" s="148"/>
      <c r="HQ79" s="148"/>
      <c r="HR79" s="148"/>
      <c r="HS79" s="148"/>
      <c r="HT79" s="148"/>
      <c r="HU79" s="148"/>
      <c r="HV79" s="148"/>
      <c r="IK79" s="241"/>
      <c r="IV79" s="242"/>
      <c r="JG79" s="243"/>
      <c r="JQ79" s="244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M80" s="167"/>
      <c r="N80" s="788"/>
      <c r="O80" s="788"/>
      <c r="P80" s="788"/>
      <c r="Q80" s="868"/>
      <c r="R80" s="868"/>
      <c r="S80" s="868"/>
      <c r="T80" s="868"/>
      <c r="U80" s="868"/>
      <c r="V80" s="869"/>
      <c r="W80" s="869"/>
      <c r="X80" s="869"/>
      <c r="Y80" s="869"/>
      <c r="Z80" s="869"/>
      <c r="AA80" s="869"/>
      <c r="AB80" s="869"/>
      <c r="AC80" s="869"/>
      <c r="AD80" s="869"/>
      <c r="AE80" s="869"/>
      <c r="AF80" s="869"/>
      <c r="AG80" s="869"/>
      <c r="AH80" s="869"/>
      <c r="AI80" s="869"/>
      <c r="AJ80" s="869"/>
      <c r="AK80" s="869"/>
      <c r="AL80" s="869"/>
      <c r="AM80" s="869"/>
      <c r="AN80" s="869"/>
      <c r="AO80" s="869"/>
      <c r="AP80" s="869"/>
      <c r="AQ80" s="869"/>
      <c r="AR80" s="869"/>
      <c r="AS80" s="869"/>
      <c r="AT80" s="869"/>
      <c r="AU80" s="869"/>
      <c r="AV80" s="869"/>
      <c r="AW80" s="869"/>
      <c r="AX80" s="869"/>
      <c r="AY80" s="869"/>
      <c r="AZ80" s="869"/>
      <c r="BA80" s="869"/>
      <c r="BB80" s="869"/>
      <c r="BC80" s="869"/>
      <c r="BD80" s="869"/>
      <c r="BE80" s="869"/>
      <c r="BF80" s="869"/>
      <c r="BG80" s="869"/>
      <c r="BH80" s="869"/>
      <c r="BI80" s="869"/>
      <c r="BJ80" s="870"/>
      <c r="BK80" s="870"/>
      <c r="BL80" s="870"/>
      <c r="BM80" s="870"/>
      <c r="BN80" s="870"/>
      <c r="BO80" s="870"/>
      <c r="BP80" s="870"/>
      <c r="BQ80" s="870"/>
      <c r="BR80" s="870"/>
      <c r="BS80" s="870"/>
      <c r="BT80" s="871"/>
      <c r="BU80" s="872"/>
      <c r="BV80" s="872"/>
      <c r="BW80" s="872"/>
      <c r="BX80" s="872"/>
      <c r="BY80" s="872"/>
      <c r="BZ80" s="872"/>
      <c r="CA80" s="872"/>
      <c r="CB80" s="872"/>
      <c r="CC80" s="873"/>
      <c r="CD80" s="874"/>
      <c r="CE80" s="874"/>
      <c r="CF80" s="874"/>
      <c r="CG80" s="874"/>
      <c r="CH80" s="874"/>
      <c r="CI80" s="874"/>
      <c r="CJ80" s="874"/>
      <c r="CK80" s="874"/>
      <c r="CL80" s="874"/>
      <c r="CM80" s="874"/>
      <c r="CN80" s="806"/>
      <c r="CO80" s="806"/>
      <c r="CP80" s="806"/>
      <c r="CQ80" s="806"/>
      <c r="CR80" s="806"/>
      <c r="CS80" s="806"/>
      <c r="CT80" s="806"/>
      <c r="CU80" s="806"/>
      <c r="CV80" s="806"/>
      <c r="CW80" s="806"/>
      <c r="CX80" s="806"/>
      <c r="CY80" s="806"/>
      <c r="CZ80" s="365"/>
      <c r="DA80" s="366"/>
      <c r="DB80" s="367"/>
      <c r="DC80" s="875"/>
      <c r="DD80" s="875"/>
      <c r="DE80" s="875"/>
      <c r="DF80" s="875"/>
      <c r="DG80" s="875"/>
      <c r="DH80" s="875"/>
      <c r="DI80" s="875"/>
      <c r="DJ80" s="875"/>
      <c r="DK80" s="875"/>
      <c r="DL80" s="875"/>
      <c r="DM80" s="866"/>
      <c r="DN80" s="866"/>
      <c r="DO80" s="866"/>
      <c r="DP80" s="866"/>
      <c r="DQ80" s="866"/>
      <c r="DR80" s="866"/>
      <c r="DS80" s="866"/>
      <c r="DT80" s="866"/>
      <c r="DU80" s="866"/>
      <c r="DV80" s="866"/>
      <c r="DW80" s="824"/>
      <c r="DX80" s="824"/>
      <c r="DY80" s="824"/>
      <c r="DZ80" s="824"/>
      <c r="EA80" s="824"/>
      <c r="EB80" s="824"/>
      <c r="EC80" s="824"/>
      <c r="ED80" s="824"/>
      <c r="EE80" s="824"/>
      <c r="EF80" s="824"/>
      <c r="EG80" s="826"/>
      <c r="EH80" s="826"/>
      <c r="EI80" s="826"/>
      <c r="EJ80" s="826"/>
      <c r="EK80" s="826"/>
      <c r="EL80" s="826"/>
      <c r="EM80" s="826"/>
      <c r="EN80" s="826"/>
      <c r="EO80" s="826"/>
      <c r="EP80" s="826"/>
      <c r="EQ80" s="826"/>
      <c r="ER80" s="826"/>
      <c r="ES80" s="826"/>
      <c r="ET80" s="826"/>
      <c r="EU80" s="826"/>
      <c r="EV80" s="826"/>
      <c r="EW80" s="826"/>
      <c r="EX80" s="826"/>
      <c r="EY80" s="826"/>
      <c r="EZ80" s="826"/>
      <c r="FA80" s="826"/>
      <c r="FB80" s="826"/>
      <c r="FC80" s="826"/>
      <c r="FD80" s="826"/>
      <c r="FE80" s="867"/>
      <c r="FF80" s="867"/>
      <c r="FG80" s="867"/>
      <c r="FH80" s="867"/>
      <c r="FI80" s="867"/>
      <c r="FJ80" s="867"/>
      <c r="FK80" s="867"/>
      <c r="FL80" s="867"/>
      <c r="FM80" s="867"/>
      <c r="FN80" s="833"/>
      <c r="FO80" s="833"/>
      <c r="FP80" s="833"/>
      <c r="FQ80" s="833"/>
      <c r="FR80" s="833"/>
      <c r="FS80" s="833"/>
      <c r="FT80" s="833"/>
      <c r="FU80" s="833"/>
      <c r="FV80" s="833"/>
      <c r="FW80" s="245"/>
      <c r="FX80" s="246"/>
      <c r="FY80" s="246"/>
      <c r="FZ80" s="246"/>
      <c r="GA80" s="246"/>
      <c r="GB80" s="246"/>
      <c r="GC80" s="246"/>
      <c r="GD80" s="246"/>
      <c r="GE80" s="246"/>
      <c r="GF80" s="246"/>
      <c r="GG80" s="246"/>
      <c r="GH80" s="246"/>
      <c r="GI80" s="246"/>
      <c r="GJ80" s="246"/>
      <c r="GK80" s="246"/>
      <c r="GL80" s="246"/>
      <c r="GM80" s="246"/>
      <c r="GN80" s="246"/>
      <c r="GO80" s="247"/>
      <c r="GP80" s="167"/>
      <c r="GQ80" s="2"/>
      <c r="GR80" s="2"/>
      <c r="GS80" s="2"/>
      <c r="GT80" s="2"/>
      <c r="GU80" s="2"/>
      <c r="GX80" s="249"/>
      <c r="GY80" s="249"/>
      <c r="HF80" s="148"/>
      <c r="HG80" s="148"/>
      <c r="HH80" s="148"/>
      <c r="HI80" s="148"/>
      <c r="HJ80" s="148"/>
      <c r="HK80" s="148"/>
      <c r="HL80" s="148"/>
      <c r="HM80" s="148"/>
      <c r="HN80" s="148"/>
      <c r="HO80" s="148"/>
      <c r="HP80" s="148"/>
      <c r="HQ80" s="148"/>
      <c r="HR80" s="148"/>
      <c r="HS80" s="148"/>
      <c r="HT80" s="148"/>
      <c r="HU80" s="148"/>
      <c r="HV80" s="148"/>
      <c r="IK80" s="241"/>
      <c r="IV80" s="242"/>
      <c r="JG80" s="243"/>
      <c r="JQ80" s="244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96"/>
      <c r="M81" s="162"/>
      <c r="N81" s="788">
        <v>32</v>
      </c>
      <c r="O81" s="788"/>
      <c r="P81" s="788"/>
      <c r="Q81" s="868"/>
      <c r="R81" s="868"/>
      <c r="S81" s="868"/>
      <c r="T81" s="868"/>
      <c r="U81" s="868"/>
      <c r="V81" s="869"/>
      <c r="W81" s="869"/>
      <c r="X81" s="869"/>
      <c r="Y81" s="869"/>
      <c r="Z81" s="869"/>
      <c r="AA81" s="869"/>
      <c r="AB81" s="869"/>
      <c r="AC81" s="869"/>
      <c r="AD81" s="869"/>
      <c r="AE81" s="869"/>
      <c r="AF81" s="869"/>
      <c r="AG81" s="869"/>
      <c r="AH81" s="869"/>
      <c r="AI81" s="869"/>
      <c r="AJ81" s="869"/>
      <c r="AK81" s="869"/>
      <c r="AL81" s="869"/>
      <c r="AM81" s="869"/>
      <c r="AN81" s="869"/>
      <c r="AO81" s="869"/>
      <c r="AP81" s="869"/>
      <c r="AQ81" s="869"/>
      <c r="AR81" s="869"/>
      <c r="AS81" s="869"/>
      <c r="AT81" s="869"/>
      <c r="AU81" s="869"/>
      <c r="AV81" s="869"/>
      <c r="AW81" s="869"/>
      <c r="AX81" s="869"/>
      <c r="AY81" s="869"/>
      <c r="AZ81" s="869"/>
      <c r="BA81" s="869"/>
      <c r="BB81" s="869"/>
      <c r="BC81" s="869"/>
      <c r="BD81" s="869"/>
      <c r="BE81" s="869"/>
      <c r="BF81" s="869"/>
      <c r="BG81" s="869"/>
      <c r="BH81" s="869"/>
      <c r="BI81" s="869"/>
      <c r="BJ81" s="870"/>
      <c r="BK81" s="870"/>
      <c r="BL81" s="870"/>
      <c r="BM81" s="870"/>
      <c r="BN81" s="870"/>
      <c r="BO81" s="870"/>
      <c r="BP81" s="870"/>
      <c r="BQ81" s="870"/>
      <c r="BR81" s="870"/>
      <c r="BS81" s="870"/>
      <c r="BT81" s="871">
        <f>KI_N*BEZ_Hilf_32_Anz</f>
        <v>0</v>
      </c>
      <c r="BU81" s="872"/>
      <c r="BV81" s="872"/>
      <c r="BW81" s="872"/>
      <c r="BX81" s="872"/>
      <c r="BY81" s="872"/>
      <c r="BZ81" s="872"/>
      <c r="CA81" s="872"/>
      <c r="CB81" s="872"/>
      <c r="CC81" s="873"/>
      <c r="CD81" s="874"/>
      <c r="CE81" s="874"/>
      <c r="CF81" s="874"/>
      <c r="CG81" s="874"/>
      <c r="CH81" s="874"/>
      <c r="CI81" s="874"/>
      <c r="CJ81" s="874"/>
      <c r="CK81" s="874"/>
      <c r="CL81" s="874"/>
      <c r="CM81" s="874"/>
      <c r="CN81" s="806"/>
      <c r="CO81" s="806"/>
      <c r="CP81" s="806"/>
      <c r="CQ81" s="806"/>
      <c r="CR81" s="806"/>
      <c r="CS81" s="806"/>
      <c r="CT81" s="806"/>
      <c r="CU81" s="806"/>
      <c r="CV81" s="806"/>
      <c r="CW81" s="806"/>
      <c r="CX81" s="806"/>
      <c r="CY81" s="806"/>
      <c r="CZ81" s="365"/>
      <c r="DA81" s="366"/>
      <c r="DB81" s="367"/>
      <c r="DC81" s="875"/>
      <c r="DD81" s="875"/>
      <c r="DE81" s="875"/>
      <c r="DF81" s="875"/>
      <c r="DG81" s="875"/>
      <c r="DH81" s="875"/>
      <c r="DI81" s="875"/>
      <c r="DJ81" s="875"/>
      <c r="DK81" s="875"/>
      <c r="DL81" s="875"/>
      <c r="DM81" s="866"/>
      <c r="DN81" s="866"/>
      <c r="DO81" s="866"/>
      <c r="DP81" s="866"/>
      <c r="DQ81" s="866"/>
      <c r="DR81" s="866"/>
      <c r="DS81" s="866"/>
      <c r="DT81" s="866"/>
      <c r="DU81" s="866"/>
      <c r="DV81" s="866"/>
      <c r="DW81" s="824">
        <f>BEZ_Hilf_32_EHPreis*(BEZ_Hilf_32_GKZ/100+1)</f>
        <v>0</v>
      </c>
      <c r="DX81" s="824"/>
      <c r="DY81" s="824"/>
      <c r="DZ81" s="824"/>
      <c r="EA81" s="824"/>
      <c r="EB81" s="824"/>
      <c r="EC81" s="824"/>
      <c r="ED81" s="824"/>
      <c r="EE81" s="824"/>
      <c r="EF81" s="824"/>
      <c r="EG81" s="826">
        <f>BEZ_Hilf_32_Anz*BEZ_Hilf_32_EHPreis*((BEZ_Hilf_32_GKZ/100)+1)</f>
        <v>0</v>
      </c>
      <c r="EH81" s="826"/>
      <c r="EI81" s="826"/>
      <c r="EJ81" s="826"/>
      <c r="EK81" s="826"/>
      <c r="EL81" s="826"/>
      <c r="EM81" s="826"/>
      <c r="EN81" s="826"/>
      <c r="EO81" s="826"/>
      <c r="EP81" s="826"/>
      <c r="EQ81" s="826"/>
      <c r="ER81" s="826"/>
      <c r="ES81" s="826"/>
      <c r="ET81" s="826"/>
      <c r="EU81" s="826">
        <f>BEZ_Hilf_32_PreisJeKiste*KI_N</f>
        <v>0</v>
      </c>
      <c r="EV81" s="826"/>
      <c r="EW81" s="826"/>
      <c r="EX81" s="826"/>
      <c r="EY81" s="826"/>
      <c r="EZ81" s="826"/>
      <c r="FA81" s="826"/>
      <c r="FB81" s="826"/>
      <c r="FC81" s="826"/>
      <c r="FD81" s="826"/>
      <c r="FE81" s="867"/>
      <c r="FF81" s="867"/>
      <c r="FG81" s="867"/>
      <c r="FH81" s="867"/>
      <c r="FI81" s="867"/>
      <c r="FJ81" s="867"/>
      <c r="FK81" s="867"/>
      <c r="FL81" s="867"/>
      <c r="FM81" s="867"/>
      <c r="FN81" s="833">
        <f>BEZ_Hilf_32_gJeEH*BEZ_Hilf_32_Anz</f>
        <v>0</v>
      </c>
      <c r="FO81" s="833"/>
      <c r="FP81" s="833"/>
      <c r="FQ81" s="833"/>
      <c r="FR81" s="833"/>
      <c r="FS81" s="833"/>
      <c r="FT81" s="833"/>
      <c r="FU81" s="833"/>
      <c r="FV81" s="833"/>
      <c r="FW81" s="245"/>
      <c r="FX81" s="246"/>
      <c r="FY81" s="246"/>
      <c r="FZ81" s="246"/>
      <c r="GA81" s="246"/>
      <c r="GB81" s="246"/>
      <c r="GC81" s="246"/>
      <c r="GD81" s="246"/>
      <c r="GE81" s="246"/>
      <c r="GF81" s="246"/>
      <c r="GG81" s="246"/>
      <c r="GH81" s="246"/>
      <c r="GI81" s="246"/>
      <c r="GJ81" s="246"/>
      <c r="GK81" s="246"/>
      <c r="GL81" s="246"/>
      <c r="GM81" s="246"/>
      <c r="GN81" s="246"/>
      <c r="GO81" s="247"/>
      <c r="GP81" s="167"/>
      <c r="GQ81" s="351"/>
      <c r="GR81" s="2"/>
      <c r="GS81" s="2"/>
      <c r="GT81" s="2"/>
      <c r="GU81" s="2"/>
      <c r="GX81" s="249"/>
      <c r="GY81" s="249"/>
      <c r="HF81" s="148"/>
      <c r="HG81" s="148"/>
      <c r="HH81" s="148"/>
      <c r="HI81" s="148"/>
      <c r="HJ81" s="148"/>
      <c r="HK81" s="148"/>
      <c r="HL81" s="148"/>
      <c r="HM81" s="148"/>
      <c r="HN81" s="148"/>
      <c r="HO81" s="148"/>
      <c r="HP81" s="148"/>
      <c r="HQ81" s="148"/>
      <c r="HR81" s="148"/>
      <c r="HS81" s="148"/>
      <c r="HT81" s="148"/>
      <c r="HU81" s="148"/>
      <c r="HV81" s="148"/>
      <c r="IK81" s="241"/>
      <c r="IV81" s="242"/>
      <c r="JG81" s="243"/>
      <c r="JQ81" s="244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96"/>
      <c r="M82" s="162"/>
      <c r="N82" s="788"/>
      <c r="O82" s="788"/>
      <c r="P82" s="788"/>
      <c r="Q82" s="868"/>
      <c r="R82" s="868"/>
      <c r="S82" s="868"/>
      <c r="T82" s="868"/>
      <c r="U82" s="868"/>
      <c r="V82" s="869"/>
      <c r="W82" s="869"/>
      <c r="X82" s="869"/>
      <c r="Y82" s="869"/>
      <c r="Z82" s="869"/>
      <c r="AA82" s="869"/>
      <c r="AB82" s="869"/>
      <c r="AC82" s="869"/>
      <c r="AD82" s="869"/>
      <c r="AE82" s="869"/>
      <c r="AF82" s="869"/>
      <c r="AG82" s="869"/>
      <c r="AH82" s="869"/>
      <c r="AI82" s="869"/>
      <c r="AJ82" s="869"/>
      <c r="AK82" s="869"/>
      <c r="AL82" s="869"/>
      <c r="AM82" s="869"/>
      <c r="AN82" s="869"/>
      <c r="AO82" s="869"/>
      <c r="AP82" s="869"/>
      <c r="AQ82" s="869"/>
      <c r="AR82" s="869"/>
      <c r="AS82" s="869"/>
      <c r="AT82" s="869"/>
      <c r="AU82" s="869"/>
      <c r="AV82" s="869"/>
      <c r="AW82" s="869"/>
      <c r="AX82" s="869"/>
      <c r="AY82" s="869"/>
      <c r="AZ82" s="869"/>
      <c r="BA82" s="869"/>
      <c r="BB82" s="869"/>
      <c r="BC82" s="869"/>
      <c r="BD82" s="869"/>
      <c r="BE82" s="869"/>
      <c r="BF82" s="869"/>
      <c r="BG82" s="869"/>
      <c r="BH82" s="869"/>
      <c r="BI82" s="869"/>
      <c r="BJ82" s="870"/>
      <c r="BK82" s="870"/>
      <c r="BL82" s="870"/>
      <c r="BM82" s="870"/>
      <c r="BN82" s="870"/>
      <c r="BO82" s="870"/>
      <c r="BP82" s="870"/>
      <c r="BQ82" s="870"/>
      <c r="BR82" s="870"/>
      <c r="BS82" s="870"/>
      <c r="BT82" s="871"/>
      <c r="BU82" s="872"/>
      <c r="BV82" s="872"/>
      <c r="BW82" s="872"/>
      <c r="BX82" s="872"/>
      <c r="BY82" s="872"/>
      <c r="BZ82" s="872"/>
      <c r="CA82" s="872"/>
      <c r="CB82" s="872"/>
      <c r="CC82" s="873"/>
      <c r="CD82" s="874"/>
      <c r="CE82" s="874"/>
      <c r="CF82" s="874"/>
      <c r="CG82" s="874"/>
      <c r="CH82" s="874"/>
      <c r="CI82" s="874"/>
      <c r="CJ82" s="874"/>
      <c r="CK82" s="874"/>
      <c r="CL82" s="874"/>
      <c r="CM82" s="874"/>
      <c r="CN82" s="806"/>
      <c r="CO82" s="806"/>
      <c r="CP82" s="806"/>
      <c r="CQ82" s="806"/>
      <c r="CR82" s="806"/>
      <c r="CS82" s="806"/>
      <c r="CT82" s="806"/>
      <c r="CU82" s="806"/>
      <c r="CV82" s="806"/>
      <c r="CW82" s="806"/>
      <c r="CX82" s="806"/>
      <c r="CY82" s="806"/>
      <c r="CZ82" s="365"/>
      <c r="DA82" s="366"/>
      <c r="DB82" s="367"/>
      <c r="DC82" s="875"/>
      <c r="DD82" s="875"/>
      <c r="DE82" s="875"/>
      <c r="DF82" s="875"/>
      <c r="DG82" s="875"/>
      <c r="DH82" s="875"/>
      <c r="DI82" s="875"/>
      <c r="DJ82" s="875"/>
      <c r="DK82" s="875"/>
      <c r="DL82" s="875"/>
      <c r="DM82" s="866"/>
      <c r="DN82" s="866"/>
      <c r="DO82" s="866"/>
      <c r="DP82" s="866"/>
      <c r="DQ82" s="866"/>
      <c r="DR82" s="866"/>
      <c r="DS82" s="866"/>
      <c r="DT82" s="866"/>
      <c r="DU82" s="866"/>
      <c r="DV82" s="866"/>
      <c r="DW82" s="824"/>
      <c r="DX82" s="824"/>
      <c r="DY82" s="824"/>
      <c r="DZ82" s="824"/>
      <c r="EA82" s="824"/>
      <c r="EB82" s="824"/>
      <c r="EC82" s="824"/>
      <c r="ED82" s="824"/>
      <c r="EE82" s="824"/>
      <c r="EF82" s="824"/>
      <c r="EG82" s="826"/>
      <c r="EH82" s="826"/>
      <c r="EI82" s="826"/>
      <c r="EJ82" s="826"/>
      <c r="EK82" s="826"/>
      <c r="EL82" s="826"/>
      <c r="EM82" s="826"/>
      <c r="EN82" s="826"/>
      <c r="EO82" s="826"/>
      <c r="EP82" s="826"/>
      <c r="EQ82" s="826"/>
      <c r="ER82" s="826"/>
      <c r="ES82" s="826"/>
      <c r="ET82" s="826"/>
      <c r="EU82" s="826"/>
      <c r="EV82" s="826"/>
      <c r="EW82" s="826"/>
      <c r="EX82" s="826"/>
      <c r="EY82" s="826"/>
      <c r="EZ82" s="826"/>
      <c r="FA82" s="826"/>
      <c r="FB82" s="826"/>
      <c r="FC82" s="826"/>
      <c r="FD82" s="826"/>
      <c r="FE82" s="867"/>
      <c r="FF82" s="867"/>
      <c r="FG82" s="867"/>
      <c r="FH82" s="867"/>
      <c r="FI82" s="867"/>
      <c r="FJ82" s="867"/>
      <c r="FK82" s="867"/>
      <c r="FL82" s="867"/>
      <c r="FM82" s="867"/>
      <c r="FN82" s="833"/>
      <c r="FO82" s="833"/>
      <c r="FP82" s="833"/>
      <c r="FQ82" s="833"/>
      <c r="FR82" s="833"/>
      <c r="FS82" s="833"/>
      <c r="FT82" s="833"/>
      <c r="FU82" s="833"/>
      <c r="FV82" s="833"/>
      <c r="FW82" s="245"/>
      <c r="FX82" s="246"/>
      <c r="FY82" s="246"/>
      <c r="FZ82" s="246"/>
      <c r="GA82" s="246"/>
      <c r="GB82" s="246"/>
      <c r="GC82" s="246"/>
      <c r="GD82" s="246"/>
      <c r="GE82" s="246"/>
      <c r="GF82" s="246"/>
      <c r="GG82" s="246"/>
      <c r="GH82" s="246"/>
      <c r="GI82" s="246"/>
      <c r="GJ82" s="246"/>
      <c r="GK82" s="246"/>
      <c r="GL82" s="246"/>
      <c r="GM82" s="246"/>
      <c r="GN82" s="246"/>
      <c r="GO82" s="247"/>
      <c r="GP82" s="167"/>
      <c r="GQ82" s="2"/>
      <c r="GR82" s="2"/>
      <c r="GS82" s="2"/>
      <c r="GT82" s="2"/>
      <c r="GU82" s="2"/>
      <c r="GX82" s="249"/>
      <c r="GY82" s="249"/>
      <c r="HF82" s="148"/>
      <c r="HG82" s="148"/>
      <c r="HH82" s="148"/>
      <c r="HI82" s="148"/>
      <c r="HJ82" s="148"/>
      <c r="HK82" s="148"/>
      <c r="HL82" s="148"/>
      <c r="HM82" s="148"/>
      <c r="HN82" s="148"/>
      <c r="HO82" s="148"/>
      <c r="HP82" s="148"/>
      <c r="HQ82" s="148"/>
      <c r="HR82" s="148"/>
      <c r="HS82" s="148"/>
      <c r="HT82" s="148"/>
      <c r="HU82" s="148"/>
      <c r="HV82" s="148"/>
      <c r="IK82" s="241"/>
      <c r="IV82" s="242"/>
      <c r="JG82" s="243"/>
      <c r="JQ82" s="244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97"/>
      <c r="M83" s="250"/>
      <c r="N83" s="788">
        <v>33</v>
      </c>
      <c r="O83" s="788"/>
      <c r="P83" s="788"/>
      <c r="Q83" s="868"/>
      <c r="R83" s="868"/>
      <c r="S83" s="868"/>
      <c r="T83" s="868"/>
      <c r="U83" s="868"/>
      <c r="V83" s="869"/>
      <c r="W83" s="869"/>
      <c r="X83" s="869"/>
      <c r="Y83" s="869"/>
      <c r="Z83" s="869"/>
      <c r="AA83" s="869"/>
      <c r="AB83" s="869"/>
      <c r="AC83" s="869"/>
      <c r="AD83" s="869"/>
      <c r="AE83" s="869"/>
      <c r="AF83" s="869"/>
      <c r="AG83" s="869"/>
      <c r="AH83" s="869"/>
      <c r="AI83" s="869"/>
      <c r="AJ83" s="869"/>
      <c r="AK83" s="869"/>
      <c r="AL83" s="869"/>
      <c r="AM83" s="869"/>
      <c r="AN83" s="869"/>
      <c r="AO83" s="869"/>
      <c r="AP83" s="869"/>
      <c r="AQ83" s="869"/>
      <c r="AR83" s="869"/>
      <c r="AS83" s="869"/>
      <c r="AT83" s="869"/>
      <c r="AU83" s="869"/>
      <c r="AV83" s="869"/>
      <c r="AW83" s="869"/>
      <c r="AX83" s="869"/>
      <c r="AY83" s="869"/>
      <c r="AZ83" s="869"/>
      <c r="BA83" s="869"/>
      <c r="BB83" s="869"/>
      <c r="BC83" s="869"/>
      <c r="BD83" s="869"/>
      <c r="BE83" s="869"/>
      <c r="BF83" s="869"/>
      <c r="BG83" s="869"/>
      <c r="BH83" s="869"/>
      <c r="BI83" s="869"/>
      <c r="BJ83" s="870"/>
      <c r="BK83" s="870"/>
      <c r="BL83" s="870"/>
      <c r="BM83" s="870"/>
      <c r="BN83" s="870"/>
      <c r="BO83" s="870"/>
      <c r="BP83" s="870"/>
      <c r="BQ83" s="870"/>
      <c r="BR83" s="870"/>
      <c r="BS83" s="870"/>
      <c r="BT83" s="871">
        <f>KI_N*BEZ_Hilf_33_Anz</f>
        <v>0</v>
      </c>
      <c r="BU83" s="872"/>
      <c r="BV83" s="872"/>
      <c r="BW83" s="872"/>
      <c r="BX83" s="872"/>
      <c r="BY83" s="872"/>
      <c r="BZ83" s="872"/>
      <c r="CA83" s="872"/>
      <c r="CB83" s="872"/>
      <c r="CC83" s="873"/>
      <c r="CD83" s="874"/>
      <c r="CE83" s="874"/>
      <c r="CF83" s="874"/>
      <c r="CG83" s="874"/>
      <c r="CH83" s="874"/>
      <c r="CI83" s="874"/>
      <c r="CJ83" s="874"/>
      <c r="CK83" s="874"/>
      <c r="CL83" s="874"/>
      <c r="CM83" s="874"/>
      <c r="CN83" s="806"/>
      <c r="CO83" s="806"/>
      <c r="CP83" s="806"/>
      <c r="CQ83" s="806"/>
      <c r="CR83" s="806"/>
      <c r="CS83" s="806"/>
      <c r="CT83" s="806"/>
      <c r="CU83" s="806"/>
      <c r="CV83" s="806"/>
      <c r="CW83" s="806"/>
      <c r="CX83" s="806"/>
      <c r="CY83" s="806"/>
      <c r="CZ83" s="365"/>
      <c r="DA83" s="366"/>
      <c r="DB83" s="367"/>
      <c r="DC83" s="875"/>
      <c r="DD83" s="875"/>
      <c r="DE83" s="875"/>
      <c r="DF83" s="875"/>
      <c r="DG83" s="875"/>
      <c r="DH83" s="875"/>
      <c r="DI83" s="875"/>
      <c r="DJ83" s="875"/>
      <c r="DK83" s="875"/>
      <c r="DL83" s="875"/>
      <c r="DM83" s="866"/>
      <c r="DN83" s="866"/>
      <c r="DO83" s="866"/>
      <c r="DP83" s="866"/>
      <c r="DQ83" s="866"/>
      <c r="DR83" s="866"/>
      <c r="DS83" s="866"/>
      <c r="DT83" s="866"/>
      <c r="DU83" s="866"/>
      <c r="DV83" s="866"/>
      <c r="DW83" s="824">
        <f>BEZ_Hilf_33_EHPreis*(BEZ_Hilf_33_GKZ/100+1)</f>
        <v>0</v>
      </c>
      <c r="DX83" s="824"/>
      <c r="DY83" s="824"/>
      <c r="DZ83" s="824"/>
      <c r="EA83" s="824"/>
      <c r="EB83" s="824"/>
      <c r="EC83" s="824"/>
      <c r="ED83" s="824"/>
      <c r="EE83" s="824"/>
      <c r="EF83" s="824"/>
      <c r="EG83" s="826">
        <f>BEZ_Hilf_33_Anz*BEZ_Hilf_33_EHPreis*((BEZ_Hilf_33_GKZ/100)+1)</f>
        <v>0</v>
      </c>
      <c r="EH83" s="826"/>
      <c r="EI83" s="826"/>
      <c r="EJ83" s="826"/>
      <c r="EK83" s="826"/>
      <c r="EL83" s="826"/>
      <c r="EM83" s="826"/>
      <c r="EN83" s="826"/>
      <c r="EO83" s="826"/>
      <c r="EP83" s="826"/>
      <c r="EQ83" s="826"/>
      <c r="ER83" s="826"/>
      <c r="ES83" s="826"/>
      <c r="ET83" s="826"/>
      <c r="EU83" s="826">
        <f>BEZ_Hilf_33_PreisJeKiste*KI_N</f>
        <v>0</v>
      </c>
      <c r="EV83" s="826"/>
      <c r="EW83" s="826"/>
      <c r="EX83" s="826"/>
      <c r="EY83" s="826"/>
      <c r="EZ83" s="826"/>
      <c r="FA83" s="826"/>
      <c r="FB83" s="826"/>
      <c r="FC83" s="826"/>
      <c r="FD83" s="826"/>
      <c r="FE83" s="867"/>
      <c r="FF83" s="867"/>
      <c r="FG83" s="867"/>
      <c r="FH83" s="867"/>
      <c r="FI83" s="867"/>
      <c r="FJ83" s="867"/>
      <c r="FK83" s="867"/>
      <c r="FL83" s="867"/>
      <c r="FM83" s="867"/>
      <c r="FN83" s="833">
        <f>BEZ_Hilf_33_gJeEH*BEZ_Hilf_33_Anz</f>
        <v>0</v>
      </c>
      <c r="FO83" s="833"/>
      <c r="FP83" s="833"/>
      <c r="FQ83" s="833"/>
      <c r="FR83" s="833"/>
      <c r="FS83" s="833"/>
      <c r="FT83" s="833"/>
      <c r="FU83" s="833"/>
      <c r="FV83" s="833"/>
      <c r="FW83" s="245"/>
      <c r="FX83" s="246"/>
      <c r="FY83" s="246"/>
      <c r="FZ83" s="246"/>
      <c r="GA83" s="246"/>
      <c r="GB83" s="246"/>
      <c r="GC83" s="246"/>
      <c r="GD83" s="246"/>
      <c r="GE83" s="246"/>
      <c r="GF83" s="246"/>
      <c r="GG83" s="246"/>
      <c r="GH83" s="246"/>
      <c r="GI83" s="246"/>
      <c r="GJ83" s="246"/>
      <c r="GK83" s="246"/>
      <c r="GL83" s="246"/>
      <c r="GM83" s="246"/>
      <c r="GN83" s="246"/>
      <c r="GO83" s="247"/>
      <c r="GP83" s="167"/>
      <c r="GQ83" s="351"/>
      <c r="GR83" s="2"/>
      <c r="GS83" s="2"/>
      <c r="GT83" s="2"/>
      <c r="GU83" s="2"/>
      <c r="GX83" s="249"/>
      <c r="GY83" s="249"/>
      <c r="HF83" s="148"/>
      <c r="HG83" s="148"/>
      <c r="HH83" s="148"/>
      <c r="HI83" s="148"/>
      <c r="HJ83" s="148"/>
      <c r="HK83" s="148"/>
      <c r="HL83" s="148"/>
      <c r="HM83" s="148"/>
      <c r="HN83" s="148"/>
      <c r="HO83" s="148"/>
      <c r="HP83" s="148"/>
      <c r="HQ83" s="148"/>
      <c r="HR83" s="148"/>
      <c r="HS83" s="148"/>
      <c r="HT83" s="148"/>
      <c r="HU83" s="148"/>
      <c r="HV83" s="148"/>
      <c r="IK83" s="241"/>
      <c r="IV83" s="242"/>
      <c r="JG83" s="243"/>
      <c r="JQ83" s="244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97"/>
      <c r="M84" s="250"/>
      <c r="N84" s="788"/>
      <c r="O84" s="788"/>
      <c r="P84" s="788"/>
      <c r="Q84" s="868"/>
      <c r="R84" s="868"/>
      <c r="S84" s="868"/>
      <c r="T84" s="868"/>
      <c r="U84" s="868"/>
      <c r="V84" s="869"/>
      <c r="W84" s="869"/>
      <c r="X84" s="869"/>
      <c r="Y84" s="869"/>
      <c r="Z84" s="869"/>
      <c r="AA84" s="869"/>
      <c r="AB84" s="869"/>
      <c r="AC84" s="869"/>
      <c r="AD84" s="869"/>
      <c r="AE84" s="869"/>
      <c r="AF84" s="869"/>
      <c r="AG84" s="869"/>
      <c r="AH84" s="869"/>
      <c r="AI84" s="869"/>
      <c r="AJ84" s="869"/>
      <c r="AK84" s="869"/>
      <c r="AL84" s="869"/>
      <c r="AM84" s="869"/>
      <c r="AN84" s="869"/>
      <c r="AO84" s="869"/>
      <c r="AP84" s="869"/>
      <c r="AQ84" s="869"/>
      <c r="AR84" s="869"/>
      <c r="AS84" s="869"/>
      <c r="AT84" s="869"/>
      <c r="AU84" s="869"/>
      <c r="AV84" s="869"/>
      <c r="AW84" s="869"/>
      <c r="AX84" s="869"/>
      <c r="AY84" s="869"/>
      <c r="AZ84" s="869"/>
      <c r="BA84" s="869"/>
      <c r="BB84" s="869"/>
      <c r="BC84" s="869"/>
      <c r="BD84" s="869"/>
      <c r="BE84" s="869"/>
      <c r="BF84" s="869"/>
      <c r="BG84" s="869"/>
      <c r="BH84" s="869"/>
      <c r="BI84" s="869"/>
      <c r="BJ84" s="870"/>
      <c r="BK84" s="870"/>
      <c r="BL84" s="870"/>
      <c r="BM84" s="870"/>
      <c r="BN84" s="870"/>
      <c r="BO84" s="870"/>
      <c r="BP84" s="870"/>
      <c r="BQ84" s="870"/>
      <c r="BR84" s="870"/>
      <c r="BS84" s="870"/>
      <c r="BT84" s="871"/>
      <c r="BU84" s="872"/>
      <c r="BV84" s="872"/>
      <c r="BW84" s="872"/>
      <c r="BX84" s="872"/>
      <c r="BY84" s="872"/>
      <c r="BZ84" s="872"/>
      <c r="CA84" s="872"/>
      <c r="CB84" s="872"/>
      <c r="CC84" s="873"/>
      <c r="CD84" s="874"/>
      <c r="CE84" s="874"/>
      <c r="CF84" s="874"/>
      <c r="CG84" s="874"/>
      <c r="CH84" s="874"/>
      <c r="CI84" s="874"/>
      <c r="CJ84" s="874"/>
      <c r="CK84" s="874"/>
      <c r="CL84" s="874"/>
      <c r="CM84" s="874"/>
      <c r="CN84" s="806"/>
      <c r="CO84" s="806"/>
      <c r="CP84" s="806"/>
      <c r="CQ84" s="806"/>
      <c r="CR84" s="806"/>
      <c r="CS84" s="806"/>
      <c r="CT84" s="806"/>
      <c r="CU84" s="806"/>
      <c r="CV84" s="806"/>
      <c r="CW84" s="806"/>
      <c r="CX84" s="806"/>
      <c r="CY84" s="806"/>
      <c r="CZ84" s="365"/>
      <c r="DA84" s="366"/>
      <c r="DB84" s="367"/>
      <c r="DC84" s="875"/>
      <c r="DD84" s="875"/>
      <c r="DE84" s="875"/>
      <c r="DF84" s="875"/>
      <c r="DG84" s="875"/>
      <c r="DH84" s="875"/>
      <c r="DI84" s="875"/>
      <c r="DJ84" s="875"/>
      <c r="DK84" s="875"/>
      <c r="DL84" s="875"/>
      <c r="DM84" s="866"/>
      <c r="DN84" s="866"/>
      <c r="DO84" s="866"/>
      <c r="DP84" s="866"/>
      <c r="DQ84" s="866"/>
      <c r="DR84" s="866"/>
      <c r="DS84" s="866"/>
      <c r="DT84" s="866"/>
      <c r="DU84" s="866"/>
      <c r="DV84" s="866"/>
      <c r="DW84" s="824"/>
      <c r="DX84" s="824"/>
      <c r="DY84" s="824"/>
      <c r="DZ84" s="824"/>
      <c r="EA84" s="824"/>
      <c r="EB84" s="824"/>
      <c r="EC84" s="824"/>
      <c r="ED84" s="824"/>
      <c r="EE84" s="824"/>
      <c r="EF84" s="824"/>
      <c r="EG84" s="826"/>
      <c r="EH84" s="826"/>
      <c r="EI84" s="826"/>
      <c r="EJ84" s="826"/>
      <c r="EK84" s="826"/>
      <c r="EL84" s="826"/>
      <c r="EM84" s="826"/>
      <c r="EN84" s="826"/>
      <c r="EO84" s="826"/>
      <c r="EP84" s="826"/>
      <c r="EQ84" s="826"/>
      <c r="ER84" s="826"/>
      <c r="ES84" s="826"/>
      <c r="ET84" s="826"/>
      <c r="EU84" s="826"/>
      <c r="EV84" s="826"/>
      <c r="EW84" s="826"/>
      <c r="EX84" s="826"/>
      <c r="EY84" s="826"/>
      <c r="EZ84" s="826"/>
      <c r="FA84" s="826"/>
      <c r="FB84" s="826"/>
      <c r="FC84" s="826"/>
      <c r="FD84" s="826"/>
      <c r="FE84" s="867"/>
      <c r="FF84" s="867"/>
      <c r="FG84" s="867"/>
      <c r="FH84" s="867"/>
      <c r="FI84" s="867"/>
      <c r="FJ84" s="867"/>
      <c r="FK84" s="867"/>
      <c r="FL84" s="867"/>
      <c r="FM84" s="867"/>
      <c r="FN84" s="833"/>
      <c r="FO84" s="833"/>
      <c r="FP84" s="833"/>
      <c r="FQ84" s="833"/>
      <c r="FR84" s="833"/>
      <c r="FS84" s="833"/>
      <c r="FT84" s="833"/>
      <c r="FU84" s="833"/>
      <c r="FV84" s="833"/>
      <c r="FW84" s="245"/>
      <c r="FX84" s="246"/>
      <c r="FY84" s="246"/>
      <c r="FZ84" s="246"/>
      <c r="GA84" s="246"/>
      <c r="GB84" s="246"/>
      <c r="GC84" s="246"/>
      <c r="GD84" s="246"/>
      <c r="GE84" s="246"/>
      <c r="GF84" s="246"/>
      <c r="GG84" s="246"/>
      <c r="GH84" s="246"/>
      <c r="GI84" s="246"/>
      <c r="GJ84" s="246"/>
      <c r="GK84" s="246"/>
      <c r="GL84" s="246"/>
      <c r="GM84" s="246"/>
      <c r="GN84" s="246"/>
      <c r="GO84" s="247"/>
      <c r="GP84" s="167"/>
      <c r="GQ84" s="2"/>
      <c r="GR84" s="2"/>
      <c r="GS84" s="2"/>
      <c r="GT84" s="2"/>
      <c r="GU84" s="2"/>
      <c r="GX84" s="249"/>
      <c r="GY84" s="249"/>
      <c r="HF84" s="148"/>
      <c r="HG84" s="148"/>
      <c r="HH84" s="148"/>
      <c r="HI84" s="148"/>
      <c r="HJ84" s="148"/>
      <c r="HK84" s="148"/>
      <c r="HL84" s="148"/>
      <c r="HM84" s="148"/>
      <c r="HN84" s="148"/>
      <c r="HO84" s="148"/>
      <c r="HP84" s="148"/>
      <c r="HQ84" s="148"/>
      <c r="HR84" s="148"/>
      <c r="HS84" s="148"/>
      <c r="HT84" s="148"/>
      <c r="HU84" s="148"/>
      <c r="HV84" s="148"/>
      <c r="IK84" s="241"/>
      <c r="IV84" s="242"/>
      <c r="JG84" s="243"/>
      <c r="JQ84" s="244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97"/>
      <c r="M85" s="250"/>
      <c r="N85" s="788">
        <v>34</v>
      </c>
      <c r="O85" s="788"/>
      <c r="P85" s="788"/>
      <c r="Q85" s="868"/>
      <c r="R85" s="868"/>
      <c r="S85" s="868"/>
      <c r="T85" s="868"/>
      <c r="U85" s="868"/>
      <c r="V85" s="869"/>
      <c r="W85" s="869"/>
      <c r="X85" s="869"/>
      <c r="Y85" s="869"/>
      <c r="Z85" s="869"/>
      <c r="AA85" s="869"/>
      <c r="AB85" s="869"/>
      <c r="AC85" s="869"/>
      <c r="AD85" s="869"/>
      <c r="AE85" s="869"/>
      <c r="AF85" s="869"/>
      <c r="AG85" s="869"/>
      <c r="AH85" s="869"/>
      <c r="AI85" s="869"/>
      <c r="AJ85" s="869"/>
      <c r="AK85" s="869"/>
      <c r="AL85" s="869"/>
      <c r="AM85" s="869"/>
      <c r="AN85" s="869"/>
      <c r="AO85" s="869"/>
      <c r="AP85" s="869"/>
      <c r="AQ85" s="869"/>
      <c r="AR85" s="869"/>
      <c r="AS85" s="869"/>
      <c r="AT85" s="869"/>
      <c r="AU85" s="869"/>
      <c r="AV85" s="869"/>
      <c r="AW85" s="869"/>
      <c r="AX85" s="869"/>
      <c r="AY85" s="869"/>
      <c r="AZ85" s="869"/>
      <c r="BA85" s="869"/>
      <c r="BB85" s="869"/>
      <c r="BC85" s="869"/>
      <c r="BD85" s="869"/>
      <c r="BE85" s="869"/>
      <c r="BF85" s="869"/>
      <c r="BG85" s="869"/>
      <c r="BH85" s="869"/>
      <c r="BI85" s="869"/>
      <c r="BJ85" s="870"/>
      <c r="BK85" s="870"/>
      <c r="BL85" s="870"/>
      <c r="BM85" s="870"/>
      <c r="BN85" s="870"/>
      <c r="BO85" s="870"/>
      <c r="BP85" s="870"/>
      <c r="BQ85" s="870"/>
      <c r="BR85" s="870"/>
      <c r="BS85" s="870"/>
      <c r="BT85" s="871">
        <f>KI_N*BEZ_Hilf_34_Anz</f>
        <v>0</v>
      </c>
      <c r="BU85" s="872"/>
      <c r="BV85" s="872"/>
      <c r="BW85" s="872"/>
      <c r="BX85" s="872"/>
      <c r="BY85" s="872"/>
      <c r="BZ85" s="872"/>
      <c r="CA85" s="872"/>
      <c r="CB85" s="872"/>
      <c r="CC85" s="873"/>
      <c r="CD85" s="874"/>
      <c r="CE85" s="874"/>
      <c r="CF85" s="874"/>
      <c r="CG85" s="874"/>
      <c r="CH85" s="874"/>
      <c r="CI85" s="874"/>
      <c r="CJ85" s="874"/>
      <c r="CK85" s="874"/>
      <c r="CL85" s="874"/>
      <c r="CM85" s="874"/>
      <c r="CN85" s="806"/>
      <c r="CO85" s="806"/>
      <c r="CP85" s="806"/>
      <c r="CQ85" s="806"/>
      <c r="CR85" s="806"/>
      <c r="CS85" s="806"/>
      <c r="CT85" s="806"/>
      <c r="CU85" s="806"/>
      <c r="CV85" s="806"/>
      <c r="CW85" s="806"/>
      <c r="CX85" s="806"/>
      <c r="CY85" s="806"/>
      <c r="CZ85" s="365"/>
      <c r="DA85" s="366"/>
      <c r="DB85" s="367"/>
      <c r="DC85" s="875"/>
      <c r="DD85" s="875"/>
      <c r="DE85" s="875"/>
      <c r="DF85" s="875"/>
      <c r="DG85" s="875"/>
      <c r="DH85" s="875"/>
      <c r="DI85" s="875"/>
      <c r="DJ85" s="875"/>
      <c r="DK85" s="875"/>
      <c r="DL85" s="875"/>
      <c r="DM85" s="866"/>
      <c r="DN85" s="866"/>
      <c r="DO85" s="866"/>
      <c r="DP85" s="866"/>
      <c r="DQ85" s="866"/>
      <c r="DR85" s="866"/>
      <c r="DS85" s="866"/>
      <c r="DT85" s="866"/>
      <c r="DU85" s="866"/>
      <c r="DV85" s="866"/>
      <c r="DW85" s="824">
        <f>BEZ_Hilf_34_EHPreis*(BEZ_Hilf_34_GKZ/100+1)</f>
        <v>0</v>
      </c>
      <c r="DX85" s="824"/>
      <c r="DY85" s="824"/>
      <c r="DZ85" s="824"/>
      <c r="EA85" s="824"/>
      <c r="EB85" s="824"/>
      <c r="EC85" s="824"/>
      <c r="ED85" s="824"/>
      <c r="EE85" s="824"/>
      <c r="EF85" s="824"/>
      <c r="EG85" s="826">
        <f>BEZ_Hilf_34_Anz*BEZ_Hilf_34_EHPreis*((BEZ_Hilf_34_GKZ/100)+1)</f>
        <v>0</v>
      </c>
      <c r="EH85" s="826"/>
      <c r="EI85" s="826"/>
      <c r="EJ85" s="826"/>
      <c r="EK85" s="826"/>
      <c r="EL85" s="826"/>
      <c r="EM85" s="826"/>
      <c r="EN85" s="826"/>
      <c r="EO85" s="826"/>
      <c r="EP85" s="826"/>
      <c r="EQ85" s="826"/>
      <c r="ER85" s="826"/>
      <c r="ES85" s="826"/>
      <c r="ET85" s="826"/>
      <c r="EU85" s="826">
        <f>BEZ_Hilf_34_PreisJeKiste*KI_N</f>
        <v>0</v>
      </c>
      <c r="EV85" s="826"/>
      <c r="EW85" s="826"/>
      <c r="EX85" s="826"/>
      <c r="EY85" s="826"/>
      <c r="EZ85" s="826"/>
      <c r="FA85" s="826"/>
      <c r="FB85" s="826"/>
      <c r="FC85" s="826"/>
      <c r="FD85" s="826"/>
      <c r="FE85" s="867"/>
      <c r="FF85" s="867"/>
      <c r="FG85" s="867"/>
      <c r="FH85" s="867"/>
      <c r="FI85" s="867"/>
      <c r="FJ85" s="867"/>
      <c r="FK85" s="867"/>
      <c r="FL85" s="867"/>
      <c r="FM85" s="867"/>
      <c r="FN85" s="833">
        <f>BEZ_Hilf_34_gJeEH*BEZ_Hilf_34_Anz</f>
        <v>0</v>
      </c>
      <c r="FO85" s="833"/>
      <c r="FP85" s="833"/>
      <c r="FQ85" s="833"/>
      <c r="FR85" s="833"/>
      <c r="FS85" s="833"/>
      <c r="FT85" s="833"/>
      <c r="FU85" s="833"/>
      <c r="FV85" s="833"/>
      <c r="FW85" s="245"/>
      <c r="FX85" s="246"/>
      <c r="FY85" s="246"/>
      <c r="FZ85" s="246"/>
      <c r="GA85" s="246"/>
      <c r="GB85" s="246"/>
      <c r="GC85" s="246"/>
      <c r="GD85" s="246"/>
      <c r="GE85" s="246"/>
      <c r="GF85" s="246"/>
      <c r="GG85" s="246"/>
      <c r="GH85" s="246"/>
      <c r="GI85" s="246"/>
      <c r="GJ85" s="246"/>
      <c r="GK85" s="246"/>
      <c r="GL85" s="246"/>
      <c r="GM85" s="246"/>
      <c r="GN85" s="246"/>
      <c r="GO85" s="247"/>
      <c r="GP85" s="167"/>
      <c r="GQ85" s="351"/>
      <c r="GR85" s="2"/>
      <c r="GS85" s="2"/>
      <c r="GT85" s="2"/>
      <c r="GU85" s="2"/>
      <c r="GX85" s="249"/>
      <c r="GY85" s="249"/>
      <c r="HF85" s="148"/>
      <c r="HG85" s="148"/>
      <c r="HH85" s="148"/>
      <c r="HI85" s="148"/>
      <c r="HJ85" s="148"/>
      <c r="HK85" s="148"/>
      <c r="HL85" s="148"/>
      <c r="HM85" s="148"/>
      <c r="HN85" s="148"/>
      <c r="HO85" s="148"/>
      <c r="HP85" s="148"/>
      <c r="HQ85" s="148"/>
      <c r="HR85" s="148"/>
      <c r="HS85" s="148"/>
      <c r="HT85" s="148"/>
      <c r="HU85" s="148"/>
      <c r="HV85" s="148"/>
      <c r="IK85" s="241"/>
      <c r="IV85" s="242"/>
      <c r="JG85" s="243"/>
      <c r="JQ85" s="244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97"/>
      <c r="M86" s="250"/>
      <c r="N86" s="788"/>
      <c r="O86" s="788"/>
      <c r="P86" s="788"/>
      <c r="Q86" s="868"/>
      <c r="R86" s="868"/>
      <c r="S86" s="868"/>
      <c r="T86" s="868"/>
      <c r="U86" s="868"/>
      <c r="V86" s="869"/>
      <c r="W86" s="869"/>
      <c r="X86" s="869"/>
      <c r="Y86" s="869"/>
      <c r="Z86" s="869"/>
      <c r="AA86" s="869"/>
      <c r="AB86" s="869"/>
      <c r="AC86" s="869"/>
      <c r="AD86" s="869"/>
      <c r="AE86" s="869"/>
      <c r="AF86" s="869"/>
      <c r="AG86" s="869"/>
      <c r="AH86" s="869"/>
      <c r="AI86" s="869"/>
      <c r="AJ86" s="869"/>
      <c r="AK86" s="869"/>
      <c r="AL86" s="869"/>
      <c r="AM86" s="869"/>
      <c r="AN86" s="869"/>
      <c r="AO86" s="869"/>
      <c r="AP86" s="869"/>
      <c r="AQ86" s="869"/>
      <c r="AR86" s="869"/>
      <c r="AS86" s="869"/>
      <c r="AT86" s="869"/>
      <c r="AU86" s="869"/>
      <c r="AV86" s="869"/>
      <c r="AW86" s="869"/>
      <c r="AX86" s="869"/>
      <c r="AY86" s="869"/>
      <c r="AZ86" s="869"/>
      <c r="BA86" s="869"/>
      <c r="BB86" s="869"/>
      <c r="BC86" s="869"/>
      <c r="BD86" s="869"/>
      <c r="BE86" s="869"/>
      <c r="BF86" s="869"/>
      <c r="BG86" s="869"/>
      <c r="BH86" s="869"/>
      <c r="BI86" s="869"/>
      <c r="BJ86" s="870"/>
      <c r="BK86" s="870"/>
      <c r="BL86" s="870"/>
      <c r="BM86" s="870"/>
      <c r="BN86" s="870"/>
      <c r="BO86" s="870"/>
      <c r="BP86" s="870"/>
      <c r="BQ86" s="870"/>
      <c r="BR86" s="870"/>
      <c r="BS86" s="870"/>
      <c r="BT86" s="871"/>
      <c r="BU86" s="872"/>
      <c r="BV86" s="872"/>
      <c r="BW86" s="872"/>
      <c r="BX86" s="872"/>
      <c r="BY86" s="872"/>
      <c r="BZ86" s="872"/>
      <c r="CA86" s="872"/>
      <c r="CB86" s="872"/>
      <c r="CC86" s="873"/>
      <c r="CD86" s="874"/>
      <c r="CE86" s="874"/>
      <c r="CF86" s="874"/>
      <c r="CG86" s="874"/>
      <c r="CH86" s="874"/>
      <c r="CI86" s="874"/>
      <c r="CJ86" s="874"/>
      <c r="CK86" s="874"/>
      <c r="CL86" s="874"/>
      <c r="CM86" s="874"/>
      <c r="CN86" s="806"/>
      <c r="CO86" s="806"/>
      <c r="CP86" s="806"/>
      <c r="CQ86" s="806"/>
      <c r="CR86" s="806"/>
      <c r="CS86" s="806"/>
      <c r="CT86" s="806"/>
      <c r="CU86" s="806"/>
      <c r="CV86" s="806"/>
      <c r="CW86" s="806"/>
      <c r="CX86" s="806"/>
      <c r="CY86" s="806"/>
      <c r="CZ86" s="365"/>
      <c r="DA86" s="366"/>
      <c r="DB86" s="367"/>
      <c r="DC86" s="875"/>
      <c r="DD86" s="875"/>
      <c r="DE86" s="875"/>
      <c r="DF86" s="875"/>
      <c r="DG86" s="875"/>
      <c r="DH86" s="875"/>
      <c r="DI86" s="875"/>
      <c r="DJ86" s="875"/>
      <c r="DK86" s="875"/>
      <c r="DL86" s="875"/>
      <c r="DM86" s="866"/>
      <c r="DN86" s="866"/>
      <c r="DO86" s="866"/>
      <c r="DP86" s="866"/>
      <c r="DQ86" s="866"/>
      <c r="DR86" s="866"/>
      <c r="DS86" s="866"/>
      <c r="DT86" s="866"/>
      <c r="DU86" s="866"/>
      <c r="DV86" s="866"/>
      <c r="DW86" s="824"/>
      <c r="DX86" s="824"/>
      <c r="DY86" s="824"/>
      <c r="DZ86" s="824"/>
      <c r="EA86" s="824"/>
      <c r="EB86" s="824"/>
      <c r="EC86" s="824"/>
      <c r="ED86" s="824"/>
      <c r="EE86" s="824"/>
      <c r="EF86" s="824"/>
      <c r="EG86" s="826"/>
      <c r="EH86" s="826"/>
      <c r="EI86" s="826"/>
      <c r="EJ86" s="826"/>
      <c r="EK86" s="826"/>
      <c r="EL86" s="826"/>
      <c r="EM86" s="826"/>
      <c r="EN86" s="826"/>
      <c r="EO86" s="826"/>
      <c r="EP86" s="826"/>
      <c r="EQ86" s="826"/>
      <c r="ER86" s="826"/>
      <c r="ES86" s="826"/>
      <c r="ET86" s="826"/>
      <c r="EU86" s="826"/>
      <c r="EV86" s="826"/>
      <c r="EW86" s="826"/>
      <c r="EX86" s="826"/>
      <c r="EY86" s="826"/>
      <c r="EZ86" s="826"/>
      <c r="FA86" s="826"/>
      <c r="FB86" s="826"/>
      <c r="FC86" s="826"/>
      <c r="FD86" s="826"/>
      <c r="FE86" s="867"/>
      <c r="FF86" s="867"/>
      <c r="FG86" s="867"/>
      <c r="FH86" s="867"/>
      <c r="FI86" s="867"/>
      <c r="FJ86" s="867"/>
      <c r="FK86" s="867"/>
      <c r="FL86" s="867"/>
      <c r="FM86" s="867"/>
      <c r="FN86" s="833"/>
      <c r="FO86" s="833"/>
      <c r="FP86" s="833"/>
      <c r="FQ86" s="833"/>
      <c r="FR86" s="833"/>
      <c r="FS86" s="833"/>
      <c r="FT86" s="833"/>
      <c r="FU86" s="833"/>
      <c r="FV86" s="833"/>
      <c r="FW86" s="245"/>
      <c r="FX86" s="246"/>
      <c r="FY86" s="246"/>
      <c r="FZ86" s="246"/>
      <c r="GA86" s="246"/>
      <c r="GB86" s="246"/>
      <c r="GC86" s="246"/>
      <c r="GD86" s="246"/>
      <c r="GE86" s="246"/>
      <c r="GF86" s="246"/>
      <c r="GG86" s="246"/>
      <c r="GH86" s="246"/>
      <c r="GI86" s="246"/>
      <c r="GJ86" s="246"/>
      <c r="GK86" s="246"/>
      <c r="GL86" s="246"/>
      <c r="GM86" s="246"/>
      <c r="GN86" s="246"/>
      <c r="GO86" s="247"/>
      <c r="GP86" s="167"/>
      <c r="GQ86" s="2"/>
      <c r="GR86" s="2"/>
      <c r="GS86" s="2"/>
      <c r="GT86" s="2"/>
      <c r="GU86" s="2"/>
      <c r="GX86" s="249"/>
      <c r="GY86" s="249"/>
      <c r="HF86" s="148"/>
      <c r="HG86" s="148"/>
      <c r="HH86" s="148"/>
      <c r="HI86" s="148"/>
      <c r="HJ86" s="148"/>
      <c r="HK86" s="148"/>
      <c r="HL86" s="148"/>
      <c r="HM86" s="148"/>
      <c r="HN86" s="148"/>
      <c r="HO86" s="148"/>
      <c r="HP86" s="148"/>
      <c r="HQ86" s="148"/>
      <c r="HR86" s="148"/>
      <c r="HS86" s="148"/>
      <c r="HT86" s="148"/>
      <c r="HU86" s="148"/>
      <c r="HV86" s="148"/>
      <c r="IK86" s="241"/>
      <c r="IV86" s="242"/>
      <c r="JG86" s="243"/>
      <c r="JQ86" s="244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97"/>
      <c r="M87" s="250"/>
      <c r="N87" s="788">
        <v>35</v>
      </c>
      <c r="O87" s="788"/>
      <c r="P87" s="788"/>
      <c r="Q87" s="868"/>
      <c r="R87" s="868"/>
      <c r="S87" s="868"/>
      <c r="T87" s="868"/>
      <c r="U87" s="868"/>
      <c r="V87" s="869"/>
      <c r="W87" s="869"/>
      <c r="X87" s="869"/>
      <c r="Y87" s="869"/>
      <c r="Z87" s="869"/>
      <c r="AA87" s="869"/>
      <c r="AB87" s="869"/>
      <c r="AC87" s="869"/>
      <c r="AD87" s="869"/>
      <c r="AE87" s="869"/>
      <c r="AF87" s="869"/>
      <c r="AG87" s="869"/>
      <c r="AH87" s="869"/>
      <c r="AI87" s="869"/>
      <c r="AJ87" s="869"/>
      <c r="AK87" s="869"/>
      <c r="AL87" s="869"/>
      <c r="AM87" s="869"/>
      <c r="AN87" s="869"/>
      <c r="AO87" s="869"/>
      <c r="AP87" s="869"/>
      <c r="AQ87" s="869"/>
      <c r="AR87" s="869"/>
      <c r="AS87" s="869"/>
      <c r="AT87" s="869"/>
      <c r="AU87" s="869"/>
      <c r="AV87" s="869"/>
      <c r="AW87" s="869"/>
      <c r="AX87" s="869"/>
      <c r="AY87" s="869"/>
      <c r="AZ87" s="869"/>
      <c r="BA87" s="869"/>
      <c r="BB87" s="869"/>
      <c r="BC87" s="869"/>
      <c r="BD87" s="869"/>
      <c r="BE87" s="869"/>
      <c r="BF87" s="869"/>
      <c r="BG87" s="869"/>
      <c r="BH87" s="869"/>
      <c r="BI87" s="869"/>
      <c r="BJ87" s="870"/>
      <c r="BK87" s="870"/>
      <c r="BL87" s="870"/>
      <c r="BM87" s="870"/>
      <c r="BN87" s="870"/>
      <c r="BO87" s="870"/>
      <c r="BP87" s="870"/>
      <c r="BQ87" s="870"/>
      <c r="BR87" s="870"/>
      <c r="BS87" s="870"/>
      <c r="BT87" s="871">
        <f>KI_N*BEZ_Hilf_35_Anz</f>
        <v>0</v>
      </c>
      <c r="BU87" s="872"/>
      <c r="BV87" s="872"/>
      <c r="BW87" s="872"/>
      <c r="BX87" s="872"/>
      <c r="BY87" s="872"/>
      <c r="BZ87" s="872"/>
      <c r="CA87" s="872"/>
      <c r="CB87" s="872"/>
      <c r="CC87" s="873"/>
      <c r="CD87" s="874"/>
      <c r="CE87" s="874"/>
      <c r="CF87" s="874"/>
      <c r="CG87" s="874"/>
      <c r="CH87" s="874"/>
      <c r="CI87" s="874"/>
      <c r="CJ87" s="874"/>
      <c r="CK87" s="874"/>
      <c r="CL87" s="874"/>
      <c r="CM87" s="874"/>
      <c r="CN87" s="806"/>
      <c r="CO87" s="806"/>
      <c r="CP87" s="806"/>
      <c r="CQ87" s="806"/>
      <c r="CR87" s="806"/>
      <c r="CS87" s="806"/>
      <c r="CT87" s="806"/>
      <c r="CU87" s="806"/>
      <c r="CV87" s="806"/>
      <c r="CW87" s="806"/>
      <c r="CX87" s="806"/>
      <c r="CY87" s="806"/>
      <c r="CZ87" s="365"/>
      <c r="DA87" s="366"/>
      <c r="DB87" s="367"/>
      <c r="DC87" s="875"/>
      <c r="DD87" s="875"/>
      <c r="DE87" s="875"/>
      <c r="DF87" s="875"/>
      <c r="DG87" s="875"/>
      <c r="DH87" s="875"/>
      <c r="DI87" s="875"/>
      <c r="DJ87" s="875"/>
      <c r="DK87" s="875"/>
      <c r="DL87" s="875"/>
      <c r="DM87" s="866"/>
      <c r="DN87" s="866"/>
      <c r="DO87" s="866"/>
      <c r="DP87" s="866"/>
      <c r="DQ87" s="866"/>
      <c r="DR87" s="866"/>
      <c r="DS87" s="866"/>
      <c r="DT87" s="866"/>
      <c r="DU87" s="866"/>
      <c r="DV87" s="866"/>
      <c r="DW87" s="824">
        <f>BEZ_Hilf_35_EHPreis*(BEZ_Hilf_35_GKZ/100+1)</f>
        <v>0</v>
      </c>
      <c r="DX87" s="824"/>
      <c r="DY87" s="824"/>
      <c r="DZ87" s="824"/>
      <c r="EA87" s="824"/>
      <c r="EB87" s="824"/>
      <c r="EC87" s="824"/>
      <c r="ED87" s="824"/>
      <c r="EE87" s="824"/>
      <c r="EF87" s="824"/>
      <c r="EG87" s="826">
        <f>BEZ_Hilf_35_Anz*BEZ_Hilf_35_EHPreis*((BEZ_Hilf_35_GKZ/100)+1)</f>
        <v>0</v>
      </c>
      <c r="EH87" s="826"/>
      <c r="EI87" s="826"/>
      <c r="EJ87" s="826"/>
      <c r="EK87" s="826"/>
      <c r="EL87" s="826"/>
      <c r="EM87" s="826"/>
      <c r="EN87" s="826"/>
      <c r="EO87" s="826"/>
      <c r="EP87" s="826"/>
      <c r="EQ87" s="826"/>
      <c r="ER87" s="826"/>
      <c r="ES87" s="826"/>
      <c r="ET87" s="826"/>
      <c r="EU87" s="826">
        <f>BEZ_Hilf_35_PreisJeKiste*KI_N</f>
        <v>0</v>
      </c>
      <c r="EV87" s="826"/>
      <c r="EW87" s="826"/>
      <c r="EX87" s="826"/>
      <c r="EY87" s="826"/>
      <c r="EZ87" s="826"/>
      <c r="FA87" s="826"/>
      <c r="FB87" s="826"/>
      <c r="FC87" s="826"/>
      <c r="FD87" s="826"/>
      <c r="FE87" s="867"/>
      <c r="FF87" s="867"/>
      <c r="FG87" s="867"/>
      <c r="FH87" s="867"/>
      <c r="FI87" s="867"/>
      <c r="FJ87" s="867"/>
      <c r="FK87" s="867"/>
      <c r="FL87" s="867"/>
      <c r="FM87" s="867"/>
      <c r="FN87" s="833">
        <f>BEZ_Hilf_35_gJeEH*BEZ_Hilf_35_Anz</f>
        <v>0</v>
      </c>
      <c r="FO87" s="833"/>
      <c r="FP87" s="833"/>
      <c r="FQ87" s="833"/>
      <c r="FR87" s="833"/>
      <c r="FS87" s="833"/>
      <c r="FT87" s="833"/>
      <c r="FU87" s="833"/>
      <c r="FV87" s="833"/>
      <c r="FW87" s="749" t="s">
        <v>98</v>
      </c>
      <c r="FX87" s="750"/>
      <c r="FY87" s="750"/>
      <c r="FZ87" s="750"/>
      <c r="GA87" s="750"/>
      <c r="GB87" s="750"/>
      <c r="GC87" s="750"/>
      <c r="GD87" s="750"/>
      <c r="GE87" s="750"/>
      <c r="GF87" s="750"/>
      <c r="GG87" s="750"/>
      <c r="GH87" s="750"/>
      <c r="GI87" s="750"/>
      <c r="GJ87" s="750"/>
      <c r="GK87" s="750"/>
      <c r="GL87" s="750"/>
      <c r="GM87" s="750"/>
      <c r="GN87" s="750"/>
      <c r="GO87" s="751"/>
      <c r="GP87" s="167"/>
      <c r="GQ87" s="351"/>
      <c r="GR87" s="2"/>
      <c r="GS87" s="2"/>
      <c r="GT87" s="2"/>
      <c r="GU87" s="2"/>
      <c r="GX87" s="249"/>
      <c r="GY87" s="249"/>
      <c r="HF87" s="148"/>
      <c r="HG87" s="148"/>
      <c r="HH87" s="148"/>
      <c r="HI87" s="148"/>
      <c r="HJ87" s="148"/>
      <c r="HK87" s="148"/>
      <c r="HL87" s="148"/>
      <c r="HM87" s="148"/>
      <c r="HN87" s="148"/>
      <c r="HO87" s="148"/>
      <c r="HP87" s="148"/>
      <c r="HQ87" s="148"/>
      <c r="HR87" s="148"/>
      <c r="HS87" s="148"/>
      <c r="HT87" s="148"/>
      <c r="HU87" s="148"/>
      <c r="HV87" s="148"/>
      <c r="IK87" s="241"/>
      <c r="IV87" s="242"/>
      <c r="JG87" s="243"/>
      <c r="JQ87" s="244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97"/>
      <c r="M88" s="250"/>
      <c r="N88" s="788"/>
      <c r="O88" s="788"/>
      <c r="P88" s="788"/>
      <c r="Q88" s="868"/>
      <c r="R88" s="868"/>
      <c r="S88" s="868"/>
      <c r="T88" s="868"/>
      <c r="U88" s="868"/>
      <c r="V88" s="869"/>
      <c r="W88" s="869"/>
      <c r="X88" s="869"/>
      <c r="Y88" s="869"/>
      <c r="Z88" s="869"/>
      <c r="AA88" s="869"/>
      <c r="AB88" s="869"/>
      <c r="AC88" s="869"/>
      <c r="AD88" s="869"/>
      <c r="AE88" s="869"/>
      <c r="AF88" s="869"/>
      <c r="AG88" s="869"/>
      <c r="AH88" s="869"/>
      <c r="AI88" s="869"/>
      <c r="AJ88" s="869"/>
      <c r="AK88" s="869"/>
      <c r="AL88" s="869"/>
      <c r="AM88" s="869"/>
      <c r="AN88" s="869"/>
      <c r="AO88" s="869"/>
      <c r="AP88" s="869"/>
      <c r="AQ88" s="869"/>
      <c r="AR88" s="869"/>
      <c r="AS88" s="869"/>
      <c r="AT88" s="869"/>
      <c r="AU88" s="869"/>
      <c r="AV88" s="869"/>
      <c r="AW88" s="869"/>
      <c r="AX88" s="869"/>
      <c r="AY88" s="869"/>
      <c r="AZ88" s="869"/>
      <c r="BA88" s="869"/>
      <c r="BB88" s="869"/>
      <c r="BC88" s="869"/>
      <c r="BD88" s="869"/>
      <c r="BE88" s="869"/>
      <c r="BF88" s="869"/>
      <c r="BG88" s="869"/>
      <c r="BH88" s="869"/>
      <c r="BI88" s="869"/>
      <c r="BJ88" s="870"/>
      <c r="BK88" s="870"/>
      <c r="BL88" s="870"/>
      <c r="BM88" s="870"/>
      <c r="BN88" s="870"/>
      <c r="BO88" s="870"/>
      <c r="BP88" s="870"/>
      <c r="BQ88" s="870"/>
      <c r="BR88" s="870"/>
      <c r="BS88" s="870"/>
      <c r="BT88" s="871"/>
      <c r="BU88" s="872"/>
      <c r="BV88" s="872"/>
      <c r="BW88" s="872"/>
      <c r="BX88" s="872"/>
      <c r="BY88" s="872"/>
      <c r="BZ88" s="872"/>
      <c r="CA88" s="872"/>
      <c r="CB88" s="872"/>
      <c r="CC88" s="873"/>
      <c r="CD88" s="874"/>
      <c r="CE88" s="874"/>
      <c r="CF88" s="874"/>
      <c r="CG88" s="874"/>
      <c r="CH88" s="874"/>
      <c r="CI88" s="874"/>
      <c r="CJ88" s="874"/>
      <c r="CK88" s="874"/>
      <c r="CL88" s="874"/>
      <c r="CM88" s="874"/>
      <c r="CN88" s="806"/>
      <c r="CO88" s="806"/>
      <c r="CP88" s="806"/>
      <c r="CQ88" s="806"/>
      <c r="CR88" s="806"/>
      <c r="CS88" s="806"/>
      <c r="CT88" s="806"/>
      <c r="CU88" s="806"/>
      <c r="CV88" s="806"/>
      <c r="CW88" s="806"/>
      <c r="CX88" s="806"/>
      <c r="CY88" s="806"/>
      <c r="CZ88" s="365"/>
      <c r="DA88" s="366"/>
      <c r="DB88" s="367"/>
      <c r="DC88" s="875"/>
      <c r="DD88" s="875"/>
      <c r="DE88" s="875"/>
      <c r="DF88" s="875"/>
      <c r="DG88" s="875"/>
      <c r="DH88" s="875"/>
      <c r="DI88" s="875"/>
      <c r="DJ88" s="875"/>
      <c r="DK88" s="875"/>
      <c r="DL88" s="875"/>
      <c r="DM88" s="866"/>
      <c r="DN88" s="866"/>
      <c r="DO88" s="866"/>
      <c r="DP88" s="866"/>
      <c r="DQ88" s="866"/>
      <c r="DR88" s="866"/>
      <c r="DS88" s="866"/>
      <c r="DT88" s="866"/>
      <c r="DU88" s="866"/>
      <c r="DV88" s="866"/>
      <c r="DW88" s="824"/>
      <c r="DX88" s="824"/>
      <c r="DY88" s="824"/>
      <c r="DZ88" s="824"/>
      <c r="EA88" s="824"/>
      <c r="EB88" s="824"/>
      <c r="EC88" s="824"/>
      <c r="ED88" s="824"/>
      <c r="EE88" s="824"/>
      <c r="EF88" s="824"/>
      <c r="EG88" s="826"/>
      <c r="EH88" s="826"/>
      <c r="EI88" s="826"/>
      <c r="EJ88" s="826"/>
      <c r="EK88" s="826"/>
      <c r="EL88" s="826"/>
      <c r="EM88" s="826"/>
      <c r="EN88" s="826"/>
      <c r="EO88" s="826"/>
      <c r="EP88" s="826"/>
      <c r="EQ88" s="826"/>
      <c r="ER88" s="826"/>
      <c r="ES88" s="826"/>
      <c r="ET88" s="826"/>
      <c r="EU88" s="826"/>
      <c r="EV88" s="826"/>
      <c r="EW88" s="826"/>
      <c r="EX88" s="826"/>
      <c r="EY88" s="826"/>
      <c r="EZ88" s="826"/>
      <c r="FA88" s="826"/>
      <c r="FB88" s="826"/>
      <c r="FC88" s="826"/>
      <c r="FD88" s="826"/>
      <c r="FE88" s="867"/>
      <c r="FF88" s="867"/>
      <c r="FG88" s="867"/>
      <c r="FH88" s="867"/>
      <c r="FI88" s="867"/>
      <c r="FJ88" s="867"/>
      <c r="FK88" s="867"/>
      <c r="FL88" s="867"/>
      <c r="FM88" s="867"/>
      <c r="FN88" s="833"/>
      <c r="FO88" s="833"/>
      <c r="FP88" s="833"/>
      <c r="FQ88" s="833"/>
      <c r="FR88" s="833"/>
      <c r="FS88" s="833"/>
      <c r="FT88" s="833"/>
      <c r="FU88" s="833"/>
      <c r="FV88" s="833"/>
      <c r="FW88" s="752"/>
      <c r="FX88" s="753"/>
      <c r="FY88" s="753"/>
      <c r="FZ88" s="753"/>
      <c r="GA88" s="753"/>
      <c r="GB88" s="753"/>
      <c r="GC88" s="753"/>
      <c r="GD88" s="753"/>
      <c r="GE88" s="753"/>
      <c r="GF88" s="753"/>
      <c r="GG88" s="753"/>
      <c r="GH88" s="753"/>
      <c r="GI88" s="753"/>
      <c r="GJ88" s="753"/>
      <c r="GK88" s="753"/>
      <c r="GL88" s="753"/>
      <c r="GM88" s="753"/>
      <c r="GN88" s="753"/>
      <c r="GO88" s="754"/>
      <c r="GP88" s="167"/>
      <c r="GQ88" s="2"/>
      <c r="GR88" s="2"/>
      <c r="GS88" s="2"/>
      <c r="GT88" s="2"/>
      <c r="GU88" s="2"/>
      <c r="GX88" s="249"/>
      <c r="GY88" s="249"/>
      <c r="HF88" s="148"/>
      <c r="HG88" s="148"/>
      <c r="HH88" s="148"/>
      <c r="HI88" s="148"/>
      <c r="HJ88" s="148"/>
      <c r="HK88" s="148"/>
      <c r="HL88" s="148"/>
      <c r="HM88" s="148"/>
      <c r="HN88" s="148"/>
      <c r="HO88" s="148"/>
      <c r="HP88" s="148"/>
      <c r="HQ88" s="148"/>
      <c r="HR88" s="148"/>
      <c r="HS88" s="148"/>
      <c r="HT88" s="148"/>
      <c r="HU88" s="148"/>
      <c r="HV88" s="148"/>
      <c r="IK88" s="241"/>
      <c r="IV88" s="242"/>
      <c r="JG88" s="243"/>
      <c r="JQ88" s="244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97"/>
      <c r="M89" s="250"/>
      <c r="N89" s="788">
        <v>36</v>
      </c>
      <c r="O89" s="788"/>
      <c r="P89" s="788"/>
      <c r="Q89" s="868"/>
      <c r="R89" s="868"/>
      <c r="S89" s="868"/>
      <c r="T89" s="868"/>
      <c r="U89" s="868"/>
      <c r="V89" s="869"/>
      <c r="W89" s="869"/>
      <c r="X89" s="869"/>
      <c r="Y89" s="869"/>
      <c r="Z89" s="869"/>
      <c r="AA89" s="869"/>
      <c r="AB89" s="869"/>
      <c r="AC89" s="869"/>
      <c r="AD89" s="869"/>
      <c r="AE89" s="869"/>
      <c r="AF89" s="869"/>
      <c r="AG89" s="869"/>
      <c r="AH89" s="869"/>
      <c r="AI89" s="869"/>
      <c r="AJ89" s="869"/>
      <c r="AK89" s="869"/>
      <c r="AL89" s="869"/>
      <c r="AM89" s="869"/>
      <c r="AN89" s="869"/>
      <c r="AO89" s="869"/>
      <c r="AP89" s="869"/>
      <c r="AQ89" s="869"/>
      <c r="AR89" s="869"/>
      <c r="AS89" s="869"/>
      <c r="AT89" s="869"/>
      <c r="AU89" s="869"/>
      <c r="AV89" s="869"/>
      <c r="AW89" s="869"/>
      <c r="AX89" s="869"/>
      <c r="AY89" s="869"/>
      <c r="AZ89" s="869"/>
      <c r="BA89" s="869"/>
      <c r="BB89" s="869"/>
      <c r="BC89" s="869"/>
      <c r="BD89" s="869"/>
      <c r="BE89" s="869"/>
      <c r="BF89" s="869"/>
      <c r="BG89" s="869"/>
      <c r="BH89" s="869"/>
      <c r="BI89" s="869"/>
      <c r="BJ89" s="870"/>
      <c r="BK89" s="870"/>
      <c r="BL89" s="870"/>
      <c r="BM89" s="870"/>
      <c r="BN89" s="870"/>
      <c r="BO89" s="870"/>
      <c r="BP89" s="870"/>
      <c r="BQ89" s="870"/>
      <c r="BR89" s="870"/>
      <c r="BS89" s="870"/>
      <c r="BT89" s="871">
        <f>KI_N*BEZ_Hilf_36_Anz</f>
        <v>0</v>
      </c>
      <c r="BU89" s="872"/>
      <c r="BV89" s="872"/>
      <c r="BW89" s="872"/>
      <c r="BX89" s="872"/>
      <c r="BY89" s="872"/>
      <c r="BZ89" s="872"/>
      <c r="CA89" s="872"/>
      <c r="CB89" s="872"/>
      <c r="CC89" s="873"/>
      <c r="CD89" s="874"/>
      <c r="CE89" s="874"/>
      <c r="CF89" s="874"/>
      <c r="CG89" s="874"/>
      <c r="CH89" s="874"/>
      <c r="CI89" s="874"/>
      <c r="CJ89" s="874"/>
      <c r="CK89" s="874"/>
      <c r="CL89" s="874"/>
      <c r="CM89" s="874"/>
      <c r="CN89" s="806"/>
      <c r="CO89" s="806"/>
      <c r="CP89" s="806"/>
      <c r="CQ89" s="806"/>
      <c r="CR89" s="806"/>
      <c r="CS89" s="806"/>
      <c r="CT89" s="806"/>
      <c r="CU89" s="806"/>
      <c r="CV89" s="806"/>
      <c r="CW89" s="806"/>
      <c r="CX89" s="806"/>
      <c r="CY89" s="806"/>
      <c r="CZ89" s="365"/>
      <c r="DA89" s="366"/>
      <c r="DB89" s="367"/>
      <c r="DC89" s="875"/>
      <c r="DD89" s="875"/>
      <c r="DE89" s="875"/>
      <c r="DF89" s="875"/>
      <c r="DG89" s="875"/>
      <c r="DH89" s="875"/>
      <c r="DI89" s="875"/>
      <c r="DJ89" s="875"/>
      <c r="DK89" s="875"/>
      <c r="DL89" s="875"/>
      <c r="DM89" s="866"/>
      <c r="DN89" s="866"/>
      <c r="DO89" s="866"/>
      <c r="DP89" s="866"/>
      <c r="DQ89" s="866"/>
      <c r="DR89" s="866"/>
      <c r="DS89" s="866"/>
      <c r="DT89" s="866"/>
      <c r="DU89" s="866"/>
      <c r="DV89" s="866"/>
      <c r="DW89" s="824">
        <f>BEZ_Hilf_36_EHPreis*(BEZ_Hilf_36_GKZ/100+1)</f>
        <v>0</v>
      </c>
      <c r="DX89" s="824"/>
      <c r="DY89" s="824"/>
      <c r="DZ89" s="824"/>
      <c r="EA89" s="824"/>
      <c r="EB89" s="824"/>
      <c r="EC89" s="824"/>
      <c r="ED89" s="824"/>
      <c r="EE89" s="824"/>
      <c r="EF89" s="824"/>
      <c r="EG89" s="826">
        <f>BEZ_Hilf_36_Anz*BEZ_Hilf_36_EHPreis*((BEZ_Hilf_36_GKZ/100)+1)</f>
        <v>0</v>
      </c>
      <c r="EH89" s="826"/>
      <c r="EI89" s="826"/>
      <c r="EJ89" s="826"/>
      <c r="EK89" s="826"/>
      <c r="EL89" s="826"/>
      <c r="EM89" s="826"/>
      <c r="EN89" s="826"/>
      <c r="EO89" s="826"/>
      <c r="EP89" s="826"/>
      <c r="EQ89" s="826"/>
      <c r="ER89" s="826"/>
      <c r="ES89" s="826"/>
      <c r="ET89" s="826"/>
      <c r="EU89" s="826">
        <f>BEZ_Hilf_36_PreisJeKiste*KI_N</f>
        <v>0</v>
      </c>
      <c r="EV89" s="826"/>
      <c r="EW89" s="826"/>
      <c r="EX89" s="826"/>
      <c r="EY89" s="826"/>
      <c r="EZ89" s="826"/>
      <c r="FA89" s="826"/>
      <c r="FB89" s="826"/>
      <c r="FC89" s="826"/>
      <c r="FD89" s="826"/>
      <c r="FE89" s="867"/>
      <c r="FF89" s="867"/>
      <c r="FG89" s="867"/>
      <c r="FH89" s="867"/>
      <c r="FI89" s="867"/>
      <c r="FJ89" s="867"/>
      <c r="FK89" s="867"/>
      <c r="FL89" s="867"/>
      <c r="FM89" s="867"/>
      <c r="FN89" s="833">
        <f>BEZ_Hilf_36_gJeEH*BEZ_Hilf_36_Anz</f>
        <v>0</v>
      </c>
      <c r="FO89" s="833"/>
      <c r="FP89" s="833"/>
      <c r="FQ89" s="833"/>
      <c r="FR89" s="833"/>
      <c r="FS89" s="833"/>
      <c r="FT89" s="833"/>
      <c r="FU89" s="833"/>
      <c r="FV89" s="833"/>
      <c r="FW89" s="743"/>
      <c r="FX89" s="744"/>
      <c r="FY89" s="744"/>
      <c r="FZ89" s="744"/>
      <c r="GA89" s="744"/>
      <c r="GB89" s="744"/>
      <c r="GC89" s="744"/>
      <c r="GD89" s="744"/>
      <c r="GE89" s="744"/>
      <c r="GF89" s="744"/>
      <c r="GG89" s="744"/>
      <c r="GH89" s="744"/>
      <c r="GI89" s="744"/>
      <c r="GJ89" s="744"/>
      <c r="GK89" s="744"/>
      <c r="GL89" s="744"/>
      <c r="GM89" s="744"/>
      <c r="GN89" s="744"/>
      <c r="GO89" s="745"/>
      <c r="GP89" s="167"/>
      <c r="GQ89" s="351"/>
      <c r="GR89" s="2"/>
      <c r="GS89" s="2"/>
      <c r="GT89" s="2"/>
      <c r="GU89" s="2"/>
      <c r="GX89" s="249"/>
      <c r="GY89" s="249"/>
      <c r="HF89" s="148"/>
      <c r="HG89" s="148"/>
      <c r="HH89" s="148"/>
      <c r="HI89" s="148"/>
      <c r="HJ89" s="148"/>
      <c r="HK89" s="148"/>
      <c r="HL89" s="148"/>
      <c r="HM89" s="148"/>
      <c r="HN89" s="148"/>
      <c r="HO89" s="148"/>
      <c r="HP89" s="148"/>
      <c r="HQ89" s="148"/>
      <c r="HR89" s="148"/>
      <c r="HS89" s="148"/>
      <c r="HT89" s="148"/>
      <c r="HU89" s="148"/>
      <c r="HV89" s="148"/>
      <c r="IK89" s="241"/>
      <c r="IV89" s="242"/>
      <c r="JG89" s="243"/>
      <c r="JQ89" s="244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97"/>
      <c r="M90" s="250"/>
      <c r="N90" s="788"/>
      <c r="O90" s="788"/>
      <c r="P90" s="788"/>
      <c r="Q90" s="868"/>
      <c r="R90" s="868"/>
      <c r="S90" s="868"/>
      <c r="T90" s="868"/>
      <c r="U90" s="868"/>
      <c r="V90" s="869"/>
      <c r="W90" s="869"/>
      <c r="X90" s="869"/>
      <c r="Y90" s="869"/>
      <c r="Z90" s="869"/>
      <c r="AA90" s="869"/>
      <c r="AB90" s="869"/>
      <c r="AC90" s="869"/>
      <c r="AD90" s="869"/>
      <c r="AE90" s="869"/>
      <c r="AF90" s="869"/>
      <c r="AG90" s="869"/>
      <c r="AH90" s="869"/>
      <c r="AI90" s="869"/>
      <c r="AJ90" s="869"/>
      <c r="AK90" s="869"/>
      <c r="AL90" s="869"/>
      <c r="AM90" s="869"/>
      <c r="AN90" s="869"/>
      <c r="AO90" s="869"/>
      <c r="AP90" s="869"/>
      <c r="AQ90" s="869"/>
      <c r="AR90" s="869"/>
      <c r="AS90" s="869"/>
      <c r="AT90" s="869"/>
      <c r="AU90" s="869"/>
      <c r="AV90" s="869"/>
      <c r="AW90" s="869"/>
      <c r="AX90" s="869"/>
      <c r="AY90" s="869"/>
      <c r="AZ90" s="869"/>
      <c r="BA90" s="869"/>
      <c r="BB90" s="869"/>
      <c r="BC90" s="869"/>
      <c r="BD90" s="869"/>
      <c r="BE90" s="869"/>
      <c r="BF90" s="869"/>
      <c r="BG90" s="869"/>
      <c r="BH90" s="869"/>
      <c r="BI90" s="869"/>
      <c r="BJ90" s="870"/>
      <c r="BK90" s="870"/>
      <c r="BL90" s="870"/>
      <c r="BM90" s="870"/>
      <c r="BN90" s="870"/>
      <c r="BO90" s="870"/>
      <c r="BP90" s="870"/>
      <c r="BQ90" s="870"/>
      <c r="BR90" s="870"/>
      <c r="BS90" s="870"/>
      <c r="BT90" s="871"/>
      <c r="BU90" s="872"/>
      <c r="BV90" s="872"/>
      <c r="BW90" s="872"/>
      <c r="BX90" s="872"/>
      <c r="BY90" s="872"/>
      <c r="BZ90" s="872"/>
      <c r="CA90" s="872"/>
      <c r="CB90" s="872"/>
      <c r="CC90" s="873"/>
      <c r="CD90" s="874"/>
      <c r="CE90" s="874"/>
      <c r="CF90" s="874"/>
      <c r="CG90" s="874"/>
      <c r="CH90" s="874"/>
      <c r="CI90" s="874"/>
      <c r="CJ90" s="874"/>
      <c r="CK90" s="874"/>
      <c r="CL90" s="874"/>
      <c r="CM90" s="874"/>
      <c r="CN90" s="806"/>
      <c r="CO90" s="806"/>
      <c r="CP90" s="806"/>
      <c r="CQ90" s="806"/>
      <c r="CR90" s="806"/>
      <c r="CS90" s="806"/>
      <c r="CT90" s="806"/>
      <c r="CU90" s="806"/>
      <c r="CV90" s="806"/>
      <c r="CW90" s="806"/>
      <c r="CX90" s="806"/>
      <c r="CY90" s="806"/>
      <c r="CZ90" s="365"/>
      <c r="DA90" s="366"/>
      <c r="DB90" s="367"/>
      <c r="DC90" s="875"/>
      <c r="DD90" s="875"/>
      <c r="DE90" s="875"/>
      <c r="DF90" s="875"/>
      <c r="DG90" s="875"/>
      <c r="DH90" s="875"/>
      <c r="DI90" s="875"/>
      <c r="DJ90" s="875"/>
      <c r="DK90" s="875"/>
      <c r="DL90" s="875"/>
      <c r="DM90" s="866"/>
      <c r="DN90" s="866"/>
      <c r="DO90" s="866"/>
      <c r="DP90" s="866"/>
      <c r="DQ90" s="866"/>
      <c r="DR90" s="866"/>
      <c r="DS90" s="866"/>
      <c r="DT90" s="866"/>
      <c r="DU90" s="866"/>
      <c r="DV90" s="866"/>
      <c r="DW90" s="824"/>
      <c r="DX90" s="824"/>
      <c r="DY90" s="824"/>
      <c r="DZ90" s="824"/>
      <c r="EA90" s="824"/>
      <c r="EB90" s="824"/>
      <c r="EC90" s="824"/>
      <c r="ED90" s="824"/>
      <c r="EE90" s="824"/>
      <c r="EF90" s="824"/>
      <c r="EG90" s="826"/>
      <c r="EH90" s="826"/>
      <c r="EI90" s="826"/>
      <c r="EJ90" s="826"/>
      <c r="EK90" s="826"/>
      <c r="EL90" s="826"/>
      <c r="EM90" s="826"/>
      <c r="EN90" s="826"/>
      <c r="EO90" s="826"/>
      <c r="EP90" s="826"/>
      <c r="EQ90" s="826"/>
      <c r="ER90" s="826"/>
      <c r="ES90" s="826"/>
      <c r="ET90" s="826"/>
      <c r="EU90" s="826"/>
      <c r="EV90" s="826"/>
      <c r="EW90" s="826"/>
      <c r="EX90" s="826"/>
      <c r="EY90" s="826"/>
      <c r="EZ90" s="826"/>
      <c r="FA90" s="826"/>
      <c r="FB90" s="826"/>
      <c r="FC90" s="826"/>
      <c r="FD90" s="826"/>
      <c r="FE90" s="867"/>
      <c r="FF90" s="867"/>
      <c r="FG90" s="867"/>
      <c r="FH90" s="867"/>
      <c r="FI90" s="867"/>
      <c r="FJ90" s="867"/>
      <c r="FK90" s="867"/>
      <c r="FL90" s="867"/>
      <c r="FM90" s="867"/>
      <c r="FN90" s="833"/>
      <c r="FO90" s="833"/>
      <c r="FP90" s="833"/>
      <c r="FQ90" s="833"/>
      <c r="FR90" s="833"/>
      <c r="FS90" s="833"/>
      <c r="FT90" s="833"/>
      <c r="FU90" s="833"/>
      <c r="FV90" s="833"/>
      <c r="FW90" s="743"/>
      <c r="FX90" s="744"/>
      <c r="FY90" s="744"/>
      <c r="FZ90" s="744"/>
      <c r="GA90" s="744"/>
      <c r="GB90" s="744"/>
      <c r="GC90" s="744"/>
      <c r="GD90" s="744"/>
      <c r="GE90" s="744"/>
      <c r="GF90" s="744"/>
      <c r="GG90" s="744"/>
      <c r="GH90" s="744"/>
      <c r="GI90" s="744"/>
      <c r="GJ90" s="744"/>
      <c r="GK90" s="744"/>
      <c r="GL90" s="744"/>
      <c r="GM90" s="744"/>
      <c r="GN90" s="744"/>
      <c r="GO90" s="745"/>
      <c r="GP90" s="167"/>
      <c r="GQ90" s="2"/>
      <c r="GR90" s="2"/>
      <c r="GS90" s="2"/>
      <c r="GT90" s="2"/>
      <c r="GU90" s="2"/>
      <c r="GX90" s="249"/>
      <c r="GY90" s="249"/>
      <c r="HF90" s="148"/>
      <c r="HG90" s="148"/>
      <c r="HH90" s="148"/>
      <c r="HI90" s="148"/>
      <c r="HJ90" s="148"/>
      <c r="HK90" s="148"/>
      <c r="HL90" s="148"/>
      <c r="HM90" s="148"/>
      <c r="HN90" s="148"/>
      <c r="HO90" s="148"/>
      <c r="HP90" s="148"/>
      <c r="HQ90" s="148"/>
      <c r="HR90" s="148"/>
      <c r="HS90" s="148"/>
      <c r="HT90" s="148"/>
      <c r="HU90" s="148"/>
      <c r="HV90" s="148"/>
      <c r="IK90" s="241"/>
      <c r="IV90" s="242"/>
      <c r="JG90" s="243"/>
      <c r="JQ90" s="244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97"/>
      <c r="M91" s="250"/>
      <c r="N91" s="788">
        <v>37</v>
      </c>
      <c r="O91" s="788"/>
      <c r="P91" s="788"/>
      <c r="Q91" s="868"/>
      <c r="R91" s="868"/>
      <c r="S91" s="868"/>
      <c r="T91" s="868"/>
      <c r="U91" s="868"/>
      <c r="V91" s="869"/>
      <c r="W91" s="869"/>
      <c r="X91" s="869"/>
      <c r="Y91" s="869"/>
      <c r="Z91" s="869"/>
      <c r="AA91" s="869"/>
      <c r="AB91" s="869"/>
      <c r="AC91" s="869"/>
      <c r="AD91" s="869"/>
      <c r="AE91" s="869"/>
      <c r="AF91" s="869"/>
      <c r="AG91" s="869"/>
      <c r="AH91" s="869"/>
      <c r="AI91" s="869"/>
      <c r="AJ91" s="869"/>
      <c r="AK91" s="869"/>
      <c r="AL91" s="869"/>
      <c r="AM91" s="869"/>
      <c r="AN91" s="869"/>
      <c r="AO91" s="869"/>
      <c r="AP91" s="869"/>
      <c r="AQ91" s="869"/>
      <c r="AR91" s="869"/>
      <c r="AS91" s="869"/>
      <c r="AT91" s="869"/>
      <c r="AU91" s="869"/>
      <c r="AV91" s="869"/>
      <c r="AW91" s="869"/>
      <c r="AX91" s="869"/>
      <c r="AY91" s="869"/>
      <c r="AZ91" s="869"/>
      <c r="BA91" s="869"/>
      <c r="BB91" s="869"/>
      <c r="BC91" s="869"/>
      <c r="BD91" s="869"/>
      <c r="BE91" s="869"/>
      <c r="BF91" s="869"/>
      <c r="BG91" s="869"/>
      <c r="BH91" s="869"/>
      <c r="BI91" s="869"/>
      <c r="BJ91" s="870"/>
      <c r="BK91" s="870"/>
      <c r="BL91" s="870"/>
      <c r="BM91" s="870"/>
      <c r="BN91" s="870"/>
      <c r="BO91" s="870"/>
      <c r="BP91" s="870"/>
      <c r="BQ91" s="870"/>
      <c r="BR91" s="870"/>
      <c r="BS91" s="870"/>
      <c r="BT91" s="871">
        <f>KI_N*BEZ_Hilf_37_Anz</f>
        <v>0</v>
      </c>
      <c r="BU91" s="872"/>
      <c r="BV91" s="872"/>
      <c r="BW91" s="872"/>
      <c r="BX91" s="872"/>
      <c r="BY91" s="872"/>
      <c r="BZ91" s="872"/>
      <c r="CA91" s="872"/>
      <c r="CB91" s="872"/>
      <c r="CC91" s="873"/>
      <c r="CD91" s="874"/>
      <c r="CE91" s="874"/>
      <c r="CF91" s="874"/>
      <c r="CG91" s="874"/>
      <c r="CH91" s="874"/>
      <c r="CI91" s="874"/>
      <c r="CJ91" s="874"/>
      <c r="CK91" s="874"/>
      <c r="CL91" s="874"/>
      <c r="CM91" s="874"/>
      <c r="CN91" s="806"/>
      <c r="CO91" s="806"/>
      <c r="CP91" s="806"/>
      <c r="CQ91" s="806"/>
      <c r="CR91" s="806"/>
      <c r="CS91" s="806"/>
      <c r="CT91" s="806"/>
      <c r="CU91" s="806"/>
      <c r="CV91" s="806"/>
      <c r="CW91" s="806"/>
      <c r="CX91" s="806"/>
      <c r="CY91" s="806"/>
      <c r="CZ91" s="365"/>
      <c r="DA91" s="366"/>
      <c r="DB91" s="367"/>
      <c r="DC91" s="875"/>
      <c r="DD91" s="875"/>
      <c r="DE91" s="875"/>
      <c r="DF91" s="875"/>
      <c r="DG91" s="875"/>
      <c r="DH91" s="875"/>
      <c r="DI91" s="875"/>
      <c r="DJ91" s="875"/>
      <c r="DK91" s="875"/>
      <c r="DL91" s="875"/>
      <c r="DM91" s="866"/>
      <c r="DN91" s="866"/>
      <c r="DO91" s="866"/>
      <c r="DP91" s="866"/>
      <c r="DQ91" s="866"/>
      <c r="DR91" s="866"/>
      <c r="DS91" s="866"/>
      <c r="DT91" s="866"/>
      <c r="DU91" s="866"/>
      <c r="DV91" s="866"/>
      <c r="DW91" s="824">
        <f>BEZ_Hilf_37_EHPreis*(BEZ_Hilf_37_GKZ/100+1)</f>
        <v>0</v>
      </c>
      <c r="DX91" s="824"/>
      <c r="DY91" s="824"/>
      <c r="DZ91" s="824"/>
      <c r="EA91" s="824"/>
      <c r="EB91" s="824"/>
      <c r="EC91" s="824"/>
      <c r="ED91" s="824"/>
      <c r="EE91" s="824"/>
      <c r="EF91" s="824"/>
      <c r="EG91" s="826">
        <f>BEZ_Hilf_37_Anz*BEZ_Hilf_37_EHPreis*((BEZ_Hilf_37_GKZ/100)+1)</f>
        <v>0</v>
      </c>
      <c r="EH91" s="826"/>
      <c r="EI91" s="826"/>
      <c r="EJ91" s="826"/>
      <c r="EK91" s="826"/>
      <c r="EL91" s="826"/>
      <c r="EM91" s="826"/>
      <c r="EN91" s="826"/>
      <c r="EO91" s="826"/>
      <c r="EP91" s="826"/>
      <c r="EQ91" s="826"/>
      <c r="ER91" s="826"/>
      <c r="ES91" s="826"/>
      <c r="ET91" s="826"/>
      <c r="EU91" s="826">
        <f>BEZ_Hilf_37_PreisJeKiste*KI_N</f>
        <v>0</v>
      </c>
      <c r="EV91" s="826"/>
      <c r="EW91" s="826"/>
      <c r="EX91" s="826"/>
      <c r="EY91" s="826"/>
      <c r="EZ91" s="826"/>
      <c r="FA91" s="826"/>
      <c r="FB91" s="826"/>
      <c r="FC91" s="826"/>
      <c r="FD91" s="826"/>
      <c r="FE91" s="867"/>
      <c r="FF91" s="867"/>
      <c r="FG91" s="867"/>
      <c r="FH91" s="867"/>
      <c r="FI91" s="867"/>
      <c r="FJ91" s="867"/>
      <c r="FK91" s="867"/>
      <c r="FL91" s="867"/>
      <c r="FM91" s="867"/>
      <c r="FN91" s="833">
        <f>BEZ_Hilf_37_gJeEH*BEZ_Hilf_37_Anz</f>
        <v>0</v>
      </c>
      <c r="FO91" s="833"/>
      <c r="FP91" s="833"/>
      <c r="FQ91" s="833"/>
      <c r="FR91" s="833"/>
      <c r="FS91" s="833"/>
      <c r="FT91" s="833"/>
      <c r="FU91" s="833"/>
      <c r="FV91" s="833"/>
      <c r="FW91" s="743"/>
      <c r="FX91" s="744"/>
      <c r="FY91" s="744"/>
      <c r="FZ91" s="744"/>
      <c r="GA91" s="744"/>
      <c r="GB91" s="744"/>
      <c r="GC91" s="744"/>
      <c r="GD91" s="744"/>
      <c r="GE91" s="744"/>
      <c r="GF91" s="744"/>
      <c r="GG91" s="744"/>
      <c r="GH91" s="744"/>
      <c r="GI91" s="744"/>
      <c r="GJ91" s="744"/>
      <c r="GK91" s="744"/>
      <c r="GL91" s="744"/>
      <c r="GM91" s="744"/>
      <c r="GN91" s="744"/>
      <c r="GO91" s="745"/>
      <c r="GP91" s="167"/>
      <c r="GQ91" s="351"/>
      <c r="GR91" s="2"/>
      <c r="GS91" s="2"/>
      <c r="GT91" s="2"/>
      <c r="GU91" s="2"/>
      <c r="GX91" s="249"/>
      <c r="GY91" s="249"/>
      <c r="HF91" s="148"/>
      <c r="HG91" s="148"/>
      <c r="HH91" s="148"/>
      <c r="HI91" s="148"/>
      <c r="HJ91" s="148"/>
      <c r="HK91" s="148"/>
      <c r="HL91" s="148"/>
      <c r="HM91" s="148"/>
      <c r="HN91" s="148"/>
      <c r="HO91" s="148"/>
      <c r="HP91" s="148"/>
      <c r="HQ91" s="148"/>
      <c r="HR91" s="148"/>
      <c r="HS91" s="148"/>
      <c r="HT91" s="148"/>
      <c r="HU91" s="148"/>
      <c r="HV91" s="148"/>
      <c r="IK91" s="241"/>
      <c r="IV91" s="242"/>
      <c r="JG91" s="243"/>
      <c r="JQ91" s="244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97"/>
      <c r="M92" s="250"/>
      <c r="N92" s="788"/>
      <c r="O92" s="788"/>
      <c r="P92" s="788"/>
      <c r="Q92" s="868"/>
      <c r="R92" s="868"/>
      <c r="S92" s="868"/>
      <c r="T92" s="868"/>
      <c r="U92" s="868"/>
      <c r="V92" s="869"/>
      <c r="W92" s="869"/>
      <c r="X92" s="869"/>
      <c r="Y92" s="869"/>
      <c r="Z92" s="869"/>
      <c r="AA92" s="869"/>
      <c r="AB92" s="869"/>
      <c r="AC92" s="869"/>
      <c r="AD92" s="869"/>
      <c r="AE92" s="869"/>
      <c r="AF92" s="869"/>
      <c r="AG92" s="869"/>
      <c r="AH92" s="869"/>
      <c r="AI92" s="869"/>
      <c r="AJ92" s="869"/>
      <c r="AK92" s="869"/>
      <c r="AL92" s="869"/>
      <c r="AM92" s="869"/>
      <c r="AN92" s="869"/>
      <c r="AO92" s="869"/>
      <c r="AP92" s="869"/>
      <c r="AQ92" s="869"/>
      <c r="AR92" s="869"/>
      <c r="AS92" s="869"/>
      <c r="AT92" s="869"/>
      <c r="AU92" s="869"/>
      <c r="AV92" s="869"/>
      <c r="AW92" s="869"/>
      <c r="AX92" s="869"/>
      <c r="AY92" s="869"/>
      <c r="AZ92" s="869"/>
      <c r="BA92" s="869"/>
      <c r="BB92" s="869"/>
      <c r="BC92" s="869"/>
      <c r="BD92" s="869"/>
      <c r="BE92" s="869"/>
      <c r="BF92" s="869"/>
      <c r="BG92" s="869"/>
      <c r="BH92" s="869"/>
      <c r="BI92" s="869"/>
      <c r="BJ92" s="870"/>
      <c r="BK92" s="870"/>
      <c r="BL92" s="870"/>
      <c r="BM92" s="870"/>
      <c r="BN92" s="870"/>
      <c r="BO92" s="870"/>
      <c r="BP92" s="870"/>
      <c r="BQ92" s="870"/>
      <c r="BR92" s="870"/>
      <c r="BS92" s="870"/>
      <c r="BT92" s="871"/>
      <c r="BU92" s="872"/>
      <c r="BV92" s="872"/>
      <c r="BW92" s="872"/>
      <c r="BX92" s="872"/>
      <c r="BY92" s="872"/>
      <c r="BZ92" s="872"/>
      <c r="CA92" s="872"/>
      <c r="CB92" s="872"/>
      <c r="CC92" s="873"/>
      <c r="CD92" s="874"/>
      <c r="CE92" s="874"/>
      <c r="CF92" s="874"/>
      <c r="CG92" s="874"/>
      <c r="CH92" s="874"/>
      <c r="CI92" s="874"/>
      <c r="CJ92" s="874"/>
      <c r="CK92" s="874"/>
      <c r="CL92" s="874"/>
      <c r="CM92" s="874"/>
      <c r="CN92" s="806"/>
      <c r="CO92" s="806"/>
      <c r="CP92" s="806"/>
      <c r="CQ92" s="806"/>
      <c r="CR92" s="806"/>
      <c r="CS92" s="806"/>
      <c r="CT92" s="806"/>
      <c r="CU92" s="806"/>
      <c r="CV92" s="806"/>
      <c r="CW92" s="806"/>
      <c r="CX92" s="806"/>
      <c r="CY92" s="806"/>
      <c r="CZ92" s="365"/>
      <c r="DA92" s="366"/>
      <c r="DB92" s="367"/>
      <c r="DC92" s="875"/>
      <c r="DD92" s="875"/>
      <c r="DE92" s="875"/>
      <c r="DF92" s="875"/>
      <c r="DG92" s="875"/>
      <c r="DH92" s="875"/>
      <c r="DI92" s="875"/>
      <c r="DJ92" s="875"/>
      <c r="DK92" s="875"/>
      <c r="DL92" s="875"/>
      <c r="DM92" s="866"/>
      <c r="DN92" s="866"/>
      <c r="DO92" s="866"/>
      <c r="DP92" s="866"/>
      <c r="DQ92" s="866"/>
      <c r="DR92" s="866"/>
      <c r="DS92" s="866"/>
      <c r="DT92" s="866"/>
      <c r="DU92" s="866"/>
      <c r="DV92" s="866"/>
      <c r="DW92" s="824"/>
      <c r="DX92" s="824"/>
      <c r="DY92" s="824"/>
      <c r="DZ92" s="824"/>
      <c r="EA92" s="824"/>
      <c r="EB92" s="824"/>
      <c r="EC92" s="824"/>
      <c r="ED92" s="824"/>
      <c r="EE92" s="824"/>
      <c r="EF92" s="824"/>
      <c r="EG92" s="826"/>
      <c r="EH92" s="826"/>
      <c r="EI92" s="826"/>
      <c r="EJ92" s="826"/>
      <c r="EK92" s="826"/>
      <c r="EL92" s="826"/>
      <c r="EM92" s="826"/>
      <c r="EN92" s="826"/>
      <c r="EO92" s="826"/>
      <c r="EP92" s="826"/>
      <c r="EQ92" s="826"/>
      <c r="ER92" s="826"/>
      <c r="ES92" s="826"/>
      <c r="ET92" s="826"/>
      <c r="EU92" s="826"/>
      <c r="EV92" s="826"/>
      <c r="EW92" s="826"/>
      <c r="EX92" s="826"/>
      <c r="EY92" s="826"/>
      <c r="EZ92" s="826"/>
      <c r="FA92" s="826"/>
      <c r="FB92" s="826"/>
      <c r="FC92" s="826"/>
      <c r="FD92" s="826"/>
      <c r="FE92" s="867"/>
      <c r="FF92" s="867"/>
      <c r="FG92" s="867"/>
      <c r="FH92" s="867"/>
      <c r="FI92" s="867"/>
      <c r="FJ92" s="867"/>
      <c r="FK92" s="867"/>
      <c r="FL92" s="867"/>
      <c r="FM92" s="867"/>
      <c r="FN92" s="833"/>
      <c r="FO92" s="833"/>
      <c r="FP92" s="833"/>
      <c r="FQ92" s="833"/>
      <c r="FR92" s="833"/>
      <c r="FS92" s="833"/>
      <c r="FT92" s="833"/>
      <c r="FU92" s="833"/>
      <c r="FV92" s="833"/>
      <c r="FW92" s="743"/>
      <c r="FX92" s="744"/>
      <c r="FY92" s="744"/>
      <c r="FZ92" s="744"/>
      <c r="GA92" s="744"/>
      <c r="GB92" s="744"/>
      <c r="GC92" s="744"/>
      <c r="GD92" s="744"/>
      <c r="GE92" s="744"/>
      <c r="GF92" s="744"/>
      <c r="GG92" s="744"/>
      <c r="GH92" s="744"/>
      <c r="GI92" s="744"/>
      <c r="GJ92" s="744"/>
      <c r="GK92" s="744"/>
      <c r="GL92" s="744"/>
      <c r="GM92" s="744"/>
      <c r="GN92" s="744"/>
      <c r="GO92" s="745"/>
      <c r="GP92" s="167"/>
      <c r="GQ92" s="2"/>
      <c r="GR92" s="2"/>
      <c r="GS92" s="2"/>
      <c r="GT92" s="2"/>
      <c r="GU92" s="2"/>
      <c r="GX92" s="249"/>
      <c r="GY92" s="249"/>
      <c r="HF92" s="148"/>
      <c r="HG92" s="148"/>
      <c r="HH92" s="148"/>
      <c r="HI92" s="148"/>
      <c r="HJ92" s="148"/>
      <c r="HK92" s="148"/>
      <c r="HL92" s="148"/>
      <c r="HM92" s="148"/>
      <c r="HN92" s="148"/>
      <c r="HO92" s="148"/>
      <c r="HP92" s="148"/>
      <c r="HQ92" s="148"/>
      <c r="HR92" s="148"/>
      <c r="HS92" s="148"/>
      <c r="HT92" s="148"/>
      <c r="HU92" s="148"/>
      <c r="HV92" s="148"/>
      <c r="IK92" s="241"/>
      <c r="IV92" s="242"/>
      <c r="JG92" s="243"/>
      <c r="JQ92" s="244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97"/>
      <c r="M93" s="250"/>
      <c r="N93" s="788">
        <v>38</v>
      </c>
      <c r="O93" s="788"/>
      <c r="P93" s="788"/>
      <c r="Q93" s="868"/>
      <c r="R93" s="868"/>
      <c r="S93" s="868"/>
      <c r="T93" s="868"/>
      <c r="U93" s="868"/>
      <c r="V93" s="869"/>
      <c r="W93" s="869"/>
      <c r="X93" s="869"/>
      <c r="Y93" s="869"/>
      <c r="Z93" s="869"/>
      <c r="AA93" s="869"/>
      <c r="AB93" s="869"/>
      <c r="AC93" s="869"/>
      <c r="AD93" s="869"/>
      <c r="AE93" s="869"/>
      <c r="AF93" s="869"/>
      <c r="AG93" s="869"/>
      <c r="AH93" s="869"/>
      <c r="AI93" s="869"/>
      <c r="AJ93" s="869"/>
      <c r="AK93" s="869"/>
      <c r="AL93" s="869"/>
      <c r="AM93" s="869"/>
      <c r="AN93" s="869"/>
      <c r="AO93" s="869"/>
      <c r="AP93" s="869"/>
      <c r="AQ93" s="869"/>
      <c r="AR93" s="869"/>
      <c r="AS93" s="869"/>
      <c r="AT93" s="869"/>
      <c r="AU93" s="869"/>
      <c r="AV93" s="869"/>
      <c r="AW93" s="869"/>
      <c r="AX93" s="869"/>
      <c r="AY93" s="869"/>
      <c r="AZ93" s="869"/>
      <c r="BA93" s="869"/>
      <c r="BB93" s="869"/>
      <c r="BC93" s="869"/>
      <c r="BD93" s="869"/>
      <c r="BE93" s="869"/>
      <c r="BF93" s="869"/>
      <c r="BG93" s="869"/>
      <c r="BH93" s="869"/>
      <c r="BI93" s="869"/>
      <c r="BJ93" s="870"/>
      <c r="BK93" s="870"/>
      <c r="BL93" s="870"/>
      <c r="BM93" s="870"/>
      <c r="BN93" s="870"/>
      <c r="BO93" s="870"/>
      <c r="BP93" s="870"/>
      <c r="BQ93" s="870"/>
      <c r="BR93" s="870"/>
      <c r="BS93" s="870"/>
      <c r="BT93" s="871">
        <f>KI_N*BEZ_Hilf_38_Anz</f>
        <v>0</v>
      </c>
      <c r="BU93" s="872"/>
      <c r="BV93" s="872"/>
      <c r="BW93" s="872"/>
      <c r="BX93" s="872"/>
      <c r="BY93" s="872"/>
      <c r="BZ93" s="872"/>
      <c r="CA93" s="872"/>
      <c r="CB93" s="872"/>
      <c r="CC93" s="873"/>
      <c r="CD93" s="874"/>
      <c r="CE93" s="874"/>
      <c r="CF93" s="874"/>
      <c r="CG93" s="874"/>
      <c r="CH93" s="874"/>
      <c r="CI93" s="874"/>
      <c r="CJ93" s="874"/>
      <c r="CK93" s="874"/>
      <c r="CL93" s="874"/>
      <c r="CM93" s="874"/>
      <c r="CN93" s="806"/>
      <c r="CO93" s="806"/>
      <c r="CP93" s="806"/>
      <c r="CQ93" s="806"/>
      <c r="CR93" s="806"/>
      <c r="CS93" s="806"/>
      <c r="CT93" s="806"/>
      <c r="CU93" s="806"/>
      <c r="CV93" s="806"/>
      <c r="CW93" s="806"/>
      <c r="CX93" s="806"/>
      <c r="CY93" s="806"/>
      <c r="CZ93" s="365"/>
      <c r="DA93" s="366"/>
      <c r="DB93" s="367"/>
      <c r="DC93" s="875"/>
      <c r="DD93" s="875"/>
      <c r="DE93" s="875"/>
      <c r="DF93" s="875"/>
      <c r="DG93" s="875"/>
      <c r="DH93" s="875"/>
      <c r="DI93" s="875"/>
      <c r="DJ93" s="875"/>
      <c r="DK93" s="875"/>
      <c r="DL93" s="875"/>
      <c r="DM93" s="866"/>
      <c r="DN93" s="866"/>
      <c r="DO93" s="866"/>
      <c r="DP93" s="866"/>
      <c r="DQ93" s="866"/>
      <c r="DR93" s="866"/>
      <c r="DS93" s="866"/>
      <c r="DT93" s="866"/>
      <c r="DU93" s="866"/>
      <c r="DV93" s="866"/>
      <c r="DW93" s="824">
        <f>BEZ_Hilf_38_EHPreis*(BEZ_Hilf_38_GKZ/100+1)</f>
        <v>0</v>
      </c>
      <c r="DX93" s="824"/>
      <c r="DY93" s="824"/>
      <c r="DZ93" s="824"/>
      <c r="EA93" s="824"/>
      <c r="EB93" s="824"/>
      <c r="EC93" s="824"/>
      <c r="ED93" s="824"/>
      <c r="EE93" s="824"/>
      <c r="EF93" s="824"/>
      <c r="EG93" s="826">
        <f>BEZ_Hilf_38_Anz*BEZ_Hilf_38_EHPreis*((BEZ_Hilf_38_GKZ/100)+1)</f>
        <v>0</v>
      </c>
      <c r="EH93" s="826"/>
      <c r="EI93" s="826"/>
      <c r="EJ93" s="826"/>
      <c r="EK93" s="826"/>
      <c r="EL93" s="826"/>
      <c r="EM93" s="826"/>
      <c r="EN93" s="826"/>
      <c r="EO93" s="826"/>
      <c r="EP93" s="826"/>
      <c r="EQ93" s="826"/>
      <c r="ER93" s="826"/>
      <c r="ES93" s="826"/>
      <c r="ET93" s="826"/>
      <c r="EU93" s="826">
        <f>BEZ_Hilf_38_PreisJeKiste*KI_N</f>
        <v>0</v>
      </c>
      <c r="EV93" s="826"/>
      <c r="EW93" s="826"/>
      <c r="EX93" s="826"/>
      <c r="EY93" s="826"/>
      <c r="EZ93" s="826"/>
      <c r="FA93" s="826"/>
      <c r="FB93" s="826"/>
      <c r="FC93" s="826"/>
      <c r="FD93" s="826"/>
      <c r="FE93" s="867"/>
      <c r="FF93" s="867"/>
      <c r="FG93" s="867"/>
      <c r="FH93" s="867"/>
      <c r="FI93" s="867"/>
      <c r="FJ93" s="867"/>
      <c r="FK93" s="867"/>
      <c r="FL93" s="867"/>
      <c r="FM93" s="867"/>
      <c r="FN93" s="833">
        <f>BEZ_Hilf_38_gJeEH*BEZ_Hilf_38_Anz</f>
        <v>0</v>
      </c>
      <c r="FO93" s="833"/>
      <c r="FP93" s="833"/>
      <c r="FQ93" s="833"/>
      <c r="FR93" s="833"/>
      <c r="FS93" s="833"/>
      <c r="FT93" s="833"/>
      <c r="FU93" s="833"/>
      <c r="FV93" s="833"/>
      <c r="FW93" s="743"/>
      <c r="FX93" s="744"/>
      <c r="FY93" s="744"/>
      <c r="FZ93" s="744"/>
      <c r="GA93" s="744"/>
      <c r="GB93" s="744"/>
      <c r="GC93" s="744"/>
      <c r="GD93" s="744"/>
      <c r="GE93" s="744"/>
      <c r="GF93" s="744"/>
      <c r="GG93" s="744"/>
      <c r="GH93" s="744"/>
      <c r="GI93" s="744"/>
      <c r="GJ93" s="744"/>
      <c r="GK93" s="744"/>
      <c r="GL93" s="744"/>
      <c r="GM93" s="744"/>
      <c r="GN93" s="744"/>
      <c r="GO93" s="745"/>
      <c r="GP93" s="167"/>
      <c r="GQ93" s="351"/>
      <c r="GR93" s="2"/>
      <c r="GS93" s="2"/>
      <c r="GT93" s="2"/>
      <c r="GU93" s="2"/>
      <c r="GX93" s="249"/>
      <c r="GY93" s="249"/>
      <c r="HF93" s="148"/>
      <c r="HG93" s="148"/>
      <c r="HH93" s="148"/>
      <c r="HI93" s="148"/>
      <c r="HJ93" s="148"/>
      <c r="HK93" s="148"/>
      <c r="HL93" s="148"/>
      <c r="HM93" s="148"/>
      <c r="HN93" s="148"/>
      <c r="HO93" s="148"/>
      <c r="HP93" s="148"/>
      <c r="HQ93" s="148"/>
      <c r="HR93" s="148"/>
      <c r="HS93" s="148"/>
      <c r="HT93" s="148"/>
      <c r="HU93" s="148"/>
      <c r="HV93" s="148"/>
      <c r="IK93" s="241"/>
      <c r="IV93" s="242"/>
      <c r="JG93" s="243"/>
      <c r="JQ93" s="244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97"/>
      <c r="M94" s="250"/>
      <c r="N94" s="788"/>
      <c r="O94" s="788"/>
      <c r="P94" s="788"/>
      <c r="Q94" s="868"/>
      <c r="R94" s="868"/>
      <c r="S94" s="868"/>
      <c r="T94" s="868"/>
      <c r="U94" s="868"/>
      <c r="V94" s="869"/>
      <c r="W94" s="869"/>
      <c r="X94" s="869"/>
      <c r="Y94" s="869"/>
      <c r="Z94" s="869"/>
      <c r="AA94" s="869"/>
      <c r="AB94" s="869"/>
      <c r="AC94" s="869"/>
      <c r="AD94" s="869"/>
      <c r="AE94" s="869"/>
      <c r="AF94" s="869"/>
      <c r="AG94" s="869"/>
      <c r="AH94" s="869"/>
      <c r="AI94" s="869"/>
      <c r="AJ94" s="869"/>
      <c r="AK94" s="869"/>
      <c r="AL94" s="869"/>
      <c r="AM94" s="869"/>
      <c r="AN94" s="869"/>
      <c r="AO94" s="869"/>
      <c r="AP94" s="869"/>
      <c r="AQ94" s="869"/>
      <c r="AR94" s="869"/>
      <c r="AS94" s="869"/>
      <c r="AT94" s="869"/>
      <c r="AU94" s="869"/>
      <c r="AV94" s="869"/>
      <c r="AW94" s="869"/>
      <c r="AX94" s="869"/>
      <c r="AY94" s="869"/>
      <c r="AZ94" s="869"/>
      <c r="BA94" s="869"/>
      <c r="BB94" s="869"/>
      <c r="BC94" s="869"/>
      <c r="BD94" s="869"/>
      <c r="BE94" s="869"/>
      <c r="BF94" s="869"/>
      <c r="BG94" s="869"/>
      <c r="BH94" s="869"/>
      <c r="BI94" s="869"/>
      <c r="BJ94" s="870"/>
      <c r="BK94" s="870"/>
      <c r="BL94" s="870"/>
      <c r="BM94" s="870"/>
      <c r="BN94" s="870"/>
      <c r="BO94" s="870"/>
      <c r="BP94" s="870"/>
      <c r="BQ94" s="870"/>
      <c r="BR94" s="870"/>
      <c r="BS94" s="870"/>
      <c r="BT94" s="871"/>
      <c r="BU94" s="872"/>
      <c r="BV94" s="872"/>
      <c r="BW94" s="872"/>
      <c r="BX94" s="872"/>
      <c r="BY94" s="872"/>
      <c r="BZ94" s="872"/>
      <c r="CA94" s="872"/>
      <c r="CB94" s="872"/>
      <c r="CC94" s="873"/>
      <c r="CD94" s="874"/>
      <c r="CE94" s="874"/>
      <c r="CF94" s="874"/>
      <c r="CG94" s="874"/>
      <c r="CH94" s="874"/>
      <c r="CI94" s="874"/>
      <c r="CJ94" s="874"/>
      <c r="CK94" s="874"/>
      <c r="CL94" s="874"/>
      <c r="CM94" s="874"/>
      <c r="CN94" s="806"/>
      <c r="CO94" s="806"/>
      <c r="CP94" s="806"/>
      <c r="CQ94" s="806"/>
      <c r="CR94" s="806"/>
      <c r="CS94" s="806"/>
      <c r="CT94" s="806"/>
      <c r="CU94" s="806"/>
      <c r="CV94" s="806"/>
      <c r="CW94" s="806"/>
      <c r="CX94" s="806"/>
      <c r="CY94" s="806"/>
      <c r="CZ94" s="365"/>
      <c r="DA94" s="366"/>
      <c r="DB94" s="367"/>
      <c r="DC94" s="875"/>
      <c r="DD94" s="875"/>
      <c r="DE94" s="875"/>
      <c r="DF94" s="875"/>
      <c r="DG94" s="875"/>
      <c r="DH94" s="875"/>
      <c r="DI94" s="875"/>
      <c r="DJ94" s="875"/>
      <c r="DK94" s="875"/>
      <c r="DL94" s="875"/>
      <c r="DM94" s="866"/>
      <c r="DN94" s="866"/>
      <c r="DO94" s="866"/>
      <c r="DP94" s="866"/>
      <c r="DQ94" s="866"/>
      <c r="DR94" s="866"/>
      <c r="DS94" s="866"/>
      <c r="DT94" s="866"/>
      <c r="DU94" s="866"/>
      <c r="DV94" s="866"/>
      <c r="DW94" s="824"/>
      <c r="DX94" s="824"/>
      <c r="DY94" s="824"/>
      <c r="DZ94" s="824"/>
      <c r="EA94" s="824"/>
      <c r="EB94" s="824"/>
      <c r="EC94" s="824"/>
      <c r="ED94" s="824"/>
      <c r="EE94" s="824"/>
      <c r="EF94" s="824"/>
      <c r="EG94" s="826"/>
      <c r="EH94" s="826"/>
      <c r="EI94" s="826"/>
      <c r="EJ94" s="826"/>
      <c r="EK94" s="826"/>
      <c r="EL94" s="826"/>
      <c r="EM94" s="826"/>
      <c r="EN94" s="826"/>
      <c r="EO94" s="826"/>
      <c r="EP94" s="826"/>
      <c r="EQ94" s="826"/>
      <c r="ER94" s="826"/>
      <c r="ES94" s="826"/>
      <c r="ET94" s="826"/>
      <c r="EU94" s="826"/>
      <c r="EV94" s="826"/>
      <c r="EW94" s="826"/>
      <c r="EX94" s="826"/>
      <c r="EY94" s="826"/>
      <c r="EZ94" s="826"/>
      <c r="FA94" s="826"/>
      <c r="FB94" s="826"/>
      <c r="FC94" s="826"/>
      <c r="FD94" s="826"/>
      <c r="FE94" s="867"/>
      <c r="FF94" s="867"/>
      <c r="FG94" s="867"/>
      <c r="FH94" s="867"/>
      <c r="FI94" s="867"/>
      <c r="FJ94" s="867"/>
      <c r="FK94" s="867"/>
      <c r="FL94" s="867"/>
      <c r="FM94" s="867"/>
      <c r="FN94" s="833"/>
      <c r="FO94" s="833"/>
      <c r="FP94" s="833"/>
      <c r="FQ94" s="833"/>
      <c r="FR94" s="833"/>
      <c r="FS94" s="833"/>
      <c r="FT94" s="833"/>
      <c r="FU94" s="833"/>
      <c r="FV94" s="833"/>
      <c r="FW94" s="743"/>
      <c r="FX94" s="744"/>
      <c r="FY94" s="744"/>
      <c r="FZ94" s="744"/>
      <c r="GA94" s="744"/>
      <c r="GB94" s="744"/>
      <c r="GC94" s="744"/>
      <c r="GD94" s="744"/>
      <c r="GE94" s="744"/>
      <c r="GF94" s="744"/>
      <c r="GG94" s="744"/>
      <c r="GH94" s="744"/>
      <c r="GI94" s="744"/>
      <c r="GJ94" s="744"/>
      <c r="GK94" s="744"/>
      <c r="GL94" s="744"/>
      <c r="GM94" s="744"/>
      <c r="GN94" s="744"/>
      <c r="GO94" s="745"/>
      <c r="GP94" s="167"/>
      <c r="GQ94" s="2"/>
      <c r="GR94" s="2"/>
      <c r="GS94" s="2"/>
      <c r="GT94" s="2"/>
      <c r="GU94" s="2"/>
      <c r="GX94" s="249"/>
      <c r="GY94" s="249"/>
      <c r="HF94" s="148"/>
      <c r="HG94" s="148"/>
      <c r="HH94" s="148"/>
      <c r="HI94" s="148"/>
      <c r="HJ94" s="148"/>
      <c r="HK94" s="148"/>
      <c r="HL94" s="148"/>
      <c r="HM94" s="148"/>
      <c r="HN94" s="148"/>
      <c r="HO94" s="148"/>
      <c r="HP94" s="148"/>
      <c r="HQ94" s="148"/>
      <c r="HR94" s="148"/>
      <c r="HS94" s="148"/>
      <c r="HT94" s="148"/>
      <c r="HU94" s="148"/>
      <c r="HV94" s="148"/>
      <c r="IK94" s="241"/>
      <c r="IV94" s="242"/>
      <c r="JG94" s="243"/>
      <c r="JQ94" s="244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97"/>
      <c r="M95" s="250"/>
      <c r="N95" s="788">
        <v>39</v>
      </c>
      <c r="O95" s="788"/>
      <c r="P95" s="788"/>
      <c r="Q95" s="868"/>
      <c r="R95" s="868"/>
      <c r="S95" s="868"/>
      <c r="T95" s="868"/>
      <c r="U95" s="868"/>
      <c r="V95" s="869"/>
      <c r="W95" s="869"/>
      <c r="X95" s="869"/>
      <c r="Y95" s="869"/>
      <c r="Z95" s="869"/>
      <c r="AA95" s="869"/>
      <c r="AB95" s="869"/>
      <c r="AC95" s="869"/>
      <c r="AD95" s="869"/>
      <c r="AE95" s="869"/>
      <c r="AF95" s="869"/>
      <c r="AG95" s="869"/>
      <c r="AH95" s="869"/>
      <c r="AI95" s="869"/>
      <c r="AJ95" s="869"/>
      <c r="AK95" s="869"/>
      <c r="AL95" s="869"/>
      <c r="AM95" s="869"/>
      <c r="AN95" s="869"/>
      <c r="AO95" s="869"/>
      <c r="AP95" s="869"/>
      <c r="AQ95" s="869"/>
      <c r="AR95" s="869"/>
      <c r="AS95" s="869"/>
      <c r="AT95" s="869"/>
      <c r="AU95" s="869"/>
      <c r="AV95" s="869"/>
      <c r="AW95" s="869"/>
      <c r="AX95" s="869"/>
      <c r="AY95" s="869"/>
      <c r="AZ95" s="869"/>
      <c r="BA95" s="869"/>
      <c r="BB95" s="869"/>
      <c r="BC95" s="869"/>
      <c r="BD95" s="869"/>
      <c r="BE95" s="869"/>
      <c r="BF95" s="869"/>
      <c r="BG95" s="869"/>
      <c r="BH95" s="869"/>
      <c r="BI95" s="869"/>
      <c r="BJ95" s="870"/>
      <c r="BK95" s="870"/>
      <c r="BL95" s="870"/>
      <c r="BM95" s="870"/>
      <c r="BN95" s="870"/>
      <c r="BO95" s="870"/>
      <c r="BP95" s="870"/>
      <c r="BQ95" s="870"/>
      <c r="BR95" s="870"/>
      <c r="BS95" s="870"/>
      <c r="BT95" s="871">
        <f>KI_N*BEZ_Hilf_39_Anz</f>
        <v>0</v>
      </c>
      <c r="BU95" s="872"/>
      <c r="BV95" s="872"/>
      <c r="BW95" s="872"/>
      <c r="BX95" s="872"/>
      <c r="BY95" s="872"/>
      <c r="BZ95" s="872"/>
      <c r="CA95" s="872"/>
      <c r="CB95" s="872"/>
      <c r="CC95" s="873"/>
      <c r="CD95" s="874"/>
      <c r="CE95" s="874"/>
      <c r="CF95" s="874"/>
      <c r="CG95" s="874"/>
      <c r="CH95" s="874"/>
      <c r="CI95" s="874"/>
      <c r="CJ95" s="874"/>
      <c r="CK95" s="874"/>
      <c r="CL95" s="874"/>
      <c r="CM95" s="874"/>
      <c r="CN95" s="806"/>
      <c r="CO95" s="806"/>
      <c r="CP95" s="806"/>
      <c r="CQ95" s="806"/>
      <c r="CR95" s="806"/>
      <c r="CS95" s="806"/>
      <c r="CT95" s="806"/>
      <c r="CU95" s="806"/>
      <c r="CV95" s="806"/>
      <c r="CW95" s="806"/>
      <c r="CX95" s="806"/>
      <c r="CY95" s="806"/>
      <c r="CZ95" s="365"/>
      <c r="DA95" s="366"/>
      <c r="DB95" s="367"/>
      <c r="DC95" s="875"/>
      <c r="DD95" s="875"/>
      <c r="DE95" s="875"/>
      <c r="DF95" s="875"/>
      <c r="DG95" s="875"/>
      <c r="DH95" s="875"/>
      <c r="DI95" s="875"/>
      <c r="DJ95" s="875"/>
      <c r="DK95" s="875"/>
      <c r="DL95" s="875"/>
      <c r="DM95" s="866"/>
      <c r="DN95" s="866"/>
      <c r="DO95" s="866"/>
      <c r="DP95" s="866"/>
      <c r="DQ95" s="866"/>
      <c r="DR95" s="866"/>
      <c r="DS95" s="866"/>
      <c r="DT95" s="866"/>
      <c r="DU95" s="866"/>
      <c r="DV95" s="866"/>
      <c r="DW95" s="824">
        <f>BEZ_Hilf_39_EHPreis*(BEZ_Hilf_39_GKZ/100+1)</f>
        <v>0</v>
      </c>
      <c r="DX95" s="824"/>
      <c r="DY95" s="824"/>
      <c r="DZ95" s="824"/>
      <c r="EA95" s="824"/>
      <c r="EB95" s="824"/>
      <c r="EC95" s="824"/>
      <c r="ED95" s="824"/>
      <c r="EE95" s="824"/>
      <c r="EF95" s="824"/>
      <c r="EG95" s="826">
        <f>BEZ_Hilf_39_Anz*BEZ_Hilf_39_EHPreis*((BEZ_Hilf_39_GKZ/100)+1)</f>
        <v>0</v>
      </c>
      <c r="EH95" s="826"/>
      <c r="EI95" s="826"/>
      <c r="EJ95" s="826"/>
      <c r="EK95" s="826"/>
      <c r="EL95" s="826"/>
      <c r="EM95" s="826"/>
      <c r="EN95" s="826"/>
      <c r="EO95" s="826"/>
      <c r="EP95" s="826"/>
      <c r="EQ95" s="826"/>
      <c r="ER95" s="826"/>
      <c r="ES95" s="826"/>
      <c r="ET95" s="826"/>
      <c r="EU95" s="826">
        <f>BEZ_Hilf_39_PreisJeKiste*KI_N</f>
        <v>0</v>
      </c>
      <c r="EV95" s="826"/>
      <c r="EW95" s="826"/>
      <c r="EX95" s="826"/>
      <c r="EY95" s="826"/>
      <c r="EZ95" s="826"/>
      <c r="FA95" s="826"/>
      <c r="FB95" s="826"/>
      <c r="FC95" s="826"/>
      <c r="FD95" s="826"/>
      <c r="FE95" s="867"/>
      <c r="FF95" s="867"/>
      <c r="FG95" s="867"/>
      <c r="FH95" s="867"/>
      <c r="FI95" s="867"/>
      <c r="FJ95" s="867"/>
      <c r="FK95" s="867"/>
      <c r="FL95" s="867"/>
      <c r="FM95" s="867"/>
      <c r="FN95" s="833">
        <f>BEZ_Hilf_39_gJeEH*BEZ_Hilf_39_Anz</f>
        <v>0</v>
      </c>
      <c r="FO95" s="833"/>
      <c r="FP95" s="833"/>
      <c r="FQ95" s="833"/>
      <c r="FR95" s="833"/>
      <c r="FS95" s="833"/>
      <c r="FT95" s="833"/>
      <c r="FU95" s="833"/>
      <c r="FV95" s="833"/>
      <c r="FW95" s="743"/>
      <c r="FX95" s="744"/>
      <c r="FY95" s="744"/>
      <c r="FZ95" s="744"/>
      <c r="GA95" s="744"/>
      <c r="GB95" s="744"/>
      <c r="GC95" s="744"/>
      <c r="GD95" s="744"/>
      <c r="GE95" s="744"/>
      <c r="GF95" s="744"/>
      <c r="GG95" s="744"/>
      <c r="GH95" s="744"/>
      <c r="GI95" s="744"/>
      <c r="GJ95" s="744"/>
      <c r="GK95" s="744"/>
      <c r="GL95" s="744"/>
      <c r="GM95" s="744"/>
      <c r="GN95" s="744"/>
      <c r="GO95" s="745"/>
      <c r="GP95" s="167"/>
      <c r="GQ95" s="351"/>
      <c r="GR95" s="2"/>
      <c r="GS95" s="2"/>
      <c r="GT95" s="2"/>
      <c r="GU95" s="2"/>
      <c r="GX95" s="249"/>
      <c r="GY95" s="249"/>
      <c r="HF95" s="148"/>
      <c r="HG95" s="148"/>
      <c r="HH95" s="148"/>
      <c r="HI95" s="148"/>
      <c r="HJ95" s="148"/>
      <c r="HK95" s="148"/>
      <c r="HL95" s="148"/>
      <c r="HM95" s="148"/>
      <c r="HN95" s="148"/>
      <c r="HO95" s="148"/>
      <c r="HP95" s="148"/>
      <c r="HQ95" s="148"/>
      <c r="HR95" s="148"/>
      <c r="HS95" s="148"/>
      <c r="HT95" s="148"/>
      <c r="HU95" s="148"/>
      <c r="HV95" s="148"/>
      <c r="IK95" s="241"/>
      <c r="IV95" s="242"/>
      <c r="JG95" s="243"/>
      <c r="JQ95" s="244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97"/>
      <c r="M96" s="250"/>
      <c r="N96" s="788"/>
      <c r="O96" s="788"/>
      <c r="P96" s="788"/>
      <c r="Q96" s="868"/>
      <c r="R96" s="868"/>
      <c r="S96" s="868"/>
      <c r="T96" s="868"/>
      <c r="U96" s="868"/>
      <c r="V96" s="869"/>
      <c r="W96" s="869"/>
      <c r="X96" s="869"/>
      <c r="Y96" s="869"/>
      <c r="Z96" s="869"/>
      <c r="AA96" s="869"/>
      <c r="AB96" s="869"/>
      <c r="AC96" s="869"/>
      <c r="AD96" s="869"/>
      <c r="AE96" s="869"/>
      <c r="AF96" s="869"/>
      <c r="AG96" s="869"/>
      <c r="AH96" s="869"/>
      <c r="AI96" s="869"/>
      <c r="AJ96" s="869"/>
      <c r="AK96" s="869"/>
      <c r="AL96" s="869"/>
      <c r="AM96" s="869"/>
      <c r="AN96" s="869"/>
      <c r="AO96" s="869"/>
      <c r="AP96" s="869"/>
      <c r="AQ96" s="869"/>
      <c r="AR96" s="869"/>
      <c r="AS96" s="869"/>
      <c r="AT96" s="869"/>
      <c r="AU96" s="869"/>
      <c r="AV96" s="869"/>
      <c r="AW96" s="869"/>
      <c r="AX96" s="869"/>
      <c r="AY96" s="869"/>
      <c r="AZ96" s="869"/>
      <c r="BA96" s="869"/>
      <c r="BB96" s="869"/>
      <c r="BC96" s="869"/>
      <c r="BD96" s="869"/>
      <c r="BE96" s="869"/>
      <c r="BF96" s="869"/>
      <c r="BG96" s="869"/>
      <c r="BH96" s="869"/>
      <c r="BI96" s="869"/>
      <c r="BJ96" s="870"/>
      <c r="BK96" s="870"/>
      <c r="BL96" s="870"/>
      <c r="BM96" s="870"/>
      <c r="BN96" s="870"/>
      <c r="BO96" s="870"/>
      <c r="BP96" s="870"/>
      <c r="BQ96" s="870"/>
      <c r="BR96" s="870"/>
      <c r="BS96" s="870"/>
      <c r="BT96" s="871"/>
      <c r="BU96" s="872"/>
      <c r="BV96" s="872"/>
      <c r="BW96" s="872"/>
      <c r="BX96" s="872"/>
      <c r="BY96" s="872"/>
      <c r="BZ96" s="872"/>
      <c r="CA96" s="872"/>
      <c r="CB96" s="872"/>
      <c r="CC96" s="873"/>
      <c r="CD96" s="874"/>
      <c r="CE96" s="874"/>
      <c r="CF96" s="874"/>
      <c r="CG96" s="874"/>
      <c r="CH96" s="874"/>
      <c r="CI96" s="874"/>
      <c r="CJ96" s="874"/>
      <c r="CK96" s="874"/>
      <c r="CL96" s="874"/>
      <c r="CM96" s="874"/>
      <c r="CN96" s="806"/>
      <c r="CO96" s="806"/>
      <c r="CP96" s="806"/>
      <c r="CQ96" s="806"/>
      <c r="CR96" s="806"/>
      <c r="CS96" s="806"/>
      <c r="CT96" s="806"/>
      <c r="CU96" s="806"/>
      <c r="CV96" s="806"/>
      <c r="CW96" s="806"/>
      <c r="CX96" s="806"/>
      <c r="CY96" s="806"/>
      <c r="CZ96" s="365"/>
      <c r="DA96" s="366"/>
      <c r="DB96" s="367"/>
      <c r="DC96" s="875"/>
      <c r="DD96" s="875"/>
      <c r="DE96" s="875"/>
      <c r="DF96" s="875"/>
      <c r="DG96" s="875"/>
      <c r="DH96" s="875"/>
      <c r="DI96" s="875"/>
      <c r="DJ96" s="875"/>
      <c r="DK96" s="875"/>
      <c r="DL96" s="875"/>
      <c r="DM96" s="866"/>
      <c r="DN96" s="866"/>
      <c r="DO96" s="866"/>
      <c r="DP96" s="866"/>
      <c r="DQ96" s="866"/>
      <c r="DR96" s="866"/>
      <c r="DS96" s="866"/>
      <c r="DT96" s="866"/>
      <c r="DU96" s="866"/>
      <c r="DV96" s="866"/>
      <c r="DW96" s="824"/>
      <c r="DX96" s="824"/>
      <c r="DY96" s="824"/>
      <c r="DZ96" s="824"/>
      <c r="EA96" s="824"/>
      <c r="EB96" s="824"/>
      <c r="EC96" s="824"/>
      <c r="ED96" s="824"/>
      <c r="EE96" s="824"/>
      <c r="EF96" s="824"/>
      <c r="EG96" s="826"/>
      <c r="EH96" s="826"/>
      <c r="EI96" s="826"/>
      <c r="EJ96" s="826"/>
      <c r="EK96" s="826"/>
      <c r="EL96" s="826"/>
      <c r="EM96" s="826"/>
      <c r="EN96" s="826"/>
      <c r="EO96" s="826"/>
      <c r="EP96" s="826"/>
      <c r="EQ96" s="826"/>
      <c r="ER96" s="826"/>
      <c r="ES96" s="826"/>
      <c r="ET96" s="826"/>
      <c r="EU96" s="826"/>
      <c r="EV96" s="826"/>
      <c r="EW96" s="826"/>
      <c r="EX96" s="826"/>
      <c r="EY96" s="826"/>
      <c r="EZ96" s="826"/>
      <c r="FA96" s="826"/>
      <c r="FB96" s="826"/>
      <c r="FC96" s="826"/>
      <c r="FD96" s="826"/>
      <c r="FE96" s="867"/>
      <c r="FF96" s="867"/>
      <c r="FG96" s="867"/>
      <c r="FH96" s="867"/>
      <c r="FI96" s="867"/>
      <c r="FJ96" s="867"/>
      <c r="FK96" s="867"/>
      <c r="FL96" s="867"/>
      <c r="FM96" s="867"/>
      <c r="FN96" s="833"/>
      <c r="FO96" s="833"/>
      <c r="FP96" s="833"/>
      <c r="FQ96" s="833"/>
      <c r="FR96" s="833"/>
      <c r="FS96" s="833"/>
      <c r="FT96" s="833"/>
      <c r="FU96" s="833"/>
      <c r="FV96" s="833"/>
      <c r="FW96" s="743"/>
      <c r="FX96" s="744"/>
      <c r="FY96" s="744"/>
      <c r="FZ96" s="744"/>
      <c r="GA96" s="744"/>
      <c r="GB96" s="744"/>
      <c r="GC96" s="744"/>
      <c r="GD96" s="744"/>
      <c r="GE96" s="744"/>
      <c r="GF96" s="744"/>
      <c r="GG96" s="744"/>
      <c r="GH96" s="744"/>
      <c r="GI96" s="744"/>
      <c r="GJ96" s="744"/>
      <c r="GK96" s="744"/>
      <c r="GL96" s="744"/>
      <c r="GM96" s="744"/>
      <c r="GN96" s="744"/>
      <c r="GO96" s="745"/>
      <c r="GP96" s="167"/>
      <c r="GQ96" s="2"/>
      <c r="GR96" s="2"/>
      <c r="GS96" s="2"/>
      <c r="GT96" s="2"/>
      <c r="GU96" s="2"/>
      <c r="GX96" s="249"/>
      <c r="GY96" s="249"/>
      <c r="HF96" s="148"/>
      <c r="HG96" s="148"/>
      <c r="HH96" s="148"/>
      <c r="HI96" s="148"/>
      <c r="HJ96" s="148"/>
      <c r="HK96" s="148"/>
      <c r="HL96" s="148"/>
      <c r="HM96" s="148"/>
      <c r="HN96" s="148"/>
      <c r="HO96" s="148"/>
      <c r="HP96" s="148"/>
      <c r="HQ96" s="148"/>
      <c r="HR96" s="148"/>
      <c r="HS96" s="148"/>
      <c r="HT96" s="148"/>
      <c r="HU96" s="148"/>
      <c r="HV96" s="148"/>
      <c r="IK96" s="241"/>
      <c r="IV96" s="242"/>
      <c r="JG96" s="243"/>
      <c r="JQ96" s="244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97"/>
      <c r="M97" s="250"/>
      <c r="N97" s="788">
        <v>40</v>
      </c>
      <c r="O97" s="788"/>
      <c r="P97" s="788"/>
      <c r="Q97" s="868"/>
      <c r="R97" s="868"/>
      <c r="S97" s="868"/>
      <c r="T97" s="868"/>
      <c r="U97" s="868"/>
      <c r="V97" s="869"/>
      <c r="W97" s="869"/>
      <c r="X97" s="869"/>
      <c r="Y97" s="869"/>
      <c r="Z97" s="869"/>
      <c r="AA97" s="869"/>
      <c r="AB97" s="869"/>
      <c r="AC97" s="869"/>
      <c r="AD97" s="869"/>
      <c r="AE97" s="869"/>
      <c r="AF97" s="869"/>
      <c r="AG97" s="869"/>
      <c r="AH97" s="869"/>
      <c r="AI97" s="869"/>
      <c r="AJ97" s="869"/>
      <c r="AK97" s="869"/>
      <c r="AL97" s="869"/>
      <c r="AM97" s="869"/>
      <c r="AN97" s="869"/>
      <c r="AO97" s="869"/>
      <c r="AP97" s="869"/>
      <c r="AQ97" s="869"/>
      <c r="AR97" s="869"/>
      <c r="AS97" s="869"/>
      <c r="AT97" s="869"/>
      <c r="AU97" s="869"/>
      <c r="AV97" s="869"/>
      <c r="AW97" s="869"/>
      <c r="AX97" s="869"/>
      <c r="AY97" s="869"/>
      <c r="AZ97" s="869"/>
      <c r="BA97" s="869"/>
      <c r="BB97" s="869"/>
      <c r="BC97" s="869"/>
      <c r="BD97" s="869"/>
      <c r="BE97" s="869"/>
      <c r="BF97" s="869"/>
      <c r="BG97" s="869"/>
      <c r="BH97" s="869"/>
      <c r="BI97" s="869"/>
      <c r="BJ97" s="870"/>
      <c r="BK97" s="870"/>
      <c r="BL97" s="870"/>
      <c r="BM97" s="870"/>
      <c r="BN97" s="870"/>
      <c r="BO97" s="870"/>
      <c r="BP97" s="870"/>
      <c r="BQ97" s="870"/>
      <c r="BR97" s="870"/>
      <c r="BS97" s="870"/>
      <c r="BT97" s="871">
        <f>KI_N*BEZ_Hilf_40_Anz</f>
        <v>0</v>
      </c>
      <c r="BU97" s="872"/>
      <c r="BV97" s="872"/>
      <c r="BW97" s="872"/>
      <c r="BX97" s="872"/>
      <c r="BY97" s="872"/>
      <c r="BZ97" s="872"/>
      <c r="CA97" s="872"/>
      <c r="CB97" s="872"/>
      <c r="CC97" s="873"/>
      <c r="CD97" s="874"/>
      <c r="CE97" s="874"/>
      <c r="CF97" s="874"/>
      <c r="CG97" s="874"/>
      <c r="CH97" s="874"/>
      <c r="CI97" s="874"/>
      <c r="CJ97" s="874"/>
      <c r="CK97" s="874"/>
      <c r="CL97" s="874"/>
      <c r="CM97" s="874"/>
      <c r="CN97" s="806"/>
      <c r="CO97" s="806"/>
      <c r="CP97" s="806"/>
      <c r="CQ97" s="806"/>
      <c r="CR97" s="806"/>
      <c r="CS97" s="806"/>
      <c r="CT97" s="806"/>
      <c r="CU97" s="806"/>
      <c r="CV97" s="806"/>
      <c r="CW97" s="806"/>
      <c r="CX97" s="806"/>
      <c r="CY97" s="806"/>
      <c r="CZ97" s="365"/>
      <c r="DA97" s="366"/>
      <c r="DB97" s="367"/>
      <c r="DC97" s="875"/>
      <c r="DD97" s="875"/>
      <c r="DE97" s="875"/>
      <c r="DF97" s="875"/>
      <c r="DG97" s="875"/>
      <c r="DH97" s="875"/>
      <c r="DI97" s="875"/>
      <c r="DJ97" s="875"/>
      <c r="DK97" s="875"/>
      <c r="DL97" s="875"/>
      <c r="DM97" s="866"/>
      <c r="DN97" s="866"/>
      <c r="DO97" s="866"/>
      <c r="DP97" s="866"/>
      <c r="DQ97" s="866"/>
      <c r="DR97" s="866"/>
      <c r="DS97" s="866"/>
      <c r="DT97" s="866"/>
      <c r="DU97" s="866"/>
      <c r="DV97" s="866"/>
      <c r="DW97" s="824">
        <f>BEZ_Hilf_40_EHPreis*(BEZ_Hilf_40_GKZ/100+1)</f>
        <v>0</v>
      </c>
      <c r="DX97" s="824"/>
      <c r="DY97" s="824"/>
      <c r="DZ97" s="824"/>
      <c r="EA97" s="824"/>
      <c r="EB97" s="824"/>
      <c r="EC97" s="824"/>
      <c r="ED97" s="824"/>
      <c r="EE97" s="824"/>
      <c r="EF97" s="824"/>
      <c r="EG97" s="826">
        <f>BEZ_Hilf_40_Anz*BEZ_Hilf_40_EHPreis*((BEZ_Hilf_40_GKZ/100)+1)</f>
        <v>0</v>
      </c>
      <c r="EH97" s="826"/>
      <c r="EI97" s="826"/>
      <c r="EJ97" s="826"/>
      <c r="EK97" s="826"/>
      <c r="EL97" s="826"/>
      <c r="EM97" s="826"/>
      <c r="EN97" s="826"/>
      <c r="EO97" s="826"/>
      <c r="EP97" s="826"/>
      <c r="EQ97" s="826"/>
      <c r="ER97" s="826"/>
      <c r="ES97" s="826"/>
      <c r="ET97" s="826"/>
      <c r="EU97" s="826">
        <f>BEZ_Hilf_40_PreisJeKiste*KI_N</f>
        <v>0</v>
      </c>
      <c r="EV97" s="826"/>
      <c r="EW97" s="826"/>
      <c r="EX97" s="826"/>
      <c r="EY97" s="826"/>
      <c r="EZ97" s="826"/>
      <c r="FA97" s="826"/>
      <c r="FB97" s="826"/>
      <c r="FC97" s="826"/>
      <c r="FD97" s="826"/>
      <c r="FE97" s="867"/>
      <c r="FF97" s="867"/>
      <c r="FG97" s="867"/>
      <c r="FH97" s="867"/>
      <c r="FI97" s="867"/>
      <c r="FJ97" s="867"/>
      <c r="FK97" s="867"/>
      <c r="FL97" s="867"/>
      <c r="FM97" s="867"/>
      <c r="FN97" s="833">
        <f>BEZ_Hilf_40_gJeEH*BEZ_Hilf_40_Anz</f>
        <v>0</v>
      </c>
      <c r="FO97" s="833"/>
      <c r="FP97" s="833"/>
      <c r="FQ97" s="833"/>
      <c r="FR97" s="833"/>
      <c r="FS97" s="833"/>
      <c r="FT97" s="833"/>
      <c r="FU97" s="833"/>
      <c r="FV97" s="833"/>
      <c r="FW97" s="743"/>
      <c r="FX97" s="744"/>
      <c r="FY97" s="744"/>
      <c r="FZ97" s="744"/>
      <c r="GA97" s="744"/>
      <c r="GB97" s="744"/>
      <c r="GC97" s="744"/>
      <c r="GD97" s="744"/>
      <c r="GE97" s="744"/>
      <c r="GF97" s="744"/>
      <c r="GG97" s="744"/>
      <c r="GH97" s="744"/>
      <c r="GI97" s="744"/>
      <c r="GJ97" s="744"/>
      <c r="GK97" s="744"/>
      <c r="GL97" s="744"/>
      <c r="GM97" s="744"/>
      <c r="GN97" s="744"/>
      <c r="GO97" s="745"/>
      <c r="GP97" s="167"/>
      <c r="GQ97" s="351"/>
      <c r="GR97" s="2"/>
      <c r="GS97" s="2"/>
      <c r="GT97" s="2"/>
      <c r="GU97" s="2"/>
      <c r="GX97" s="249"/>
      <c r="GY97" s="249"/>
      <c r="HF97" s="148"/>
      <c r="HG97" s="148"/>
      <c r="HH97" s="148"/>
      <c r="HI97" s="148"/>
      <c r="HJ97" s="148"/>
      <c r="HK97" s="148"/>
      <c r="HL97" s="148"/>
      <c r="HM97" s="148"/>
      <c r="HN97" s="148"/>
      <c r="HO97" s="148"/>
      <c r="HP97" s="148"/>
      <c r="HQ97" s="148"/>
      <c r="HR97" s="148"/>
      <c r="HS97" s="148"/>
      <c r="HT97" s="148"/>
      <c r="HU97" s="148"/>
      <c r="HV97" s="148"/>
      <c r="IK97" s="241"/>
      <c r="IV97" s="242"/>
      <c r="JG97" s="243"/>
      <c r="JQ97" s="244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97"/>
      <c r="M98" s="250"/>
      <c r="N98" s="879"/>
      <c r="O98" s="879"/>
      <c r="P98" s="879"/>
      <c r="Q98" s="880"/>
      <c r="R98" s="880"/>
      <c r="S98" s="880"/>
      <c r="T98" s="880"/>
      <c r="U98" s="880"/>
      <c r="V98" s="881"/>
      <c r="W98" s="881"/>
      <c r="X98" s="881"/>
      <c r="Y98" s="881"/>
      <c r="Z98" s="881"/>
      <c r="AA98" s="881"/>
      <c r="AB98" s="881"/>
      <c r="AC98" s="881"/>
      <c r="AD98" s="881"/>
      <c r="AE98" s="881"/>
      <c r="AF98" s="881"/>
      <c r="AG98" s="881"/>
      <c r="AH98" s="881"/>
      <c r="AI98" s="881"/>
      <c r="AJ98" s="881"/>
      <c r="AK98" s="881"/>
      <c r="AL98" s="881"/>
      <c r="AM98" s="881"/>
      <c r="AN98" s="881"/>
      <c r="AO98" s="881"/>
      <c r="AP98" s="881"/>
      <c r="AQ98" s="881"/>
      <c r="AR98" s="881"/>
      <c r="AS98" s="881"/>
      <c r="AT98" s="881"/>
      <c r="AU98" s="881"/>
      <c r="AV98" s="881"/>
      <c r="AW98" s="881"/>
      <c r="AX98" s="881"/>
      <c r="AY98" s="881"/>
      <c r="AZ98" s="881"/>
      <c r="BA98" s="881"/>
      <c r="BB98" s="881"/>
      <c r="BC98" s="881"/>
      <c r="BD98" s="881"/>
      <c r="BE98" s="881"/>
      <c r="BF98" s="881"/>
      <c r="BG98" s="881"/>
      <c r="BH98" s="881"/>
      <c r="BI98" s="881"/>
      <c r="BJ98" s="882"/>
      <c r="BK98" s="882"/>
      <c r="BL98" s="882"/>
      <c r="BM98" s="882"/>
      <c r="BN98" s="882"/>
      <c r="BO98" s="882"/>
      <c r="BP98" s="882"/>
      <c r="BQ98" s="882"/>
      <c r="BR98" s="882"/>
      <c r="BS98" s="882"/>
      <c r="BT98" s="883"/>
      <c r="BU98" s="884"/>
      <c r="BV98" s="884"/>
      <c r="BW98" s="884"/>
      <c r="BX98" s="884"/>
      <c r="BY98" s="884"/>
      <c r="BZ98" s="884"/>
      <c r="CA98" s="884"/>
      <c r="CB98" s="884"/>
      <c r="CC98" s="885"/>
      <c r="CD98" s="886"/>
      <c r="CE98" s="886"/>
      <c r="CF98" s="886"/>
      <c r="CG98" s="886"/>
      <c r="CH98" s="886"/>
      <c r="CI98" s="886"/>
      <c r="CJ98" s="886"/>
      <c r="CK98" s="886"/>
      <c r="CL98" s="886"/>
      <c r="CM98" s="886"/>
      <c r="CN98" s="887"/>
      <c r="CO98" s="887"/>
      <c r="CP98" s="887"/>
      <c r="CQ98" s="887"/>
      <c r="CR98" s="887"/>
      <c r="CS98" s="887"/>
      <c r="CT98" s="887"/>
      <c r="CU98" s="887"/>
      <c r="CV98" s="887"/>
      <c r="CW98" s="887"/>
      <c r="CX98" s="887"/>
      <c r="CY98" s="887"/>
      <c r="CZ98" s="368"/>
      <c r="DA98" s="369"/>
      <c r="DB98" s="370"/>
      <c r="DC98" s="888"/>
      <c r="DD98" s="888"/>
      <c r="DE98" s="888"/>
      <c r="DF98" s="888"/>
      <c r="DG98" s="888"/>
      <c r="DH98" s="888"/>
      <c r="DI98" s="888"/>
      <c r="DJ98" s="888"/>
      <c r="DK98" s="888"/>
      <c r="DL98" s="888"/>
      <c r="DM98" s="876"/>
      <c r="DN98" s="876"/>
      <c r="DO98" s="876"/>
      <c r="DP98" s="876"/>
      <c r="DQ98" s="876"/>
      <c r="DR98" s="876"/>
      <c r="DS98" s="876"/>
      <c r="DT98" s="876"/>
      <c r="DU98" s="876"/>
      <c r="DV98" s="876"/>
      <c r="DW98" s="824"/>
      <c r="DX98" s="824"/>
      <c r="DY98" s="824"/>
      <c r="DZ98" s="824"/>
      <c r="EA98" s="824"/>
      <c r="EB98" s="824"/>
      <c r="EC98" s="824"/>
      <c r="ED98" s="824"/>
      <c r="EE98" s="824"/>
      <c r="EF98" s="824"/>
      <c r="EG98" s="877"/>
      <c r="EH98" s="877"/>
      <c r="EI98" s="877"/>
      <c r="EJ98" s="877"/>
      <c r="EK98" s="877"/>
      <c r="EL98" s="877"/>
      <c r="EM98" s="877"/>
      <c r="EN98" s="877"/>
      <c r="EO98" s="877"/>
      <c r="EP98" s="877"/>
      <c r="EQ98" s="877"/>
      <c r="ER98" s="877"/>
      <c r="ES98" s="877"/>
      <c r="ET98" s="877"/>
      <c r="EU98" s="877"/>
      <c r="EV98" s="877"/>
      <c r="EW98" s="877"/>
      <c r="EX98" s="877"/>
      <c r="EY98" s="877"/>
      <c r="EZ98" s="877"/>
      <c r="FA98" s="877"/>
      <c r="FB98" s="877"/>
      <c r="FC98" s="877"/>
      <c r="FD98" s="877"/>
      <c r="FE98" s="878"/>
      <c r="FF98" s="878"/>
      <c r="FG98" s="878"/>
      <c r="FH98" s="878"/>
      <c r="FI98" s="878"/>
      <c r="FJ98" s="878"/>
      <c r="FK98" s="878"/>
      <c r="FL98" s="878"/>
      <c r="FM98" s="878"/>
      <c r="FN98" s="833"/>
      <c r="FO98" s="833"/>
      <c r="FP98" s="833"/>
      <c r="FQ98" s="833"/>
      <c r="FR98" s="833"/>
      <c r="FS98" s="833"/>
      <c r="FT98" s="833"/>
      <c r="FU98" s="833"/>
      <c r="FV98" s="833"/>
      <c r="FW98" s="746"/>
      <c r="FX98" s="747"/>
      <c r="FY98" s="747"/>
      <c r="FZ98" s="747"/>
      <c r="GA98" s="747"/>
      <c r="GB98" s="747"/>
      <c r="GC98" s="747"/>
      <c r="GD98" s="747"/>
      <c r="GE98" s="747"/>
      <c r="GF98" s="747"/>
      <c r="GG98" s="747"/>
      <c r="GH98" s="747"/>
      <c r="GI98" s="747"/>
      <c r="GJ98" s="747"/>
      <c r="GK98" s="747"/>
      <c r="GL98" s="747"/>
      <c r="GM98" s="747"/>
      <c r="GN98" s="747"/>
      <c r="GO98" s="748"/>
      <c r="GP98" s="167"/>
      <c r="GQ98" s="2"/>
      <c r="GR98" s="2"/>
      <c r="GS98" s="2"/>
      <c r="GT98" s="2"/>
      <c r="GU98" s="2"/>
      <c r="GX98" s="249"/>
      <c r="GY98" s="249"/>
      <c r="HF98" s="148"/>
      <c r="HG98" s="148"/>
      <c r="HH98" s="148"/>
      <c r="HI98" s="148"/>
      <c r="HJ98" s="148"/>
      <c r="HK98" s="148"/>
      <c r="HL98" s="148"/>
      <c r="HM98" s="148"/>
      <c r="HN98" s="148"/>
      <c r="HO98" s="148"/>
      <c r="HP98" s="148"/>
      <c r="HQ98" s="148"/>
      <c r="HR98" s="148"/>
      <c r="HS98" s="148"/>
      <c r="HT98" s="148"/>
      <c r="HU98" s="148"/>
      <c r="HV98" s="148"/>
      <c r="IK98" s="241"/>
      <c r="IV98" s="242"/>
      <c r="JG98" s="243"/>
      <c r="JQ98" s="244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98"/>
      <c r="M99" s="224"/>
      <c r="N99" s="224"/>
      <c r="O99" s="225"/>
      <c r="P99" s="225"/>
      <c r="Q99" s="225"/>
      <c r="R99" s="225"/>
      <c r="S99" s="225"/>
      <c r="T99" s="225"/>
      <c r="U99" s="225"/>
      <c r="V99" s="225"/>
      <c r="W99" s="225"/>
      <c r="X99" s="225"/>
      <c r="Y99" s="225"/>
      <c r="Z99" s="225"/>
      <c r="AA99" s="225"/>
      <c r="AB99" s="225"/>
      <c r="AC99" s="225"/>
      <c r="AD99" s="225"/>
      <c r="AE99" s="225"/>
      <c r="AF99" s="225"/>
      <c r="AG99" s="225"/>
      <c r="AH99" s="225"/>
      <c r="AI99" s="225"/>
      <c r="AJ99" s="225"/>
      <c r="AK99" s="225"/>
      <c r="AL99" s="225"/>
      <c r="AM99" s="225"/>
      <c r="AN99" s="225"/>
      <c r="AO99" s="225"/>
      <c r="AP99" s="225"/>
      <c r="AQ99" s="225"/>
      <c r="AR99" s="225"/>
      <c r="AS99" s="225"/>
      <c r="AT99" s="225"/>
      <c r="AU99" s="225"/>
      <c r="AV99" s="225"/>
      <c r="AW99" s="225"/>
      <c r="AX99" s="225"/>
      <c r="AY99" s="225"/>
      <c r="AZ99" s="225"/>
      <c r="BA99" s="225"/>
      <c r="BB99" s="225"/>
      <c r="BC99" s="225"/>
      <c r="BD99" s="225"/>
      <c r="BE99" s="225"/>
      <c r="BF99" s="225"/>
      <c r="BG99" s="225"/>
      <c r="BH99" s="225"/>
      <c r="BI99" s="225"/>
      <c r="BJ99" s="225"/>
      <c r="BK99" s="225"/>
      <c r="BL99" s="225"/>
      <c r="BM99" s="225"/>
      <c r="BN99" s="225"/>
      <c r="BO99" s="225"/>
      <c r="BP99" s="225"/>
      <c r="BQ99" s="225"/>
      <c r="BR99" s="225"/>
      <c r="BS99" s="225"/>
      <c r="BT99" s="225"/>
      <c r="BU99" s="225"/>
      <c r="BV99" s="225"/>
      <c r="BW99" s="225"/>
      <c r="BX99" s="225"/>
      <c r="BY99" s="225"/>
      <c r="BZ99" s="225"/>
      <c r="CA99" s="225"/>
      <c r="CB99" s="225"/>
      <c r="CC99" s="225"/>
      <c r="CD99" s="225"/>
      <c r="CE99" s="225"/>
      <c r="CF99" s="225"/>
      <c r="CG99" s="225"/>
      <c r="CH99" s="225"/>
      <c r="CI99" s="225"/>
      <c r="CJ99" s="225"/>
      <c r="CK99" s="225"/>
      <c r="CL99" s="225"/>
      <c r="CM99" s="225"/>
      <c r="CN99" s="225"/>
      <c r="CO99" s="225"/>
      <c r="CP99" s="225"/>
      <c r="CQ99" s="225"/>
      <c r="CR99" s="225"/>
      <c r="CS99" s="225"/>
      <c r="CT99" s="225"/>
      <c r="CU99" s="225"/>
      <c r="CV99" s="225"/>
      <c r="CW99" s="225"/>
      <c r="CX99" s="225"/>
      <c r="CY99" s="225"/>
      <c r="CZ99" s="225"/>
      <c r="DA99" s="225"/>
      <c r="DB99" s="225"/>
      <c r="DC99" s="225"/>
      <c r="DD99" s="225"/>
      <c r="DE99" s="225"/>
      <c r="DF99" s="225"/>
      <c r="DG99" s="225"/>
      <c r="DH99" s="225"/>
      <c r="DI99" s="225"/>
      <c r="DJ99" s="225"/>
      <c r="DK99" s="225"/>
      <c r="DL99" s="225"/>
      <c r="DM99" s="225"/>
      <c r="DN99" s="225"/>
      <c r="DO99" s="225"/>
      <c r="DP99" s="225"/>
      <c r="DQ99" s="225"/>
      <c r="DR99" s="225"/>
      <c r="DS99" s="225"/>
      <c r="DT99" s="225"/>
      <c r="DU99" s="225"/>
      <c r="DV99" s="225"/>
      <c r="DW99" s="225"/>
      <c r="DX99" s="225"/>
      <c r="DY99" s="225"/>
      <c r="DZ99" s="225"/>
      <c r="EA99" s="225"/>
      <c r="EB99" s="225"/>
      <c r="EC99" s="225"/>
      <c r="ED99" s="225"/>
      <c r="EE99" s="225"/>
      <c r="EF99" s="225"/>
      <c r="EG99" s="225"/>
      <c r="EH99" s="225"/>
      <c r="EI99" s="225"/>
      <c r="EJ99" s="225"/>
      <c r="EK99" s="251"/>
      <c r="EL99" s="225"/>
      <c r="EM99" s="225"/>
      <c r="EN99" s="225"/>
      <c r="EO99" s="225"/>
      <c r="EP99" s="225"/>
      <c r="EQ99" s="225"/>
      <c r="ER99" s="225"/>
      <c r="ES99" s="225"/>
      <c r="ET99" s="225"/>
      <c r="EU99" s="225"/>
      <c r="EV99" s="225"/>
      <c r="EW99" s="225"/>
      <c r="EX99" s="225"/>
      <c r="EY99" s="225"/>
      <c r="EZ99" s="225"/>
      <c r="FA99" s="225"/>
      <c r="FB99" s="225"/>
      <c r="FC99" s="225"/>
      <c r="FD99" s="225"/>
      <c r="FE99" s="225"/>
      <c r="FF99" s="225"/>
      <c r="FG99" s="225"/>
      <c r="FH99" s="225"/>
      <c r="FI99" s="225"/>
      <c r="FJ99" s="225"/>
      <c r="FK99" s="225"/>
      <c r="FL99" s="225"/>
      <c r="FM99" s="225"/>
      <c r="FN99" s="225"/>
      <c r="FO99" s="225"/>
      <c r="FP99" s="225"/>
      <c r="FQ99" s="225"/>
      <c r="FR99" s="225"/>
      <c r="FS99" s="225"/>
      <c r="FT99" s="225"/>
      <c r="FU99" s="225"/>
      <c r="FV99" s="225"/>
      <c r="FW99" s="225"/>
      <c r="FX99" s="225"/>
      <c r="FY99" s="225"/>
      <c r="FZ99" s="225"/>
      <c r="GA99" s="225"/>
      <c r="GB99" s="225"/>
      <c r="GC99" s="225"/>
      <c r="GD99" s="225"/>
      <c r="GE99" s="225"/>
      <c r="GF99" s="225"/>
      <c r="GG99" s="225"/>
      <c r="GH99" s="225"/>
      <c r="GI99" s="225"/>
      <c r="GJ99" s="225"/>
      <c r="GK99" s="225"/>
      <c r="GL99" s="225"/>
      <c r="GM99" s="225"/>
      <c r="GN99" s="225"/>
      <c r="GO99" s="225"/>
      <c r="GP99" s="225"/>
      <c r="GQ99" s="12"/>
      <c r="GR99" s="2"/>
      <c r="GS99" s="2"/>
      <c r="GT99" s="2"/>
      <c r="GU99" s="2"/>
      <c r="GV99" s="167"/>
      <c r="GW99" s="167"/>
      <c r="GX99" s="167"/>
      <c r="HF99" s="148"/>
      <c r="HG99" s="148"/>
      <c r="HH99" s="148"/>
      <c r="HI99" s="148"/>
      <c r="HJ99" s="148"/>
      <c r="HK99" s="148"/>
      <c r="HL99" s="148"/>
      <c r="HM99" s="148"/>
      <c r="HN99" s="148"/>
      <c r="HO99" s="148"/>
      <c r="HP99" s="148"/>
      <c r="HQ99" s="148"/>
      <c r="HR99" s="148"/>
      <c r="HS99" s="148"/>
      <c r="HT99" s="148"/>
      <c r="HU99" s="148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4"/>
      <c r="M100" s="65"/>
      <c r="N100" s="66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107"/>
      <c r="GQ100" s="12"/>
      <c r="GR100" s="2"/>
      <c r="GS100" s="2"/>
      <c r="GT100" s="2"/>
      <c r="GU100" s="2"/>
      <c r="HF100" s="148"/>
      <c r="HG100" s="148"/>
      <c r="HH100" s="148"/>
      <c r="HI100" s="148"/>
      <c r="HJ100" s="148"/>
      <c r="HK100" s="148"/>
      <c r="HL100" s="148"/>
      <c r="HM100" s="148"/>
      <c r="HN100" s="148"/>
      <c r="HO100" s="148"/>
      <c r="HP100" s="148"/>
      <c r="HQ100" s="148"/>
      <c r="HR100" s="148"/>
      <c r="HS100" s="148"/>
      <c r="HT100" s="148"/>
      <c r="HU100" s="148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6"/>
      <c r="M101" s="66"/>
      <c r="N101" s="66"/>
      <c r="O101" s="2"/>
      <c r="P101" s="2"/>
      <c r="Q101" s="2"/>
      <c r="R101" s="66"/>
      <c r="S101" s="66"/>
      <c r="T101" s="2"/>
      <c r="U101" s="2"/>
      <c r="V101" s="252"/>
      <c r="W101" s="252"/>
      <c r="X101" s="252"/>
      <c r="Y101" s="252"/>
      <c r="Z101" s="252"/>
      <c r="AA101" s="252"/>
      <c r="AB101" s="252"/>
      <c r="AC101" s="252"/>
      <c r="AD101" s="252"/>
      <c r="AE101" s="252"/>
      <c r="AF101" s="252"/>
      <c r="AG101" s="253"/>
      <c r="AH101" s="252"/>
      <c r="AI101" s="252"/>
      <c r="AJ101" s="252"/>
      <c r="AK101" s="254"/>
      <c r="AL101" s="252"/>
      <c r="AM101" s="252"/>
      <c r="AN101" s="252"/>
      <c r="AO101" s="252"/>
      <c r="AP101" s="252"/>
      <c r="AQ101" s="252"/>
      <c r="AR101" s="252"/>
      <c r="AS101" s="252"/>
      <c r="AT101" s="252"/>
      <c r="AU101" s="252"/>
      <c r="AV101" s="252"/>
      <c r="AW101" s="252"/>
      <c r="AX101" s="252"/>
      <c r="AY101" s="252"/>
      <c r="AZ101" s="252"/>
      <c r="BA101" s="252"/>
      <c r="BB101" s="252"/>
      <c r="BC101" s="252"/>
      <c r="BD101" s="253"/>
      <c r="BE101" s="255"/>
      <c r="BF101" s="255"/>
      <c r="BG101" s="255"/>
      <c r="BH101" s="255"/>
      <c r="BI101" s="254"/>
      <c r="BJ101" s="255"/>
      <c r="BK101" s="255"/>
      <c r="BL101" s="255"/>
      <c r="BM101" s="255"/>
      <c r="BN101" s="255"/>
      <c r="BO101" s="894" t="s">
        <v>303</v>
      </c>
      <c r="BP101" s="894"/>
      <c r="BQ101" s="894"/>
      <c r="BR101" s="894"/>
      <c r="BS101" s="894"/>
      <c r="BT101" s="894"/>
      <c r="BU101" s="894"/>
      <c r="BV101" s="894"/>
      <c r="BW101" s="894"/>
      <c r="BX101" s="894"/>
      <c r="BY101" s="894"/>
      <c r="BZ101" s="894"/>
      <c r="CA101" s="894"/>
      <c r="CB101" s="894"/>
      <c r="CC101" s="894"/>
      <c r="CD101" s="894"/>
      <c r="CE101" s="894"/>
      <c r="CF101" s="894"/>
      <c r="CG101" s="894"/>
      <c r="CH101" s="889" t="s">
        <v>76</v>
      </c>
      <c r="CI101" s="890"/>
      <c r="CJ101" s="890"/>
      <c r="CK101" s="890"/>
      <c r="CL101" s="890"/>
      <c r="CM101" s="890"/>
      <c r="CN101" s="890"/>
      <c r="CO101" s="890"/>
      <c r="CP101" s="890"/>
      <c r="CQ101" s="890"/>
      <c r="CR101" s="890"/>
      <c r="CS101" s="890"/>
      <c r="CT101" s="890"/>
      <c r="CU101" s="890"/>
      <c r="CV101" s="890"/>
      <c r="CW101" s="891"/>
      <c r="CX101" s="70"/>
      <c r="CY101" s="70"/>
      <c r="CZ101" s="68"/>
      <c r="DA101" s="71"/>
      <c r="DB101" s="71"/>
      <c r="DC101" s="71"/>
      <c r="DD101" s="71"/>
      <c r="DE101" s="71"/>
      <c r="DF101" s="71"/>
      <c r="DG101" s="71"/>
      <c r="DH101" s="72"/>
      <c r="DI101" s="73"/>
      <c r="DJ101" s="73"/>
      <c r="DK101" s="73"/>
      <c r="DL101" s="73"/>
      <c r="DM101" s="73"/>
      <c r="DN101" s="71"/>
      <c r="DO101" s="71"/>
      <c r="DP101" s="71"/>
      <c r="DQ101" s="71"/>
      <c r="DR101" s="71"/>
      <c r="DS101" s="71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6"/>
      <c r="M102" s="66"/>
      <c r="N102" s="66"/>
      <c r="O102" s="66"/>
      <c r="P102" s="67"/>
      <c r="Q102" s="66"/>
      <c r="R102" s="66"/>
      <c r="S102" s="66"/>
      <c r="T102" s="66"/>
      <c r="U102" s="67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8"/>
      <c r="AH102" s="66"/>
      <c r="AI102" s="66"/>
      <c r="AJ102" s="66"/>
      <c r="AK102" s="67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68"/>
      <c r="BE102" s="69"/>
      <c r="BF102" s="69"/>
      <c r="BG102" s="69"/>
      <c r="BH102" s="69"/>
      <c r="BI102" s="67"/>
      <c r="BJ102" s="69"/>
      <c r="BK102" s="69"/>
      <c r="BL102" s="69"/>
      <c r="BM102" s="69"/>
      <c r="BN102" s="69"/>
      <c r="BO102" s="894"/>
      <c r="BP102" s="894"/>
      <c r="BQ102" s="894"/>
      <c r="BR102" s="894"/>
      <c r="BS102" s="894"/>
      <c r="BT102" s="894"/>
      <c r="BU102" s="894"/>
      <c r="BV102" s="894"/>
      <c r="BW102" s="894"/>
      <c r="BX102" s="894"/>
      <c r="BY102" s="894"/>
      <c r="BZ102" s="894"/>
      <c r="CA102" s="894"/>
      <c r="CB102" s="894"/>
      <c r="CC102" s="894"/>
      <c r="CD102" s="894"/>
      <c r="CE102" s="894"/>
      <c r="CF102" s="894"/>
      <c r="CG102" s="894"/>
      <c r="CH102" s="889" t="s">
        <v>164</v>
      </c>
      <c r="CI102" s="890"/>
      <c r="CJ102" s="890"/>
      <c r="CK102" s="890"/>
      <c r="CL102" s="890"/>
      <c r="CM102" s="890"/>
      <c r="CN102" s="890"/>
      <c r="CO102" s="890"/>
      <c r="CP102" s="890"/>
      <c r="CQ102" s="890"/>
      <c r="CR102" s="890"/>
      <c r="CS102" s="890"/>
      <c r="CT102" s="890"/>
      <c r="CU102" s="890"/>
      <c r="CV102" s="890"/>
      <c r="CW102" s="891"/>
      <c r="CX102" s="70"/>
      <c r="CY102" s="70"/>
      <c r="CZ102" s="68"/>
      <c r="DA102" s="71"/>
      <c r="DB102" s="71"/>
      <c r="DC102" s="71"/>
      <c r="DD102" s="71"/>
      <c r="DE102" s="71"/>
      <c r="DF102" s="71"/>
      <c r="DG102" s="71"/>
      <c r="DH102" s="72"/>
      <c r="DI102" s="73"/>
      <c r="DJ102" s="73"/>
      <c r="DK102" s="73"/>
      <c r="DL102" s="73"/>
      <c r="DM102" s="73"/>
      <c r="DN102" s="71"/>
      <c r="DO102" s="71"/>
      <c r="DP102" s="71"/>
      <c r="DQ102" s="71"/>
      <c r="DR102" s="71"/>
      <c r="DS102" s="71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6"/>
      <c r="M103" s="66"/>
      <c r="N103" s="66"/>
      <c r="O103" s="66"/>
      <c r="P103" s="67"/>
      <c r="Q103" s="66"/>
      <c r="R103" s="66"/>
      <c r="S103" s="66"/>
      <c r="T103" s="66"/>
      <c r="U103" s="67"/>
      <c r="V103" s="252"/>
      <c r="W103" s="252"/>
      <c r="X103" s="252"/>
      <c r="Y103" s="252"/>
      <c r="Z103" s="252"/>
      <c r="AA103" s="252"/>
      <c r="AB103" s="252"/>
      <c r="AC103" s="252"/>
      <c r="AD103" s="252"/>
      <c r="AE103" s="252"/>
      <c r="AF103" s="252"/>
      <c r="AG103" s="253"/>
      <c r="AH103" s="252"/>
      <c r="AI103" s="252"/>
      <c r="AJ103" s="252"/>
      <c r="AK103" s="254"/>
      <c r="AL103" s="252"/>
      <c r="AM103" s="252"/>
      <c r="AN103" s="252"/>
      <c r="AO103" s="252"/>
      <c r="AP103" s="252"/>
      <c r="AQ103" s="252"/>
      <c r="AR103" s="252"/>
      <c r="AS103" s="252"/>
      <c r="AT103" s="252"/>
      <c r="AU103" s="252"/>
      <c r="AV103" s="252"/>
      <c r="AW103" s="252"/>
      <c r="AX103" s="252"/>
      <c r="AY103" s="252"/>
      <c r="AZ103" s="252"/>
      <c r="BA103" s="252"/>
      <c r="BB103" s="252"/>
      <c r="BC103" s="252"/>
      <c r="BD103" s="253"/>
      <c r="BE103" s="255"/>
      <c r="BF103" s="255"/>
      <c r="BG103" s="255"/>
      <c r="BH103" s="255"/>
      <c r="BI103" s="254"/>
      <c r="BJ103" s="255"/>
      <c r="BK103" s="255"/>
      <c r="BL103" s="255"/>
      <c r="BM103" s="255"/>
      <c r="BN103" s="255"/>
      <c r="BO103" s="256"/>
      <c r="BP103" s="257"/>
      <c r="BQ103" s="256"/>
      <c r="BR103" s="256"/>
      <c r="BS103" s="256"/>
      <c r="BT103" s="256"/>
      <c r="BU103" s="256"/>
      <c r="BV103" s="256"/>
      <c r="BW103" s="256"/>
      <c r="BX103" s="256"/>
      <c r="BY103" s="256"/>
      <c r="BZ103" s="256"/>
      <c r="CA103" s="256"/>
      <c r="CB103" s="256"/>
      <c r="CC103" s="256"/>
      <c r="CD103" s="256"/>
      <c r="CE103" s="256"/>
      <c r="CF103" s="256"/>
      <c r="CG103" s="256"/>
      <c r="CH103" s="889" t="s">
        <v>41</v>
      </c>
      <c r="CI103" s="890"/>
      <c r="CJ103" s="890"/>
      <c r="CK103" s="890"/>
      <c r="CL103" s="890"/>
      <c r="CM103" s="890"/>
      <c r="CN103" s="890"/>
      <c r="CO103" s="890"/>
      <c r="CP103" s="890"/>
      <c r="CQ103" s="890"/>
      <c r="CR103" s="890"/>
      <c r="CS103" s="890"/>
      <c r="CT103" s="890"/>
      <c r="CU103" s="890"/>
      <c r="CV103" s="890"/>
      <c r="CW103" s="891"/>
      <c r="CX103" s="70"/>
      <c r="CY103" s="70"/>
      <c r="CZ103" s="68"/>
      <c r="DA103" s="71"/>
      <c r="DB103" s="71"/>
      <c r="DC103" s="71"/>
      <c r="DD103" s="71"/>
      <c r="DE103" s="71"/>
      <c r="DF103" s="71"/>
      <c r="DG103" s="71"/>
      <c r="DH103" s="72"/>
      <c r="DI103" s="73"/>
      <c r="DJ103" s="73"/>
      <c r="DK103" s="73"/>
      <c r="DL103" s="73"/>
      <c r="DM103" s="73"/>
      <c r="DN103" s="71"/>
      <c r="DO103" s="71"/>
      <c r="DP103" s="71"/>
      <c r="DQ103" s="71"/>
      <c r="DR103" s="71"/>
      <c r="DS103" s="71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6"/>
      <c r="M104" s="66"/>
      <c r="N104" s="66"/>
      <c r="O104" s="66"/>
      <c r="P104" s="67"/>
      <c r="Q104" s="66"/>
      <c r="R104" s="66"/>
      <c r="S104" s="66"/>
      <c r="T104" s="66"/>
      <c r="U104" s="67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8"/>
      <c r="AH104" s="66"/>
      <c r="AI104" s="66"/>
      <c r="AJ104" s="66"/>
      <c r="AK104" s="67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68"/>
      <c r="BE104" s="69"/>
      <c r="BF104" s="69"/>
      <c r="BG104" s="69"/>
      <c r="BH104" s="69"/>
      <c r="BI104" s="67"/>
      <c r="BJ104" s="69"/>
      <c r="BK104" s="69"/>
      <c r="BL104" s="69"/>
      <c r="BM104" s="69"/>
      <c r="BN104" s="69"/>
      <c r="BO104" s="256"/>
      <c r="BP104" s="257"/>
      <c r="BQ104" s="256"/>
      <c r="BR104" s="256"/>
      <c r="BS104" s="256"/>
      <c r="BT104" s="256"/>
      <c r="BU104" s="256"/>
      <c r="BV104" s="256"/>
      <c r="BW104" s="256"/>
      <c r="BX104" s="256"/>
      <c r="BY104" s="256"/>
      <c r="BZ104" s="256"/>
      <c r="CA104" s="256"/>
      <c r="CB104" s="256"/>
      <c r="CC104" s="256"/>
      <c r="CD104" s="256"/>
      <c r="CE104" s="256"/>
      <c r="CF104" s="256"/>
      <c r="CG104" s="256"/>
      <c r="CH104" s="889" t="s">
        <v>374</v>
      </c>
      <c r="CI104" s="890"/>
      <c r="CJ104" s="890"/>
      <c r="CK104" s="890"/>
      <c r="CL104" s="890"/>
      <c r="CM104" s="890"/>
      <c r="CN104" s="890"/>
      <c r="CO104" s="890"/>
      <c r="CP104" s="890"/>
      <c r="CQ104" s="890"/>
      <c r="CR104" s="890"/>
      <c r="CS104" s="890"/>
      <c r="CT104" s="890"/>
      <c r="CU104" s="890"/>
      <c r="CV104" s="890"/>
      <c r="CW104" s="891"/>
      <c r="CX104" s="70"/>
      <c r="CY104" s="70"/>
      <c r="CZ104" s="68"/>
      <c r="DA104" s="71"/>
      <c r="DB104" s="71"/>
      <c r="DC104" s="71"/>
      <c r="DD104" s="71"/>
      <c r="DE104" s="71"/>
      <c r="DF104" s="71"/>
      <c r="DG104" s="71"/>
      <c r="DH104" s="72"/>
      <c r="DI104" s="73"/>
      <c r="DJ104" s="73"/>
      <c r="DK104" s="73"/>
      <c r="DL104" s="73"/>
      <c r="DM104" s="73"/>
      <c r="DN104" s="71"/>
      <c r="DO104" s="71"/>
      <c r="DP104" s="71"/>
      <c r="DQ104" s="71"/>
      <c r="DR104" s="71"/>
      <c r="DS104" s="71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6"/>
      <c r="M105" s="66"/>
      <c r="N105" s="66"/>
      <c r="O105" s="66"/>
      <c r="P105" s="67"/>
      <c r="Q105" s="66"/>
      <c r="R105" s="66"/>
      <c r="S105" s="66"/>
      <c r="T105" s="66"/>
      <c r="U105" s="67"/>
      <c r="V105" s="252"/>
      <c r="W105" s="252"/>
      <c r="X105" s="252"/>
      <c r="Y105" s="252"/>
      <c r="Z105" s="252"/>
      <c r="AA105" s="252"/>
      <c r="AB105" s="252"/>
      <c r="AC105" s="252"/>
      <c r="AD105" s="252"/>
      <c r="AE105" s="252"/>
      <c r="AF105" s="252"/>
      <c r="AG105" s="253"/>
      <c r="AH105" s="252"/>
      <c r="AI105" s="252"/>
      <c r="AJ105" s="252"/>
      <c r="AK105" s="254"/>
      <c r="AL105" s="252"/>
      <c r="AM105" s="252"/>
      <c r="AN105" s="252"/>
      <c r="AO105" s="252"/>
      <c r="AP105" s="252"/>
      <c r="AQ105" s="252"/>
      <c r="AR105" s="252"/>
      <c r="AS105" s="252"/>
      <c r="AT105" s="252"/>
      <c r="AU105" s="252"/>
      <c r="AV105" s="252"/>
      <c r="AW105" s="252"/>
      <c r="AX105" s="252"/>
      <c r="AY105" s="252"/>
      <c r="AZ105" s="252"/>
      <c r="BA105" s="252"/>
      <c r="BB105" s="252"/>
      <c r="BC105" s="252"/>
      <c r="BD105" s="253"/>
      <c r="BE105" s="255"/>
      <c r="BF105" s="255"/>
      <c r="BG105" s="255"/>
      <c r="BH105" s="255"/>
      <c r="BI105" s="254"/>
      <c r="BJ105" s="69"/>
      <c r="BK105" s="69"/>
      <c r="BL105" s="69"/>
      <c r="BM105" s="69"/>
      <c r="BN105" s="69"/>
      <c r="BO105" s="256"/>
      <c r="BP105" s="257"/>
      <c r="BQ105" s="256"/>
      <c r="BR105" s="256"/>
      <c r="BS105" s="256"/>
      <c r="BT105" s="256"/>
      <c r="BU105" s="256"/>
      <c r="BV105" s="256"/>
      <c r="BW105" s="256"/>
      <c r="BX105" s="256"/>
      <c r="BY105" s="256"/>
      <c r="BZ105" s="256"/>
      <c r="CA105" s="256"/>
      <c r="CB105" s="256"/>
      <c r="CC105" s="256"/>
      <c r="CD105" s="256"/>
      <c r="CE105" s="256"/>
      <c r="CF105" s="258"/>
      <c r="CG105" s="258"/>
      <c r="CH105" s="889" t="s">
        <v>375</v>
      </c>
      <c r="CI105" s="890"/>
      <c r="CJ105" s="890"/>
      <c r="CK105" s="890"/>
      <c r="CL105" s="890"/>
      <c r="CM105" s="890"/>
      <c r="CN105" s="890"/>
      <c r="CO105" s="890"/>
      <c r="CP105" s="890"/>
      <c r="CQ105" s="890"/>
      <c r="CR105" s="890"/>
      <c r="CS105" s="890"/>
      <c r="CT105" s="890"/>
      <c r="CU105" s="890"/>
      <c r="CV105" s="890"/>
      <c r="CW105" s="891"/>
      <c r="CX105" s="70"/>
      <c r="CY105" s="70"/>
      <c r="CZ105" s="68"/>
      <c r="DA105" s="71"/>
      <c r="DB105" s="71"/>
      <c r="DC105" s="71"/>
      <c r="DD105" s="71"/>
      <c r="DE105" s="71"/>
      <c r="DF105" s="71"/>
      <c r="DG105" s="71"/>
      <c r="DH105" s="72"/>
      <c r="DI105" s="73"/>
      <c r="DJ105" s="73"/>
      <c r="DK105" s="73"/>
      <c r="DL105" s="73"/>
      <c r="DM105" s="73"/>
      <c r="DN105" s="71"/>
      <c r="DO105" s="71"/>
      <c r="DP105" s="71"/>
      <c r="DQ105" s="71"/>
      <c r="DR105" s="71"/>
      <c r="DS105" s="71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6"/>
      <c r="M106" s="66"/>
      <c r="N106" s="66"/>
      <c r="O106" s="66"/>
      <c r="P106" s="67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8"/>
      <c r="AH106" s="66"/>
      <c r="AI106" s="66"/>
      <c r="AJ106" s="66"/>
      <c r="AK106" s="67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68"/>
      <c r="BE106" s="69"/>
      <c r="BF106" s="69"/>
      <c r="BG106" s="69"/>
      <c r="BH106" s="69"/>
      <c r="BI106" s="67"/>
      <c r="BJ106" s="69"/>
      <c r="BK106" s="69"/>
      <c r="BL106" s="69"/>
      <c r="BM106" s="69"/>
      <c r="BN106" s="69"/>
      <c r="BO106" s="256"/>
      <c r="BP106" s="257"/>
      <c r="BQ106" s="256"/>
      <c r="BR106" s="256"/>
      <c r="BS106" s="256"/>
      <c r="BT106" s="256"/>
      <c r="BU106" s="256"/>
      <c r="BV106" s="256"/>
      <c r="BW106" s="256"/>
      <c r="BX106" s="256"/>
      <c r="BY106" s="256"/>
      <c r="BZ106" s="256"/>
      <c r="CA106" s="256"/>
      <c r="CB106" s="256"/>
      <c r="CC106" s="256"/>
      <c r="CD106" s="256"/>
      <c r="CE106" s="256"/>
      <c r="CF106" s="256"/>
      <c r="CG106" s="256"/>
      <c r="CH106" s="889" t="s">
        <v>376</v>
      </c>
      <c r="CI106" s="890"/>
      <c r="CJ106" s="890"/>
      <c r="CK106" s="890"/>
      <c r="CL106" s="890"/>
      <c r="CM106" s="890"/>
      <c r="CN106" s="890"/>
      <c r="CO106" s="890"/>
      <c r="CP106" s="890"/>
      <c r="CQ106" s="890"/>
      <c r="CR106" s="890"/>
      <c r="CS106" s="890"/>
      <c r="CT106" s="890"/>
      <c r="CU106" s="890"/>
      <c r="CV106" s="890"/>
      <c r="CW106" s="891"/>
      <c r="CX106" s="70"/>
      <c r="CY106" s="70"/>
      <c r="CZ106" s="68"/>
      <c r="DA106" s="71"/>
      <c r="DB106" s="71"/>
      <c r="DC106" s="71"/>
      <c r="DD106" s="71"/>
      <c r="DE106" s="71"/>
      <c r="DF106" s="71"/>
      <c r="DG106" s="71"/>
      <c r="DH106" s="72"/>
      <c r="DI106" s="73"/>
      <c r="DJ106" s="73"/>
      <c r="DK106" s="73"/>
      <c r="DL106" s="73"/>
      <c r="DM106" s="73"/>
      <c r="DN106" s="71"/>
      <c r="DO106" s="71"/>
      <c r="DP106" s="71"/>
      <c r="DQ106" s="71"/>
      <c r="DR106" s="71"/>
      <c r="DS106" s="71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6"/>
      <c r="M107" s="66"/>
      <c r="N107" s="66"/>
      <c r="O107" s="66"/>
      <c r="P107" s="67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8"/>
      <c r="AH107" s="66"/>
      <c r="AI107" s="66"/>
      <c r="AJ107" s="66"/>
      <c r="AK107" s="67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68"/>
      <c r="BE107" s="69"/>
      <c r="BF107" s="69"/>
      <c r="BG107" s="69"/>
      <c r="BH107" s="69"/>
      <c r="BI107" s="67"/>
      <c r="BJ107" s="69"/>
      <c r="BK107" s="69"/>
      <c r="BL107" s="69"/>
      <c r="BM107" s="69"/>
      <c r="BN107" s="69"/>
      <c r="BO107" s="256"/>
      <c r="BP107" s="257"/>
      <c r="BQ107" s="256"/>
      <c r="BR107" s="256"/>
      <c r="BS107" s="256"/>
      <c r="BT107" s="256"/>
      <c r="BU107" s="256"/>
      <c r="BV107" s="256"/>
      <c r="BW107" s="256"/>
      <c r="BX107" s="256"/>
      <c r="BY107" s="256"/>
      <c r="BZ107" s="256"/>
      <c r="CA107" s="256"/>
      <c r="CB107" s="256"/>
      <c r="CC107" s="256"/>
      <c r="CD107" s="256"/>
      <c r="CE107" s="256"/>
      <c r="CF107" s="256"/>
      <c r="CG107" s="256"/>
      <c r="CH107" s="892" t="s">
        <v>304</v>
      </c>
      <c r="CI107" s="892"/>
      <c r="CJ107" s="892"/>
      <c r="CK107" s="892"/>
      <c r="CL107" s="892"/>
      <c r="CM107" s="892"/>
      <c r="CN107" s="892"/>
      <c r="CO107" s="892"/>
      <c r="CP107" s="892"/>
      <c r="CQ107" s="892"/>
      <c r="CR107" s="892"/>
      <c r="CS107" s="892"/>
      <c r="CT107" s="892"/>
      <c r="CU107" s="892"/>
      <c r="CV107" s="892"/>
      <c r="CW107" s="892"/>
      <c r="CX107" s="70"/>
      <c r="CY107" s="70"/>
      <c r="CZ107" s="68"/>
      <c r="DA107" s="71"/>
      <c r="DB107" s="71"/>
      <c r="DC107" s="71"/>
      <c r="DD107" s="71"/>
      <c r="DE107" s="71"/>
      <c r="DF107" s="71"/>
      <c r="DG107" s="71"/>
      <c r="DH107" s="72"/>
      <c r="DI107" s="73"/>
      <c r="DJ107" s="73"/>
      <c r="DK107" s="73"/>
      <c r="DL107" s="73"/>
      <c r="DM107" s="73"/>
      <c r="DN107" s="71"/>
      <c r="DO107" s="71"/>
      <c r="DP107" s="71"/>
      <c r="DQ107" s="71"/>
      <c r="DR107" s="71"/>
      <c r="DS107" s="71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6"/>
      <c r="M108" s="66"/>
      <c r="N108" s="66"/>
      <c r="O108" s="66"/>
      <c r="P108" s="67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8"/>
      <c r="AH108" s="66"/>
      <c r="AI108" s="66"/>
      <c r="AJ108" s="66"/>
      <c r="AK108" s="67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68"/>
      <c r="BE108" s="69"/>
      <c r="BF108" s="69"/>
      <c r="BG108" s="69"/>
      <c r="BH108" s="69"/>
      <c r="BI108" s="67"/>
      <c r="BJ108" s="69"/>
      <c r="BK108" s="69"/>
      <c r="BL108" s="69"/>
      <c r="BM108" s="69"/>
      <c r="BN108" s="69"/>
      <c r="BO108" s="256"/>
      <c r="BP108" s="257"/>
      <c r="BQ108" s="256"/>
      <c r="BR108" s="256"/>
      <c r="BS108" s="256"/>
      <c r="BT108" s="256"/>
      <c r="BU108" s="256"/>
      <c r="BV108" s="256"/>
      <c r="BW108" s="256"/>
      <c r="BX108" s="256"/>
      <c r="BY108" s="256"/>
      <c r="BZ108" s="256"/>
      <c r="CA108" s="256"/>
      <c r="CB108" s="256"/>
      <c r="CC108" s="256"/>
      <c r="CD108" s="256"/>
      <c r="CE108" s="256"/>
      <c r="CF108" s="256"/>
      <c r="CG108" s="256"/>
      <c r="CH108" s="892" t="s">
        <v>377</v>
      </c>
      <c r="CI108" s="892"/>
      <c r="CJ108" s="892"/>
      <c r="CK108" s="892"/>
      <c r="CL108" s="892"/>
      <c r="CM108" s="892"/>
      <c r="CN108" s="892"/>
      <c r="CO108" s="892"/>
      <c r="CP108" s="892"/>
      <c r="CQ108" s="892"/>
      <c r="CR108" s="892"/>
      <c r="CS108" s="892"/>
      <c r="CT108" s="892"/>
      <c r="CU108" s="892"/>
      <c r="CV108" s="892"/>
      <c r="CW108" s="892"/>
      <c r="CX108" s="70"/>
      <c r="CY108" s="70"/>
      <c r="CZ108" s="68"/>
      <c r="DA108" s="71"/>
      <c r="DB108" s="71"/>
      <c r="DC108" s="71"/>
      <c r="DD108" s="71"/>
      <c r="DE108" s="71"/>
      <c r="DF108" s="71"/>
      <c r="DG108" s="71"/>
      <c r="DH108" s="72"/>
      <c r="DI108" s="73"/>
      <c r="DJ108" s="73"/>
      <c r="DK108" s="73"/>
      <c r="DL108" s="73"/>
      <c r="DM108" s="73"/>
      <c r="DN108" s="71"/>
      <c r="DO108" s="71"/>
      <c r="DP108" s="71"/>
      <c r="DQ108" s="71"/>
      <c r="DR108" s="71"/>
      <c r="DS108" s="71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6"/>
      <c r="M109" s="66"/>
      <c r="N109" s="66"/>
      <c r="O109" s="66"/>
      <c r="P109" s="67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8"/>
      <c r="AH109" s="66"/>
      <c r="AI109" s="66"/>
      <c r="AJ109" s="66"/>
      <c r="AK109" s="67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68"/>
      <c r="BE109" s="69"/>
      <c r="BF109" s="69"/>
      <c r="BG109" s="69"/>
      <c r="BH109" s="69"/>
      <c r="BI109" s="67"/>
      <c r="BJ109" s="69"/>
      <c r="BK109" s="69"/>
      <c r="BL109" s="69"/>
      <c r="BM109" s="69"/>
      <c r="BN109" s="69"/>
      <c r="BO109" s="256"/>
      <c r="BP109" s="257"/>
      <c r="BQ109" s="256"/>
      <c r="BR109" s="256"/>
      <c r="BS109" s="256"/>
      <c r="BT109" s="256"/>
      <c r="BU109" s="256"/>
      <c r="BV109" s="256"/>
      <c r="BW109" s="256"/>
      <c r="BX109" s="256"/>
      <c r="BY109" s="256"/>
      <c r="BZ109" s="256"/>
      <c r="CA109" s="256"/>
      <c r="CB109" s="256"/>
      <c r="CC109" s="256"/>
      <c r="CD109" s="256"/>
      <c r="CE109" s="256"/>
      <c r="CF109" s="256"/>
      <c r="CG109" s="256"/>
      <c r="CH109" s="892" t="s">
        <v>378</v>
      </c>
      <c r="CI109" s="892"/>
      <c r="CJ109" s="892"/>
      <c r="CK109" s="892"/>
      <c r="CL109" s="892"/>
      <c r="CM109" s="892"/>
      <c r="CN109" s="892"/>
      <c r="CO109" s="892"/>
      <c r="CP109" s="892"/>
      <c r="CQ109" s="892"/>
      <c r="CR109" s="892"/>
      <c r="CS109" s="892"/>
      <c r="CT109" s="892"/>
      <c r="CU109" s="892"/>
      <c r="CV109" s="892"/>
      <c r="CW109" s="892"/>
      <c r="CX109" s="70"/>
      <c r="CY109" s="70"/>
      <c r="CZ109" s="68"/>
      <c r="DA109" s="71"/>
      <c r="DB109" s="71"/>
      <c r="DC109" s="71"/>
      <c r="DD109" s="71"/>
      <c r="DE109" s="71"/>
      <c r="DF109" s="71"/>
      <c r="DG109" s="71"/>
      <c r="DH109" s="72"/>
      <c r="DI109" s="73"/>
      <c r="DJ109" s="73"/>
      <c r="DK109" s="73"/>
      <c r="DL109" s="73"/>
      <c r="DM109" s="73"/>
      <c r="DN109" s="71"/>
      <c r="DO109" s="71"/>
      <c r="DP109" s="71"/>
      <c r="DQ109" s="71"/>
      <c r="DR109" s="71"/>
      <c r="DS109" s="71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6"/>
      <c r="M110" s="66"/>
      <c r="N110" s="66"/>
      <c r="O110" s="66"/>
      <c r="P110" s="67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8"/>
      <c r="AH110" s="66"/>
      <c r="AI110" s="66"/>
      <c r="AJ110" s="66"/>
      <c r="AK110" s="67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68"/>
      <c r="BE110" s="69"/>
      <c r="BF110" s="69"/>
      <c r="BG110" s="69"/>
      <c r="BH110" s="69"/>
      <c r="BI110" s="67"/>
      <c r="BJ110" s="69"/>
      <c r="BK110" s="69"/>
      <c r="BL110" s="69"/>
      <c r="BM110" s="69"/>
      <c r="BN110" s="69"/>
      <c r="BO110" s="256"/>
      <c r="BP110" s="257"/>
      <c r="BQ110" s="256"/>
      <c r="BR110" s="256"/>
      <c r="BS110" s="256"/>
      <c r="BT110" s="256"/>
      <c r="BU110" s="256"/>
      <c r="BV110" s="256"/>
      <c r="BW110" s="256"/>
      <c r="BX110" s="256"/>
      <c r="BY110" s="256"/>
      <c r="BZ110" s="256"/>
      <c r="CA110" s="256"/>
      <c r="CB110" s="256"/>
      <c r="CC110" s="256"/>
      <c r="CD110" s="256"/>
      <c r="CE110" s="256"/>
      <c r="CF110" s="256"/>
      <c r="CG110" s="256"/>
      <c r="CH110" s="892" t="s">
        <v>379</v>
      </c>
      <c r="CI110" s="892"/>
      <c r="CJ110" s="892"/>
      <c r="CK110" s="892"/>
      <c r="CL110" s="892"/>
      <c r="CM110" s="892"/>
      <c r="CN110" s="892"/>
      <c r="CO110" s="892"/>
      <c r="CP110" s="892"/>
      <c r="CQ110" s="892"/>
      <c r="CR110" s="892"/>
      <c r="CS110" s="892"/>
      <c r="CT110" s="892"/>
      <c r="CU110" s="892"/>
      <c r="CV110" s="892"/>
      <c r="CW110" s="892"/>
      <c r="CX110" s="70"/>
      <c r="CY110" s="70"/>
      <c r="CZ110" s="68"/>
      <c r="DA110" s="71"/>
      <c r="DB110" s="71"/>
      <c r="DC110" s="71"/>
      <c r="DD110" s="71"/>
      <c r="DE110" s="71"/>
      <c r="DF110" s="71"/>
      <c r="DG110" s="71"/>
      <c r="DH110" s="72"/>
      <c r="DI110" s="73"/>
      <c r="DJ110" s="73"/>
      <c r="DK110" s="73"/>
      <c r="DL110" s="73"/>
      <c r="DM110" s="73"/>
      <c r="DN110" s="71"/>
      <c r="DO110" s="71"/>
      <c r="DP110" s="71"/>
      <c r="DQ110" s="71"/>
      <c r="DR110" s="71"/>
      <c r="DS110" s="71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10.5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66"/>
      <c r="M111" s="66"/>
      <c r="N111" s="66"/>
      <c r="O111" s="66"/>
      <c r="P111" s="67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8"/>
      <c r="AH111" s="66"/>
      <c r="AI111" s="66"/>
      <c r="AJ111" s="66"/>
      <c r="AK111" s="67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68"/>
      <c r="BE111" s="69"/>
      <c r="BF111" s="69"/>
      <c r="BG111" s="69"/>
      <c r="BH111" s="69"/>
      <c r="BI111" s="67"/>
      <c r="BJ111" s="69"/>
      <c r="BK111" s="69"/>
      <c r="BL111" s="69"/>
      <c r="BM111" s="69"/>
      <c r="BN111" s="69"/>
      <c r="BO111" s="256"/>
      <c r="BP111" s="257"/>
      <c r="BQ111" s="256"/>
      <c r="BR111" s="256"/>
      <c r="BS111" s="256"/>
      <c r="BT111" s="256"/>
      <c r="BU111" s="256"/>
      <c r="BV111" s="256"/>
      <c r="BW111" s="256"/>
      <c r="BX111" s="256"/>
      <c r="BY111" s="256"/>
      <c r="BZ111" s="256"/>
      <c r="CA111" s="256"/>
      <c r="CB111" s="256"/>
      <c r="CC111" s="256"/>
      <c r="CD111" s="256"/>
      <c r="CE111" s="256"/>
      <c r="CF111" s="256"/>
      <c r="CG111" s="256"/>
      <c r="CH111" s="892" t="s">
        <v>305</v>
      </c>
      <c r="CI111" s="892"/>
      <c r="CJ111" s="892"/>
      <c r="CK111" s="892"/>
      <c r="CL111" s="892"/>
      <c r="CM111" s="892"/>
      <c r="CN111" s="892"/>
      <c r="CO111" s="892"/>
      <c r="CP111" s="892"/>
      <c r="CQ111" s="892"/>
      <c r="CR111" s="892"/>
      <c r="CS111" s="892"/>
      <c r="CT111" s="892"/>
      <c r="CU111" s="892"/>
      <c r="CV111" s="892"/>
      <c r="CW111" s="892"/>
      <c r="CX111" s="70"/>
      <c r="CY111" s="70"/>
      <c r="CZ111" s="68"/>
      <c r="DA111" s="71"/>
      <c r="DB111" s="71"/>
      <c r="DC111" s="71"/>
      <c r="DD111" s="71"/>
      <c r="DE111" s="71"/>
      <c r="DF111" s="71"/>
      <c r="DG111" s="71"/>
      <c r="DH111" s="72"/>
      <c r="DI111" s="73"/>
      <c r="DJ111" s="73"/>
      <c r="DK111" s="73"/>
      <c r="DL111" s="73"/>
      <c r="DM111" s="73"/>
      <c r="DN111" s="71"/>
      <c r="DO111" s="71"/>
      <c r="DP111" s="71"/>
      <c r="DQ111" s="71"/>
      <c r="DR111" s="71"/>
      <c r="DS111" s="71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10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</row>
    <row r="112" spans="1:277" ht="10.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66"/>
      <c r="M112" s="66"/>
      <c r="N112" s="66"/>
      <c r="O112" s="66"/>
      <c r="P112" s="67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8"/>
      <c r="AH112" s="66"/>
      <c r="AI112" s="66"/>
      <c r="AJ112" s="66"/>
      <c r="AK112" s="67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68"/>
      <c r="BE112" s="69"/>
      <c r="BF112" s="69"/>
      <c r="BG112" s="69"/>
      <c r="BH112" s="69"/>
      <c r="BI112" s="67"/>
      <c r="BJ112" s="69"/>
      <c r="BK112" s="69"/>
      <c r="BL112" s="69"/>
      <c r="BM112" s="69"/>
      <c r="BN112" s="69"/>
      <c r="BO112" s="256"/>
      <c r="BP112" s="257"/>
      <c r="BQ112" s="256"/>
      <c r="BR112" s="256"/>
      <c r="BS112" s="256"/>
      <c r="BT112" s="256"/>
      <c r="BU112" s="256"/>
      <c r="BV112" s="256"/>
      <c r="BW112" s="256"/>
      <c r="BX112" s="256"/>
      <c r="BY112" s="256"/>
      <c r="BZ112" s="256"/>
      <c r="CA112" s="256"/>
      <c r="CB112" s="256"/>
      <c r="CC112" s="256"/>
      <c r="CD112" s="256"/>
      <c r="CE112" s="256"/>
      <c r="CF112" s="256"/>
      <c r="CG112" s="256"/>
      <c r="CH112" s="892"/>
      <c r="CI112" s="892"/>
      <c r="CJ112" s="892"/>
      <c r="CK112" s="892"/>
      <c r="CL112" s="892"/>
      <c r="CM112" s="892"/>
      <c r="CN112" s="892"/>
      <c r="CO112" s="892"/>
      <c r="CP112" s="892"/>
      <c r="CQ112" s="892"/>
      <c r="CR112" s="892"/>
      <c r="CS112" s="892"/>
      <c r="CT112" s="892"/>
      <c r="CU112" s="892"/>
      <c r="CV112" s="892"/>
      <c r="CW112" s="892"/>
      <c r="CX112" s="70"/>
      <c r="CY112" s="70"/>
      <c r="CZ112" s="68"/>
      <c r="DA112" s="71"/>
      <c r="DB112" s="71"/>
      <c r="DC112" s="71"/>
      <c r="DD112" s="71"/>
      <c r="DE112" s="71"/>
      <c r="DF112" s="71"/>
      <c r="DG112" s="71"/>
      <c r="DH112" s="72"/>
      <c r="DI112" s="73"/>
      <c r="DJ112" s="73"/>
      <c r="DK112" s="73"/>
      <c r="DL112" s="73"/>
      <c r="DM112" s="73"/>
      <c r="DN112" s="71"/>
      <c r="DO112" s="71"/>
      <c r="DP112" s="71"/>
      <c r="DQ112" s="71"/>
      <c r="DR112" s="71"/>
      <c r="DS112" s="71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10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</row>
    <row r="113" spans="1:203" ht="10.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6"/>
      <c r="M113" s="66"/>
      <c r="N113" s="66"/>
      <c r="O113" s="66"/>
      <c r="P113" s="67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8"/>
      <c r="AH113" s="66"/>
      <c r="AI113" s="66"/>
      <c r="AJ113" s="66"/>
      <c r="AK113" s="67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68"/>
      <c r="BE113" s="69"/>
      <c r="BF113" s="69"/>
      <c r="BG113" s="69"/>
      <c r="BH113" s="69"/>
      <c r="BI113" s="67"/>
      <c r="BJ113" s="69"/>
      <c r="BK113" s="69"/>
      <c r="BL113" s="69"/>
      <c r="BM113" s="69"/>
      <c r="BN113" s="69"/>
      <c r="BO113" s="256"/>
      <c r="BP113" s="257"/>
      <c r="BQ113" s="256"/>
      <c r="BR113" s="256"/>
      <c r="BS113" s="256"/>
      <c r="BT113" s="256"/>
      <c r="BU113" s="256"/>
      <c r="BV113" s="256"/>
      <c r="BW113" s="256"/>
      <c r="BX113" s="256"/>
      <c r="BY113" s="256"/>
      <c r="BZ113" s="256"/>
      <c r="CA113" s="256"/>
      <c r="CB113" s="256"/>
      <c r="CC113" s="256"/>
      <c r="CD113" s="256"/>
      <c r="CE113" s="256"/>
      <c r="CF113" s="256"/>
      <c r="CG113" s="256"/>
      <c r="CH113" s="892"/>
      <c r="CI113" s="892"/>
      <c r="CJ113" s="892"/>
      <c r="CK113" s="892"/>
      <c r="CL113" s="892"/>
      <c r="CM113" s="892"/>
      <c r="CN113" s="892"/>
      <c r="CO113" s="892"/>
      <c r="CP113" s="892"/>
      <c r="CQ113" s="892"/>
      <c r="CR113" s="892"/>
      <c r="CS113" s="892"/>
      <c r="CT113" s="892"/>
      <c r="CU113" s="892"/>
      <c r="CV113" s="892"/>
      <c r="CW113" s="892"/>
      <c r="CX113" s="70"/>
      <c r="CY113" s="70"/>
      <c r="CZ113" s="68"/>
      <c r="DA113" s="71"/>
      <c r="DB113" s="71"/>
      <c r="DC113" s="71"/>
      <c r="DD113" s="71"/>
      <c r="DE113" s="71"/>
      <c r="DF113" s="71"/>
      <c r="DG113" s="71"/>
      <c r="DH113" s="72"/>
      <c r="DI113" s="73"/>
      <c r="DJ113" s="73"/>
      <c r="DK113" s="73"/>
      <c r="DL113" s="73"/>
      <c r="DM113" s="73"/>
      <c r="DN113" s="71"/>
      <c r="DO113" s="71"/>
      <c r="DP113" s="71"/>
      <c r="DQ113" s="71"/>
      <c r="DR113" s="71"/>
      <c r="DS113" s="71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10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</row>
    <row r="114" spans="1:203" ht="6" hidden="1" customHeight="1" x14ac:dyDescent="0.15">
      <c r="G114" s="21"/>
      <c r="H114" s="21"/>
      <c r="I114" s="21"/>
      <c r="J114" s="21"/>
      <c r="K114" s="23"/>
      <c r="L114" s="55"/>
      <c r="M114" s="55"/>
      <c r="N114" s="55"/>
      <c r="O114" s="55"/>
      <c r="P114" s="74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75"/>
      <c r="AH114" s="55"/>
      <c r="AI114" s="55"/>
      <c r="AJ114" s="55"/>
      <c r="AK114" s="74"/>
      <c r="AL114" s="55"/>
      <c r="AM114" s="55"/>
      <c r="AN114" s="55"/>
      <c r="AO114" s="55"/>
      <c r="AP114" s="55"/>
      <c r="AQ114" s="55"/>
      <c r="AR114" s="55"/>
      <c r="AS114" s="55"/>
      <c r="AT114" s="55"/>
      <c r="AU114" s="55"/>
      <c r="AV114" s="55"/>
      <c r="AW114" s="55"/>
      <c r="AX114" s="55"/>
      <c r="AY114" s="55"/>
      <c r="AZ114" s="55"/>
      <c r="BA114" s="55"/>
      <c r="BB114" s="55"/>
      <c r="BC114" s="55"/>
      <c r="BD114" s="75"/>
      <c r="BE114" s="76"/>
      <c r="BF114" s="76"/>
      <c r="BG114" s="76"/>
      <c r="BH114" s="76"/>
      <c r="BI114" s="74"/>
      <c r="BJ114" s="76"/>
      <c r="BK114" s="76"/>
      <c r="BL114" s="76"/>
      <c r="BM114" s="76"/>
      <c r="BN114" s="76"/>
      <c r="BO114" s="76"/>
      <c r="BP114" s="74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/>
      <c r="CG114" s="76"/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4"/>
      <c r="CU114" s="77"/>
      <c r="CV114" s="77"/>
      <c r="CW114" s="77"/>
      <c r="CX114" s="77"/>
      <c r="CY114" s="77"/>
      <c r="CZ114" s="75"/>
      <c r="DA114" s="78"/>
      <c r="DB114" s="78"/>
      <c r="DC114" s="78"/>
      <c r="DD114" s="78"/>
      <c r="DE114" s="78"/>
      <c r="DF114" s="78"/>
      <c r="DG114" s="78"/>
      <c r="DH114" s="79"/>
      <c r="DI114" s="80"/>
      <c r="DJ114" s="80"/>
      <c r="DK114" s="80"/>
      <c r="DL114" s="80"/>
      <c r="DM114" s="80"/>
      <c r="DN114" s="78"/>
      <c r="DO114" s="78"/>
      <c r="DP114" s="78"/>
      <c r="DQ114" s="78"/>
      <c r="DR114" s="78"/>
      <c r="DS114" s="78"/>
      <c r="EK114" s="23"/>
    </row>
    <row r="115" spans="1:203" ht="6" hidden="1" customHeight="1" x14ac:dyDescent="0.15">
      <c r="G115" s="21"/>
      <c r="H115" s="21"/>
      <c r="I115" s="21"/>
      <c r="J115" s="21"/>
      <c r="K115" s="23"/>
      <c r="L115" s="55"/>
      <c r="M115" s="55"/>
      <c r="N115" s="55"/>
      <c r="O115" s="55"/>
      <c r="P115" s="74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55"/>
      <c r="AE115" s="55"/>
      <c r="AF115" s="55"/>
      <c r="AG115" s="75"/>
      <c r="AH115" s="55"/>
      <c r="AI115" s="55"/>
      <c r="AJ115" s="55"/>
      <c r="AK115" s="74"/>
      <c r="AL115" s="55"/>
      <c r="AM115" s="55"/>
      <c r="AN115" s="55"/>
      <c r="AO115" s="55"/>
      <c r="AP115" s="55"/>
      <c r="AQ115" s="55"/>
      <c r="AR115" s="55"/>
      <c r="AS115" s="55"/>
      <c r="AT115" s="55"/>
      <c r="AU115" s="55"/>
      <c r="AV115" s="55"/>
      <c r="AW115" s="55"/>
      <c r="AX115" s="55"/>
      <c r="AY115" s="55"/>
      <c r="AZ115" s="55"/>
      <c r="BA115" s="55"/>
      <c r="BB115" s="55"/>
      <c r="BC115" s="55"/>
      <c r="BD115" s="75"/>
      <c r="BE115" s="76"/>
      <c r="BF115" s="76"/>
      <c r="BG115" s="76"/>
      <c r="BH115" s="76"/>
      <c r="BI115" s="74"/>
      <c r="BJ115" s="76"/>
      <c r="BK115" s="76"/>
      <c r="BL115" s="76"/>
      <c r="BM115" s="76"/>
      <c r="BN115" s="76"/>
      <c r="BO115" s="76"/>
      <c r="BP115" s="74"/>
      <c r="BQ115" s="76"/>
      <c r="BR115" s="76"/>
      <c r="BS115" s="76"/>
      <c r="BT115" s="76"/>
      <c r="BU115" s="76"/>
      <c r="BV115" s="76"/>
      <c r="BW115" s="76"/>
      <c r="BX115" s="76"/>
      <c r="BY115" s="76"/>
      <c r="BZ115" s="76"/>
      <c r="CA115" s="76"/>
      <c r="CB115" s="76"/>
      <c r="CC115" s="76"/>
      <c r="CD115" s="76"/>
      <c r="CE115" s="76"/>
      <c r="CF115" s="76"/>
      <c r="CG115" s="76"/>
      <c r="CH115" s="76"/>
      <c r="CI115" s="76"/>
      <c r="CJ115" s="76"/>
      <c r="CK115" s="76"/>
      <c r="CL115" s="76"/>
      <c r="CM115" s="76"/>
      <c r="CN115" s="76"/>
      <c r="CO115" s="76"/>
      <c r="CP115" s="76"/>
      <c r="CQ115" s="76"/>
      <c r="CR115" s="76"/>
      <c r="CS115" s="76"/>
      <c r="CT115" s="74"/>
      <c r="CU115" s="77"/>
      <c r="CV115" s="77"/>
      <c r="CW115" s="77"/>
      <c r="CX115" s="77"/>
      <c r="CY115" s="77"/>
      <c r="CZ115" s="75"/>
      <c r="DA115" s="78"/>
      <c r="DB115" s="78"/>
      <c r="DC115" s="78"/>
      <c r="DD115" s="78"/>
      <c r="DE115" s="78"/>
      <c r="DF115" s="78"/>
      <c r="DG115" s="78"/>
      <c r="DH115" s="79"/>
      <c r="DI115" s="80"/>
      <c r="DJ115" s="80"/>
      <c r="DK115" s="80"/>
      <c r="DL115" s="80"/>
      <c r="DM115" s="80"/>
      <c r="DN115" s="78"/>
      <c r="DO115" s="78"/>
      <c r="DP115" s="78"/>
      <c r="DQ115" s="78"/>
      <c r="DR115" s="78"/>
      <c r="DS115" s="78"/>
      <c r="EK115" s="23"/>
    </row>
    <row r="116" spans="1:203" ht="6" hidden="1" customHeight="1" x14ac:dyDescent="0.15">
      <c r="G116" s="21"/>
      <c r="H116" s="21"/>
      <c r="I116" s="21"/>
      <c r="J116" s="21"/>
      <c r="K116" s="23"/>
      <c r="L116" s="55"/>
      <c r="M116" s="55"/>
      <c r="N116" s="55"/>
      <c r="O116" s="55"/>
      <c r="P116" s="74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55"/>
      <c r="AE116" s="55"/>
      <c r="AF116" s="55"/>
      <c r="AG116" s="75"/>
      <c r="AH116" s="55"/>
      <c r="AI116" s="55"/>
      <c r="AJ116" s="55"/>
      <c r="AK116" s="74"/>
      <c r="AL116" s="55"/>
      <c r="AM116" s="55"/>
      <c r="AN116" s="55"/>
      <c r="AO116" s="55"/>
      <c r="AP116" s="55"/>
      <c r="AQ116" s="55"/>
      <c r="AR116" s="55"/>
      <c r="AS116" s="55"/>
      <c r="AT116" s="55"/>
      <c r="AU116" s="55"/>
      <c r="AV116" s="55"/>
      <c r="AW116" s="55"/>
      <c r="AX116" s="55"/>
      <c r="AY116" s="55"/>
      <c r="AZ116" s="55"/>
      <c r="BA116" s="55"/>
      <c r="BB116" s="55"/>
      <c r="BC116" s="55"/>
      <c r="BD116" s="75"/>
      <c r="BE116" s="76"/>
      <c r="BF116" s="76"/>
      <c r="BG116" s="76"/>
      <c r="BH116" s="76"/>
      <c r="BI116" s="74"/>
      <c r="BJ116" s="76"/>
      <c r="BK116" s="76"/>
      <c r="BL116" s="76"/>
      <c r="BM116" s="76"/>
      <c r="BN116" s="76"/>
      <c r="BO116" s="76"/>
      <c r="BP116" s="74"/>
      <c r="BQ116" s="76"/>
      <c r="BR116" s="76"/>
      <c r="BS116" s="76"/>
      <c r="BT116" s="76"/>
      <c r="BU116" s="76"/>
      <c r="BV116" s="76"/>
      <c r="BW116" s="76"/>
      <c r="BX116" s="76"/>
      <c r="BY116" s="76"/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4"/>
      <c r="CU116" s="77"/>
      <c r="CV116" s="77"/>
      <c r="CW116" s="77"/>
      <c r="CX116" s="77"/>
      <c r="CY116" s="77"/>
      <c r="CZ116" s="75"/>
      <c r="DA116" s="78"/>
      <c r="DB116" s="78"/>
      <c r="DC116" s="78"/>
      <c r="DD116" s="78"/>
      <c r="DE116" s="78"/>
      <c r="DF116" s="78"/>
      <c r="DG116" s="78"/>
      <c r="DH116" s="79"/>
      <c r="DI116" s="80"/>
      <c r="DJ116" s="80"/>
      <c r="DK116" s="80"/>
      <c r="DL116" s="80"/>
      <c r="DM116" s="80"/>
      <c r="DN116" s="78"/>
      <c r="DO116" s="78"/>
      <c r="DP116" s="78"/>
      <c r="DQ116" s="78"/>
      <c r="DR116" s="78"/>
      <c r="DS116" s="78"/>
      <c r="EK116" s="23"/>
    </row>
    <row r="117" spans="1:20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55"/>
      <c r="AR117" s="55"/>
      <c r="AS117" s="55"/>
      <c r="AT117" s="55"/>
      <c r="AU117" s="55"/>
      <c r="AV117" s="55"/>
      <c r="AW117" s="55"/>
      <c r="AX117" s="55"/>
      <c r="AY117" s="55"/>
      <c r="AZ117" s="55"/>
      <c r="BA117" s="55"/>
      <c r="BB117" s="55"/>
      <c r="BC117" s="55"/>
      <c r="BD117" s="75"/>
      <c r="BE117" s="76"/>
      <c r="BF117" s="76"/>
      <c r="BG117" s="76"/>
      <c r="BH117" s="76"/>
      <c r="BI117" s="74"/>
      <c r="BJ117" s="76"/>
      <c r="BK117" s="76"/>
      <c r="BL117" s="76"/>
      <c r="BM117" s="76"/>
      <c r="BN117" s="76"/>
      <c r="BO117" s="76"/>
      <c r="BP117" s="74"/>
      <c r="BQ117" s="76"/>
      <c r="BR117" s="76"/>
      <c r="BS117" s="76"/>
      <c r="BT117" s="76"/>
      <c r="BU117" s="76"/>
      <c r="BV117" s="76"/>
      <c r="BW117" s="76"/>
      <c r="BX117" s="76"/>
      <c r="BY117" s="76"/>
      <c r="BZ117" s="76"/>
      <c r="CA117" s="76"/>
      <c r="CB117" s="76"/>
      <c r="CC117" s="76"/>
      <c r="CD117" s="76"/>
      <c r="CE117" s="76"/>
      <c r="CF117" s="76"/>
      <c r="CG117" s="76"/>
      <c r="CH117" s="76"/>
      <c r="CI117" s="76"/>
      <c r="CJ117" s="76"/>
      <c r="CK117" s="76"/>
      <c r="CL117" s="76"/>
      <c r="CM117" s="76"/>
      <c r="CN117" s="76"/>
      <c r="CO117" s="76"/>
      <c r="CP117" s="76"/>
      <c r="CQ117" s="76"/>
      <c r="CR117" s="76"/>
      <c r="CS117" s="76"/>
      <c r="CT117" s="74"/>
      <c r="CU117" s="77"/>
      <c r="CV117" s="77"/>
      <c r="CW117" s="77"/>
      <c r="CX117" s="77"/>
      <c r="CY117" s="77"/>
      <c r="CZ117" s="75"/>
      <c r="DA117" s="78"/>
      <c r="DB117" s="78"/>
      <c r="DC117" s="78"/>
      <c r="DD117" s="78"/>
      <c r="DE117" s="78"/>
      <c r="DF117" s="78"/>
      <c r="DG117" s="78"/>
      <c r="DH117" s="79"/>
      <c r="DI117" s="80"/>
      <c r="DJ117" s="80"/>
      <c r="DK117" s="80"/>
      <c r="DL117" s="80"/>
      <c r="DM117" s="80"/>
      <c r="DN117" s="78"/>
      <c r="DO117" s="78"/>
      <c r="DP117" s="78"/>
      <c r="DQ117" s="78"/>
      <c r="DR117" s="78"/>
      <c r="DS117" s="78"/>
      <c r="EK117" s="23"/>
    </row>
    <row r="118" spans="1:20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AQ118" s="191"/>
      <c r="AR118" s="191"/>
      <c r="AS118" s="191"/>
      <c r="AT118" s="191"/>
      <c r="AU118" s="191"/>
      <c r="AV118" s="191"/>
      <c r="AW118" s="191"/>
      <c r="AX118" s="191"/>
      <c r="AY118" s="191"/>
      <c r="AZ118" s="191"/>
      <c r="BA118" s="191"/>
      <c r="BB118" s="191"/>
      <c r="BC118" s="191"/>
      <c r="BD118" s="27"/>
      <c r="BE118" s="81"/>
      <c r="BF118" s="81"/>
      <c r="BG118" s="81"/>
      <c r="BH118" s="81"/>
      <c r="BI118" s="191"/>
      <c r="BJ118" s="81"/>
      <c r="BK118" s="81"/>
      <c r="BL118" s="81"/>
      <c r="BM118" s="81"/>
      <c r="BN118" s="81"/>
      <c r="BO118" s="81"/>
      <c r="BP118" s="191"/>
      <c r="BQ118" s="81"/>
      <c r="BR118" s="81"/>
      <c r="BS118" s="81"/>
      <c r="BT118" s="81"/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  <c r="CF118" s="81"/>
      <c r="CG118" s="81"/>
      <c r="CH118" s="81"/>
      <c r="CI118" s="81"/>
      <c r="CJ118" s="81"/>
      <c r="CK118" s="81"/>
      <c r="CL118" s="81"/>
      <c r="CM118" s="81"/>
      <c r="CN118" s="81"/>
      <c r="CO118" s="81"/>
      <c r="CP118" s="81"/>
      <c r="CQ118" s="81"/>
      <c r="CR118" s="81"/>
      <c r="CS118" s="81"/>
      <c r="CT118" s="191"/>
      <c r="CU118" s="82"/>
      <c r="CV118" s="82"/>
      <c r="CW118" s="82"/>
      <c r="CX118" s="82"/>
      <c r="CY118" s="82"/>
      <c r="CZ118" s="27"/>
      <c r="DA118" s="88"/>
      <c r="DB118" s="88"/>
      <c r="DC118" s="88"/>
      <c r="DD118" s="88"/>
      <c r="DE118" s="88"/>
      <c r="DF118" s="88"/>
      <c r="DG118" s="88"/>
      <c r="DI118" s="83"/>
      <c r="DJ118" s="83"/>
      <c r="DK118" s="83"/>
      <c r="DL118" s="83"/>
      <c r="DN118" s="88"/>
      <c r="DO118" s="88"/>
      <c r="DP118" s="88"/>
      <c r="DQ118" s="88"/>
      <c r="DR118" s="88"/>
      <c r="DS118" s="88"/>
      <c r="EK118" s="23"/>
    </row>
    <row r="119" spans="1:20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AQ119" s="191"/>
      <c r="AR119" s="191"/>
      <c r="AS119" s="191"/>
      <c r="AT119" s="191"/>
      <c r="AU119" s="191"/>
      <c r="AV119" s="191"/>
      <c r="AW119" s="191"/>
      <c r="AX119" s="191"/>
      <c r="AY119" s="191"/>
      <c r="AZ119" s="191"/>
      <c r="BA119" s="191"/>
      <c r="BB119" s="191"/>
      <c r="BC119" s="191"/>
      <c r="BD119" s="27"/>
      <c r="BE119" s="81"/>
      <c r="BF119" s="81"/>
      <c r="BG119" s="81"/>
      <c r="BH119" s="81"/>
      <c r="BI119" s="191"/>
      <c r="BJ119" s="81"/>
      <c r="BK119" s="81"/>
      <c r="BL119" s="81"/>
      <c r="BM119" s="81"/>
      <c r="BN119" s="81"/>
      <c r="BO119" s="81"/>
      <c r="BP119" s="19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  <c r="CF119" s="81"/>
      <c r="CG119" s="81"/>
      <c r="CH119" s="81"/>
      <c r="CI119" s="81"/>
      <c r="CJ119" s="81"/>
      <c r="CK119" s="81"/>
      <c r="CL119" s="81"/>
      <c r="CM119" s="81"/>
      <c r="CN119" s="81"/>
      <c r="CO119" s="81"/>
      <c r="CP119" s="81"/>
      <c r="CQ119" s="81"/>
      <c r="CR119" s="81"/>
      <c r="CS119" s="81"/>
      <c r="CT119" s="191"/>
      <c r="CU119" s="82"/>
      <c r="CV119" s="82"/>
      <c r="CW119" s="82"/>
      <c r="CX119" s="82"/>
      <c r="CY119" s="82"/>
      <c r="CZ119" s="27"/>
      <c r="DA119" s="88"/>
      <c r="DB119" s="88"/>
      <c r="DC119" s="88"/>
      <c r="DD119" s="88"/>
      <c r="DE119" s="88"/>
      <c r="DF119" s="88"/>
      <c r="DG119" s="88"/>
      <c r="DI119" s="83"/>
      <c r="DJ119" s="83"/>
      <c r="DK119" s="83"/>
      <c r="DL119" s="83"/>
      <c r="DN119" s="88"/>
      <c r="DO119" s="88"/>
      <c r="DP119" s="88"/>
      <c r="DQ119" s="88"/>
      <c r="DR119" s="88"/>
      <c r="DS119" s="88"/>
      <c r="EK119" s="23"/>
    </row>
    <row r="120" spans="1:20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AQ120" s="191"/>
      <c r="AR120" s="191"/>
      <c r="AS120" s="191"/>
      <c r="AT120" s="191"/>
      <c r="AU120" s="191"/>
      <c r="AV120" s="191"/>
      <c r="AW120" s="191"/>
      <c r="AX120" s="191"/>
      <c r="AY120" s="191"/>
      <c r="AZ120" s="191"/>
      <c r="BA120" s="191"/>
      <c r="BB120" s="191"/>
      <c r="BC120" s="191"/>
      <c r="BD120" s="27"/>
      <c r="BE120" s="81"/>
      <c r="BF120" s="81"/>
      <c r="BG120" s="81"/>
      <c r="BH120" s="81"/>
      <c r="BI120" s="191"/>
      <c r="BJ120" s="81"/>
      <c r="BK120" s="81"/>
      <c r="BL120" s="81"/>
      <c r="BM120" s="81"/>
      <c r="BN120" s="81"/>
      <c r="BO120" s="81"/>
      <c r="BP120" s="191"/>
      <c r="BQ120" s="81"/>
      <c r="BR120" s="81"/>
      <c r="BS120" s="81"/>
      <c r="BT120" s="81"/>
      <c r="BU120" s="81"/>
      <c r="BV120" s="81"/>
      <c r="BW120" s="81"/>
      <c r="BX120" s="81"/>
      <c r="BY120" s="81"/>
      <c r="BZ120" s="81"/>
      <c r="CA120" s="81"/>
      <c r="CB120" s="81"/>
      <c r="CC120" s="81"/>
      <c r="CD120" s="81"/>
      <c r="CE120" s="81"/>
      <c r="CF120" s="81"/>
      <c r="CG120" s="81"/>
      <c r="CH120" s="81"/>
      <c r="CI120" s="81"/>
      <c r="CJ120" s="81"/>
      <c r="CK120" s="81"/>
      <c r="CL120" s="81"/>
      <c r="CM120" s="81"/>
      <c r="CN120" s="81"/>
      <c r="CO120" s="81"/>
      <c r="CP120" s="81"/>
      <c r="CQ120" s="81"/>
      <c r="CR120" s="81"/>
      <c r="CS120" s="81"/>
      <c r="CT120" s="191"/>
      <c r="CU120" s="82"/>
      <c r="CV120" s="82"/>
      <c r="CW120" s="82"/>
      <c r="CX120" s="82"/>
      <c r="CY120" s="82"/>
      <c r="CZ120" s="27"/>
      <c r="DA120" s="88"/>
      <c r="DB120" s="88"/>
      <c r="DC120" s="88"/>
      <c r="DD120" s="88"/>
      <c r="DE120" s="88"/>
      <c r="DF120" s="88"/>
      <c r="DG120" s="88"/>
      <c r="DI120" s="83"/>
      <c r="DJ120" s="83"/>
      <c r="DK120" s="83"/>
      <c r="DL120" s="83"/>
      <c r="DN120" s="88"/>
      <c r="DO120" s="88"/>
      <c r="DP120" s="88"/>
      <c r="DQ120" s="88"/>
      <c r="DR120" s="88"/>
      <c r="DS120" s="88"/>
      <c r="EK120" s="23"/>
    </row>
    <row r="121" spans="1:20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88"/>
      <c r="DD121" s="88"/>
      <c r="DE121" s="88"/>
      <c r="DF121" s="88"/>
      <c r="DG121" s="88"/>
      <c r="DI121" s="83"/>
      <c r="DJ121" s="83"/>
      <c r="DK121" s="83"/>
      <c r="DL121" s="83"/>
      <c r="DN121" s="88"/>
      <c r="DO121" s="88"/>
      <c r="DP121" s="88"/>
      <c r="DQ121" s="88"/>
      <c r="DR121" s="88"/>
      <c r="DS121" s="88"/>
      <c r="EK121" s="23"/>
    </row>
    <row r="122" spans="1:203" ht="6" hidden="1" customHeight="1" x14ac:dyDescent="0.15">
      <c r="G122" s="21"/>
      <c r="H122" s="21"/>
      <c r="I122" s="21"/>
      <c r="J122" s="21"/>
      <c r="K122" s="23"/>
      <c r="L122" s="21"/>
      <c r="M122" s="21"/>
      <c r="N122" s="21"/>
      <c r="O122" s="21"/>
      <c r="DC122" s="88"/>
      <c r="DD122" s="88"/>
      <c r="DE122" s="88"/>
      <c r="DF122" s="88"/>
      <c r="DG122" s="88"/>
      <c r="DI122" s="83"/>
      <c r="DJ122" s="83"/>
      <c r="DK122" s="83"/>
      <c r="DL122" s="83"/>
      <c r="DN122" s="88"/>
      <c r="DO122" s="88"/>
      <c r="DP122" s="88"/>
      <c r="DQ122" s="88"/>
      <c r="DR122" s="88"/>
      <c r="DS122" s="88"/>
      <c r="EK122" s="23"/>
    </row>
    <row r="123" spans="1:203" ht="6" hidden="1" customHeight="1" x14ac:dyDescent="0.15">
      <c r="G123" s="21"/>
      <c r="H123" s="21"/>
      <c r="I123" s="21"/>
      <c r="J123" s="21"/>
      <c r="K123" s="23"/>
      <c r="L123" s="21"/>
      <c r="M123" s="21"/>
      <c r="N123" s="21"/>
      <c r="O123" s="21"/>
      <c r="DC123" s="88"/>
      <c r="DD123" s="88"/>
      <c r="DE123" s="88"/>
      <c r="DF123" s="88"/>
      <c r="DG123" s="88"/>
      <c r="DH123" s="51"/>
      <c r="DI123" s="83"/>
      <c r="DJ123" s="83"/>
      <c r="DK123" s="83"/>
      <c r="DL123" s="83"/>
      <c r="DN123" s="88"/>
      <c r="DO123" s="88"/>
      <c r="DP123" s="88"/>
      <c r="DQ123" s="88"/>
      <c r="DR123" s="88"/>
      <c r="DS123" s="88"/>
      <c r="EK123" s="23"/>
    </row>
    <row r="124" spans="1:203" ht="6" hidden="1" customHeight="1" x14ac:dyDescent="0.15">
      <c r="G124" s="21"/>
      <c r="H124" s="21"/>
      <c r="I124" s="21"/>
      <c r="J124" s="21"/>
      <c r="K124" s="23"/>
      <c r="L124" s="21"/>
      <c r="M124" s="21"/>
      <c r="N124" s="21"/>
      <c r="O124" s="21"/>
      <c r="DC124" s="88"/>
      <c r="DD124" s="88"/>
      <c r="DE124" s="88"/>
      <c r="DF124" s="88"/>
      <c r="DG124" s="88"/>
      <c r="DH124" s="51"/>
      <c r="DI124" s="83"/>
      <c r="DJ124" s="83"/>
      <c r="DK124" s="83"/>
      <c r="DL124" s="83"/>
      <c r="DN124" s="88"/>
      <c r="DO124" s="88"/>
      <c r="DP124" s="88"/>
      <c r="DQ124" s="88"/>
      <c r="DR124" s="88"/>
      <c r="DS124" s="88"/>
      <c r="EK124" s="23"/>
    </row>
    <row r="125" spans="1:203" ht="6" hidden="1" customHeight="1" x14ac:dyDescent="0.15">
      <c r="G125" s="21"/>
      <c r="H125" s="21"/>
      <c r="I125" s="21"/>
      <c r="J125" s="21"/>
      <c r="K125" s="23"/>
      <c r="DC125" s="88"/>
      <c r="DD125" s="88"/>
      <c r="DE125" s="88"/>
      <c r="DF125" s="88"/>
      <c r="DG125" s="88"/>
      <c r="DH125" s="51"/>
      <c r="DI125" s="83"/>
      <c r="DJ125" s="83"/>
      <c r="DK125" s="83"/>
      <c r="DL125" s="83"/>
      <c r="DN125" s="88"/>
      <c r="DO125" s="88"/>
      <c r="DP125" s="88"/>
      <c r="DQ125" s="88"/>
      <c r="DR125" s="88"/>
      <c r="DS125" s="88"/>
      <c r="EK125" s="23"/>
      <c r="GJ125" s="191"/>
      <c r="GK125" s="191"/>
    </row>
    <row r="126" spans="1:203" ht="6" hidden="1" customHeight="1" x14ac:dyDescent="0.15">
      <c r="G126" s="21"/>
      <c r="H126" s="21"/>
      <c r="I126" s="21"/>
      <c r="J126" s="21"/>
      <c r="K126" s="23"/>
      <c r="DC126" s="88"/>
      <c r="DD126" s="88"/>
      <c r="DE126" s="88"/>
      <c r="DF126" s="88"/>
      <c r="DG126" s="88"/>
      <c r="DH126" s="51"/>
      <c r="DI126" s="83"/>
      <c r="DJ126" s="83"/>
      <c r="DK126" s="83"/>
      <c r="DL126" s="83"/>
      <c r="DN126" s="88"/>
      <c r="DO126" s="88"/>
      <c r="DP126" s="88"/>
      <c r="DQ126" s="88"/>
      <c r="DR126" s="88"/>
      <c r="DS126" s="88"/>
      <c r="EK126" s="23"/>
      <c r="GJ126" s="191"/>
      <c r="GK126" s="191"/>
    </row>
    <row r="127" spans="1:203" ht="6" hidden="1" customHeight="1" x14ac:dyDescent="0.15">
      <c r="G127" s="21"/>
      <c r="H127" s="21"/>
      <c r="I127" s="21"/>
      <c r="J127" s="21"/>
      <c r="K127" s="23"/>
      <c r="DC127" s="88"/>
      <c r="DD127" s="88"/>
      <c r="DE127" s="88"/>
      <c r="DF127" s="88"/>
      <c r="DG127" s="88"/>
      <c r="DH127" s="51"/>
      <c r="DI127" s="83"/>
      <c r="DJ127" s="83"/>
      <c r="DK127" s="83"/>
      <c r="DL127" s="83"/>
      <c r="DN127" s="88"/>
      <c r="DO127" s="88"/>
      <c r="DP127" s="88"/>
      <c r="DQ127" s="88"/>
      <c r="DR127" s="88"/>
      <c r="DS127" s="88"/>
      <c r="EJ127" s="21"/>
      <c r="EK127" s="23"/>
      <c r="GJ127" s="191"/>
      <c r="GK127" s="50"/>
    </row>
    <row r="128" spans="1:203" ht="6" hidden="1" customHeight="1" x14ac:dyDescent="0.15">
      <c r="G128" s="21"/>
      <c r="H128" s="21"/>
      <c r="I128" s="21"/>
      <c r="J128" s="21"/>
      <c r="K128" s="23"/>
      <c r="DC128" s="88"/>
      <c r="DD128" s="88"/>
      <c r="DE128" s="88"/>
      <c r="DF128" s="88"/>
      <c r="DG128" s="88"/>
      <c r="DH128" s="51"/>
      <c r="DI128" s="83"/>
      <c r="DJ128" s="83"/>
      <c r="DK128" s="83"/>
      <c r="DL128" s="83"/>
      <c r="DN128" s="88"/>
      <c r="DO128" s="88"/>
      <c r="DP128" s="88"/>
      <c r="DQ128" s="88"/>
      <c r="DR128" s="88"/>
      <c r="DS128" s="88"/>
      <c r="EJ128" s="21"/>
      <c r="EK128" s="23"/>
      <c r="GJ128" s="191"/>
      <c r="GK128" s="50"/>
    </row>
    <row r="129" spans="7:193" ht="6" hidden="1" customHeight="1" x14ac:dyDescent="0.15">
      <c r="G129" s="21"/>
      <c r="H129" s="21"/>
      <c r="I129" s="21"/>
      <c r="J129" s="21"/>
      <c r="K129" s="23"/>
      <c r="DC129" s="88"/>
      <c r="DD129" s="88"/>
      <c r="DE129" s="88"/>
      <c r="DF129" s="88"/>
      <c r="DG129" s="88"/>
      <c r="DI129" s="83"/>
      <c r="DJ129" s="83"/>
      <c r="DK129" s="83"/>
      <c r="DL129" s="83"/>
      <c r="DN129" s="88"/>
      <c r="DO129" s="88"/>
      <c r="DP129" s="88"/>
      <c r="DQ129" s="88"/>
      <c r="DR129" s="88"/>
      <c r="DS129" s="88"/>
      <c r="EJ129" s="21"/>
      <c r="EK129" s="23"/>
      <c r="GJ129" s="191"/>
      <c r="GK129" s="50"/>
    </row>
    <row r="130" spans="7:193" ht="6" hidden="1" customHeight="1" x14ac:dyDescent="0.15">
      <c r="G130" s="21"/>
      <c r="H130" s="21"/>
      <c r="I130" s="21"/>
      <c r="J130" s="21"/>
      <c r="K130" s="23"/>
      <c r="DC130" s="88"/>
      <c r="DD130" s="88"/>
      <c r="DE130" s="88"/>
      <c r="DF130" s="88"/>
      <c r="DG130" s="88"/>
      <c r="DH130" s="191"/>
      <c r="DI130" s="83"/>
      <c r="DJ130" s="83"/>
      <c r="DK130" s="83"/>
      <c r="DL130" s="83"/>
      <c r="DN130" s="88"/>
      <c r="DO130" s="88"/>
      <c r="DP130" s="88"/>
      <c r="DQ130" s="88"/>
      <c r="DR130" s="88"/>
      <c r="DS130" s="88"/>
      <c r="EJ130" s="21"/>
      <c r="EK130" s="23"/>
      <c r="GJ130" s="191"/>
      <c r="GK130" s="50"/>
    </row>
    <row r="131" spans="7:193" ht="6" hidden="1" customHeight="1" x14ac:dyDescent="0.15">
      <c r="G131" s="21"/>
      <c r="H131" s="21"/>
      <c r="I131" s="21"/>
      <c r="J131" s="21"/>
      <c r="K131" s="23"/>
      <c r="DC131" s="88"/>
      <c r="DD131" s="88"/>
      <c r="DE131" s="88"/>
      <c r="DF131" s="88"/>
      <c r="DG131" s="88"/>
      <c r="DH131" s="191"/>
      <c r="DI131" s="83"/>
      <c r="DJ131" s="83"/>
      <c r="DK131" s="83"/>
      <c r="DL131" s="83"/>
      <c r="DN131" s="88"/>
      <c r="DO131" s="88"/>
      <c r="DP131" s="88"/>
      <c r="DQ131" s="88"/>
      <c r="DR131" s="88"/>
      <c r="DS131" s="88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</row>
    <row r="132" spans="7:193" ht="6" hidden="1" customHeight="1" x14ac:dyDescent="0.15">
      <c r="G132" s="21"/>
      <c r="H132" s="21"/>
      <c r="I132" s="21"/>
      <c r="J132" s="21"/>
      <c r="K132" s="23"/>
      <c r="DC132" s="88"/>
      <c r="DD132" s="88"/>
      <c r="DE132" s="88"/>
      <c r="DF132" s="88"/>
      <c r="DG132" s="88"/>
      <c r="DH132" s="191"/>
      <c r="DI132" s="83"/>
      <c r="DJ132" s="83"/>
      <c r="DK132" s="83"/>
      <c r="DL132" s="83"/>
      <c r="DN132" s="88"/>
      <c r="DO132" s="88"/>
      <c r="DP132" s="88"/>
      <c r="DQ132" s="88"/>
      <c r="DR132" s="88"/>
      <c r="DS132" s="88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191"/>
      <c r="GK132" s="191"/>
    </row>
    <row r="133" spans="7:193" ht="6" hidden="1" customHeight="1" x14ac:dyDescent="0.15">
      <c r="G133" s="21"/>
      <c r="H133" s="21"/>
      <c r="I133" s="21"/>
      <c r="J133" s="21"/>
      <c r="K133" s="23"/>
      <c r="DC133" s="88"/>
      <c r="DD133" s="88"/>
      <c r="DE133" s="88"/>
      <c r="DF133" s="88"/>
      <c r="DG133" s="88"/>
      <c r="DH133" s="191"/>
      <c r="DI133" s="83"/>
      <c r="DJ133" s="83"/>
      <c r="DK133" s="83"/>
      <c r="DL133" s="83"/>
      <c r="DN133" s="88"/>
      <c r="DO133" s="88"/>
      <c r="DP133" s="88"/>
      <c r="DQ133" s="88"/>
      <c r="DR133" s="88"/>
      <c r="DS133" s="88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  <c r="GJ133" s="191"/>
      <c r="GK133" s="191"/>
    </row>
    <row r="134" spans="7:193" ht="6" hidden="1" customHeight="1" x14ac:dyDescent="0.15">
      <c r="G134" s="21"/>
      <c r="H134" s="21"/>
      <c r="I134" s="21"/>
      <c r="J134" s="21"/>
      <c r="K134" s="23"/>
      <c r="L134" s="191"/>
      <c r="M134" s="191"/>
      <c r="N134" s="191"/>
      <c r="O134" s="191"/>
      <c r="P134" s="191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55"/>
      <c r="AE134" s="55"/>
      <c r="AF134" s="55"/>
      <c r="AG134" s="27"/>
      <c r="AH134" s="191"/>
      <c r="AI134" s="191"/>
      <c r="AJ134" s="191"/>
      <c r="AK134" s="191"/>
      <c r="AL134" s="191"/>
      <c r="AM134" s="191"/>
      <c r="AN134" s="191"/>
      <c r="AO134" s="191"/>
      <c r="AP134" s="191"/>
      <c r="DC134" s="88"/>
      <c r="DD134" s="88"/>
      <c r="DE134" s="88"/>
      <c r="DF134" s="88"/>
      <c r="DG134" s="88"/>
      <c r="DI134" s="83"/>
      <c r="DJ134" s="83"/>
      <c r="DK134" s="83"/>
      <c r="DL134" s="83"/>
      <c r="DN134" s="88"/>
      <c r="DO134" s="88"/>
      <c r="DP134" s="88"/>
      <c r="DQ134" s="88"/>
      <c r="DR134" s="88"/>
      <c r="DS134" s="88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191"/>
      <c r="GK134" s="191"/>
    </row>
    <row r="135" spans="7:193" ht="6" hidden="1" customHeight="1" x14ac:dyDescent="0.15">
      <c r="G135" s="21"/>
      <c r="H135" s="21"/>
      <c r="I135" s="21"/>
      <c r="J135" s="21"/>
      <c r="K135" s="23"/>
      <c r="DC135" s="88"/>
      <c r="DD135" s="88"/>
      <c r="DE135" s="88"/>
      <c r="DF135" s="88"/>
      <c r="DG135" s="88"/>
      <c r="DH135" s="51"/>
      <c r="DI135" s="83"/>
      <c r="DJ135" s="83"/>
      <c r="DK135" s="83"/>
      <c r="DL135" s="83"/>
      <c r="DN135" s="88"/>
      <c r="DO135" s="88"/>
      <c r="DP135" s="88"/>
      <c r="DQ135" s="88"/>
      <c r="DR135" s="88"/>
      <c r="DS135" s="88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191"/>
      <c r="GK135" s="191"/>
    </row>
    <row r="136" spans="7:193" ht="6" hidden="1" customHeight="1" x14ac:dyDescent="0.15">
      <c r="G136" s="21"/>
      <c r="H136" s="21"/>
      <c r="I136" s="21"/>
      <c r="J136" s="21"/>
      <c r="K136" s="23"/>
      <c r="DC136" s="88"/>
      <c r="DD136" s="88"/>
      <c r="DE136" s="88"/>
      <c r="DF136" s="88"/>
      <c r="DG136" s="88"/>
      <c r="DH136" s="51"/>
      <c r="DI136" s="83"/>
      <c r="DJ136" s="83"/>
      <c r="DK136" s="83"/>
      <c r="DL136" s="83"/>
      <c r="DN136" s="88"/>
      <c r="DO136" s="88"/>
      <c r="DP136" s="88"/>
      <c r="DQ136" s="88"/>
      <c r="DR136" s="88"/>
      <c r="DS136" s="88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</row>
    <row r="137" spans="7:193" ht="6" hidden="1" customHeight="1" x14ac:dyDescent="0.15">
      <c r="G137" s="21"/>
      <c r="H137" s="21"/>
      <c r="I137" s="21"/>
      <c r="J137" s="21"/>
      <c r="K137" s="23"/>
      <c r="DC137" s="88"/>
      <c r="DD137" s="88"/>
      <c r="DE137" s="88"/>
      <c r="DF137" s="88"/>
      <c r="DG137" s="88"/>
      <c r="DH137" s="51"/>
      <c r="DI137" s="83"/>
      <c r="DJ137" s="83"/>
      <c r="DK137" s="83"/>
      <c r="DL137" s="83"/>
      <c r="DN137" s="88"/>
      <c r="DO137" s="88"/>
      <c r="DP137" s="88"/>
      <c r="DQ137" s="88"/>
      <c r="DR137" s="88"/>
      <c r="DS137" s="88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1"/>
      <c r="GK137" s="84"/>
    </row>
    <row r="138" spans="7:193" ht="6" hidden="1" customHeight="1" x14ac:dyDescent="0.15">
      <c r="G138" s="21"/>
      <c r="H138" s="21"/>
      <c r="I138" s="21"/>
      <c r="J138" s="21"/>
      <c r="K138" s="23"/>
      <c r="DC138" s="88"/>
      <c r="DD138" s="88"/>
      <c r="DE138" s="88"/>
      <c r="DF138" s="88"/>
      <c r="DG138" s="88"/>
      <c r="DH138" s="51"/>
      <c r="DI138" s="83"/>
      <c r="DJ138" s="83"/>
      <c r="DK138" s="83"/>
      <c r="DL138" s="83"/>
      <c r="DN138" s="88"/>
      <c r="DO138" s="88"/>
      <c r="DP138" s="88"/>
      <c r="DQ138" s="88"/>
      <c r="DR138" s="88"/>
      <c r="DS138" s="88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1"/>
      <c r="GK138" s="84"/>
    </row>
    <row r="139" spans="7:193" ht="6" hidden="1" customHeight="1" x14ac:dyDescent="0.15">
      <c r="G139" s="21"/>
      <c r="H139" s="21"/>
      <c r="I139" s="21"/>
      <c r="J139" s="21"/>
      <c r="K139" s="23"/>
      <c r="DC139" s="88"/>
      <c r="DD139" s="88"/>
      <c r="DE139" s="88"/>
      <c r="DF139" s="88"/>
      <c r="DG139" s="88"/>
      <c r="DH139" s="51"/>
      <c r="DI139" s="83"/>
      <c r="DJ139" s="83"/>
      <c r="DK139" s="83"/>
      <c r="DL139" s="83"/>
      <c r="DN139" s="88"/>
      <c r="DO139" s="88"/>
      <c r="DP139" s="88"/>
      <c r="DQ139" s="88"/>
      <c r="DR139" s="88"/>
      <c r="DS139" s="88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GJ139" s="51"/>
      <c r="GK139" s="84"/>
    </row>
    <row r="140" spans="7:193" ht="6" hidden="1" customHeight="1" x14ac:dyDescent="0.15">
      <c r="G140" s="21"/>
      <c r="H140" s="21"/>
      <c r="I140" s="21"/>
      <c r="J140" s="21"/>
      <c r="K140" s="23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  <c r="GJ140" s="51"/>
      <c r="GK140" s="84"/>
    </row>
    <row r="141" spans="7:193" ht="6" hidden="1" customHeight="1" x14ac:dyDescent="0.15">
      <c r="G141" s="21"/>
      <c r="H141" s="21"/>
      <c r="I141" s="21"/>
      <c r="J141" s="21"/>
      <c r="K141" s="23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GJ141" s="51"/>
      <c r="GK141" s="192"/>
    </row>
    <row r="142" spans="7:193" ht="6" hidden="1" customHeight="1" x14ac:dyDescent="0.15">
      <c r="G142" s="21"/>
      <c r="H142" s="21"/>
      <c r="I142" s="21"/>
      <c r="J142" s="21"/>
      <c r="K142" s="23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190"/>
      <c r="EM142" s="190"/>
      <c r="EN142" s="190"/>
      <c r="EO142" s="190"/>
      <c r="EP142" s="190"/>
      <c r="EQ142" s="190"/>
      <c r="ER142" s="190"/>
      <c r="ES142" s="190"/>
      <c r="ET142" s="190"/>
      <c r="EU142" s="190"/>
      <c r="EV142" s="190"/>
      <c r="EW142" s="190"/>
      <c r="EX142" s="190"/>
      <c r="EY142" s="190"/>
      <c r="EZ142" s="190"/>
      <c r="FA142" s="190"/>
      <c r="FB142" s="190"/>
      <c r="FC142" s="190"/>
      <c r="FD142" s="190"/>
      <c r="FE142" s="190"/>
      <c r="FF142" s="190"/>
      <c r="FG142" s="190"/>
      <c r="FH142" s="190"/>
      <c r="FI142" s="190"/>
      <c r="FJ142" s="190"/>
      <c r="FK142" s="190"/>
      <c r="FL142" s="190"/>
      <c r="FM142" s="190"/>
      <c r="FN142" s="190"/>
      <c r="FO142" s="190"/>
      <c r="FP142" s="190"/>
      <c r="FQ142" s="190"/>
      <c r="FR142" s="190"/>
      <c r="FS142" s="190"/>
      <c r="FT142" s="190"/>
      <c r="FU142" s="190"/>
      <c r="FV142" s="190"/>
      <c r="FW142" s="190"/>
      <c r="FX142" s="190"/>
      <c r="FY142" s="190"/>
      <c r="FZ142" s="190"/>
      <c r="GA142" s="190"/>
      <c r="GB142" s="190"/>
      <c r="GC142" s="190"/>
      <c r="GD142" s="190"/>
      <c r="GF142" s="51"/>
      <c r="GG142" s="51"/>
      <c r="GH142" s="51"/>
      <c r="GI142" s="51"/>
      <c r="GJ142" s="51"/>
      <c r="GK142" s="192"/>
    </row>
    <row r="143" spans="7:193" ht="6" hidden="1" customHeight="1" x14ac:dyDescent="0.15">
      <c r="G143" s="21"/>
      <c r="H143" s="21"/>
      <c r="I143" s="21"/>
      <c r="J143" s="21"/>
      <c r="K143" s="23"/>
      <c r="N143" s="893"/>
      <c r="O143" s="893"/>
      <c r="P143" s="893"/>
      <c r="Q143" s="893"/>
      <c r="R143" s="893"/>
      <c r="S143" s="893"/>
      <c r="T143" s="893"/>
      <c r="U143" s="893"/>
      <c r="V143" s="893"/>
      <c r="W143" s="893"/>
      <c r="X143" s="893"/>
      <c r="Y143" s="893"/>
      <c r="Z143" s="893"/>
      <c r="AA143" s="893"/>
      <c r="AB143" s="893"/>
      <c r="AC143" s="893"/>
      <c r="AD143" s="893"/>
      <c r="AE143" s="893"/>
      <c r="AF143" s="893"/>
      <c r="AG143" s="893"/>
      <c r="AH143" s="893"/>
      <c r="AI143" s="893"/>
      <c r="AJ143" s="893"/>
      <c r="AK143" s="893"/>
      <c r="AL143" s="893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3"/>
    </row>
    <row r="144" spans="7:193" ht="6" hidden="1" customHeight="1" x14ac:dyDescent="0.15">
      <c r="G144" s="21"/>
      <c r="H144" s="21"/>
      <c r="I144" s="21"/>
      <c r="J144" s="21"/>
      <c r="K144" s="23"/>
      <c r="N144" s="893"/>
      <c r="O144" s="893"/>
      <c r="P144" s="893"/>
      <c r="Q144" s="893"/>
      <c r="R144" s="893"/>
      <c r="S144" s="893"/>
      <c r="T144" s="893"/>
      <c r="U144" s="893"/>
      <c r="V144" s="893"/>
      <c r="W144" s="893"/>
      <c r="X144" s="893"/>
      <c r="Y144" s="893"/>
      <c r="Z144" s="893"/>
      <c r="AA144" s="893"/>
      <c r="AB144" s="893"/>
      <c r="AC144" s="893"/>
      <c r="AD144" s="893"/>
      <c r="AE144" s="893"/>
      <c r="AF144" s="893"/>
      <c r="AG144" s="893"/>
      <c r="AH144" s="893"/>
      <c r="AI144" s="893"/>
      <c r="AJ144" s="893"/>
      <c r="AK144" s="893"/>
      <c r="AL144" s="893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3"/>
      <c r="EL144" s="190"/>
      <c r="EM144" s="190"/>
      <c r="EN144" s="190"/>
      <c r="EO144" s="190"/>
      <c r="EP144" s="190"/>
      <c r="EQ144" s="190"/>
      <c r="ER144" s="190"/>
      <c r="ES144" s="190"/>
      <c r="ET144" s="190"/>
      <c r="EU144" s="190"/>
      <c r="EV144" s="190"/>
      <c r="EW144" s="190"/>
      <c r="EX144" s="190"/>
      <c r="EY144" s="190"/>
      <c r="EZ144" s="190"/>
      <c r="FA144" s="190"/>
      <c r="FB144" s="190"/>
      <c r="FC144" s="190"/>
      <c r="FD144" s="190"/>
      <c r="FE144" s="190"/>
      <c r="FF144" s="190"/>
      <c r="FG144" s="190"/>
      <c r="FH144" s="190"/>
      <c r="FI144" s="190"/>
      <c r="FJ144" s="190"/>
      <c r="FK144" s="190"/>
      <c r="FL144" s="190"/>
      <c r="FM144" s="190"/>
      <c r="FN144" s="190"/>
      <c r="FO144" s="190"/>
      <c r="FP144" s="190"/>
      <c r="FQ144" s="190"/>
      <c r="FR144" s="190"/>
      <c r="FS144" s="190"/>
      <c r="FT144" s="190"/>
      <c r="FU144" s="190"/>
      <c r="FV144" s="190"/>
      <c r="FW144" s="190"/>
      <c r="FX144" s="190"/>
      <c r="FY144" s="190"/>
      <c r="FZ144" s="190"/>
      <c r="GA144" s="190"/>
      <c r="GB144" s="190"/>
      <c r="GC144" s="190"/>
      <c r="GD144" s="190"/>
      <c r="GF144" s="191"/>
      <c r="GG144" s="191"/>
      <c r="GH144" s="191"/>
      <c r="GI144" s="191"/>
      <c r="GJ144" s="191"/>
    </row>
    <row r="145" spans="7:192" ht="6" hidden="1" customHeight="1" x14ac:dyDescent="0.15">
      <c r="G145" s="21"/>
      <c r="H145" s="21"/>
      <c r="I145" s="21"/>
      <c r="J145" s="21"/>
      <c r="K145" s="23"/>
      <c r="N145" s="895"/>
      <c r="O145" s="895"/>
      <c r="P145" s="895"/>
      <c r="Q145" s="895"/>
      <c r="R145" s="895"/>
      <c r="S145" s="895"/>
      <c r="Y145" s="895"/>
      <c r="Z145" s="895"/>
      <c r="AA145" s="895"/>
      <c r="AB145" s="895"/>
      <c r="AC145" s="895"/>
      <c r="AD145" s="895"/>
      <c r="AE145" s="896"/>
      <c r="AF145" s="896"/>
      <c r="AG145" s="896"/>
      <c r="AH145" s="896"/>
      <c r="AI145" s="896"/>
      <c r="AJ145" s="896"/>
      <c r="AK145" s="896"/>
      <c r="AL145" s="896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3"/>
      <c r="EL145" s="190"/>
      <c r="EM145" s="190"/>
      <c r="EN145" s="190"/>
      <c r="EO145" s="190"/>
      <c r="EP145" s="190"/>
      <c r="EQ145" s="190"/>
      <c r="ER145" s="190"/>
      <c r="ES145" s="190"/>
      <c r="ET145" s="190"/>
      <c r="EU145" s="190"/>
      <c r="EV145" s="190"/>
      <c r="EW145" s="190"/>
      <c r="EX145" s="190"/>
      <c r="EY145" s="190"/>
      <c r="EZ145" s="190"/>
      <c r="FA145" s="190"/>
      <c r="FB145" s="190"/>
      <c r="FC145" s="190"/>
      <c r="FD145" s="190"/>
      <c r="FE145" s="190"/>
      <c r="FF145" s="190"/>
      <c r="FG145" s="190"/>
      <c r="FH145" s="190"/>
      <c r="FI145" s="190"/>
      <c r="FJ145" s="190"/>
      <c r="FK145" s="190"/>
      <c r="FL145" s="190"/>
      <c r="FM145" s="190"/>
      <c r="FN145" s="190"/>
      <c r="FO145" s="190"/>
      <c r="FP145" s="190"/>
      <c r="FQ145" s="190"/>
      <c r="FR145" s="190"/>
      <c r="FS145" s="190"/>
      <c r="FT145" s="190"/>
      <c r="FU145" s="190"/>
      <c r="FV145" s="190"/>
      <c r="FW145" s="190"/>
      <c r="FX145" s="190"/>
      <c r="FY145" s="190"/>
      <c r="FZ145" s="190"/>
      <c r="GA145" s="190"/>
      <c r="GB145" s="190"/>
      <c r="GC145" s="190"/>
      <c r="GD145" s="190"/>
      <c r="GF145" s="191"/>
      <c r="GG145" s="191"/>
      <c r="GH145" s="191"/>
      <c r="GI145" s="191"/>
      <c r="GJ145" s="191"/>
    </row>
    <row r="146" spans="7:192" ht="6" hidden="1" customHeight="1" x14ac:dyDescent="0.15">
      <c r="G146" s="21"/>
      <c r="H146" s="21"/>
      <c r="I146" s="21"/>
      <c r="J146" s="21"/>
      <c r="K146" s="23"/>
      <c r="N146" s="895"/>
      <c r="O146" s="895"/>
      <c r="P146" s="895"/>
      <c r="Q146" s="895"/>
      <c r="R146" s="895"/>
      <c r="S146" s="895"/>
      <c r="Y146" s="895"/>
      <c r="Z146" s="895"/>
      <c r="AA146" s="895"/>
      <c r="AB146" s="895"/>
      <c r="AC146" s="895"/>
      <c r="AD146" s="895"/>
      <c r="AE146" s="896"/>
      <c r="AF146" s="896"/>
      <c r="AG146" s="896"/>
      <c r="AH146" s="896"/>
      <c r="AI146" s="896"/>
      <c r="AJ146" s="896"/>
      <c r="AK146" s="896"/>
      <c r="AL146" s="896"/>
      <c r="DC146" s="23"/>
      <c r="DD146" s="23"/>
      <c r="DE146" s="23"/>
      <c r="DF146" s="23"/>
      <c r="DG146" s="23"/>
      <c r="DH146" s="23"/>
      <c r="DI146" s="23"/>
      <c r="DJ146" s="23"/>
      <c r="DK146" s="23"/>
      <c r="DL146" s="23"/>
      <c r="DM146" s="23"/>
      <c r="DN146" s="23"/>
      <c r="DO146" s="23"/>
      <c r="DP146" s="23"/>
      <c r="DQ146" s="23"/>
      <c r="DR146" s="23"/>
      <c r="DS146" s="23"/>
      <c r="DT146" s="23"/>
      <c r="DU146" s="23"/>
      <c r="DV146" s="23"/>
      <c r="DW146" s="23"/>
      <c r="DX146" s="23"/>
      <c r="DY146" s="23"/>
      <c r="DZ146" s="23"/>
      <c r="EA146" s="23"/>
      <c r="EB146" s="23"/>
      <c r="EC146" s="23"/>
      <c r="ED146" s="23"/>
      <c r="EE146" s="23"/>
      <c r="EF146" s="23"/>
      <c r="EG146" s="23"/>
      <c r="EH146" s="23"/>
      <c r="EI146" s="23"/>
      <c r="EJ146" s="23"/>
      <c r="EK146" s="21"/>
      <c r="EL146" s="190"/>
      <c r="EM146" s="190"/>
      <c r="EN146" s="190"/>
      <c r="EO146" s="190"/>
      <c r="EP146" s="190"/>
      <c r="EQ146" s="190"/>
      <c r="ER146" s="190"/>
      <c r="ES146" s="190"/>
      <c r="ET146" s="190"/>
      <c r="EU146" s="190"/>
      <c r="EV146" s="190"/>
      <c r="EW146" s="190"/>
      <c r="EX146" s="190"/>
      <c r="EY146" s="190"/>
      <c r="EZ146" s="190"/>
      <c r="FA146" s="190"/>
      <c r="FB146" s="190"/>
      <c r="FC146" s="190"/>
      <c r="FD146" s="190"/>
      <c r="FE146" s="190"/>
      <c r="FF146" s="190"/>
      <c r="FG146" s="190"/>
      <c r="FH146" s="190"/>
      <c r="FI146" s="190"/>
      <c r="FJ146" s="190"/>
      <c r="FK146" s="190"/>
      <c r="FL146" s="190"/>
      <c r="FM146" s="190"/>
      <c r="FN146" s="190"/>
      <c r="FO146" s="190"/>
      <c r="FP146" s="190"/>
      <c r="FQ146" s="190"/>
      <c r="FR146" s="190"/>
      <c r="FS146" s="190"/>
      <c r="FT146" s="190"/>
      <c r="FU146" s="190"/>
      <c r="FV146" s="190"/>
      <c r="FW146" s="190"/>
      <c r="FX146" s="190"/>
      <c r="FY146" s="190"/>
      <c r="FZ146" s="190"/>
      <c r="GA146" s="190"/>
      <c r="GB146" s="190"/>
      <c r="GC146" s="190"/>
      <c r="GD146" s="190"/>
      <c r="GF146" s="191"/>
      <c r="GG146" s="191"/>
      <c r="GH146" s="191"/>
      <c r="GI146" s="191"/>
      <c r="GJ146" s="191"/>
    </row>
    <row r="147" spans="7:192" ht="6" hidden="1" customHeight="1" x14ac:dyDescent="0.15">
      <c r="G147" s="21"/>
      <c r="H147" s="21"/>
      <c r="I147" s="21"/>
      <c r="J147" s="21"/>
      <c r="K147" s="23"/>
      <c r="N147" s="895"/>
      <c r="O147" s="895"/>
      <c r="P147" s="895"/>
      <c r="Q147" s="895"/>
      <c r="R147" s="895"/>
      <c r="S147" s="895"/>
      <c r="Y147" s="895"/>
      <c r="Z147" s="895"/>
      <c r="AA147" s="895"/>
      <c r="AB147" s="895"/>
      <c r="AC147" s="895"/>
      <c r="AD147" s="895"/>
      <c r="AE147" s="896"/>
      <c r="AF147" s="896"/>
      <c r="AG147" s="896"/>
      <c r="AH147" s="896"/>
      <c r="AI147" s="896"/>
      <c r="AJ147" s="896"/>
      <c r="AK147" s="896"/>
      <c r="AL147" s="896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190"/>
      <c r="EM147" s="190"/>
      <c r="EN147" s="190"/>
      <c r="EO147" s="190"/>
      <c r="EP147" s="190"/>
      <c r="EQ147" s="190"/>
      <c r="ER147" s="190"/>
      <c r="ES147" s="190"/>
      <c r="ET147" s="190"/>
      <c r="EU147" s="190"/>
      <c r="EV147" s="190"/>
      <c r="EW147" s="190"/>
      <c r="EX147" s="190"/>
      <c r="EY147" s="190"/>
      <c r="EZ147" s="190"/>
      <c r="FA147" s="190"/>
      <c r="FB147" s="190"/>
      <c r="FC147" s="190"/>
      <c r="FD147" s="190"/>
      <c r="FE147" s="190"/>
      <c r="FF147" s="190"/>
      <c r="FG147" s="190"/>
      <c r="FH147" s="190"/>
      <c r="FI147" s="190"/>
      <c r="FJ147" s="190"/>
      <c r="FK147" s="190"/>
      <c r="FL147" s="190"/>
      <c r="FM147" s="190"/>
      <c r="FN147" s="190"/>
      <c r="FO147" s="190"/>
      <c r="FP147" s="190"/>
      <c r="FQ147" s="190"/>
      <c r="FR147" s="190"/>
      <c r="FS147" s="190"/>
      <c r="FT147" s="190"/>
      <c r="FU147" s="190"/>
      <c r="FV147" s="190"/>
      <c r="FW147" s="190"/>
      <c r="FX147" s="190"/>
      <c r="FY147" s="190"/>
      <c r="FZ147" s="190"/>
      <c r="GA147" s="190"/>
      <c r="GB147" s="190"/>
      <c r="GC147" s="190"/>
      <c r="GD147" s="190"/>
      <c r="GF147" s="191"/>
      <c r="GG147" s="191"/>
      <c r="GH147" s="191"/>
      <c r="GI147" s="191"/>
      <c r="GJ147" s="191"/>
    </row>
    <row r="148" spans="7:192" ht="6" hidden="1" customHeight="1" x14ac:dyDescent="0.15">
      <c r="G148" s="21"/>
      <c r="H148" s="21"/>
      <c r="I148" s="21"/>
      <c r="J148" s="21"/>
      <c r="K148" s="23"/>
      <c r="N148" s="895"/>
      <c r="O148" s="895"/>
      <c r="P148" s="895"/>
      <c r="Q148" s="895"/>
      <c r="R148" s="895"/>
      <c r="S148" s="895"/>
      <c r="Y148" s="895"/>
      <c r="Z148" s="895"/>
      <c r="AA148" s="895"/>
      <c r="AB148" s="895"/>
      <c r="AC148" s="895"/>
      <c r="AD148" s="895"/>
      <c r="AE148" s="896"/>
      <c r="AF148" s="896"/>
      <c r="AG148" s="896"/>
      <c r="AH148" s="896"/>
      <c r="AI148" s="896"/>
      <c r="AJ148" s="896"/>
      <c r="AK148" s="896"/>
      <c r="AL148" s="896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</row>
    <row r="149" spans="7:192" ht="6" hidden="1" customHeight="1" x14ac:dyDescent="0.15">
      <c r="G149" s="21"/>
      <c r="H149" s="21"/>
      <c r="I149" s="21"/>
      <c r="J149" s="21"/>
      <c r="K149" s="23"/>
      <c r="N149" s="895"/>
      <c r="O149" s="895"/>
      <c r="P149" s="895"/>
      <c r="Q149" s="895"/>
      <c r="R149" s="895"/>
      <c r="S149" s="895"/>
      <c r="Y149" s="895"/>
      <c r="Z149" s="895"/>
      <c r="AA149" s="895"/>
      <c r="AB149" s="895"/>
      <c r="AC149" s="895"/>
      <c r="AD149" s="895"/>
      <c r="AE149" s="896"/>
      <c r="AF149" s="896"/>
      <c r="AG149" s="896"/>
      <c r="AH149" s="896"/>
      <c r="AI149" s="896"/>
      <c r="AJ149" s="896"/>
      <c r="AK149" s="896"/>
      <c r="AL149" s="896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190"/>
      <c r="EM149" s="190"/>
      <c r="EN149" s="190"/>
      <c r="EO149" s="190"/>
      <c r="EP149" s="190"/>
      <c r="EQ149" s="190"/>
      <c r="ER149" s="190"/>
      <c r="ES149" s="190"/>
      <c r="ET149" s="190"/>
      <c r="EU149" s="190"/>
      <c r="EV149" s="190"/>
      <c r="EW149" s="190"/>
      <c r="EX149" s="190"/>
      <c r="EY149" s="190"/>
      <c r="EZ149" s="190"/>
      <c r="FA149" s="190"/>
      <c r="FB149" s="190"/>
      <c r="FC149" s="190"/>
      <c r="FD149" s="190"/>
      <c r="FE149" s="190"/>
      <c r="FF149" s="190"/>
      <c r="FG149" s="190"/>
      <c r="FH149" s="190"/>
      <c r="FI149" s="190"/>
      <c r="FJ149" s="190"/>
      <c r="FK149" s="190"/>
      <c r="FL149" s="190"/>
      <c r="FM149" s="190"/>
      <c r="FN149" s="190"/>
      <c r="FO149" s="190"/>
      <c r="FP149" s="190"/>
      <c r="FQ149" s="190"/>
      <c r="FR149" s="190"/>
      <c r="FS149" s="190"/>
      <c r="FT149" s="190"/>
      <c r="FU149" s="190"/>
      <c r="FV149" s="190"/>
      <c r="FW149" s="190"/>
      <c r="FX149" s="190"/>
      <c r="FY149" s="190"/>
      <c r="FZ149" s="190"/>
      <c r="GA149" s="190"/>
      <c r="GB149" s="190"/>
      <c r="GC149" s="190"/>
      <c r="GD149" s="190"/>
      <c r="GF149" s="191"/>
      <c r="GG149" s="191"/>
      <c r="GH149" s="191"/>
      <c r="GI149" s="191"/>
      <c r="GJ149" s="191"/>
    </row>
    <row r="150" spans="7:192" ht="6" hidden="1" customHeight="1" x14ac:dyDescent="0.15">
      <c r="G150" s="21"/>
      <c r="H150" s="21"/>
      <c r="I150" s="21"/>
      <c r="J150" s="21"/>
      <c r="K150" s="23"/>
      <c r="N150" s="895"/>
      <c r="O150" s="895"/>
      <c r="P150" s="895"/>
      <c r="Q150" s="895"/>
      <c r="R150" s="895"/>
      <c r="S150" s="895"/>
      <c r="Y150" s="895"/>
      <c r="Z150" s="895"/>
      <c r="AA150" s="895"/>
      <c r="AB150" s="895"/>
      <c r="AC150" s="895"/>
      <c r="AD150" s="895"/>
      <c r="AE150" s="896"/>
      <c r="AF150" s="896"/>
      <c r="AG150" s="896"/>
      <c r="AH150" s="896"/>
      <c r="AI150" s="896"/>
      <c r="AJ150" s="896"/>
      <c r="AK150" s="896"/>
      <c r="AL150" s="896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190"/>
      <c r="EM150" s="190"/>
      <c r="EN150" s="190"/>
      <c r="EO150" s="190"/>
      <c r="EP150" s="190"/>
      <c r="EQ150" s="190"/>
      <c r="ER150" s="190"/>
      <c r="ES150" s="190"/>
      <c r="ET150" s="190"/>
      <c r="EU150" s="190"/>
      <c r="EV150" s="190"/>
      <c r="EW150" s="190"/>
      <c r="EX150" s="190"/>
      <c r="EY150" s="190"/>
      <c r="EZ150" s="190"/>
      <c r="FA150" s="190"/>
      <c r="FB150" s="190"/>
      <c r="FC150" s="190"/>
      <c r="FD150" s="190"/>
      <c r="FE150" s="190"/>
      <c r="FF150" s="190"/>
      <c r="FG150" s="190"/>
      <c r="FH150" s="190"/>
      <c r="FI150" s="190"/>
      <c r="FJ150" s="190"/>
      <c r="FK150" s="190"/>
      <c r="FL150" s="190"/>
      <c r="FM150" s="190"/>
      <c r="FN150" s="190"/>
      <c r="FO150" s="190"/>
      <c r="FP150" s="190"/>
      <c r="FQ150" s="190"/>
      <c r="FR150" s="190"/>
      <c r="FS150" s="190"/>
      <c r="FT150" s="190"/>
      <c r="FU150" s="190"/>
      <c r="FV150" s="190"/>
      <c r="FW150" s="190"/>
      <c r="FX150" s="190"/>
      <c r="FY150" s="190"/>
      <c r="FZ150" s="190"/>
      <c r="GA150" s="190"/>
      <c r="GB150" s="190"/>
      <c r="GC150" s="190"/>
      <c r="GD150" s="190"/>
      <c r="GF150" s="191"/>
      <c r="GG150" s="191"/>
      <c r="GH150" s="191"/>
      <c r="GI150" s="191"/>
      <c r="GJ150" s="191"/>
    </row>
    <row r="151" spans="7:192" ht="6" hidden="1" customHeight="1" x14ac:dyDescent="0.15">
      <c r="G151" s="21"/>
      <c r="H151" s="21"/>
      <c r="I151" s="21"/>
      <c r="J151" s="21"/>
      <c r="K151" s="23"/>
      <c r="N151" s="895"/>
      <c r="O151" s="895"/>
      <c r="P151" s="895"/>
      <c r="Q151" s="895"/>
      <c r="R151" s="895"/>
      <c r="S151" s="895"/>
      <c r="Y151" s="895"/>
      <c r="Z151" s="895"/>
      <c r="AA151" s="895"/>
      <c r="AB151" s="895"/>
      <c r="AC151" s="895"/>
      <c r="AD151" s="895"/>
      <c r="AE151" s="896"/>
      <c r="AF151" s="896"/>
      <c r="AG151" s="896"/>
      <c r="AH151" s="896"/>
      <c r="AI151" s="896"/>
      <c r="AJ151" s="896"/>
      <c r="AK151" s="896"/>
      <c r="AL151" s="896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190"/>
      <c r="EM151" s="190"/>
      <c r="EN151" s="190"/>
      <c r="EO151" s="190"/>
      <c r="EP151" s="190"/>
      <c r="EQ151" s="190"/>
      <c r="ER151" s="190"/>
      <c r="ES151" s="190"/>
      <c r="ET151" s="190"/>
      <c r="EU151" s="190"/>
      <c r="EV151" s="190"/>
      <c r="EW151" s="190"/>
      <c r="EX151" s="190"/>
      <c r="EY151" s="190"/>
      <c r="EZ151" s="190"/>
      <c r="FA151" s="190"/>
      <c r="FB151" s="190"/>
      <c r="FC151" s="190"/>
      <c r="FD151" s="190"/>
      <c r="FE151" s="190"/>
      <c r="FF151" s="190"/>
      <c r="FG151" s="190"/>
      <c r="FH151" s="190"/>
      <c r="FI151" s="190"/>
      <c r="FJ151" s="190"/>
      <c r="FK151" s="190"/>
      <c r="FL151" s="190"/>
      <c r="FM151" s="190"/>
      <c r="FN151" s="190"/>
      <c r="FO151" s="190"/>
      <c r="FP151" s="190"/>
      <c r="FQ151" s="190"/>
      <c r="FR151" s="190"/>
      <c r="FS151" s="190"/>
      <c r="FT151" s="190"/>
      <c r="FU151" s="190"/>
      <c r="FV151" s="190"/>
      <c r="FW151" s="190"/>
      <c r="FX151" s="190"/>
      <c r="FY151" s="190"/>
      <c r="FZ151" s="190"/>
      <c r="GA151" s="190"/>
      <c r="GB151" s="190"/>
      <c r="GC151" s="190"/>
      <c r="GD151" s="190"/>
      <c r="GF151" s="191"/>
      <c r="GG151" s="191"/>
      <c r="GH151" s="191"/>
      <c r="GI151" s="191"/>
      <c r="GJ151" s="191"/>
    </row>
    <row r="152" spans="7:192" ht="6" hidden="1" customHeight="1" x14ac:dyDescent="0.15">
      <c r="G152" s="21"/>
      <c r="H152" s="21"/>
      <c r="I152" s="21"/>
      <c r="J152" s="21"/>
      <c r="K152" s="23"/>
      <c r="N152" s="895"/>
      <c r="O152" s="895"/>
      <c r="P152" s="895"/>
      <c r="Q152" s="895"/>
      <c r="R152" s="895"/>
      <c r="S152" s="895"/>
      <c r="Y152" s="895"/>
      <c r="Z152" s="895"/>
      <c r="AA152" s="895"/>
      <c r="AB152" s="895"/>
      <c r="AC152" s="895"/>
      <c r="AD152" s="895"/>
      <c r="AE152" s="896"/>
      <c r="AF152" s="896"/>
      <c r="AG152" s="896"/>
      <c r="AH152" s="896"/>
      <c r="AI152" s="896"/>
      <c r="AJ152" s="896"/>
      <c r="AK152" s="896"/>
      <c r="AL152" s="896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190"/>
      <c r="EM152" s="190"/>
      <c r="EN152" s="190"/>
      <c r="EO152" s="190"/>
      <c r="EP152" s="190"/>
      <c r="EQ152" s="190"/>
      <c r="ER152" s="190"/>
      <c r="ES152" s="190"/>
      <c r="ET152" s="190"/>
      <c r="EU152" s="190"/>
      <c r="EV152" s="190"/>
      <c r="EW152" s="190"/>
      <c r="EX152" s="190"/>
      <c r="EY152" s="190"/>
      <c r="EZ152" s="190"/>
      <c r="FA152" s="190"/>
      <c r="FB152" s="190"/>
      <c r="FC152" s="190"/>
      <c r="FD152" s="190"/>
      <c r="FE152" s="190"/>
      <c r="FF152" s="190"/>
      <c r="FG152" s="190"/>
      <c r="FH152" s="190"/>
      <c r="FI152" s="190"/>
      <c r="FJ152" s="190"/>
      <c r="FK152" s="190"/>
      <c r="FL152" s="190"/>
      <c r="FM152" s="190"/>
      <c r="FN152" s="190"/>
      <c r="FO152" s="190"/>
      <c r="FP152" s="190"/>
      <c r="FQ152" s="190"/>
      <c r="FR152" s="190"/>
      <c r="FS152" s="190"/>
      <c r="FT152" s="190"/>
      <c r="FU152" s="190"/>
      <c r="FV152" s="190"/>
      <c r="FW152" s="190"/>
      <c r="FX152" s="190"/>
      <c r="FY152" s="190"/>
      <c r="FZ152" s="190"/>
      <c r="GA152" s="190"/>
      <c r="GB152" s="190"/>
      <c r="GC152" s="190"/>
      <c r="GD152" s="190"/>
      <c r="GF152" s="191"/>
      <c r="GG152" s="191"/>
      <c r="GH152" s="191"/>
      <c r="GI152" s="191"/>
      <c r="GJ152" s="191"/>
    </row>
    <row r="153" spans="7:192" ht="6" hidden="1" customHeight="1" x14ac:dyDescent="0.15">
      <c r="G153" s="21"/>
      <c r="H153" s="21"/>
      <c r="I153" s="21"/>
      <c r="J153" s="21"/>
      <c r="K153" s="23"/>
      <c r="N153" s="895"/>
      <c r="O153" s="895"/>
      <c r="P153" s="895"/>
      <c r="Q153" s="895"/>
      <c r="R153" s="895"/>
      <c r="S153" s="895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</row>
    <row r="154" spans="7:192" ht="6" hidden="1" customHeight="1" x14ac:dyDescent="0.15">
      <c r="G154" s="21"/>
      <c r="H154" s="21"/>
      <c r="I154" s="21"/>
      <c r="J154" s="21"/>
      <c r="K154" s="23"/>
      <c r="N154" s="895"/>
      <c r="O154" s="895"/>
      <c r="P154" s="895"/>
      <c r="Q154" s="895"/>
      <c r="R154" s="895"/>
      <c r="S154" s="895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</row>
    <row r="155" spans="7:192" ht="6" hidden="1" customHeight="1" x14ac:dyDescent="0.15">
      <c r="G155" s="21"/>
      <c r="H155" s="21"/>
      <c r="I155" s="21"/>
      <c r="J155" s="21"/>
      <c r="K155" s="23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K155" s="21"/>
      <c r="CL155" s="21"/>
      <c r="CM155" s="21"/>
      <c r="CN155" s="21"/>
      <c r="CO155" s="21"/>
      <c r="CP155" s="21"/>
      <c r="CQ155" s="21"/>
      <c r="CR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</row>
    <row r="156" spans="7:192" ht="6" hidden="1" customHeight="1" x14ac:dyDescent="0.15">
      <c r="G156" s="21"/>
      <c r="H156" s="21"/>
      <c r="I156" s="21"/>
      <c r="J156" s="21"/>
      <c r="K156" s="23"/>
      <c r="L156" s="21"/>
      <c r="M156" s="21"/>
      <c r="N156" s="21"/>
      <c r="O156" s="21"/>
    </row>
    <row r="157" spans="7:192" ht="6" hidden="1" customHeight="1" x14ac:dyDescent="0.15">
      <c r="G157" s="21"/>
      <c r="H157" s="21"/>
      <c r="I157" s="21"/>
      <c r="J157" s="21"/>
      <c r="K157" s="23"/>
      <c r="L157" s="21"/>
      <c r="M157" s="21"/>
      <c r="N157" s="21"/>
      <c r="O157" s="21"/>
    </row>
    <row r="158" spans="7:192" ht="6" hidden="1" customHeight="1" x14ac:dyDescent="0.15">
      <c r="G158" s="21"/>
      <c r="H158" s="21"/>
      <c r="I158" s="21"/>
      <c r="J158" s="21"/>
      <c r="K158" s="23"/>
    </row>
    <row r="159" spans="7:192" ht="6" hidden="1" customHeight="1" x14ac:dyDescent="0.15">
      <c r="G159" s="21"/>
      <c r="H159" s="21"/>
      <c r="I159" s="21"/>
      <c r="J159" s="21"/>
      <c r="K159" s="23"/>
    </row>
    <row r="160" spans="7:192" ht="6" hidden="1" customHeight="1" x14ac:dyDescent="0.15">
      <c r="G160" s="21"/>
      <c r="H160" s="21"/>
      <c r="I160" s="21"/>
      <c r="J160" s="21"/>
      <c r="K160" s="23"/>
    </row>
    <row r="161" spans="1:11" ht="6" hidden="1" customHeight="1" x14ac:dyDescent="0.2">
      <c r="A161" s="56"/>
      <c r="B161" s="56"/>
      <c r="C161" s="56"/>
      <c r="D161" s="56"/>
      <c r="E161" s="56"/>
      <c r="F161" s="56"/>
      <c r="G161" s="48"/>
      <c r="H161" s="48"/>
      <c r="I161" s="48"/>
      <c r="J161" s="48"/>
      <c r="K161" s="45"/>
    </row>
    <row r="162" spans="1:11" ht="6" hidden="1" customHeight="1" x14ac:dyDescent="0.2">
      <c r="A162" s="56"/>
      <c r="B162" s="56"/>
      <c r="C162" s="56"/>
      <c r="D162" s="56"/>
      <c r="E162" s="56"/>
      <c r="F162" s="56"/>
      <c r="G162" s="48"/>
      <c r="H162" s="48"/>
      <c r="I162" s="48"/>
      <c r="J162" s="48"/>
      <c r="K162" s="45"/>
    </row>
    <row r="163" spans="1:11" ht="6" hidden="1" customHeight="1" x14ac:dyDescent="0.15">
      <c r="G163" s="21"/>
      <c r="H163" s="21"/>
      <c r="I163" s="21"/>
      <c r="J163" s="21"/>
      <c r="K163" s="23"/>
    </row>
    <row r="164" spans="1:11" ht="6" hidden="1" customHeight="1" x14ac:dyDescent="0.15">
      <c r="G164" s="21"/>
      <c r="H164" s="21"/>
      <c r="I164" s="21"/>
      <c r="J164" s="21"/>
      <c r="K164" s="23"/>
    </row>
    <row r="165" spans="1:11" ht="6" hidden="1" customHeight="1" x14ac:dyDescent="0.15">
      <c r="G165" s="21"/>
      <c r="H165" s="21"/>
      <c r="I165" s="21"/>
      <c r="J165" s="21"/>
      <c r="K165" s="23"/>
    </row>
    <row r="166" spans="1:11" ht="6" hidden="1" customHeight="1" x14ac:dyDescent="0.15">
      <c r="K166" s="23"/>
    </row>
    <row r="167" spans="1:11" ht="6" hidden="1" customHeight="1" x14ac:dyDescent="0.15">
      <c r="K167" s="23"/>
    </row>
    <row r="168" spans="1:11" ht="6" hidden="1" customHeight="1" x14ac:dyDescent="0.15">
      <c r="K168" s="23"/>
    </row>
    <row r="169" spans="1:11" ht="6" hidden="1" customHeight="1" x14ac:dyDescent="0.15">
      <c r="K169" s="23"/>
    </row>
    <row r="170" spans="1:11" ht="6" hidden="1" customHeight="1" x14ac:dyDescent="0.15">
      <c r="K170" s="23"/>
    </row>
    <row r="171" spans="1:11" ht="6" hidden="1" customHeight="1" x14ac:dyDescent="0.15">
      <c r="K171" s="23"/>
    </row>
    <row r="172" spans="1:11" ht="6" hidden="1" customHeight="1" x14ac:dyDescent="0.15">
      <c r="K172" s="23"/>
    </row>
    <row r="173" spans="1:11" ht="6" hidden="1" customHeight="1" x14ac:dyDescent="0.15">
      <c r="K173" s="23"/>
    </row>
    <row r="174" spans="1:11" ht="6" hidden="1" customHeight="1" x14ac:dyDescent="0.15">
      <c r="K174" s="23"/>
    </row>
    <row r="175" spans="1:11" ht="6" hidden="1" customHeight="1" x14ac:dyDescent="0.15">
      <c r="K175" s="23"/>
    </row>
    <row r="176" spans="1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>
      <c r="K326" s="23"/>
    </row>
    <row r="327" spans="11:11" ht="6" hidden="1" customHeight="1" x14ac:dyDescent="0.15">
      <c r="K327" s="23"/>
    </row>
    <row r="328" spans="11:11" ht="6" hidden="1" customHeight="1" x14ac:dyDescent="0.15">
      <c r="K328" s="23"/>
    </row>
    <row r="329" spans="11:11" ht="6" hidden="1" customHeight="1" x14ac:dyDescent="0.15"/>
    <row r="330" spans="11:11" ht="6" hidden="1" customHeight="1" x14ac:dyDescent="0.15"/>
  </sheetData>
  <sheetProtection algorithmName="SHA-512" hashValue="qw01U4smI1OVElzYSUghJfpOHYM2jbk9S1EpUkiVq9drEzZes2v72nPtamKYSCI+aIFx2rqik6xzGAXgY8hqSg==" saltValue="gD5e82RaYAwq/VUl9ZOr+g==" spinCount="100000" sheet="1" objects="1" scenarios="1"/>
  <mergeCells count="625">
    <mergeCell ref="N153:S154"/>
    <mergeCell ref="N149:S150"/>
    <mergeCell ref="Y149:AD150"/>
    <mergeCell ref="AE149:AL150"/>
    <mergeCell ref="N151:S152"/>
    <mergeCell ref="Y151:AD152"/>
    <mergeCell ref="AE151:AL152"/>
    <mergeCell ref="N145:S146"/>
    <mergeCell ref="Y145:AD146"/>
    <mergeCell ref="AE145:AL146"/>
    <mergeCell ref="N147:S148"/>
    <mergeCell ref="Y147:AD148"/>
    <mergeCell ref="AE147:AL148"/>
    <mergeCell ref="CH106:CW106"/>
    <mergeCell ref="CH107:CW107"/>
    <mergeCell ref="CH108:CW108"/>
    <mergeCell ref="CH109:CW109"/>
    <mergeCell ref="CH113:CW113"/>
    <mergeCell ref="N143:X144"/>
    <mergeCell ref="Y143:AL144"/>
    <mergeCell ref="BO101:CG102"/>
    <mergeCell ref="CH101:CW101"/>
    <mergeCell ref="CH102:CW102"/>
    <mergeCell ref="CH103:CW103"/>
    <mergeCell ref="CH104:CW104"/>
    <mergeCell ref="CH105:CW105"/>
    <mergeCell ref="CH110:CW110"/>
    <mergeCell ref="CH111:CW111"/>
    <mergeCell ref="CH112:CW112"/>
    <mergeCell ref="DM97:DV98"/>
    <mergeCell ref="DW97:EF98"/>
    <mergeCell ref="EG97:ET98"/>
    <mergeCell ref="EU97:FD98"/>
    <mergeCell ref="FE97:FM98"/>
    <mergeCell ref="FN97:FV98"/>
    <mergeCell ref="FE95:FM96"/>
    <mergeCell ref="FN95:FV96"/>
    <mergeCell ref="N97:P98"/>
    <mergeCell ref="Q97:U98"/>
    <mergeCell ref="V97:BI98"/>
    <mergeCell ref="BJ97:BS98"/>
    <mergeCell ref="BT97:CC98"/>
    <mergeCell ref="CD97:CM98"/>
    <mergeCell ref="CN97:CY98"/>
    <mergeCell ref="DC97:DL98"/>
    <mergeCell ref="CN95:CY96"/>
    <mergeCell ref="DC95:DL96"/>
    <mergeCell ref="DM95:DV96"/>
    <mergeCell ref="DW95:EF96"/>
    <mergeCell ref="EG95:ET96"/>
    <mergeCell ref="EU95:FD96"/>
    <mergeCell ref="N95:P96"/>
    <mergeCell ref="Q95:U96"/>
    <mergeCell ref="V95:BI96"/>
    <mergeCell ref="BJ95:BS96"/>
    <mergeCell ref="BT95:CC96"/>
    <mergeCell ref="CD95:CM96"/>
    <mergeCell ref="CN93:CY94"/>
    <mergeCell ref="DC93:DL94"/>
    <mergeCell ref="DM93:DV94"/>
    <mergeCell ref="DW93:EF94"/>
    <mergeCell ref="EG93:ET94"/>
    <mergeCell ref="CN91:CY92"/>
    <mergeCell ref="DC91:DL92"/>
    <mergeCell ref="DM91:DV92"/>
    <mergeCell ref="DW91:EF92"/>
    <mergeCell ref="EG91:ET92"/>
    <mergeCell ref="EU91:FD92"/>
    <mergeCell ref="N91:P92"/>
    <mergeCell ref="Q91:U92"/>
    <mergeCell ref="V91:BI92"/>
    <mergeCell ref="BJ91:BS92"/>
    <mergeCell ref="BT91:CC92"/>
    <mergeCell ref="CD91:CM92"/>
    <mergeCell ref="FE93:FM94"/>
    <mergeCell ref="FN93:FV94"/>
    <mergeCell ref="EU93:FD94"/>
    <mergeCell ref="N93:P94"/>
    <mergeCell ref="Q93:U94"/>
    <mergeCell ref="V93:BI94"/>
    <mergeCell ref="BJ93:BS94"/>
    <mergeCell ref="BT93:CC94"/>
    <mergeCell ref="CD93:CM94"/>
    <mergeCell ref="FW87:GO88"/>
    <mergeCell ref="N89:P90"/>
    <mergeCell ref="Q89:U90"/>
    <mergeCell ref="V89:BI90"/>
    <mergeCell ref="BJ89:BS90"/>
    <mergeCell ref="BT89:CC90"/>
    <mergeCell ref="CD89:CM90"/>
    <mergeCell ref="CN89:CY90"/>
    <mergeCell ref="DC89:DL90"/>
    <mergeCell ref="DM89:DV90"/>
    <mergeCell ref="DM87:DV88"/>
    <mergeCell ref="DW87:EF88"/>
    <mergeCell ref="EG87:ET88"/>
    <mergeCell ref="EU87:FD88"/>
    <mergeCell ref="FE87:FM88"/>
    <mergeCell ref="FN87:FV88"/>
    <mergeCell ref="DW89:EF90"/>
    <mergeCell ref="EG89:ET90"/>
    <mergeCell ref="EU89:FD90"/>
    <mergeCell ref="FE89:FM90"/>
    <mergeCell ref="FN89:FV90"/>
    <mergeCell ref="FW89:GO98"/>
    <mergeCell ref="FE91:FM92"/>
    <mergeCell ref="FN91:FV92"/>
    <mergeCell ref="FE85:FM86"/>
    <mergeCell ref="FN85:FV86"/>
    <mergeCell ref="N87:P88"/>
    <mergeCell ref="Q87:U88"/>
    <mergeCell ref="V87:BI88"/>
    <mergeCell ref="BJ87:BS88"/>
    <mergeCell ref="BT87:CC88"/>
    <mergeCell ref="CD87:CM88"/>
    <mergeCell ref="CN87:CY88"/>
    <mergeCell ref="DC87:DL88"/>
    <mergeCell ref="CN85:CY86"/>
    <mergeCell ref="DC85:DL86"/>
    <mergeCell ref="DM85:DV86"/>
    <mergeCell ref="DW85:EF86"/>
    <mergeCell ref="EG85:ET86"/>
    <mergeCell ref="EU85:FD86"/>
    <mergeCell ref="N85:P86"/>
    <mergeCell ref="Q85:U86"/>
    <mergeCell ref="V85:BI86"/>
    <mergeCell ref="BJ85:BS86"/>
    <mergeCell ref="BT85:CC86"/>
    <mergeCell ref="CD85:CM86"/>
    <mergeCell ref="DM83:DV84"/>
    <mergeCell ref="DW83:EF84"/>
    <mergeCell ref="EG83:ET84"/>
    <mergeCell ref="EU83:FD84"/>
    <mergeCell ref="FE83:FM84"/>
    <mergeCell ref="FN83:FV84"/>
    <mergeCell ref="FE81:FM82"/>
    <mergeCell ref="FN81:FV82"/>
    <mergeCell ref="N83:P84"/>
    <mergeCell ref="Q83:U84"/>
    <mergeCell ref="V83:BI84"/>
    <mergeCell ref="BJ83:BS84"/>
    <mergeCell ref="BT83:CC84"/>
    <mergeCell ref="CD83:CM84"/>
    <mergeCell ref="CN83:CY84"/>
    <mergeCell ref="DC83:DL84"/>
    <mergeCell ref="CN81:CY82"/>
    <mergeCell ref="DC81:DL82"/>
    <mergeCell ref="DM81:DV82"/>
    <mergeCell ref="DW81:EF82"/>
    <mergeCell ref="EG81:ET82"/>
    <mergeCell ref="EU81:FD82"/>
    <mergeCell ref="N81:P82"/>
    <mergeCell ref="Q81:U82"/>
    <mergeCell ref="V81:BI82"/>
    <mergeCell ref="BJ81:BS82"/>
    <mergeCell ref="BT81:CC82"/>
    <mergeCell ref="CD81:CM82"/>
    <mergeCell ref="DM79:DV80"/>
    <mergeCell ref="DW79:EF80"/>
    <mergeCell ref="EG79:ET80"/>
    <mergeCell ref="EU79:FD80"/>
    <mergeCell ref="FE79:FM80"/>
    <mergeCell ref="FN79:FV80"/>
    <mergeCell ref="FE77:FM78"/>
    <mergeCell ref="FN77:FV78"/>
    <mergeCell ref="N79:P80"/>
    <mergeCell ref="Q79:U80"/>
    <mergeCell ref="V79:BI80"/>
    <mergeCell ref="BJ79:BS80"/>
    <mergeCell ref="BT79:CC80"/>
    <mergeCell ref="CD79:CM80"/>
    <mergeCell ref="CN79:CY80"/>
    <mergeCell ref="DC79:DL80"/>
    <mergeCell ref="CN77:CY78"/>
    <mergeCell ref="DC77:DL78"/>
    <mergeCell ref="DM77:DV78"/>
    <mergeCell ref="DW77:EF78"/>
    <mergeCell ref="EG77:ET78"/>
    <mergeCell ref="EU77:FD78"/>
    <mergeCell ref="N77:P78"/>
    <mergeCell ref="Q77:U78"/>
    <mergeCell ref="V77:BI78"/>
    <mergeCell ref="BJ77:BS78"/>
    <mergeCell ref="BT77:CC78"/>
    <mergeCell ref="CD77:CM78"/>
    <mergeCell ref="DM75:DV76"/>
    <mergeCell ref="DW75:EF76"/>
    <mergeCell ref="EG75:ET76"/>
    <mergeCell ref="EU75:FD76"/>
    <mergeCell ref="FE75:FM76"/>
    <mergeCell ref="FN75:FV76"/>
    <mergeCell ref="FE73:FM74"/>
    <mergeCell ref="FN73:FV74"/>
    <mergeCell ref="N75:P76"/>
    <mergeCell ref="Q75:U76"/>
    <mergeCell ref="V75:BI76"/>
    <mergeCell ref="BJ75:BS76"/>
    <mergeCell ref="BT75:CC76"/>
    <mergeCell ref="CD75:CM76"/>
    <mergeCell ref="CN75:CY76"/>
    <mergeCell ref="DC75:DL76"/>
    <mergeCell ref="CN73:CY74"/>
    <mergeCell ref="DC73:DL74"/>
    <mergeCell ref="DM73:DV74"/>
    <mergeCell ref="DW73:EF74"/>
    <mergeCell ref="EG73:ET74"/>
    <mergeCell ref="EU73:FD74"/>
    <mergeCell ref="N73:P74"/>
    <mergeCell ref="Q73:U74"/>
    <mergeCell ref="V73:BI74"/>
    <mergeCell ref="BJ73:BS74"/>
    <mergeCell ref="BT73:CC74"/>
    <mergeCell ref="CD73:CM74"/>
    <mergeCell ref="DM71:DV72"/>
    <mergeCell ref="DW71:EF72"/>
    <mergeCell ref="EG71:ET72"/>
    <mergeCell ref="EU71:FD72"/>
    <mergeCell ref="FE71:FM72"/>
    <mergeCell ref="FN71:FV72"/>
    <mergeCell ref="FE69:FM70"/>
    <mergeCell ref="FN69:FV70"/>
    <mergeCell ref="N71:P72"/>
    <mergeCell ref="Q71:U72"/>
    <mergeCell ref="V71:BI72"/>
    <mergeCell ref="BJ71:BS72"/>
    <mergeCell ref="BT71:CC72"/>
    <mergeCell ref="CD71:CM72"/>
    <mergeCell ref="CN71:CY72"/>
    <mergeCell ref="DC71:DL72"/>
    <mergeCell ref="CN69:CY70"/>
    <mergeCell ref="DC69:DL70"/>
    <mergeCell ref="DM69:DV70"/>
    <mergeCell ref="DW69:EF70"/>
    <mergeCell ref="EG69:ET70"/>
    <mergeCell ref="EU69:FD70"/>
    <mergeCell ref="N69:P70"/>
    <mergeCell ref="Q69:U70"/>
    <mergeCell ref="V69:BI70"/>
    <mergeCell ref="BJ69:BS70"/>
    <mergeCell ref="BT69:CC70"/>
    <mergeCell ref="CD69:CM70"/>
    <mergeCell ref="DM67:DV68"/>
    <mergeCell ref="DW67:EF68"/>
    <mergeCell ref="EG67:ET68"/>
    <mergeCell ref="EU67:FD68"/>
    <mergeCell ref="FE67:FM68"/>
    <mergeCell ref="FN67:FV68"/>
    <mergeCell ref="FE65:FM66"/>
    <mergeCell ref="FN65:FV66"/>
    <mergeCell ref="N67:P68"/>
    <mergeCell ref="Q67:U68"/>
    <mergeCell ref="V67:BI68"/>
    <mergeCell ref="BJ67:BS68"/>
    <mergeCell ref="BT67:CC68"/>
    <mergeCell ref="CD67:CM68"/>
    <mergeCell ref="CN67:CY68"/>
    <mergeCell ref="DC67:DL68"/>
    <mergeCell ref="CN65:CY66"/>
    <mergeCell ref="DC65:DL66"/>
    <mergeCell ref="DM65:DV66"/>
    <mergeCell ref="DW65:EF66"/>
    <mergeCell ref="EG65:ET66"/>
    <mergeCell ref="EU65:FD66"/>
    <mergeCell ref="N65:P66"/>
    <mergeCell ref="Q65:U66"/>
    <mergeCell ref="V65:BI66"/>
    <mergeCell ref="BJ65:BS66"/>
    <mergeCell ref="BT65:CC66"/>
    <mergeCell ref="CD65:CM66"/>
    <mergeCell ref="DM63:DV64"/>
    <mergeCell ref="DW63:EF64"/>
    <mergeCell ref="EG63:ET64"/>
    <mergeCell ref="EU63:FD64"/>
    <mergeCell ref="FE63:FM64"/>
    <mergeCell ref="FN63:FV64"/>
    <mergeCell ref="FE61:FM62"/>
    <mergeCell ref="FN61:FV62"/>
    <mergeCell ref="N63:P64"/>
    <mergeCell ref="Q63:U64"/>
    <mergeCell ref="V63:BI64"/>
    <mergeCell ref="BJ63:BS64"/>
    <mergeCell ref="BT63:CC64"/>
    <mergeCell ref="CD63:CM64"/>
    <mergeCell ref="CN63:CY64"/>
    <mergeCell ref="DC63:DL64"/>
    <mergeCell ref="CN61:CY62"/>
    <mergeCell ref="DC61:DL62"/>
    <mergeCell ref="DM61:DV62"/>
    <mergeCell ref="DW61:EF62"/>
    <mergeCell ref="EG61:ET62"/>
    <mergeCell ref="EU61:FD62"/>
    <mergeCell ref="N61:P62"/>
    <mergeCell ref="Q61:U62"/>
    <mergeCell ref="V61:BI62"/>
    <mergeCell ref="BJ61:BS62"/>
    <mergeCell ref="BT61:CC62"/>
    <mergeCell ref="CD61:CM62"/>
    <mergeCell ref="DM59:DV60"/>
    <mergeCell ref="DW59:EF60"/>
    <mergeCell ref="EG59:ET60"/>
    <mergeCell ref="EU59:FD60"/>
    <mergeCell ref="FE59:FM60"/>
    <mergeCell ref="FN59:FV60"/>
    <mergeCell ref="FE57:FM58"/>
    <mergeCell ref="FN57:FV58"/>
    <mergeCell ref="N59:P60"/>
    <mergeCell ref="Q59:U60"/>
    <mergeCell ref="V59:BI60"/>
    <mergeCell ref="BJ59:BS60"/>
    <mergeCell ref="BT59:CC60"/>
    <mergeCell ref="CD59:CM60"/>
    <mergeCell ref="CN59:CY60"/>
    <mergeCell ref="DC59:DL60"/>
    <mergeCell ref="CN57:CY58"/>
    <mergeCell ref="DC57:DL58"/>
    <mergeCell ref="DM57:DV58"/>
    <mergeCell ref="DW57:EF58"/>
    <mergeCell ref="EG57:ET58"/>
    <mergeCell ref="EU57:FD58"/>
    <mergeCell ref="N57:P58"/>
    <mergeCell ref="Q57:U58"/>
    <mergeCell ref="V57:BI58"/>
    <mergeCell ref="BJ57:BS58"/>
    <mergeCell ref="BT57:CC58"/>
    <mergeCell ref="CD57:CM58"/>
    <mergeCell ref="DM55:DV56"/>
    <mergeCell ref="DW55:EF56"/>
    <mergeCell ref="EG55:ET56"/>
    <mergeCell ref="EU55:FD56"/>
    <mergeCell ref="FE55:FM56"/>
    <mergeCell ref="FN55:FV56"/>
    <mergeCell ref="FE53:FM54"/>
    <mergeCell ref="FN53:FV54"/>
    <mergeCell ref="N55:P56"/>
    <mergeCell ref="Q55:U56"/>
    <mergeCell ref="V55:BI56"/>
    <mergeCell ref="BJ55:BS56"/>
    <mergeCell ref="BT55:CC56"/>
    <mergeCell ref="CD55:CM56"/>
    <mergeCell ref="CN55:CY56"/>
    <mergeCell ref="DC55:DL56"/>
    <mergeCell ref="CN53:CY54"/>
    <mergeCell ref="DC53:DL54"/>
    <mergeCell ref="DM53:DV54"/>
    <mergeCell ref="DW53:EF54"/>
    <mergeCell ref="EG53:ET54"/>
    <mergeCell ref="EU53:FD54"/>
    <mergeCell ref="N53:P54"/>
    <mergeCell ref="Q53:U54"/>
    <mergeCell ref="V53:BI54"/>
    <mergeCell ref="BJ53:BS54"/>
    <mergeCell ref="BT53:CC54"/>
    <mergeCell ref="CD53:CM54"/>
    <mergeCell ref="DM51:DV52"/>
    <mergeCell ref="DW51:EF52"/>
    <mergeCell ref="EG51:ET52"/>
    <mergeCell ref="EU51:FD52"/>
    <mergeCell ref="FE51:FM52"/>
    <mergeCell ref="FN51:FV52"/>
    <mergeCell ref="FE49:FM50"/>
    <mergeCell ref="FN49:FV50"/>
    <mergeCell ref="N51:P52"/>
    <mergeCell ref="Q51:U52"/>
    <mergeCell ref="V51:BI52"/>
    <mergeCell ref="BJ51:BS52"/>
    <mergeCell ref="BT51:CC52"/>
    <mergeCell ref="CD51:CM52"/>
    <mergeCell ref="CN51:CY52"/>
    <mergeCell ref="DC51:DL52"/>
    <mergeCell ref="CN49:CY50"/>
    <mergeCell ref="DC49:DL50"/>
    <mergeCell ref="DM49:DV50"/>
    <mergeCell ref="DW49:EF50"/>
    <mergeCell ref="EG49:ET50"/>
    <mergeCell ref="EU49:FD50"/>
    <mergeCell ref="N49:P50"/>
    <mergeCell ref="Q49:U50"/>
    <mergeCell ref="V49:BI50"/>
    <mergeCell ref="BJ49:BS50"/>
    <mergeCell ref="BT49:CC50"/>
    <mergeCell ref="CD49:CM50"/>
    <mergeCell ref="DM47:DV48"/>
    <mergeCell ref="DW47:EF48"/>
    <mergeCell ref="EG47:ET48"/>
    <mergeCell ref="EU47:FD48"/>
    <mergeCell ref="FE47:FM48"/>
    <mergeCell ref="FN47:FV48"/>
    <mergeCell ref="FE45:FM46"/>
    <mergeCell ref="FN45:FV46"/>
    <mergeCell ref="N47:P48"/>
    <mergeCell ref="Q47:U48"/>
    <mergeCell ref="V47:BI48"/>
    <mergeCell ref="BJ47:BS48"/>
    <mergeCell ref="BT47:CC48"/>
    <mergeCell ref="CD47:CM48"/>
    <mergeCell ref="CN47:CY48"/>
    <mergeCell ref="DC47:DL48"/>
    <mergeCell ref="CN45:CY46"/>
    <mergeCell ref="DC45:DL46"/>
    <mergeCell ref="DM45:DV46"/>
    <mergeCell ref="DW45:EF46"/>
    <mergeCell ref="EG45:ET46"/>
    <mergeCell ref="EU45:FD46"/>
    <mergeCell ref="N45:P46"/>
    <mergeCell ref="Q45:U46"/>
    <mergeCell ref="V45:BI46"/>
    <mergeCell ref="BJ45:BS46"/>
    <mergeCell ref="BT45:CC46"/>
    <mergeCell ref="CD45:CM46"/>
    <mergeCell ref="DM43:DV44"/>
    <mergeCell ref="DW43:EF44"/>
    <mergeCell ref="EG43:ET44"/>
    <mergeCell ref="EU43:FD44"/>
    <mergeCell ref="FE43:FM44"/>
    <mergeCell ref="FN43:FV44"/>
    <mergeCell ref="FE41:FM42"/>
    <mergeCell ref="FN41:FV42"/>
    <mergeCell ref="N43:P44"/>
    <mergeCell ref="Q43:U44"/>
    <mergeCell ref="V43:BI44"/>
    <mergeCell ref="BJ43:BS44"/>
    <mergeCell ref="BT43:CC44"/>
    <mergeCell ref="CD43:CM44"/>
    <mergeCell ref="CN43:CY44"/>
    <mergeCell ref="DC43:DL44"/>
    <mergeCell ref="CN41:CY42"/>
    <mergeCell ref="DC41:DL42"/>
    <mergeCell ref="DM41:DV42"/>
    <mergeCell ref="DW41:EF42"/>
    <mergeCell ref="EG41:ET42"/>
    <mergeCell ref="EU41:FD42"/>
    <mergeCell ref="FE39:FM40"/>
    <mergeCell ref="FN39:FV40"/>
    <mergeCell ref="FW39:GE40"/>
    <mergeCell ref="GG39:GJ40"/>
    <mergeCell ref="N41:P42"/>
    <mergeCell ref="Q41:U42"/>
    <mergeCell ref="V41:BI42"/>
    <mergeCell ref="BJ41:BS42"/>
    <mergeCell ref="BT41:CC42"/>
    <mergeCell ref="CD41:CM42"/>
    <mergeCell ref="CN39:CY40"/>
    <mergeCell ref="DC39:DL40"/>
    <mergeCell ref="DM39:DV40"/>
    <mergeCell ref="DW39:EF40"/>
    <mergeCell ref="EG39:ET40"/>
    <mergeCell ref="EU39:FD40"/>
    <mergeCell ref="N39:P40"/>
    <mergeCell ref="Q39:U40"/>
    <mergeCell ref="V39:BI40"/>
    <mergeCell ref="BJ39:BS40"/>
    <mergeCell ref="BT39:CC40"/>
    <mergeCell ref="CD39:CM40"/>
    <mergeCell ref="DM37:DV38"/>
    <mergeCell ref="DW37:EF38"/>
    <mergeCell ref="EG37:ET38"/>
    <mergeCell ref="EU37:FD38"/>
    <mergeCell ref="FE37:FM38"/>
    <mergeCell ref="FN37:FV38"/>
    <mergeCell ref="FN35:FV36"/>
    <mergeCell ref="FW35:GO38"/>
    <mergeCell ref="N37:P38"/>
    <mergeCell ref="Q37:U38"/>
    <mergeCell ref="V37:BI38"/>
    <mergeCell ref="BJ37:BS38"/>
    <mergeCell ref="BT37:CC38"/>
    <mergeCell ref="CD37:CM38"/>
    <mergeCell ref="CN37:CY38"/>
    <mergeCell ref="DC37:DL38"/>
    <mergeCell ref="DC35:DL36"/>
    <mergeCell ref="DM35:DV36"/>
    <mergeCell ref="DW35:EF36"/>
    <mergeCell ref="EG35:ET36"/>
    <mergeCell ref="EU35:FD36"/>
    <mergeCell ref="FE35:FM36"/>
    <mergeCell ref="HF34:HT35"/>
    <mergeCell ref="N35:P36"/>
    <mergeCell ref="Q35:U36"/>
    <mergeCell ref="V35:BI36"/>
    <mergeCell ref="BJ35:BS36"/>
    <mergeCell ref="BT35:CC36"/>
    <mergeCell ref="CD35:CM36"/>
    <mergeCell ref="CN35:CY36"/>
    <mergeCell ref="CN33:CY34"/>
    <mergeCell ref="DC33:DL34"/>
    <mergeCell ref="DM33:DV34"/>
    <mergeCell ref="DW33:EF34"/>
    <mergeCell ref="EG33:ET34"/>
    <mergeCell ref="EU33:FD34"/>
    <mergeCell ref="FW31:GF32"/>
    <mergeCell ref="GG31:GO32"/>
    <mergeCell ref="N33:P34"/>
    <mergeCell ref="Q33:U34"/>
    <mergeCell ref="V33:BI34"/>
    <mergeCell ref="BJ33:BS34"/>
    <mergeCell ref="BT33:CC34"/>
    <mergeCell ref="CD33:CM34"/>
    <mergeCell ref="CN31:CY32"/>
    <mergeCell ref="DC31:DL32"/>
    <mergeCell ref="DM31:DV32"/>
    <mergeCell ref="DW31:EF32"/>
    <mergeCell ref="EG31:ET32"/>
    <mergeCell ref="EU31:FD32"/>
    <mergeCell ref="FE33:FM34"/>
    <mergeCell ref="FN33:FV34"/>
    <mergeCell ref="FE29:FM30"/>
    <mergeCell ref="FN29:FV30"/>
    <mergeCell ref="FW29:GF30"/>
    <mergeCell ref="GG29:GO30"/>
    <mergeCell ref="N31:P32"/>
    <mergeCell ref="Q31:U32"/>
    <mergeCell ref="V31:BI32"/>
    <mergeCell ref="BJ31:BS32"/>
    <mergeCell ref="BT31:CC32"/>
    <mergeCell ref="CD31:CM32"/>
    <mergeCell ref="CN29:CY30"/>
    <mergeCell ref="DC29:DL30"/>
    <mergeCell ref="DM29:DV30"/>
    <mergeCell ref="DW29:EF30"/>
    <mergeCell ref="EG29:ET30"/>
    <mergeCell ref="EU29:FD30"/>
    <mergeCell ref="N29:P30"/>
    <mergeCell ref="Q29:U30"/>
    <mergeCell ref="V29:BI30"/>
    <mergeCell ref="BJ29:BS30"/>
    <mergeCell ref="BT29:CC30"/>
    <mergeCell ref="CD29:CM30"/>
    <mergeCell ref="FE31:FM32"/>
    <mergeCell ref="FN31:FV32"/>
    <mergeCell ref="DW27:EF28"/>
    <mergeCell ref="EG27:ET28"/>
    <mergeCell ref="EU27:FD28"/>
    <mergeCell ref="FE27:FM28"/>
    <mergeCell ref="FN27:FV28"/>
    <mergeCell ref="FW27:GO28"/>
    <mergeCell ref="FN25:FV26"/>
    <mergeCell ref="N27:P28"/>
    <mergeCell ref="Q27:U28"/>
    <mergeCell ref="V27:BI28"/>
    <mergeCell ref="BJ27:BS28"/>
    <mergeCell ref="BT27:CC28"/>
    <mergeCell ref="CD27:CM28"/>
    <mergeCell ref="CN27:CY28"/>
    <mergeCell ref="DC27:DL28"/>
    <mergeCell ref="DM27:DV28"/>
    <mergeCell ref="DC25:DL26"/>
    <mergeCell ref="DM25:DV26"/>
    <mergeCell ref="DW25:EF26"/>
    <mergeCell ref="EG25:ET26"/>
    <mergeCell ref="EU25:FD26"/>
    <mergeCell ref="FE25:FM26"/>
    <mergeCell ref="FW23:GF24"/>
    <mergeCell ref="GG23:GO24"/>
    <mergeCell ref="HF24:HT25"/>
    <mergeCell ref="N25:P26"/>
    <mergeCell ref="Q25:U26"/>
    <mergeCell ref="V25:BI26"/>
    <mergeCell ref="BJ25:BS26"/>
    <mergeCell ref="BT25:CC26"/>
    <mergeCell ref="CD25:CM26"/>
    <mergeCell ref="CN25:CY26"/>
    <mergeCell ref="DM23:DV24"/>
    <mergeCell ref="DW23:EF24"/>
    <mergeCell ref="EG23:ET24"/>
    <mergeCell ref="EU23:FD24"/>
    <mergeCell ref="FE23:FM24"/>
    <mergeCell ref="FN23:FV24"/>
    <mergeCell ref="N23:P24"/>
    <mergeCell ref="Q23:U24"/>
    <mergeCell ref="V23:BI24"/>
    <mergeCell ref="BJ23:BS24"/>
    <mergeCell ref="BT23:CC24"/>
    <mergeCell ref="CD23:CM24"/>
    <mergeCell ref="CN23:CY24"/>
    <mergeCell ref="DC23:DL24"/>
    <mergeCell ref="DM21:DV22"/>
    <mergeCell ref="FW19:GO20"/>
    <mergeCell ref="HF19:HT20"/>
    <mergeCell ref="N21:P22"/>
    <mergeCell ref="Q21:U22"/>
    <mergeCell ref="V21:BI22"/>
    <mergeCell ref="BJ21:BS22"/>
    <mergeCell ref="BT21:CC22"/>
    <mergeCell ref="CD21:CM22"/>
    <mergeCell ref="CN21:CY22"/>
    <mergeCell ref="DC21:DL22"/>
    <mergeCell ref="DM19:DV20"/>
    <mergeCell ref="DW19:EF20"/>
    <mergeCell ref="EG19:ET20"/>
    <mergeCell ref="EU19:FD20"/>
    <mergeCell ref="FE19:FM20"/>
    <mergeCell ref="FN19:FV20"/>
    <mergeCell ref="FW21:GF22"/>
    <mergeCell ref="GG21:GO22"/>
    <mergeCell ref="DW21:EF22"/>
    <mergeCell ref="EG21:ET22"/>
    <mergeCell ref="EU21:FD22"/>
    <mergeCell ref="FE21:FM22"/>
    <mergeCell ref="FN21:FV22"/>
    <mergeCell ref="N19:P20"/>
    <mergeCell ref="Q19:U20"/>
    <mergeCell ref="V19:BI20"/>
    <mergeCell ref="BJ19:BS20"/>
    <mergeCell ref="BT19:CC20"/>
    <mergeCell ref="CD19:CM20"/>
    <mergeCell ref="CN19:CY20"/>
    <mergeCell ref="DC19:DL20"/>
    <mergeCell ref="DC17:DL18"/>
    <mergeCell ref="W4:EM5"/>
    <mergeCell ref="W6:EM7"/>
    <mergeCell ref="N13:GO14"/>
    <mergeCell ref="N17:P18"/>
    <mergeCell ref="Q17:U18"/>
    <mergeCell ref="V17:BI18"/>
    <mergeCell ref="BJ17:BS18"/>
    <mergeCell ref="BT17:CC18"/>
    <mergeCell ref="CD17:CM18"/>
    <mergeCell ref="CN17:DB18"/>
    <mergeCell ref="FN17:FV18"/>
    <mergeCell ref="FW17:GO18"/>
    <mergeCell ref="DM17:DV18"/>
    <mergeCell ref="DW17:EF18"/>
    <mergeCell ref="EG17:ET18"/>
    <mergeCell ref="EU17:FD18"/>
    <mergeCell ref="FE17:FM1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&amp;Z
&amp;F&amp;R&amp;9&amp;K00-034&amp;D</oddFooter>
  </headerFooter>
  <ignoredErrors>
    <ignoredError sqref="Q19:U20 Q33:U34 Q37:U38 Q22:U30 R21:U21 Q40:U40 R39:U39" numberStoredAsText="1"/>
  </ignoredErrors>
  <drawing r:id="rId2"/>
  <legacyDrawing r:id="rId3"/>
  <controls>
    <mc:AlternateContent xmlns:mc="http://schemas.openxmlformats.org/markup-compatibility/2006">
      <mc:Choice Requires="x14">
        <control shapeId="12368" r:id="rId4" name="cmb_Auswahl_Verwendung_P40">
          <controlPr defaultSize="0" print="0" autoLine="0" linkedCell="Hilfsstoffe!CN97" r:id="rId5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12368" r:id="rId4" name="cmb_Auswahl_Verwendung_P40"/>
      </mc:Fallback>
    </mc:AlternateContent>
    <mc:AlternateContent xmlns:mc="http://schemas.openxmlformats.org/markup-compatibility/2006">
      <mc:Choice Requires="x14">
        <control shapeId="12367" r:id="rId6" name="cmb_Auswahl_Verwendung_P39">
          <controlPr defaultSize="0" print="0" autoLine="0" linkedCell="Hilfsstoffe!CN95" r:id="rId5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12367" r:id="rId6" name="cmb_Auswahl_Verwendung_P39"/>
      </mc:Fallback>
    </mc:AlternateContent>
    <mc:AlternateContent xmlns:mc="http://schemas.openxmlformats.org/markup-compatibility/2006">
      <mc:Choice Requires="x14">
        <control shapeId="12366" r:id="rId7" name="cmb_Auswahl_Verwendung_P38">
          <controlPr defaultSize="0" print="0" autoLine="0" linkedCell="Hilfsstoffe!CN93" r:id="rId8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12366" r:id="rId7" name="cmb_Auswahl_Verwendung_P38"/>
      </mc:Fallback>
    </mc:AlternateContent>
    <mc:AlternateContent xmlns:mc="http://schemas.openxmlformats.org/markup-compatibility/2006">
      <mc:Choice Requires="x14">
        <control shapeId="12365" r:id="rId9" name="cmb_Auswahl_Verwendung_P37">
          <controlPr defaultSize="0" print="0" autoLine="0" linkedCell="Hilfsstoffe!CN91" r:id="rId10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12365" r:id="rId9" name="cmb_Auswahl_Verwendung_P37"/>
      </mc:Fallback>
    </mc:AlternateContent>
    <mc:AlternateContent xmlns:mc="http://schemas.openxmlformats.org/markup-compatibility/2006">
      <mc:Choice Requires="x14">
        <control shapeId="12364" r:id="rId11" name="cmb_Auswahl_Verwendung_P36">
          <controlPr defaultSize="0" print="0" autoLine="0" linkedCell="Hilfsstoffe!CN89" r:id="rId5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12364" r:id="rId11" name="cmb_Auswahl_Verwendung_P36"/>
      </mc:Fallback>
    </mc:AlternateContent>
    <mc:AlternateContent xmlns:mc="http://schemas.openxmlformats.org/markup-compatibility/2006">
      <mc:Choice Requires="x14">
        <control shapeId="12363" r:id="rId12" name="cmb_Auswahl_Verwendung_P35">
          <controlPr defaultSize="0" print="0" autoLine="0" linkedCell="Hilfsstoffe!CN87" r:id="rId5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12363" r:id="rId12" name="cmb_Auswahl_Verwendung_P35"/>
      </mc:Fallback>
    </mc:AlternateContent>
    <mc:AlternateContent xmlns:mc="http://schemas.openxmlformats.org/markup-compatibility/2006">
      <mc:Choice Requires="x14">
        <control shapeId="12362" r:id="rId13" name="cmb_Auswahl_Verwendung_P34">
          <controlPr defaultSize="0" print="0" autoLine="0" linkedCell="Hilfsstoffe!CN85" r:id="rId10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12362" r:id="rId13" name="cmb_Auswahl_Verwendung_P34"/>
      </mc:Fallback>
    </mc:AlternateContent>
    <mc:AlternateContent xmlns:mc="http://schemas.openxmlformats.org/markup-compatibility/2006">
      <mc:Choice Requires="x14">
        <control shapeId="12361" r:id="rId14" name="cmb_Auswahl_Verwendung_P33">
          <controlPr defaultSize="0" print="0" autoLine="0" linkedCell="Hilfsstoffe!CN83" r:id="rId5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12361" r:id="rId14" name="cmb_Auswahl_Verwendung_P33"/>
      </mc:Fallback>
    </mc:AlternateContent>
    <mc:AlternateContent xmlns:mc="http://schemas.openxmlformats.org/markup-compatibility/2006">
      <mc:Choice Requires="x14">
        <control shapeId="12360" r:id="rId15" name="cmb_Auswahl_Verwendung_P32">
          <controlPr defaultSize="0" print="0" autoLine="0" linkedCell="Hilfsstoffe!CN81" r:id="rId5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12360" r:id="rId15" name="cmb_Auswahl_Verwendung_P32"/>
      </mc:Fallback>
    </mc:AlternateContent>
    <mc:AlternateContent xmlns:mc="http://schemas.openxmlformats.org/markup-compatibility/2006">
      <mc:Choice Requires="x14">
        <control shapeId="12359" r:id="rId16" name="cmb_Auswahl_Verwendung_P31">
          <controlPr defaultSize="0" print="0" autoLine="0" linkedCell="Hilfsstoffe!CN79" r:id="rId8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12359" r:id="rId16" name="cmb_Auswahl_Verwendung_P31"/>
      </mc:Fallback>
    </mc:AlternateContent>
    <mc:AlternateContent xmlns:mc="http://schemas.openxmlformats.org/markup-compatibility/2006">
      <mc:Choice Requires="x14">
        <control shapeId="12358" r:id="rId17" name="cmb_Auswahl_Verwendung_P30">
          <controlPr defaultSize="0" print="0" autoLine="0" linkedCell="Hilfsstoffe!CN77" r:id="rId18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12358" r:id="rId17" name="cmb_Auswahl_Verwendung_P30"/>
      </mc:Fallback>
    </mc:AlternateContent>
    <mc:AlternateContent xmlns:mc="http://schemas.openxmlformats.org/markup-compatibility/2006">
      <mc:Choice Requires="x14">
        <control shapeId="12357" r:id="rId19" name="cmb_Auswahl_Verwendung_P29">
          <controlPr defaultSize="0" print="0" autoLine="0" linkedCell="Hilfsstoffe!CN75" r:id="rId5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12357" r:id="rId19" name="cmb_Auswahl_Verwendung_P29"/>
      </mc:Fallback>
    </mc:AlternateContent>
    <mc:AlternateContent xmlns:mc="http://schemas.openxmlformats.org/markup-compatibility/2006">
      <mc:Choice Requires="x14">
        <control shapeId="12356" r:id="rId20" name="cmb_Auswahl_Verwendung_P28">
          <controlPr defaultSize="0" print="0" autoLine="0" linkedCell="Hilfsstoffe!CN73" r:id="rId5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12356" r:id="rId20" name="cmb_Auswahl_Verwendung_P28"/>
      </mc:Fallback>
    </mc:AlternateContent>
    <mc:AlternateContent xmlns:mc="http://schemas.openxmlformats.org/markup-compatibility/2006">
      <mc:Choice Requires="x14">
        <control shapeId="12355" r:id="rId21" name="cmb_Auswahl_Verwendung_P27">
          <controlPr defaultSize="0" print="0" autoLine="0" linkedCell="Hilfsstoffe!CN71" r:id="rId5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12355" r:id="rId21" name="cmb_Auswahl_Verwendung_P27"/>
      </mc:Fallback>
    </mc:AlternateContent>
    <mc:AlternateContent xmlns:mc="http://schemas.openxmlformats.org/markup-compatibility/2006">
      <mc:Choice Requires="x14">
        <control shapeId="12354" r:id="rId22" name="cmb_Auswahl_Verwendung_P26">
          <controlPr defaultSize="0" print="0" autoLine="0" linkedCell="Hilfsstoffe!CN69" r:id="rId5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12354" r:id="rId22" name="cmb_Auswahl_Verwendung_P26"/>
      </mc:Fallback>
    </mc:AlternateContent>
    <mc:AlternateContent xmlns:mc="http://schemas.openxmlformats.org/markup-compatibility/2006">
      <mc:Choice Requires="x14">
        <control shapeId="12353" r:id="rId23" name="cmb_Auswahl_Verwendung_P25">
          <controlPr defaultSize="0" print="0" autoLine="0" linkedCell="Hilfsstoffe!CN67" r:id="rId5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12353" r:id="rId23" name="cmb_Auswahl_Verwendung_P25"/>
      </mc:Fallback>
    </mc:AlternateContent>
    <mc:AlternateContent xmlns:mc="http://schemas.openxmlformats.org/markup-compatibility/2006">
      <mc:Choice Requires="x14">
        <control shapeId="12352" r:id="rId24" name="cmb_Auswahl_Verwendung_P24">
          <controlPr defaultSize="0" print="0" autoLine="0" linkedCell="Hilfsstoffe!CN65" r:id="rId5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12352" r:id="rId24" name="cmb_Auswahl_Verwendung_P24"/>
      </mc:Fallback>
    </mc:AlternateContent>
    <mc:AlternateContent xmlns:mc="http://schemas.openxmlformats.org/markup-compatibility/2006">
      <mc:Choice Requires="x14">
        <control shapeId="12351" r:id="rId25" name="cmb_Auswahl_Verwendung_P23">
          <controlPr defaultSize="0" print="0" autoLine="0" linkedCell="Hilfsstoffe!CN63" r:id="rId18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12351" r:id="rId25" name="cmb_Auswahl_Verwendung_P23"/>
      </mc:Fallback>
    </mc:AlternateContent>
    <mc:AlternateContent xmlns:mc="http://schemas.openxmlformats.org/markup-compatibility/2006">
      <mc:Choice Requires="x14">
        <control shapeId="12350" r:id="rId26" name="cmb_Auswahl_Verwendung_P22">
          <controlPr defaultSize="0" print="0" autoLine="0" linkedCell="Hilfsstoffe!CN61" r:id="rId8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12350" r:id="rId26" name="cmb_Auswahl_Verwendung_P22"/>
      </mc:Fallback>
    </mc:AlternateContent>
    <mc:AlternateContent xmlns:mc="http://schemas.openxmlformats.org/markup-compatibility/2006">
      <mc:Choice Requires="x14">
        <control shapeId="12349" r:id="rId27" name="cmb_Auswahl_Verwendung_P21">
          <controlPr defaultSize="0" print="0" autoLine="0" linkedCell="Hilfsstoffe!CN59" r:id="rId18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12349" r:id="rId27" name="cmb_Auswahl_Verwendung_P21"/>
      </mc:Fallback>
    </mc:AlternateContent>
    <mc:AlternateContent xmlns:mc="http://schemas.openxmlformats.org/markup-compatibility/2006">
      <mc:Choice Requires="x14">
        <control shapeId="12348" r:id="rId28" name="cmb_Auswahl_Verwendung_P20">
          <controlPr defaultSize="0" print="0" autoLine="0" linkedCell="Hilfsstoffe!CN57" r:id="rId5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12348" r:id="rId28" name="cmb_Auswahl_Verwendung_P20"/>
      </mc:Fallback>
    </mc:AlternateContent>
    <mc:AlternateContent xmlns:mc="http://schemas.openxmlformats.org/markup-compatibility/2006">
      <mc:Choice Requires="x14">
        <control shapeId="12347" r:id="rId29" name="cmb_Auswahl_Verwendung_P19">
          <controlPr defaultSize="0" print="0" autoLine="0" linkedCell="Hilfsstoffe!CN55" r:id="rId5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12347" r:id="rId29" name="cmb_Auswahl_Verwendung_P19"/>
      </mc:Fallback>
    </mc:AlternateContent>
    <mc:AlternateContent xmlns:mc="http://schemas.openxmlformats.org/markup-compatibility/2006">
      <mc:Choice Requires="x14">
        <control shapeId="12346" r:id="rId30" name="cmb_Auswahl_Verwendung_P18">
          <controlPr defaultSize="0" print="0" autoLine="0" linkedCell="Hilfsstoffe!CN53" r:id="rId5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12346" r:id="rId30" name="cmb_Auswahl_Verwendung_P18"/>
      </mc:Fallback>
    </mc:AlternateContent>
    <mc:AlternateContent xmlns:mc="http://schemas.openxmlformats.org/markup-compatibility/2006">
      <mc:Choice Requires="x14">
        <control shapeId="12345" r:id="rId31" name="cmb_Auswahl_Verwendung_P17">
          <controlPr defaultSize="0" print="0" autoLine="0" linkedCell="Hilfsstoffe!CN51" r:id="rId5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12345" r:id="rId31" name="cmb_Auswahl_Verwendung_P17"/>
      </mc:Fallback>
    </mc:AlternateContent>
    <mc:AlternateContent xmlns:mc="http://schemas.openxmlformats.org/markup-compatibility/2006">
      <mc:Choice Requires="x14">
        <control shapeId="12344" r:id="rId32" name="cmb_Auswahl_Verwendung_P16">
          <controlPr defaultSize="0" print="0" autoLine="0" linkedCell="Hilfsstoffe!CN49" r:id="rId5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12344" r:id="rId32" name="cmb_Auswahl_Verwendung_P16"/>
      </mc:Fallback>
    </mc:AlternateContent>
    <mc:AlternateContent xmlns:mc="http://schemas.openxmlformats.org/markup-compatibility/2006">
      <mc:Choice Requires="x14">
        <control shapeId="12343" r:id="rId33" name="cmb_Auswahl_Verwendung_P15">
          <controlPr defaultSize="0" print="0" autoLine="0" linkedCell="Hilfsstoffe!CN47" r:id="rId5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12343" r:id="rId33" name="cmb_Auswahl_Verwendung_P15"/>
      </mc:Fallback>
    </mc:AlternateContent>
    <mc:AlternateContent xmlns:mc="http://schemas.openxmlformats.org/markup-compatibility/2006">
      <mc:Choice Requires="x14">
        <control shapeId="12342" r:id="rId34" name="cmb_Auswahl_Verwendung_P14">
          <controlPr defaultSize="0" print="0" autoLine="0" linkedCell="Hilfsstoffe!CN45" r:id="rId5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12342" r:id="rId34" name="cmb_Auswahl_Verwendung_P14"/>
      </mc:Fallback>
    </mc:AlternateContent>
    <mc:AlternateContent xmlns:mc="http://schemas.openxmlformats.org/markup-compatibility/2006">
      <mc:Choice Requires="x14">
        <control shapeId="12341" r:id="rId35" name="cmb_Auswahl_Verwendung_P13">
          <controlPr defaultSize="0" print="0" autoLine="0" linkedCell="Hilfsstoffe!CN43" r:id="rId5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12341" r:id="rId35" name="cmb_Auswahl_Verwendung_P13"/>
      </mc:Fallback>
    </mc:AlternateContent>
    <mc:AlternateContent xmlns:mc="http://schemas.openxmlformats.org/markup-compatibility/2006">
      <mc:Choice Requires="x14">
        <control shapeId="12340" r:id="rId36" name="cmb_Auswahl_Verwendung_P12">
          <controlPr defaultSize="0" print="0" autoLine="0" linkedCell="Hilfsstoffe!CN41" r:id="rId5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12340" r:id="rId36" name="cmb_Auswahl_Verwendung_P12"/>
      </mc:Fallback>
    </mc:AlternateContent>
    <mc:AlternateContent xmlns:mc="http://schemas.openxmlformats.org/markup-compatibility/2006">
      <mc:Choice Requires="x14">
        <control shapeId="12339" r:id="rId37" name="cmb_Auswahl_Verwendung_P11">
          <controlPr defaultSize="0" print="0" autoLine="0" linkedCell="Hilfsstoffe!CN39" r:id="rId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12339" r:id="rId37" name="cmb_Auswahl_Verwendung_P11"/>
      </mc:Fallback>
    </mc:AlternateContent>
    <mc:AlternateContent xmlns:mc="http://schemas.openxmlformats.org/markup-compatibility/2006">
      <mc:Choice Requires="x14">
        <control shapeId="12338" r:id="rId38" name="cmb_Auswahl_Verwendung_P10">
          <controlPr defaultSize="0" print="0" autoLine="0" linkedCell="Hilfsstoffe!CN37" r:id="rId5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12338" r:id="rId38" name="cmb_Auswahl_Verwendung_P10"/>
      </mc:Fallback>
    </mc:AlternateContent>
    <mc:AlternateContent xmlns:mc="http://schemas.openxmlformats.org/markup-compatibility/2006">
      <mc:Choice Requires="x14">
        <control shapeId="12337" r:id="rId39" name="cmb_Auswahl_Verwendung_P09">
          <controlPr defaultSize="0" print="0" autoLine="0" linkedCell="Hilfsstoffe!CN35" r:id="rId5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12337" r:id="rId39" name="cmb_Auswahl_Verwendung_P09"/>
      </mc:Fallback>
    </mc:AlternateContent>
    <mc:AlternateContent xmlns:mc="http://schemas.openxmlformats.org/markup-compatibility/2006">
      <mc:Choice Requires="x14">
        <control shapeId="12336" r:id="rId40" name="cmb_Auswahl_Verwendung_P08">
          <controlPr defaultSize="0" print="0" autoLine="0" linkedCell="Hilfsstoffe!CN33" r:id="rId41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12336" r:id="rId40" name="cmb_Auswahl_Verwendung_P08"/>
      </mc:Fallback>
    </mc:AlternateContent>
    <mc:AlternateContent xmlns:mc="http://schemas.openxmlformats.org/markup-compatibility/2006">
      <mc:Choice Requires="x14">
        <control shapeId="12335" r:id="rId42" name="cmb_Auswahl_Verwendung_P07">
          <controlPr defaultSize="0" print="0" autoLine="0" linkedCell="Hilfsstoffe!CN31" r:id="rId43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12335" r:id="rId42" name="cmb_Auswahl_Verwendung_P07"/>
      </mc:Fallback>
    </mc:AlternateContent>
    <mc:AlternateContent xmlns:mc="http://schemas.openxmlformats.org/markup-compatibility/2006">
      <mc:Choice Requires="x14">
        <control shapeId="12334" r:id="rId44" name="cmb_Auswahl_Verwendung_P06">
          <controlPr defaultSize="0" print="0" autoLine="0" linkedCell="Hilfsstoffe!CN29" r:id="rId4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12334" r:id="rId44" name="cmb_Auswahl_Verwendung_P06"/>
      </mc:Fallback>
    </mc:AlternateContent>
    <mc:AlternateContent xmlns:mc="http://schemas.openxmlformats.org/markup-compatibility/2006">
      <mc:Choice Requires="x14">
        <control shapeId="12333" r:id="rId46" name="cmb_Auswahl_Verwendung_P05">
          <controlPr defaultSize="0" print="0" autoLine="0" linkedCell="Hilfsstoffe!CN27" r:id="rId47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12333" r:id="rId46" name="cmb_Auswahl_Verwendung_P05"/>
      </mc:Fallback>
    </mc:AlternateContent>
    <mc:AlternateContent xmlns:mc="http://schemas.openxmlformats.org/markup-compatibility/2006">
      <mc:Choice Requires="x14">
        <control shapeId="12332" r:id="rId48" name="cmb_Auswahl_Verwendung_P04">
          <controlPr defaultSize="0" print="0" autoLine="0" linkedCell="Hilfsstoffe!CN25" r:id="rId49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2332" r:id="rId48" name="cmb_Auswahl_Verwendung_P04"/>
      </mc:Fallback>
    </mc:AlternateContent>
    <mc:AlternateContent xmlns:mc="http://schemas.openxmlformats.org/markup-compatibility/2006">
      <mc:Choice Requires="x14">
        <control shapeId="12331" r:id="rId50" name="cmb_Auswahl_Verwendung_P03">
          <controlPr defaultSize="0" print="0" autoLine="0" linkedCell="Hilfsstoffe!CN23" r:id="rId51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12331" r:id="rId50" name="cmb_Auswahl_Verwendung_P03"/>
      </mc:Fallback>
    </mc:AlternateContent>
    <mc:AlternateContent xmlns:mc="http://schemas.openxmlformats.org/markup-compatibility/2006">
      <mc:Choice Requires="x14">
        <control shapeId="12330" r:id="rId52" name="cmb_Auswahl_Verwendung_P02">
          <controlPr defaultSize="0" print="0" autoLine="0" linkedCell="Hilfsstoffe!CN21" r:id="rId53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12330" r:id="rId52" name="cmb_Auswahl_Verwendung_P02"/>
      </mc:Fallback>
    </mc:AlternateContent>
    <mc:AlternateContent xmlns:mc="http://schemas.openxmlformats.org/markup-compatibility/2006">
      <mc:Choice Requires="x14">
        <control shapeId="12329" r:id="rId54" name="cmb_Auswahl_Verwendung_P01">
          <controlPr defaultSize="0" print="0" autoLine="0" linkedCell="Hilfsstoffe!CN19" r:id="rId5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12329" r:id="rId54" name="cmb_Auswahl_Verwendung_P01"/>
      </mc:Fallback>
    </mc:AlternateContent>
    <mc:AlternateContent xmlns:mc="http://schemas.openxmlformats.org/markup-compatibility/2006">
      <mc:Choice Requires="x14">
        <control shapeId="12328" r:id="rId56" name="CommandButton40">
          <controlPr defaultSize="0" autoLine="0" r:id="rId57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12328" r:id="rId56" name="CommandButton40"/>
      </mc:Fallback>
    </mc:AlternateContent>
    <mc:AlternateContent xmlns:mc="http://schemas.openxmlformats.org/markup-compatibility/2006">
      <mc:Choice Requires="x14">
        <control shapeId="12327" r:id="rId58" name="CommandButton39">
          <controlPr defaultSize="0" autoLine="0" r:id="rId59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12327" r:id="rId58" name="CommandButton39"/>
      </mc:Fallback>
    </mc:AlternateContent>
    <mc:AlternateContent xmlns:mc="http://schemas.openxmlformats.org/markup-compatibility/2006">
      <mc:Choice Requires="x14">
        <control shapeId="12326" r:id="rId60" name="CommandButton38">
          <controlPr defaultSize="0" autoLine="0" r:id="rId61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12326" r:id="rId60" name="CommandButton38"/>
      </mc:Fallback>
    </mc:AlternateContent>
    <mc:AlternateContent xmlns:mc="http://schemas.openxmlformats.org/markup-compatibility/2006">
      <mc:Choice Requires="x14">
        <control shapeId="12325" r:id="rId62" name="CommandButton37">
          <controlPr defaultSize="0" autoLine="0" r:id="rId63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12325" r:id="rId62" name="CommandButton37"/>
      </mc:Fallback>
    </mc:AlternateContent>
    <mc:AlternateContent xmlns:mc="http://schemas.openxmlformats.org/markup-compatibility/2006">
      <mc:Choice Requires="x14">
        <control shapeId="12324" r:id="rId64" name="CommandButton36">
          <controlPr defaultSize="0" autoLine="0" r:id="rId65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12324" r:id="rId64" name="CommandButton36"/>
      </mc:Fallback>
    </mc:AlternateContent>
    <mc:AlternateContent xmlns:mc="http://schemas.openxmlformats.org/markup-compatibility/2006">
      <mc:Choice Requires="x14">
        <control shapeId="12323" r:id="rId66" name="CommandButton35">
          <controlPr defaultSize="0" autoLine="0" r:id="rId67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2323" r:id="rId66" name="CommandButton35"/>
      </mc:Fallback>
    </mc:AlternateContent>
    <mc:AlternateContent xmlns:mc="http://schemas.openxmlformats.org/markup-compatibility/2006">
      <mc:Choice Requires="x14">
        <control shapeId="12322" r:id="rId68" name="CommandButton34">
          <controlPr defaultSize="0" autoLine="0" r:id="rId69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12322" r:id="rId68" name="CommandButton34"/>
      </mc:Fallback>
    </mc:AlternateContent>
    <mc:AlternateContent xmlns:mc="http://schemas.openxmlformats.org/markup-compatibility/2006">
      <mc:Choice Requires="x14">
        <control shapeId="12321" r:id="rId70" name="CommandButton33">
          <controlPr defaultSize="0" autoLine="0" r:id="rId71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12321" r:id="rId70" name="CommandButton33"/>
      </mc:Fallback>
    </mc:AlternateContent>
    <mc:AlternateContent xmlns:mc="http://schemas.openxmlformats.org/markup-compatibility/2006">
      <mc:Choice Requires="x14">
        <control shapeId="12320" r:id="rId72" name="CommandButton32">
          <controlPr defaultSize="0" autoLine="0" r:id="rId73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12320" r:id="rId72" name="CommandButton32"/>
      </mc:Fallback>
    </mc:AlternateContent>
    <mc:AlternateContent xmlns:mc="http://schemas.openxmlformats.org/markup-compatibility/2006">
      <mc:Choice Requires="x14">
        <control shapeId="12319" r:id="rId74" name="CommandButton31">
          <controlPr defaultSize="0" autoLine="0" r:id="rId75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12319" r:id="rId74" name="CommandButton31"/>
      </mc:Fallback>
    </mc:AlternateContent>
    <mc:AlternateContent xmlns:mc="http://schemas.openxmlformats.org/markup-compatibility/2006">
      <mc:Choice Requires="x14">
        <control shapeId="12318" r:id="rId76" name="CommandButton30">
          <controlPr defaultSize="0" autoLine="0" r:id="rId77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12318" r:id="rId76" name="CommandButton30"/>
      </mc:Fallback>
    </mc:AlternateContent>
    <mc:AlternateContent xmlns:mc="http://schemas.openxmlformats.org/markup-compatibility/2006">
      <mc:Choice Requires="x14">
        <control shapeId="12317" r:id="rId78" name="CommandButton29">
          <controlPr defaultSize="0" autoLine="0" r:id="rId79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12317" r:id="rId78" name="CommandButton29"/>
      </mc:Fallback>
    </mc:AlternateContent>
    <mc:AlternateContent xmlns:mc="http://schemas.openxmlformats.org/markup-compatibility/2006">
      <mc:Choice Requires="x14">
        <control shapeId="12316" r:id="rId80" name="CommandButton28">
          <controlPr defaultSize="0" autoLine="0" r:id="rId81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12316" r:id="rId80" name="CommandButton28"/>
      </mc:Fallback>
    </mc:AlternateContent>
    <mc:AlternateContent xmlns:mc="http://schemas.openxmlformats.org/markup-compatibility/2006">
      <mc:Choice Requires="x14">
        <control shapeId="12315" r:id="rId82" name="CommandButton27">
          <controlPr defaultSize="0" autoLine="0" r:id="rId83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12315" r:id="rId82" name="CommandButton27"/>
      </mc:Fallback>
    </mc:AlternateContent>
    <mc:AlternateContent xmlns:mc="http://schemas.openxmlformats.org/markup-compatibility/2006">
      <mc:Choice Requires="x14">
        <control shapeId="12314" r:id="rId84" name="CommandButton26">
          <controlPr defaultSize="0" autoLine="0" r:id="rId85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12314" r:id="rId84" name="CommandButton26"/>
      </mc:Fallback>
    </mc:AlternateContent>
    <mc:AlternateContent xmlns:mc="http://schemas.openxmlformats.org/markup-compatibility/2006">
      <mc:Choice Requires="x14">
        <control shapeId="12313" r:id="rId86" name="CommandButton25">
          <controlPr defaultSize="0" autoLine="0" r:id="rId87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12313" r:id="rId86" name="CommandButton25"/>
      </mc:Fallback>
    </mc:AlternateContent>
    <mc:AlternateContent xmlns:mc="http://schemas.openxmlformats.org/markup-compatibility/2006">
      <mc:Choice Requires="x14">
        <control shapeId="12312" r:id="rId88" name="CommandButton24">
          <controlPr defaultSize="0" autoLine="0" r:id="rId89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12312" r:id="rId88" name="CommandButton24"/>
      </mc:Fallback>
    </mc:AlternateContent>
    <mc:AlternateContent xmlns:mc="http://schemas.openxmlformats.org/markup-compatibility/2006">
      <mc:Choice Requires="x14">
        <control shapeId="12311" r:id="rId90" name="CommandButton23">
          <controlPr defaultSize="0" autoLine="0" r:id="rId91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12311" r:id="rId90" name="CommandButton23"/>
      </mc:Fallback>
    </mc:AlternateContent>
    <mc:AlternateContent xmlns:mc="http://schemas.openxmlformats.org/markup-compatibility/2006">
      <mc:Choice Requires="x14">
        <control shapeId="12310" r:id="rId92" name="CommandButton22">
          <controlPr defaultSize="0" autoLine="0" r:id="rId93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12310" r:id="rId92" name="CommandButton22"/>
      </mc:Fallback>
    </mc:AlternateContent>
    <mc:AlternateContent xmlns:mc="http://schemas.openxmlformats.org/markup-compatibility/2006">
      <mc:Choice Requires="x14">
        <control shapeId="12309" r:id="rId94" name="CommandButton21">
          <controlPr defaultSize="0" autoLine="0" r:id="rId95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12309" r:id="rId94" name="CommandButton21"/>
      </mc:Fallback>
    </mc:AlternateContent>
    <mc:AlternateContent xmlns:mc="http://schemas.openxmlformats.org/markup-compatibility/2006">
      <mc:Choice Requires="x14">
        <control shapeId="12308" r:id="rId96" name="CommandButton20">
          <controlPr defaultSize="0" autoLine="0" r:id="rId97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12308" r:id="rId96" name="CommandButton20"/>
      </mc:Fallback>
    </mc:AlternateContent>
    <mc:AlternateContent xmlns:mc="http://schemas.openxmlformats.org/markup-compatibility/2006">
      <mc:Choice Requires="x14">
        <control shapeId="12307" r:id="rId98" name="CommandButton19">
          <controlPr defaultSize="0" autoLine="0" r:id="rId99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12307" r:id="rId98" name="CommandButton19"/>
      </mc:Fallback>
    </mc:AlternateContent>
    <mc:AlternateContent xmlns:mc="http://schemas.openxmlformats.org/markup-compatibility/2006">
      <mc:Choice Requires="x14">
        <control shapeId="12306" r:id="rId100" name="CommandButton18">
          <controlPr defaultSize="0" autoLine="0" r:id="rId101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12306" r:id="rId100" name="CommandButton18"/>
      </mc:Fallback>
    </mc:AlternateContent>
    <mc:AlternateContent xmlns:mc="http://schemas.openxmlformats.org/markup-compatibility/2006">
      <mc:Choice Requires="x14">
        <control shapeId="12305" r:id="rId102" name="CommandButton17">
          <controlPr defaultSize="0" autoLine="0" r:id="rId103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12305" r:id="rId102" name="CommandButton17"/>
      </mc:Fallback>
    </mc:AlternateContent>
    <mc:AlternateContent xmlns:mc="http://schemas.openxmlformats.org/markup-compatibility/2006">
      <mc:Choice Requires="x14">
        <control shapeId="12304" r:id="rId104" name="CommandButton16">
          <controlPr defaultSize="0" autoLine="0" r:id="rId105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12304" r:id="rId104" name="CommandButton16"/>
      </mc:Fallback>
    </mc:AlternateContent>
    <mc:AlternateContent xmlns:mc="http://schemas.openxmlformats.org/markup-compatibility/2006">
      <mc:Choice Requires="x14">
        <control shapeId="12303" r:id="rId106" name="CommandButton15">
          <controlPr defaultSize="0" autoLine="0" r:id="rId107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12303" r:id="rId106" name="CommandButton15"/>
      </mc:Fallback>
    </mc:AlternateContent>
    <mc:AlternateContent xmlns:mc="http://schemas.openxmlformats.org/markup-compatibility/2006">
      <mc:Choice Requires="x14">
        <control shapeId="12302" r:id="rId108" name="CommandButton14">
          <controlPr defaultSize="0" autoLine="0" r:id="rId109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12302" r:id="rId108" name="CommandButton14"/>
      </mc:Fallback>
    </mc:AlternateContent>
    <mc:AlternateContent xmlns:mc="http://schemas.openxmlformats.org/markup-compatibility/2006">
      <mc:Choice Requires="x14">
        <control shapeId="12301" r:id="rId110" name="CommandButton13">
          <controlPr defaultSize="0" autoLine="0" r:id="rId111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12301" r:id="rId110" name="CommandButton13"/>
      </mc:Fallback>
    </mc:AlternateContent>
    <mc:AlternateContent xmlns:mc="http://schemas.openxmlformats.org/markup-compatibility/2006">
      <mc:Choice Requires="x14">
        <control shapeId="12300" r:id="rId112" name="CommandButton12">
          <controlPr defaultSize="0" autoLine="0" r:id="rId113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12300" r:id="rId112" name="CommandButton12"/>
      </mc:Fallback>
    </mc:AlternateContent>
    <mc:AlternateContent xmlns:mc="http://schemas.openxmlformats.org/markup-compatibility/2006">
      <mc:Choice Requires="x14">
        <control shapeId="12299" r:id="rId114" name="CommandButton11">
          <controlPr defaultSize="0" autoLine="0" r:id="rId115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12299" r:id="rId114" name="CommandButton11"/>
      </mc:Fallback>
    </mc:AlternateContent>
    <mc:AlternateContent xmlns:mc="http://schemas.openxmlformats.org/markup-compatibility/2006">
      <mc:Choice Requires="x14">
        <control shapeId="12298" r:id="rId116" name="CommandButton10">
          <controlPr defaultSize="0" autoLine="0" r:id="rId117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12298" r:id="rId116" name="CommandButton10"/>
      </mc:Fallback>
    </mc:AlternateContent>
    <mc:AlternateContent xmlns:mc="http://schemas.openxmlformats.org/markup-compatibility/2006">
      <mc:Choice Requires="x14">
        <control shapeId="12297" r:id="rId118" name="CommandButton9">
          <controlPr defaultSize="0" autoLine="0" r:id="rId119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12297" r:id="rId118" name="CommandButton9"/>
      </mc:Fallback>
    </mc:AlternateContent>
    <mc:AlternateContent xmlns:mc="http://schemas.openxmlformats.org/markup-compatibility/2006">
      <mc:Choice Requires="x14">
        <control shapeId="12296" r:id="rId120" name="CommandButton8">
          <controlPr defaultSize="0" autoLine="0" r:id="rId121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2296" r:id="rId120" name="CommandButton8"/>
      </mc:Fallback>
    </mc:AlternateContent>
    <mc:AlternateContent xmlns:mc="http://schemas.openxmlformats.org/markup-compatibility/2006">
      <mc:Choice Requires="x14">
        <control shapeId="12295" r:id="rId122" name="CommandButton7">
          <controlPr defaultSize="0" autoLine="0" r:id="rId123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12295" r:id="rId122" name="CommandButton7"/>
      </mc:Fallback>
    </mc:AlternateContent>
    <mc:AlternateContent xmlns:mc="http://schemas.openxmlformats.org/markup-compatibility/2006">
      <mc:Choice Requires="x14">
        <control shapeId="12294" r:id="rId124" name="CommandButton6">
          <controlPr defaultSize="0" autoLine="0" r:id="rId125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12294" r:id="rId124" name="CommandButton6"/>
      </mc:Fallback>
    </mc:AlternateContent>
    <mc:AlternateContent xmlns:mc="http://schemas.openxmlformats.org/markup-compatibility/2006">
      <mc:Choice Requires="x14">
        <control shapeId="12293" r:id="rId126" name="CommandButton5">
          <controlPr defaultSize="0" autoLine="0" r:id="rId127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12293" r:id="rId126" name="CommandButton5"/>
      </mc:Fallback>
    </mc:AlternateContent>
    <mc:AlternateContent xmlns:mc="http://schemas.openxmlformats.org/markup-compatibility/2006">
      <mc:Choice Requires="x14">
        <control shapeId="12292" r:id="rId128" name="CommandButton4">
          <controlPr defaultSize="0" autoLine="0" r:id="rId129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12292" r:id="rId128" name="CommandButton4"/>
      </mc:Fallback>
    </mc:AlternateContent>
    <mc:AlternateContent xmlns:mc="http://schemas.openxmlformats.org/markup-compatibility/2006">
      <mc:Choice Requires="x14">
        <control shapeId="12291" r:id="rId130" name="CommandButton3">
          <controlPr defaultSize="0" autoLine="0" r:id="rId131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12291" r:id="rId130" name="CommandButton3"/>
      </mc:Fallback>
    </mc:AlternateContent>
    <mc:AlternateContent xmlns:mc="http://schemas.openxmlformats.org/markup-compatibility/2006">
      <mc:Choice Requires="x14">
        <control shapeId="12290" r:id="rId132" name="CommandButton2">
          <controlPr defaultSize="0" autoLine="0" r:id="rId133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12290" r:id="rId132" name="CommandButton2"/>
      </mc:Fallback>
    </mc:AlternateContent>
    <mc:AlternateContent xmlns:mc="http://schemas.openxmlformats.org/markup-compatibility/2006">
      <mc:Choice Requires="x14">
        <control shapeId="12289" r:id="rId134" name="CommandButton1">
          <controlPr defaultSize="0" autoLine="0" r:id="rId135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12289" r:id="rId13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JD301"/>
  <sheetViews>
    <sheetView showGridLines="0" showRowColHeaders="0" showZeros="0" topLeftCell="A8" zoomScale="160" zoomScaleNormal="160" workbookViewId="0">
      <selection activeCell="K12" sqref="K12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14" customWidth="1"/>
    <col min="75" max="85" width="0.28515625" style="14" customWidth="1"/>
    <col min="86" max="86" width="0.7109375" style="14" customWidth="1"/>
    <col min="87" max="87" width="4.85546875" style="14" customWidth="1"/>
    <col min="88" max="88" width="0.710937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12"/>
      <c r="GV11" s="1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209"/>
      <c r="L12" s="922" t="s">
        <v>349</v>
      </c>
      <c r="M12" s="922"/>
      <c r="N12" s="922"/>
      <c r="O12" s="922"/>
      <c r="P12" s="922"/>
      <c r="Q12" s="922"/>
      <c r="R12" s="922"/>
      <c r="S12" s="922"/>
      <c r="T12" s="922"/>
      <c r="U12" s="922"/>
      <c r="V12" s="922"/>
      <c r="W12" s="922"/>
      <c r="X12" s="922"/>
      <c r="Y12" s="922"/>
      <c r="Z12" s="922"/>
      <c r="AA12" s="922"/>
      <c r="AB12" s="922"/>
      <c r="AC12" s="922"/>
      <c r="AD12" s="922"/>
      <c r="AE12" s="922"/>
      <c r="AF12" s="922"/>
      <c r="AG12" s="922"/>
      <c r="AH12" s="922"/>
      <c r="AI12" s="922"/>
      <c r="AJ12" s="922"/>
      <c r="AK12" s="922"/>
      <c r="AL12" s="922"/>
      <c r="AM12" s="922"/>
      <c r="AN12" s="922"/>
      <c r="AO12" s="922"/>
      <c r="AP12" s="922"/>
      <c r="AQ12" s="922"/>
      <c r="AR12" s="922"/>
      <c r="AS12" s="922"/>
      <c r="AT12" s="922"/>
      <c r="AU12" s="922"/>
      <c r="AV12" s="922"/>
      <c r="AW12" s="922"/>
      <c r="AX12" s="922"/>
      <c r="AY12" s="922"/>
      <c r="AZ12" s="922"/>
      <c r="BA12" s="922"/>
      <c r="BB12" s="922"/>
      <c r="BC12" s="922"/>
      <c r="BD12" s="922"/>
      <c r="BE12" s="922"/>
      <c r="BF12" s="922"/>
      <c r="BG12" s="922"/>
      <c r="BH12" s="922"/>
      <c r="BI12" s="922"/>
      <c r="BJ12" s="922"/>
      <c r="BK12" s="922"/>
      <c r="BL12" s="922"/>
      <c r="BM12" s="922"/>
      <c r="BN12" s="922"/>
      <c r="BO12" s="922"/>
      <c r="BP12" s="922"/>
      <c r="BQ12" s="922"/>
      <c r="BR12" s="922"/>
      <c r="BS12" s="922"/>
      <c r="BT12" s="922"/>
      <c r="BU12" s="922"/>
      <c r="BV12" s="922"/>
      <c r="BW12" s="922"/>
      <c r="BX12" s="922"/>
      <c r="BY12" s="922"/>
      <c r="BZ12" s="922"/>
      <c r="CA12" s="922"/>
      <c r="CB12" s="922"/>
      <c r="CC12" s="922"/>
      <c r="CD12" s="922"/>
      <c r="CE12" s="922"/>
      <c r="CF12" s="922"/>
      <c r="CG12" s="922"/>
      <c r="CH12" s="922"/>
      <c r="CI12" s="922"/>
      <c r="CJ12" s="922"/>
      <c r="CK12" s="922"/>
      <c r="CL12" s="922"/>
      <c r="CM12" s="922"/>
      <c r="CN12" s="922"/>
      <c r="CO12" s="922"/>
      <c r="CP12" s="922"/>
      <c r="CQ12" s="922"/>
      <c r="CR12" s="922"/>
      <c r="CS12" s="922"/>
      <c r="CT12" s="922"/>
      <c r="CU12" s="128"/>
      <c r="CV12" s="128"/>
      <c r="CW12" s="128"/>
      <c r="CX12" s="128"/>
      <c r="CY12" s="128"/>
      <c r="CZ12" s="128"/>
      <c r="DA12" s="128"/>
      <c r="DB12" s="128"/>
      <c r="DC12" s="128"/>
      <c r="DD12" s="128"/>
      <c r="DE12" s="128"/>
      <c r="DF12" s="128"/>
      <c r="DG12" s="128"/>
      <c r="DH12" s="128"/>
      <c r="DI12" s="128"/>
      <c r="DJ12" s="128"/>
      <c r="DK12" s="128"/>
      <c r="DL12" s="128"/>
      <c r="DM12" s="128"/>
      <c r="DN12" s="128"/>
      <c r="DO12" s="128"/>
      <c r="DP12" s="128"/>
      <c r="DQ12" s="128"/>
      <c r="DR12" s="128"/>
      <c r="DS12" s="128"/>
      <c r="DT12" s="128"/>
      <c r="DU12" s="128"/>
      <c r="DV12" s="128"/>
      <c r="DW12" s="128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  <c r="EL12" s="128"/>
      <c r="EM12" s="128"/>
      <c r="EN12" s="128"/>
      <c r="EO12" s="128"/>
      <c r="EP12" s="128"/>
      <c r="EQ12" s="128"/>
      <c r="ER12" s="128"/>
      <c r="ES12" s="128"/>
      <c r="ET12" s="128"/>
      <c r="EU12" s="128"/>
      <c r="EV12" s="128"/>
      <c r="EW12" s="128"/>
      <c r="EX12" s="128"/>
      <c r="EY12" s="128"/>
      <c r="EZ12" s="128"/>
      <c r="FA12" s="128"/>
      <c r="FB12" s="128"/>
      <c r="FC12" s="128"/>
      <c r="FD12" s="128"/>
      <c r="FE12" s="128"/>
      <c r="FF12" s="128"/>
      <c r="FG12" s="128"/>
      <c r="FH12" s="128"/>
      <c r="FI12" s="128"/>
      <c r="FJ12" s="128"/>
      <c r="FK12" s="128"/>
      <c r="FL12" s="128"/>
      <c r="FM12" s="128"/>
      <c r="FN12" s="128"/>
      <c r="FO12" s="128"/>
      <c r="FP12" s="128"/>
      <c r="FQ12" s="128"/>
      <c r="FR12" s="128"/>
      <c r="FS12" s="128"/>
      <c r="FT12" s="128"/>
      <c r="FU12" s="128"/>
      <c r="FV12" s="128"/>
      <c r="FW12" s="128"/>
      <c r="FX12" s="128"/>
      <c r="FY12" s="128"/>
      <c r="FZ12" s="128"/>
      <c r="GA12" s="128"/>
      <c r="GB12" s="128"/>
      <c r="GC12" s="128"/>
      <c r="GD12" s="128"/>
      <c r="GE12" s="128"/>
      <c r="GF12" s="128"/>
      <c r="GG12" s="128"/>
      <c r="GH12" s="128"/>
      <c r="GI12" s="128"/>
      <c r="GJ12" s="128"/>
      <c r="GK12" s="128"/>
      <c r="GL12" s="128"/>
      <c r="GM12" s="128"/>
      <c r="GN12" s="128"/>
      <c r="GO12" s="128"/>
      <c r="GP12" s="128"/>
      <c r="GQ12" s="128"/>
      <c r="GR12" s="128"/>
      <c r="GS12" s="128"/>
      <c r="GT12" s="128"/>
      <c r="GU12" s="19"/>
      <c r="GV12" s="1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210"/>
      <c r="L13" s="599"/>
      <c r="M13" s="599"/>
      <c r="N13" s="599"/>
      <c r="O13" s="599"/>
      <c r="P13" s="599"/>
      <c r="Q13" s="599"/>
      <c r="R13" s="599"/>
      <c r="S13" s="599"/>
      <c r="T13" s="599"/>
      <c r="U13" s="599"/>
      <c r="V13" s="599"/>
      <c r="W13" s="599"/>
      <c r="X13" s="599"/>
      <c r="Y13" s="599"/>
      <c r="Z13" s="599"/>
      <c r="AA13" s="599"/>
      <c r="AB13" s="599"/>
      <c r="AC13" s="599"/>
      <c r="AD13" s="599"/>
      <c r="AE13" s="599"/>
      <c r="AF13" s="599"/>
      <c r="AG13" s="599"/>
      <c r="AH13" s="599"/>
      <c r="AI13" s="599"/>
      <c r="AJ13" s="599"/>
      <c r="AK13" s="599"/>
      <c r="AL13" s="599"/>
      <c r="AM13" s="599"/>
      <c r="AN13" s="599"/>
      <c r="AO13" s="599"/>
      <c r="AP13" s="599"/>
      <c r="AQ13" s="599"/>
      <c r="AR13" s="599"/>
      <c r="AS13" s="599"/>
      <c r="AT13" s="599"/>
      <c r="AU13" s="599"/>
      <c r="AV13" s="599"/>
      <c r="AW13" s="599"/>
      <c r="AX13" s="599"/>
      <c r="AY13" s="599"/>
      <c r="AZ13" s="599"/>
      <c r="BA13" s="599"/>
      <c r="BB13" s="599"/>
      <c r="BC13" s="599"/>
      <c r="BD13" s="599"/>
      <c r="BE13" s="599"/>
      <c r="BF13" s="599"/>
      <c r="BG13" s="599"/>
      <c r="BH13" s="599"/>
      <c r="BI13" s="599"/>
      <c r="BJ13" s="599"/>
      <c r="BK13" s="599"/>
      <c r="BL13" s="599"/>
      <c r="BM13" s="599"/>
      <c r="BN13" s="599"/>
      <c r="BO13" s="599"/>
      <c r="BP13" s="599"/>
      <c r="BQ13" s="599"/>
      <c r="BR13" s="599"/>
      <c r="BS13" s="599"/>
      <c r="BT13" s="599"/>
      <c r="BU13" s="599"/>
      <c r="BV13" s="599"/>
      <c r="BW13" s="599"/>
      <c r="BX13" s="599"/>
      <c r="BY13" s="599"/>
      <c r="BZ13" s="599"/>
      <c r="CA13" s="599"/>
      <c r="CB13" s="599"/>
      <c r="CC13" s="599"/>
      <c r="CD13" s="599"/>
      <c r="CE13" s="599"/>
      <c r="CF13" s="599"/>
      <c r="CG13" s="599"/>
      <c r="CH13" s="599"/>
      <c r="CI13" s="599"/>
      <c r="CJ13" s="599"/>
      <c r="CK13" s="599"/>
      <c r="CL13" s="599"/>
      <c r="CM13" s="599"/>
      <c r="CN13" s="599"/>
      <c r="CO13" s="599"/>
      <c r="CP13" s="599"/>
      <c r="CQ13" s="599"/>
      <c r="CR13" s="599"/>
      <c r="CS13" s="599"/>
      <c r="CT13" s="599"/>
      <c r="CU13" s="190"/>
      <c r="CV13" s="190"/>
      <c r="CW13" s="190"/>
      <c r="CX13" s="190"/>
      <c r="CY13" s="190"/>
      <c r="CZ13" s="190"/>
      <c r="DA13" s="190"/>
      <c r="DB13" s="190"/>
      <c r="DC13" s="190"/>
      <c r="DD13" s="190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/>
      <c r="DS13" s="190"/>
      <c r="DT13" s="190"/>
      <c r="DU13" s="190"/>
      <c r="DV13" s="190"/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/>
      <c r="EJ13" s="190"/>
      <c r="EK13" s="190"/>
      <c r="EL13" s="190"/>
      <c r="EM13" s="190"/>
      <c r="EN13" s="190"/>
      <c r="EO13" s="190"/>
      <c r="EP13" s="190"/>
      <c r="EQ13" s="190"/>
      <c r="ER13" s="190"/>
      <c r="ES13" s="190"/>
      <c r="ET13" s="190"/>
      <c r="EU13" s="190"/>
      <c r="EV13" s="190"/>
      <c r="EW13" s="190"/>
      <c r="EX13" s="190"/>
      <c r="EY13" s="190"/>
      <c r="EZ13" s="190"/>
      <c r="FA13" s="190"/>
      <c r="FB13" s="190"/>
      <c r="FC13" s="190"/>
      <c r="FD13" s="190"/>
      <c r="FE13" s="190"/>
      <c r="FF13" s="190"/>
      <c r="FG13" s="190"/>
      <c r="FH13" s="190"/>
      <c r="FI13" s="190"/>
      <c r="FJ13" s="190"/>
      <c r="FK13" s="190"/>
      <c r="FL13" s="190"/>
      <c r="FM13" s="190"/>
      <c r="FN13" s="190"/>
      <c r="FO13" s="190"/>
      <c r="FP13" s="190"/>
      <c r="FQ13" s="190"/>
      <c r="FR13" s="190"/>
      <c r="FS13" s="190"/>
      <c r="FT13" s="190"/>
      <c r="FU13" s="190"/>
      <c r="FV13" s="190"/>
      <c r="FW13" s="190"/>
      <c r="FX13" s="190"/>
      <c r="FY13" s="190"/>
      <c r="FZ13" s="190"/>
      <c r="GA13" s="190"/>
      <c r="GB13" s="190"/>
      <c r="GC13" s="190"/>
      <c r="GD13" s="190"/>
      <c r="GE13" s="190"/>
      <c r="GF13" s="190"/>
      <c r="GG13" s="190"/>
      <c r="GH13" s="190"/>
      <c r="GI13" s="190"/>
      <c r="GJ13" s="190"/>
      <c r="GK13" s="190"/>
      <c r="GL13" s="190"/>
      <c r="GM13" s="190"/>
      <c r="GN13" s="190"/>
      <c r="GO13" s="190"/>
      <c r="GP13" s="190"/>
      <c r="GQ13" s="190"/>
      <c r="GR13" s="190"/>
      <c r="GS13" s="190"/>
      <c r="GT13" s="190"/>
      <c r="GU13" s="25"/>
      <c r="GV13" s="211"/>
      <c r="GW13" s="211"/>
      <c r="GX13" s="211"/>
      <c r="GY13" s="211"/>
      <c r="GZ13" s="211"/>
      <c r="HA13" s="211"/>
      <c r="HB13" s="211"/>
      <c r="HC13" s="211"/>
      <c r="HD13" s="211"/>
      <c r="HE13" s="211"/>
      <c r="HF13" s="211"/>
      <c r="HG13" s="211"/>
      <c r="HH13" s="211"/>
      <c r="HI13" s="211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210"/>
      <c r="L14" s="923"/>
      <c r="M14" s="923"/>
      <c r="N14" s="923"/>
      <c r="O14" s="923"/>
      <c r="P14" s="923"/>
      <c r="Q14" s="923"/>
      <c r="R14" s="923"/>
      <c r="S14" s="923"/>
      <c r="T14" s="923"/>
      <c r="U14" s="923"/>
      <c r="V14" s="923"/>
      <c r="W14" s="923"/>
      <c r="X14" s="923"/>
      <c r="Y14" s="923"/>
      <c r="Z14" s="923"/>
      <c r="AA14" s="923"/>
      <c r="AB14" s="923"/>
      <c r="AC14" s="923"/>
      <c r="AD14" s="923"/>
      <c r="AE14" s="923"/>
      <c r="AF14" s="923"/>
      <c r="AG14" s="923"/>
      <c r="AH14" s="923"/>
      <c r="AI14" s="923"/>
      <c r="AJ14" s="923"/>
      <c r="AK14" s="923"/>
      <c r="AL14" s="923"/>
      <c r="AM14" s="923"/>
      <c r="AN14" s="923"/>
      <c r="AO14" s="923"/>
      <c r="AP14" s="923"/>
      <c r="AQ14" s="923"/>
      <c r="AR14" s="923"/>
      <c r="AS14" s="923"/>
      <c r="AT14" s="923"/>
      <c r="AU14" s="923"/>
      <c r="AV14" s="923"/>
      <c r="AW14" s="923"/>
      <c r="AX14" s="923"/>
      <c r="AY14" s="923"/>
      <c r="AZ14" s="923"/>
      <c r="BA14" s="923"/>
      <c r="BB14" s="923"/>
      <c r="BC14" s="923"/>
      <c r="BD14" s="923"/>
      <c r="BE14" s="923"/>
      <c r="BF14" s="923"/>
      <c r="BG14" s="923"/>
      <c r="BH14" s="923"/>
      <c r="BI14" s="923"/>
      <c r="BJ14" s="923"/>
      <c r="BK14" s="923"/>
      <c r="BL14" s="923"/>
      <c r="BM14" s="923"/>
      <c r="BN14" s="923"/>
      <c r="BO14" s="923"/>
      <c r="BP14" s="923"/>
      <c r="BQ14" s="923"/>
      <c r="BR14" s="923"/>
      <c r="BS14" s="923"/>
      <c r="BT14" s="923"/>
      <c r="BU14" s="923"/>
      <c r="BV14" s="923"/>
      <c r="BW14" s="923"/>
      <c r="BX14" s="923"/>
      <c r="BY14" s="923"/>
      <c r="BZ14" s="923"/>
      <c r="CA14" s="923"/>
      <c r="CB14" s="923"/>
      <c r="CC14" s="923"/>
      <c r="CD14" s="923"/>
      <c r="CE14" s="923"/>
      <c r="CF14" s="923"/>
      <c r="CG14" s="923"/>
      <c r="CH14" s="923"/>
      <c r="CI14" s="923"/>
      <c r="CJ14" s="923"/>
      <c r="CK14" s="923"/>
      <c r="CL14" s="923"/>
      <c r="CM14" s="923"/>
      <c r="CN14" s="923"/>
      <c r="CO14" s="923"/>
      <c r="CP14" s="923"/>
      <c r="CQ14" s="923"/>
      <c r="CR14" s="923"/>
      <c r="CS14" s="923"/>
      <c r="CT14" s="923"/>
      <c r="CU14" s="924" t="s">
        <v>403</v>
      </c>
      <c r="CV14" s="924"/>
      <c r="CW14" s="924"/>
      <c r="CX14" s="924"/>
      <c r="CY14" s="924"/>
      <c r="CZ14" s="924"/>
      <c r="DA14" s="924"/>
      <c r="DB14" s="924"/>
      <c r="DC14" s="924"/>
      <c r="DD14" s="924"/>
      <c r="DE14" s="924"/>
      <c r="DF14" s="924"/>
      <c r="DG14" s="924"/>
      <c r="DH14" s="924"/>
      <c r="DI14" s="924"/>
      <c r="DJ14" s="924"/>
      <c r="DK14" s="924"/>
      <c r="DL14" s="924"/>
      <c r="DM14" s="924"/>
      <c r="DN14" s="924"/>
      <c r="DO14" s="924"/>
      <c r="DP14" s="924"/>
      <c r="DQ14" s="924"/>
      <c r="DR14" s="924"/>
      <c r="DS14" s="924"/>
      <c r="DT14" s="924"/>
      <c r="DU14" s="924"/>
      <c r="DV14" s="924"/>
      <c r="DW14" s="924"/>
      <c r="DX14" s="924"/>
      <c r="DY14" s="924"/>
      <c r="DZ14" s="924"/>
      <c r="EA14" s="924"/>
      <c r="EB14" s="924"/>
      <c r="EC14" s="924"/>
      <c r="ED14" s="924"/>
      <c r="EE14" s="924"/>
      <c r="EF14" s="924"/>
      <c r="EG14" s="924"/>
      <c r="EH14" s="924"/>
      <c r="EI14" s="924"/>
      <c r="EJ14" s="924"/>
      <c r="EK14" s="924"/>
      <c r="EL14" s="924"/>
      <c r="EM14" s="924"/>
      <c r="EN14" s="924"/>
      <c r="EO14" s="352"/>
      <c r="EP14" s="352"/>
      <c r="EQ14" s="352"/>
      <c r="ER14" s="352"/>
      <c r="ES14" s="352"/>
      <c r="ET14" s="352"/>
      <c r="EU14" s="352"/>
      <c r="EV14" s="352"/>
      <c r="EW14" s="352"/>
      <c r="EX14" s="352"/>
      <c r="EY14" s="352"/>
      <c r="EZ14" s="352"/>
      <c r="FA14" s="352"/>
      <c r="FB14" s="352"/>
      <c r="FC14" s="352"/>
      <c r="FD14" s="352"/>
      <c r="FE14" s="352"/>
      <c r="FF14" s="352"/>
      <c r="FG14" s="352"/>
      <c r="FH14" s="352"/>
      <c r="FI14" s="352"/>
      <c r="FJ14" s="352"/>
      <c r="FK14" s="352"/>
      <c r="FL14" s="352"/>
      <c r="FM14" s="352"/>
      <c r="FN14" s="352"/>
      <c r="FO14" s="352"/>
      <c r="FP14" s="352"/>
      <c r="FQ14" s="352"/>
      <c r="FR14" s="352"/>
      <c r="FS14" s="352"/>
      <c r="FT14" s="352"/>
      <c r="FU14" s="352"/>
      <c r="FV14" s="352"/>
      <c r="FW14" s="352"/>
      <c r="FX14" s="352"/>
      <c r="FY14" s="352"/>
      <c r="FZ14" s="352"/>
      <c r="GA14" s="352"/>
      <c r="GB14" s="352"/>
      <c r="GC14" s="352"/>
      <c r="GD14" s="352"/>
      <c r="GE14" s="352"/>
      <c r="GF14" s="352"/>
      <c r="GG14" s="352"/>
      <c r="GH14" s="352"/>
      <c r="GI14" s="352"/>
      <c r="GJ14" s="352"/>
      <c r="GK14" s="352"/>
      <c r="GL14" s="352"/>
      <c r="GM14" s="352"/>
      <c r="GN14" s="352"/>
      <c r="GO14" s="352"/>
      <c r="GP14" s="352"/>
      <c r="GQ14" s="352"/>
      <c r="GR14" s="352"/>
      <c r="GS14" s="352"/>
      <c r="GT14" s="352"/>
      <c r="GU14" s="25"/>
      <c r="GV14" s="211"/>
      <c r="GW14" s="211"/>
      <c r="GX14" s="211"/>
      <c r="GY14" s="211"/>
      <c r="GZ14" s="211"/>
      <c r="HA14" s="211"/>
      <c r="HB14" s="211"/>
      <c r="HC14" s="211"/>
      <c r="HD14" s="211"/>
      <c r="HE14" s="211"/>
      <c r="HF14" s="211"/>
      <c r="HG14" s="211"/>
      <c r="HH14" s="211"/>
      <c r="HI14" s="211"/>
    </row>
    <row r="15" spans="1:217" ht="16.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212"/>
      <c r="L15" s="906" t="s">
        <v>264</v>
      </c>
      <c r="M15" s="906"/>
      <c r="N15" s="907"/>
      <c r="O15" s="213"/>
      <c r="P15" s="908" t="s">
        <v>265</v>
      </c>
      <c r="Q15" s="908"/>
      <c r="R15" s="908"/>
      <c r="S15" s="908"/>
      <c r="T15" s="908"/>
      <c r="U15" s="908"/>
      <c r="V15" s="908"/>
      <c r="W15" s="908"/>
      <c r="X15" s="908"/>
      <c r="Y15" s="908"/>
      <c r="Z15" s="908"/>
      <c r="AA15" s="908"/>
      <c r="AB15" s="908"/>
      <c r="AC15" s="908"/>
      <c r="AD15" s="908"/>
      <c r="AE15" s="908"/>
      <c r="AF15" s="908"/>
      <c r="AG15" s="908"/>
      <c r="AH15" s="908"/>
      <c r="AI15" s="908"/>
      <c r="AJ15" s="908"/>
      <c r="AK15" s="908"/>
      <c r="AL15" s="908"/>
      <c r="AM15" s="908"/>
      <c r="AN15" s="908"/>
      <c r="AO15" s="908"/>
      <c r="AP15" s="908"/>
      <c r="AQ15" s="908"/>
      <c r="AR15" s="908"/>
      <c r="AS15" s="908"/>
      <c r="AT15" s="908"/>
      <c r="AU15" s="908"/>
      <c r="AV15" s="908"/>
      <c r="AW15" s="908"/>
      <c r="AX15" s="908"/>
      <c r="AY15" s="908"/>
      <c r="AZ15" s="908"/>
      <c r="BA15" s="908"/>
      <c r="BB15" s="908"/>
      <c r="BC15" s="909"/>
      <c r="BD15" s="910" t="s">
        <v>65</v>
      </c>
      <c r="BE15" s="911"/>
      <c r="BF15" s="911"/>
      <c r="BG15" s="911"/>
      <c r="BH15" s="911"/>
      <c r="BI15" s="911"/>
      <c r="BJ15" s="911"/>
      <c r="BK15" s="911"/>
      <c r="BL15" s="911"/>
      <c r="BM15" s="911"/>
      <c r="BN15" s="911"/>
      <c r="BO15" s="911"/>
      <c r="BP15" s="911"/>
      <c r="BQ15" s="911"/>
      <c r="BR15" s="911"/>
      <c r="BS15" s="911"/>
      <c r="BT15" s="911"/>
      <c r="BU15" s="911"/>
      <c r="BV15" s="911"/>
      <c r="BW15" s="911"/>
      <c r="BX15" s="911"/>
      <c r="BY15" s="911"/>
      <c r="BZ15" s="911"/>
      <c r="CA15" s="911"/>
      <c r="CB15" s="911"/>
      <c r="CC15" s="911"/>
      <c r="CD15" s="911"/>
      <c r="CE15" s="911"/>
      <c r="CF15" s="911"/>
      <c r="CG15" s="912"/>
      <c r="CH15" s="916" t="s">
        <v>266</v>
      </c>
      <c r="CI15" s="917"/>
      <c r="CJ15" s="917"/>
      <c r="CK15" s="917"/>
      <c r="CL15" s="917"/>
      <c r="CM15" s="917"/>
      <c r="CN15" s="917"/>
      <c r="CO15" s="918"/>
      <c r="CP15" s="898" t="s">
        <v>254</v>
      </c>
      <c r="CQ15" s="898"/>
      <c r="CR15" s="898"/>
      <c r="CS15" s="898"/>
      <c r="CT15" s="898"/>
      <c r="CU15" s="897" t="s">
        <v>267</v>
      </c>
      <c r="CV15" s="897"/>
      <c r="CW15" s="897"/>
      <c r="CX15" s="897"/>
      <c r="CY15" s="897"/>
      <c r="CZ15" s="897"/>
      <c r="DA15" s="897"/>
      <c r="DB15" s="897"/>
      <c r="DC15" s="897"/>
      <c r="DD15" s="897"/>
      <c r="DE15" s="897" t="s">
        <v>381</v>
      </c>
      <c r="DF15" s="897"/>
      <c r="DG15" s="897"/>
      <c r="DH15" s="897"/>
      <c r="DI15" s="897"/>
      <c r="DJ15" s="897"/>
      <c r="DK15" s="897"/>
      <c r="DL15" s="897"/>
      <c r="DM15" s="897"/>
      <c r="DN15" s="897"/>
      <c r="DO15" s="897" t="s">
        <v>268</v>
      </c>
      <c r="DP15" s="898"/>
      <c r="DQ15" s="898"/>
      <c r="DR15" s="898"/>
      <c r="DS15" s="898"/>
      <c r="DT15" s="898"/>
      <c r="DU15" s="898"/>
      <c r="DV15" s="898"/>
      <c r="DW15" s="897" t="s">
        <v>269</v>
      </c>
      <c r="DX15" s="897"/>
      <c r="DY15" s="897"/>
      <c r="DZ15" s="897"/>
      <c r="EA15" s="897"/>
      <c r="EB15" s="897"/>
      <c r="EC15" s="897"/>
      <c r="ED15" s="897"/>
      <c r="EE15" s="897"/>
      <c r="EF15" s="897"/>
      <c r="EG15" s="897" t="s">
        <v>270</v>
      </c>
      <c r="EH15" s="898"/>
      <c r="EI15" s="898"/>
      <c r="EJ15" s="898"/>
      <c r="EK15" s="898"/>
      <c r="EL15" s="898"/>
      <c r="EM15" s="898"/>
      <c r="EN15" s="898"/>
      <c r="EO15" s="897" t="s">
        <v>271</v>
      </c>
      <c r="EP15" s="898"/>
      <c r="EQ15" s="898"/>
      <c r="ER15" s="898"/>
      <c r="ES15" s="898"/>
      <c r="ET15" s="898"/>
      <c r="EU15" s="898"/>
      <c r="EV15" s="898"/>
      <c r="EW15" s="897" t="s">
        <v>272</v>
      </c>
      <c r="EX15" s="898"/>
      <c r="EY15" s="898"/>
      <c r="EZ15" s="898"/>
      <c r="FA15" s="898"/>
      <c r="FB15" s="898"/>
      <c r="FC15" s="898"/>
      <c r="FD15" s="898"/>
      <c r="FE15" s="897" t="s">
        <v>273</v>
      </c>
      <c r="FF15" s="897"/>
      <c r="FG15" s="897"/>
      <c r="FH15" s="897"/>
      <c r="FI15" s="897"/>
      <c r="FJ15" s="897"/>
      <c r="FK15" s="897"/>
      <c r="FL15" s="897"/>
      <c r="FM15" s="897"/>
      <c r="FN15" s="897"/>
      <c r="FO15" s="897" t="s">
        <v>274</v>
      </c>
      <c r="FP15" s="897"/>
      <c r="FQ15" s="897"/>
      <c r="FR15" s="897"/>
      <c r="FS15" s="897"/>
      <c r="FT15" s="897"/>
      <c r="FU15" s="897"/>
      <c r="FV15" s="897"/>
      <c r="FW15" s="897"/>
      <c r="FX15" s="899"/>
      <c r="FY15" s="900" t="s">
        <v>275</v>
      </c>
      <c r="FZ15" s="901"/>
      <c r="GA15" s="901"/>
      <c r="GB15" s="901"/>
      <c r="GC15" s="901"/>
      <c r="GD15" s="901"/>
      <c r="GE15" s="901"/>
      <c r="GF15" s="901"/>
      <c r="GG15" s="901"/>
      <c r="GH15" s="901"/>
      <c r="GI15" s="901"/>
      <c r="GJ15" s="901"/>
      <c r="GK15" s="901"/>
      <c r="GL15" s="901"/>
      <c r="GM15" s="901"/>
      <c r="GN15" s="901"/>
      <c r="GO15" s="901"/>
      <c r="GP15" s="901"/>
      <c r="GQ15" s="901"/>
      <c r="GR15" s="901"/>
      <c r="GS15" s="901"/>
      <c r="GT15" s="902"/>
      <c r="GU15" s="25"/>
      <c r="GV15" s="211"/>
      <c r="GW15" s="211"/>
      <c r="GX15" s="211"/>
      <c r="GY15" s="211"/>
      <c r="GZ15" s="211"/>
      <c r="HA15" s="211"/>
      <c r="HB15" s="211"/>
      <c r="HC15" s="211"/>
      <c r="HD15" s="211"/>
      <c r="HE15" s="211"/>
      <c r="HF15" s="211"/>
      <c r="HG15" s="211"/>
      <c r="HH15" s="211"/>
      <c r="HI15" s="211"/>
    </row>
    <row r="16" spans="1:217" ht="16.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212"/>
      <c r="L16" s="906"/>
      <c r="M16" s="906"/>
      <c r="N16" s="907"/>
      <c r="O16" s="214"/>
      <c r="P16" s="908"/>
      <c r="Q16" s="908"/>
      <c r="R16" s="908"/>
      <c r="S16" s="908"/>
      <c r="T16" s="908"/>
      <c r="U16" s="908"/>
      <c r="V16" s="908"/>
      <c r="W16" s="908"/>
      <c r="X16" s="908"/>
      <c r="Y16" s="908"/>
      <c r="Z16" s="908"/>
      <c r="AA16" s="908"/>
      <c r="AB16" s="908"/>
      <c r="AC16" s="908"/>
      <c r="AD16" s="908"/>
      <c r="AE16" s="908"/>
      <c r="AF16" s="908"/>
      <c r="AG16" s="908"/>
      <c r="AH16" s="908"/>
      <c r="AI16" s="908"/>
      <c r="AJ16" s="908"/>
      <c r="AK16" s="908"/>
      <c r="AL16" s="908"/>
      <c r="AM16" s="908"/>
      <c r="AN16" s="908"/>
      <c r="AO16" s="908"/>
      <c r="AP16" s="908"/>
      <c r="AQ16" s="908"/>
      <c r="AR16" s="908"/>
      <c r="AS16" s="908"/>
      <c r="AT16" s="908"/>
      <c r="AU16" s="908"/>
      <c r="AV16" s="908"/>
      <c r="AW16" s="908"/>
      <c r="AX16" s="908"/>
      <c r="AY16" s="908"/>
      <c r="AZ16" s="908"/>
      <c r="BA16" s="908"/>
      <c r="BB16" s="908"/>
      <c r="BC16" s="909"/>
      <c r="BD16" s="913"/>
      <c r="BE16" s="914"/>
      <c r="BF16" s="914"/>
      <c r="BG16" s="914"/>
      <c r="BH16" s="914"/>
      <c r="BI16" s="914"/>
      <c r="BJ16" s="914"/>
      <c r="BK16" s="914"/>
      <c r="BL16" s="914"/>
      <c r="BM16" s="914"/>
      <c r="BN16" s="914"/>
      <c r="BO16" s="914"/>
      <c r="BP16" s="914"/>
      <c r="BQ16" s="914"/>
      <c r="BR16" s="914"/>
      <c r="BS16" s="914"/>
      <c r="BT16" s="914"/>
      <c r="BU16" s="914"/>
      <c r="BV16" s="914"/>
      <c r="BW16" s="914"/>
      <c r="BX16" s="914"/>
      <c r="BY16" s="914"/>
      <c r="BZ16" s="914"/>
      <c r="CA16" s="914"/>
      <c r="CB16" s="914"/>
      <c r="CC16" s="914"/>
      <c r="CD16" s="914"/>
      <c r="CE16" s="914"/>
      <c r="CF16" s="914"/>
      <c r="CG16" s="915"/>
      <c r="CH16" s="919"/>
      <c r="CI16" s="920"/>
      <c r="CJ16" s="920"/>
      <c r="CK16" s="920"/>
      <c r="CL16" s="920"/>
      <c r="CM16" s="920"/>
      <c r="CN16" s="920"/>
      <c r="CO16" s="921"/>
      <c r="CP16" s="898"/>
      <c r="CQ16" s="898"/>
      <c r="CR16" s="898"/>
      <c r="CS16" s="898"/>
      <c r="CT16" s="898"/>
      <c r="CU16" s="897"/>
      <c r="CV16" s="897"/>
      <c r="CW16" s="897"/>
      <c r="CX16" s="897"/>
      <c r="CY16" s="897"/>
      <c r="CZ16" s="897"/>
      <c r="DA16" s="897"/>
      <c r="DB16" s="897"/>
      <c r="DC16" s="897"/>
      <c r="DD16" s="897"/>
      <c r="DE16" s="897"/>
      <c r="DF16" s="897"/>
      <c r="DG16" s="897"/>
      <c r="DH16" s="897"/>
      <c r="DI16" s="897"/>
      <c r="DJ16" s="897"/>
      <c r="DK16" s="897"/>
      <c r="DL16" s="897"/>
      <c r="DM16" s="897"/>
      <c r="DN16" s="897"/>
      <c r="DO16" s="898"/>
      <c r="DP16" s="898"/>
      <c r="DQ16" s="898"/>
      <c r="DR16" s="898"/>
      <c r="DS16" s="898"/>
      <c r="DT16" s="898"/>
      <c r="DU16" s="898"/>
      <c r="DV16" s="898"/>
      <c r="DW16" s="897"/>
      <c r="DX16" s="897"/>
      <c r="DY16" s="897"/>
      <c r="DZ16" s="897"/>
      <c r="EA16" s="897"/>
      <c r="EB16" s="897"/>
      <c r="EC16" s="897"/>
      <c r="ED16" s="897"/>
      <c r="EE16" s="897"/>
      <c r="EF16" s="897"/>
      <c r="EG16" s="898"/>
      <c r="EH16" s="898"/>
      <c r="EI16" s="898"/>
      <c r="EJ16" s="898"/>
      <c r="EK16" s="898"/>
      <c r="EL16" s="898"/>
      <c r="EM16" s="898"/>
      <c r="EN16" s="898"/>
      <c r="EO16" s="898"/>
      <c r="EP16" s="898"/>
      <c r="EQ16" s="898"/>
      <c r="ER16" s="898"/>
      <c r="ES16" s="898"/>
      <c r="ET16" s="898"/>
      <c r="EU16" s="898"/>
      <c r="EV16" s="898"/>
      <c r="EW16" s="898"/>
      <c r="EX16" s="898"/>
      <c r="EY16" s="898"/>
      <c r="EZ16" s="898"/>
      <c r="FA16" s="898"/>
      <c r="FB16" s="898"/>
      <c r="FC16" s="898"/>
      <c r="FD16" s="898"/>
      <c r="FE16" s="897"/>
      <c r="FF16" s="897"/>
      <c r="FG16" s="897"/>
      <c r="FH16" s="897"/>
      <c r="FI16" s="897"/>
      <c r="FJ16" s="897"/>
      <c r="FK16" s="897"/>
      <c r="FL16" s="897"/>
      <c r="FM16" s="897"/>
      <c r="FN16" s="897"/>
      <c r="FO16" s="897"/>
      <c r="FP16" s="897"/>
      <c r="FQ16" s="897"/>
      <c r="FR16" s="897"/>
      <c r="FS16" s="897"/>
      <c r="FT16" s="897"/>
      <c r="FU16" s="897"/>
      <c r="FV16" s="897"/>
      <c r="FW16" s="897"/>
      <c r="FX16" s="899"/>
      <c r="FY16" s="903"/>
      <c r="FZ16" s="904"/>
      <c r="GA16" s="904"/>
      <c r="GB16" s="904"/>
      <c r="GC16" s="904"/>
      <c r="GD16" s="904"/>
      <c r="GE16" s="904"/>
      <c r="GF16" s="904"/>
      <c r="GG16" s="904"/>
      <c r="GH16" s="904"/>
      <c r="GI16" s="904"/>
      <c r="GJ16" s="904"/>
      <c r="GK16" s="904"/>
      <c r="GL16" s="904"/>
      <c r="GM16" s="904"/>
      <c r="GN16" s="904"/>
      <c r="GO16" s="904"/>
      <c r="GP16" s="904"/>
      <c r="GQ16" s="904"/>
      <c r="GR16" s="904"/>
      <c r="GS16" s="904"/>
      <c r="GT16" s="905"/>
      <c r="GU16" s="25"/>
      <c r="GV16" s="211"/>
      <c r="GW16" s="211"/>
      <c r="GX16" s="211"/>
      <c r="GY16" s="211"/>
      <c r="GZ16" s="211"/>
      <c r="HA16" s="211"/>
      <c r="HB16" s="211"/>
      <c r="HC16" s="211"/>
      <c r="HD16" s="211"/>
      <c r="HE16" s="211"/>
      <c r="HF16" s="211"/>
      <c r="HG16" s="211"/>
      <c r="HH16" s="211"/>
      <c r="HI16" s="211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212"/>
      <c r="L17" s="953">
        <v>1</v>
      </c>
      <c r="M17" s="953"/>
      <c r="N17" s="954"/>
      <c r="O17" s="215"/>
      <c r="P17" s="955" t="s">
        <v>484</v>
      </c>
      <c r="Q17" s="955"/>
      <c r="R17" s="955"/>
      <c r="S17" s="955"/>
      <c r="T17" s="955"/>
      <c r="U17" s="955"/>
      <c r="V17" s="955"/>
      <c r="W17" s="955"/>
      <c r="X17" s="955"/>
      <c r="Y17" s="955"/>
      <c r="Z17" s="955"/>
      <c r="AA17" s="955"/>
      <c r="AB17" s="955"/>
      <c r="AC17" s="955"/>
      <c r="AD17" s="955"/>
      <c r="AE17" s="955"/>
      <c r="AF17" s="955"/>
      <c r="AG17" s="955"/>
      <c r="AH17" s="955"/>
      <c r="AI17" s="955"/>
      <c r="AJ17" s="955"/>
      <c r="AK17" s="955"/>
      <c r="AL17" s="955"/>
      <c r="AM17" s="955"/>
      <c r="AN17" s="955"/>
      <c r="AO17" s="955"/>
      <c r="AP17" s="955"/>
      <c r="AQ17" s="955"/>
      <c r="AR17" s="955"/>
      <c r="AS17" s="955"/>
      <c r="AT17" s="955"/>
      <c r="AU17" s="955"/>
      <c r="AV17" s="955"/>
      <c r="AW17" s="955"/>
      <c r="AX17" s="955"/>
      <c r="AY17" s="955"/>
      <c r="AZ17" s="955"/>
      <c r="BA17" s="955"/>
      <c r="BB17" s="955"/>
      <c r="BC17" s="955"/>
      <c r="BD17" s="956" t="s">
        <v>485</v>
      </c>
      <c r="BE17" s="957"/>
      <c r="BF17" s="957"/>
      <c r="BG17" s="957"/>
      <c r="BH17" s="957"/>
      <c r="BI17" s="957"/>
      <c r="BJ17" s="957"/>
      <c r="BK17" s="957"/>
      <c r="BL17" s="957"/>
      <c r="BM17" s="957"/>
      <c r="BN17" s="957"/>
      <c r="BO17" s="957"/>
      <c r="BP17" s="957"/>
      <c r="BQ17" s="957"/>
      <c r="BR17" s="957"/>
      <c r="BS17" s="957"/>
      <c r="BT17" s="957"/>
      <c r="BU17" s="957"/>
      <c r="BV17" s="957"/>
      <c r="BW17" s="957"/>
      <c r="BX17" s="957"/>
      <c r="BY17" s="957"/>
      <c r="BZ17" s="957"/>
      <c r="CA17" s="957"/>
      <c r="CB17" s="957"/>
      <c r="CC17" s="957"/>
      <c r="CD17" s="957"/>
      <c r="CE17" s="957"/>
      <c r="CF17" s="957"/>
      <c r="CG17" s="958"/>
      <c r="CH17" s="943">
        <v>10002916</v>
      </c>
      <c r="CI17" s="944"/>
      <c r="CJ17" s="944"/>
      <c r="CK17" s="944"/>
      <c r="CL17" s="944"/>
      <c r="CM17" s="371"/>
      <c r="CN17" s="371"/>
      <c r="CO17" s="372"/>
      <c r="CP17" s="959">
        <v>1</v>
      </c>
      <c r="CQ17" s="959"/>
      <c r="CR17" s="959"/>
      <c r="CS17" s="959"/>
      <c r="CT17" s="959"/>
      <c r="CU17" s="960">
        <v>65</v>
      </c>
      <c r="CV17" s="960"/>
      <c r="CW17" s="960"/>
      <c r="CX17" s="960"/>
      <c r="CY17" s="960"/>
      <c r="CZ17" s="960"/>
      <c r="DA17" s="960"/>
      <c r="DB17" s="960"/>
      <c r="DC17" s="960"/>
      <c r="DD17" s="960"/>
      <c r="DE17" s="946"/>
      <c r="DF17" s="946"/>
      <c r="DG17" s="946"/>
      <c r="DH17" s="946"/>
      <c r="DI17" s="946"/>
      <c r="DJ17" s="946"/>
      <c r="DK17" s="946"/>
      <c r="DL17" s="946"/>
      <c r="DM17" s="946"/>
      <c r="DN17" s="946"/>
      <c r="DO17" s="948">
        <f>BEZ_Lohn_1_Ges_Zeit/60</f>
        <v>0</v>
      </c>
      <c r="DP17" s="948"/>
      <c r="DQ17" s="948"/>
      <c r="DR17" s="948"/>
      <c r="DS17" s="948"/>
      <c r="DT17" s="948"/>
      <c r="DU17" s="948"/>
      <c r="DV17" s="948"/>
      <c r="DW17" s="946"/>
      <c r="DX17" s="946"/>
      <c r="DY17" s="946"/>
      <c r="DZ17" s="946"/>
      <c r="EA17" s="946"/>
      <c r="EB17" s="946"/>
      <c r="EC17" s="946"/>
      <c r="ED17" s="946"/>
      <c r="EE17" s="946"/>
      <c r="EF17" s="946"/>
      <c r="EG17" s="950"/>
      <c r="EH17" s="950"/>
      <c r="EI17" s="950"/>
      <c r="EJ17" s="950"/>
      <c r="EK17" s="950"/>
      <c r="EL17" s="950"/>
      <c r="EM17" s="950"/>
      <c r="EN17" s="950"/>
      <c r="EO17" s="950"/>
      <c r="EP17" s="950"/>
      <c r="EQ17" s="950"/>
      <c r="ER17" s="950"/>
      <c r="ES17" s="950"/>
      <c r="ET17" s="950"/>
      <c r="EU17" s="950"/>
      <c r="EV17" s="950"/>
      <c r="EW17" s="952" t="str">
        <f>IF(BEZ_Lohn_1_Ges_Zeit="","",((BEZ_Lohn_1_Ges_Zeit*((BEZ_Lohn_1_Zuschl_auf_Zeit/100)+1))/BEZ_Lohn_1_Leist_je_Art)*BEZ_Lohn_1_Bedarf_je_Art*BEZ_Lohn_1_MA_Anz)</f>
        <v/>
      </c>
      <c r="EX17" s="952"/>
      <c r="EY17" s="952"/>
      <c r="EZ17" s="952"/>
      <c r="FA17" s="952"/>
      <c r="FB17" s="952"/>
      <c r="FC17" s="952"/>
      <c r="FD17" s="952"/>
      <c r="FE17" s="962" t="str">
        <f>IF(BEZ_Lohn_1_Ges_Min_je_Art="","",(BEZ_Lohn_1_Ges_Min_je_Art / 60)*BEZ_Lohn_1_St_Satz_excl)</f>
        <v/>
      </c>
      <c r="FF17" s="962"/>
      <c r="FG17" s="962"/>
      <c r="FH17" s="962"/>
      <c r="FI17" s="962"/>
      <c r="FJ17" s="962"/>
      <c r="FK17" s="962"/>
      <c r="FL17" s="962"/>
      <c r="FM17" s="962"/>
      <c r="FN17" s="962"/>
      <c r="FO17" s="964" t="str">
        <f>IF(BEZ_Lohn_1_Ges_Min_je_Art="","",(BEZ_Lohn_1_Ges_Min_je_Art / 60)*BEZ_Lohn_1_St_Satz_excl*KI_N)</f>
        <v/>
      </c>
      <c r="FP17" s="965"/>
      <c r="FQ17" s="965"/>
      <c r="FR17" s="965"/>
      <c r="FS17" s="965"/>
      <c r="FT17" s="965"/>
      <c r="FU17" s="965"/>
      <c r="FV17" s="965"/>
      <c r="FW17" s="965"/>
      <c r="FX17" s="966"/>
      <c r="FY17" s="967" t="s">
        <v>163</v>
      </c>
      <c r="FZ17" s="968"/>
      <c r="GA17" s="968"/>
      <c r="GB17" s="968"/>
      <c r="GC17" s="968"/>
      <c r="GD17" s="968"/>
      <c r="GE17" s="968"/>
      <c r="GF17" s="968"/>
      <c r="GG17" s="968"/>
      <c r="GH17" s="968"/>
      <c r="GI17" s="968"/>
      <c r="GJ17" s="968"/>
      <c r="GK17" s="968"/>
      <c r="GL17" s="968"/>
      <c r="GM17" s="968"/>
      <c r="GN17" s="968"/>
      <c r="GO17" s="968"/>
      <c r="GP17" s="968"/>
      <c r="GQ17" s="968"/>
      <c r="GR17" s="968"/>
      <c r="GS17" s="968"/>
      <c r="GT17" s="969"/>
      <c r="GU17" s="216"/>
      <c r="GV17" s="211"/>
      <c r="GW17" s="211"/>
      <c r="GX17" s="211"/>
      <c r="GY17" s="211"/>
      <c r="GZ17" s="211"/>
      <c r="HA17" s="211"/>
      <c r="HB17" s="211"/>
      <c r="HC17" s="211"/>
      <c r="HD17" s="211"/>
      <c r="HE17" s="211"/>
      <c r="HF17" s="211"/>
      <c r="HG17" s="211"/>
      <c r="HH17" s="211"/>
      <c r="HI17" s="211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212"/>
      <c r="L18" s="937"/>
      <c r="M18" s="937"/>
      <c r="N18" s="938"/>
      <c r="O18" s="217"/>
      <c r="P18" s="939"/>
      <c r="Q18" s="939"/>
      <c r="R18" s="939"/>
      <c r="S18" s="939"/>
      <c r="T18" s="939"/>
      <c r="U18" s="939"/>
      <c r="V18" s="939"/>
      <c r="W18" s="939"/>
      <c r="X18" s="939"/>
      <c r="Y18" s="939"/>
      <c r="Z18" s="939"/>
      <c r="AA18" s="939"/>
      <c r="AB18" s="939"/>
      <c r="AC18" s="939"/>
      <c r="AD18" s="939"/>
      <c r="AE18" s="939"/>
      <c r="AF18" s="939"/>
      <c r="AG18" s="939"/>
      <c r="AH18" s="939"/>
      <c r="AI18" s="939"/>
      <c r="AJ18" s="939"/>
      <c r="AK18" s="939"/>
      <c r="AL18" s="939"/>
      <c r="AM18" s="939"/>
      <c r="AN18" s="939"/>
      <c r="AO18" s="939"/>
      <c r="AP18" s="939"/>
      <c r="AQ18" s="939"/>
      <c r="AR18" s="939"/>
      <c r="AS18" s="939"/>
      <c r="AT18" s="939"/>
      <c r="AU18" s="939"/>
      <c r="AV18" s="939"/>
      <c r="AW18" s="939"/>
      <c r="AX18" s="939"/>
      <c r="AY18" s="939"/>
      <c r="AZ18" s="939"/>
      <c r="BA18" s="939"/>
      <c r="BB18" s="939"/>
      <c r="BC18" s="939"/>
      <c r="BD18" s="940"/>
      <c r="BE18" s="941"/>
      <c r="BF18" s="941"/>
      <c r="BG18" s="941"/>
      <c r="BH18" s="941"/>
      <c r="BI18" s="941"/>
      <c r="BJ18" s="941"/>
      <c r="BK18" s="941"/>
      <c r="BL18" s="941"/>
      <c r="BM18" s="941"/>
      <c r="BN18" s="941"/>
      <c r="BO18" s="941"/>
      <c r="BP18" s="941"/>
      <c r="BQ18" s="941"/>
      <c r="BR18" s="941"/>
      <c r="BS18" s="941"/>
      <c r="BT18" s="941"/>
      <c r="BU18" s="941"/>
      <c r="BV18" s="941"/>
      <c r="BW18" s="941"/>
      <c r="BX18" s="941"/>
      <c r="BY18" s="941"/>
      <c r="BZ18" s="941"/>
      <c r="CA18" s="941"/>
      <c r="CB18" s="941"/>
      <c r="CC18" s="941"/>
      <c r="CD18" s="941"/>
      <c r="CE18" s="941"/>
      <c r="CF18" s="941"/>
      <c r="CG18" s="942"/>
      <c r="CH18" s="943"/>
      <c r="CI18" s="944"/>
      <c r="CJ18" s="944"/>
      <c r="CK18" s="944"/>
      <c r="CL18" s="944"/>
      <c r="CM18" s="371"/>
      <c r="CN18" s="371"/>
      <c r="CO18" s="372"/>
      <c r="CP18" s="945"/>
      <c r="CQ18" s="945"/>
      <c r="CR18" s="945"/>
      <c r="CS18" s="945"/>
      <c r="CT18" s="945"/>
      <c r="CU18" s="961"/>
      <c r="CV18" s="961"/>
      <c r="CW18" s="961"/>
      <c r="CX18" s="961"/>
      <c r="CY18" s="961"/>
      <c r="CZ18" s="961"/>
      <c r="DA18" s="961"/>
      <c r="DB18" s="961"/>
      <c r="DC18" s="961"/>
      <c r="DD18" s="961"/>
      <c r="DE18" s="947"/>
      <c r="DF18" s="947"/>
      <c r="DG18" s="947"/>
      <c r="DH18" s="947"/>
      <c r="DI18" s="947"/>
      <c r="DJ18" s="947"/>
      <c r="DK18" s="947"/>
      <c r="DL18" s="947"/>
      <c r="DM18" s="947"/>
      <c r="DN18" s="947"/>
      <c r="DO18" s="949"/>
      <c r="DP18" s="949"/>
      <c r="DQ18" s="949"/>
      <c r="DR18" s="949"/>
      <c r="DS18" s="949"/>
      <c r="DT18" s="949"/>
      <c r="DU18" s="949"/>
      <c r="DV18" s="949"/>
      <c r="DW18" s="947"/>
      <c r="DX18" s="947"/>
      <c r="DY18" s="947"/>
      <c r="DZ18" s="947"/>
      <c r="EA18" s="947"/>
      <c r="EB18" s="947"/>
      <c r="EC18" s="947"/>
      <c r="ED18" s="947"/>
      <c r="EE18" s="947"/>
      <c r="EF18" s="947"/>
      <c r="EG18" s="951"/>
      <c r="EH18" s="951"/>
      <c r="EI18" s="951"/>
      <c r="EJ18" s="951"/>
      <c r="EK18" s="951"/>
      <c r="EL18" s="951"/>
      <c r="EM18" s="951"/>
      <c r="EN18" s="951"/>
      <c r="EO18" s="951"/>
      <c r="EP18" s="951"/>
      <c r="EQ18" s="951"/>
      <c r="ER18" s="951"/>
      <c r="ES18" s="951"/>
      <c r="ET18" s="951"/>
      <c r="EU18" s="951"/>
      <c r="EV18" s="951"/>
      <c r="EW18" s="952"/>
      <c r="EX18" s="952"/>
      <c r="EY18" s="952"/>
      <c r="EZ18" s="952"/>
      <c r="FA18" s="952"/>
      <c r="FB18" s="952"/>
      <c r="FC18" s="952"/>
      <c r="FD18" s="952"/>
      <c r="FE18" s="963"/>
      <c r="FF18" s="963"/>
      <c r="FG18" s="963"/>
      <c r="FH18" s="963"/>
      <c r="FI18" s="963"/>
      <c r="FJ18" s="963"/>
      <c r="FK18" s="963"/>
      <c r="FL18" s="963"/>
      <c r="FM18" s="963"/>
      <c r="FN18" s="963"/>
      <c r="FO18" s="964"/>
      <c r="FP18" s="965"/>
      <c r="FQ18" s="965"/>
      <c r="FR18" s="965"/>
      <c r="FS18" s="965"/>
      <c r="FT18" s="965"/>
      <c r="FU18" s="965"/>
      <c r="FV18" s="965"/>
      <c r="FW18" s="965"/>
      <c r="FX18" s="966"/>
      <c r="FY18" s="970"/>
      <c r="FZ18" s="971"/>
      <c r="GA18" s="971"/>
      <c r="GB18" s="971"/>
      <c r="GC18" s="971"/>
      <c r="GD18" s="971"/>
      <c r="GE18" s="971"/>
      <c r="GF18" s="971"/>
      <c r="GG18" s="971"/>
      <c r="GH18" s="971"/>
      <c r="GI18" s="971"/>
      <c r="GJ18" s="971"/>
      <c r="GK18" s="971"/>
      <c r="GL18" s="971"/>
      <c r="GM18" s="971"/>
      <c r="GN18" s="971"/>
      <c r="GO18" s="971"/>
      <c r="GP18" s="971"/>
      <c r="GQ18" s="971"/>
      <c r="GR18" s="971"/>
      <c r="GS18" s="971"/>
      <c r="GT18" s="972"/>
      <c r="GU18" s="216"/>
      <c r="GV18" s="211"/>
      <c r="GW18" s="211"/>
      <c r="GX18" s="211"/>
      <c r="GY18" s="211"/>
      <c r="GZ18" s="211"/>
      <c r="HA18" s="211"/>
      <c r="HB18" s="211"/>
      <c r="HC18" s="211"/>
      <c r="HD18" s="211"/>
      <c r="HE18" s="211"/>
      <c r="HF18" s="211"/>
      <c r="HG18" s="211"/>
      <c r="HH18" s="211"/>
      <c r="HI18" s="211"/>
      <c r="HS18" s="925"/>
      <c r="HT18" s="926"/>
      <c r="HU18" s="926"/>
      <c r="HV18" s="926"/>
      <c r="HW18" s="926"/>
      <c r="HX18" s="926"/>
      <c r="HY18" s="926"/>
      <c r="HZ18" s="926"/>
      <c r="IA18" s="926"/>
      <c r="IB18" s="926"/>
      <c r="IC18" s="926"/>
      <c r="ID18" s="926"/>
      <c r="IE18" s="926"/>
      <c r="IF18" s="927"/>
      <c r="IQ18" s="931"/>
      <c r="IR18" s="932"/>
      <c r="IS18" s="932"/>
      <c r="IT18" s="932"/>
      <c r="IU18" s="932"/>
      <c r="IV18" s="932"/>
      <c r="IW18" s="932"/>
      <c r="IX18" s="932"/>
      <c r="IY18" s="932"/>
      <c r="IZ18" s="933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12"/>
      <c r="L19" s="937">
        <v>2</v>
      </c>
      <c r="M19" s="937"/>
      <c r="N19" s="938"/>
      <c r="O19" s="217"/>
      <c r="P19" s="939"/>
      <c r="Q19" s="939"/>
      <c r="R19" s="939"/>
      <c r="S19" s="939"/>
      <c r="T19" s="939"/>
      <c r="U19" s="939"/>
      <c r="V19" s="939"/>
      <c r="W19" s="939"/>
      <c r="X19" s="939"/>
      <c r="Y19" s="939"/>
      <c r="Z19" s="939"/>
      <c r="AA19" s="939"/>
      <c r="AB19" s="939"/>
      <c r="AC19" s="939"/>
      <c r="AD19" s="939"/>
      <c r="AE19" s="939"/>
      <c r="AF19" s="939"/>
      <c r="AG19" s="939"/>
      <c r="AH19" s="939"/>
      <c r="AI19" s="939"/>
      <c r="AJ19" s="939"/>
      <c r="AK19" s="939"/>
      <c r="AL19" s="939"/>
      <c r="AM19" s="939"/>
      <c r="AN19" s="939"/>
      <c r="AO19" s="939"/>
      <c r="AP19" s="939"/>
      <c r="AQ19" s="939"/>
      <c r="AR19" s="939"/>
      <c r="AS19" s="939"/>
      <c r="AT19" s="939"/>
      <c r="AU19" s="939"/>
      <c r="AV19" s="939"/>
      <c r="AW19" s="939"/>
      <c r="AX19" s="939"/>
      <c r="AY19" s="939"/>
      <c r="AZ19" s="939"/>
      <c r="BA19" s="939"/>
      <c r="BB19" s="939"/>
      <c r="BC19" s="939"/>
      <c r="BD19" s="940"/>
      <c r="BE19" s="941"/>
      <c r="BF19" s="941"/>
      <c r="BG19" s="941"/>
      <c r="BH19" s="941"/>
      <c r="BI19" s="941"/>
      <c r="BJ19" s="941"/>
      <c r="BK19" s="941"/>
      <c r="BL19" s="941"/>
      <c r="BM19" s="941"/>
      <c r="BN19" s="941"/>
      <c r="BO19" s="941"/>
      <c r="BP19" s="941"/>
      <c r="BQ19" s="941"/>
      <c r="BR19" s="941"/>
      <c r="BS19" s="941"/>
      <c r="BT19" s="941"/>
      <c r="BU19" s="941"/>
      <c r="BV19" s="941"/>
      <c r="BW19" s="941"/>
      <c r="BX19" s="941"/>
      <c r="BY19" s="941"/>
      <c r="BZ19" s="941"/>
      <c r="CA19" s="941"/>
      <c r="CB19" s="941"/>
      <c r="CC19" s="941"/>
      <c r="CD19" s="941"/>
      <c r="CE19" s="941"/>
      <c r="CF19" s="941"/>
      <c r="CG19" s="942"/>
      <c r="CH19" s="943"/>
      <c r="CI19" s="944"/>
      <c r="CJ19" s="944"/>
      <c r="CK19" s="944"/>
      <c r="CL19" s="944"/>
      <c r="CM19" s="371"/>
      <c r="CN19" s="371"/>
      <c r="CO19" s="372"/>
      <c r="CP19" s="945"/>
      <c r="CQ19" s="945"/>
      <c r="CR19" s="945"/>
      <c r="CS19" s="945"/>
      <c r="CT19" s="945"/>
      <c r="CU19" s="961"/>
      <c r="CV19" s="961"/>
      <c r="CW19" s="961"/>
      <c r="CX19" s="961"/>
      <c r="CY19" s="961"/>
      <c r="CZ19" s="961"/>
      <c r="DA19" s="961"/>
      <c r="DB19" s="961"/>
      <c r="DC19" s="961"/>
      <c r="DD19" s="961"/>
      <c r="DE19" s="947"/>
      <c r="DF19" s="947"/>
      <c r="DG19" s="947"/>
      <c r="DH19" s="947"/>
      <c r="DI19" s="947"/>
      <c r="DJ19" s="947"/>
      <c r="DK19" s="947"/>
      <c r="DL19" s="947"/>
      <c r="DM19" s="947"/>
      <c r="DN19" s="947"/>
      <c r="DO19" s="949">
        <f>BEZ_Lohn_2_Ges_Zeit/60</f>
        <v>0</v>
      </c>
      <c r="DP19" s="949"/>
      <c r="DQ19" s="949"/>
      <c r="DR19" s="949"/>
      <c r="DS19" s="949"/>
      <c r="DT19" s="949"/>
      <c r="DU19" s="949"/>
      <c r="DV19" s="949"/>
      <c r="DW19" s="947"/>
      <c r="DX19" s="947"/>
      <c r="DY19" s="947"/>
      <c r="DZ19" s="947"/>
      <c r="EA19" s="947"/>
      <c r="EB19" s="947"/>
      <c r="EC19" s="947"/>
      <c r="ED19" s="947"/>
      <c r="EE19" s="947"/>
      <c r="EF19" s="947"/>
      <c r="EG19" s="951"/>
      <c r="EH19" s="951"/>
      <c r="EI19" s="951"/>
      <c r="EJ19" s="951"/>
      <c r="EK19" s="951"/>
      <c r="EL19" s="951"/>
      <c r="EM19" s="951"/>
      <c r="EN19" s="951"/>
      <c r="EO19" s="951"/>
      <c r="EP19" s="951"/>
      <c r="EQ19" s="951"/>
      <c r="ER19" s="951"/>
      <c r="ES19" s="951"/>
      <c r="ET19" s="951"/>
      <c r="EU19" s="951"/>
      <c r="EV19" s="951"/>
      <c r="EW19" s="952" t="str">
        <f>IF(BEZ_Lohn_2_Ges_Zeit="","",((BEZ_Lohn_2_Ges_Zeit*((BEZ_Lohn_2_Zuschl_auf_Zeit/100)+1))/BEZ_Lohn_2_Leist_je_Art)*BEZ_Lohn_2_Bedarf_je_Art*BEZ_Lohn_2_MA_Anz)</f>
        <v/>
      </c>
      <c r="EX19" s="952"/>
      <c r="EY19" s="952"/>
      <c r="EZ19" s="952"/>
      <c r="FA19" s="952"/>
      <c r="FB19" s="952"/>
      <c r="FC19" s="952"/>
      <c r="FD19" s="952"/>
      <c r="FE19" s="963" t="str">
        <f>IF(BEZ_Lohn_2_Ges_Min_je_Art="","",(BEZ_Lohn_2_Ges_Min_je_Art / 60)*BEZ_Lohn_2_St_Satz_excl)</f>
        <v/>
      </c>
      <c r="FF19" s="963"/>
      <c r="FG19" s="963"/>
      <c r="FH19" s="963"/>
      <c r="FI19" s="963"/>
      <c r="FJ19" s="963"/>
      <c r="FK19" s="963"/>
      <c r="FL19" s="963"/>
      <c r="FM19" s="963"/>
      <c r="FN19" s="963"/>
      <c r="FO19" s="964" t="str">
        <f>IF(BEZ_Lohn_2_Ges_Min_je_Art="","",(BEZ_Lohn_2_Ges_Min_je_Art / 60)*BEZ_Lohn_2_St_Satz_excl*KI_N)</f>
        <v/>
      </c>
      <c r="FP19" s="965"/>
      <c r="FQ19" s="965"/>
      <c r="FR19" s="965"/>
      <c r="FS19" s="965"/>
      <c r="FT19" s="965"/>
      <c r="FU19" s="965"/>
      <c r="FV19" s="965"/>
      <c r="FW19" s="965"/>
      <c r="FX19" s="966"/>
      <c r="FY19" s="979">
        <f>SUM(FE17:FN72)</f>
        <v>6.5</v>
      </c>
      <c r="FZ19" s="980"/>
      <c r="GA19" s="980"/>
      <c r="GB19" s="980"/>
      <c r="GC19" s="980"/>
      <c r="GD19" s="980"/>
      <c r="GE19" s="980"/>
      <c r="GF19" s="980"/>
      <c r="GG19" s="980"/>
      <c r="GH19" s="980"/>
      <c r="GI19" s="981" t="s">
        <v>194</v>
      </c>
      <c r="GJ19" s="981"/>
      <c r="GK19" s="981"/>
      <c r="GL19" s="981"/>
      <c r="GM19" s="981"/>
      <c r="GN19" s="981"/>
      <c r="GO19" s="981"/>
      <c r="GP19" s="981"/>
      <c r="GQ19" s="981"/>
      <c r="GR19" s="981"/>
      <c r="GS19" s="981"/>
      <c r="GT19" s="982"/>
      <c r="GU19" s="25"/>
      <c r="GV19" s="211"/>
      <c r="GW19" s="211"/>
      <c r="GX19" s="211"/>
      <c r="GY19" s="211"/>
      <c r="GZ19" s="211"/>
      <c r="HA19" s="211"/>
      <c r="HB19" s="211"/>
      <c r="HC19" s="211"/>
      <c r="HD19" s="211"/>
      <c r="HE19" s="211"/>
      <c r="HF19" s="211"/>
      <c r="HG19" s="211"/>
      <c r="HH19" s="211"/>
      <c r="HI19" s="211"/>
      <c r="HS19" s="928"/>
      <c r="HT19" s="929"/>
      <c r="HU19" s="929"/>
      <c r="HV19" s="929"/>
      <c r="HW19" s="929"/>
      <c r="HX19" s="929"/>
      <c r="HY19" s="929"/>
      <c r="HZ19" s="929"/>
      <c r="IA19" s="929"/>
      <c r="IB19" s="929"/>
      <c r="IC19" s="929"/>
      <c r="ID19" s="929"/>
      <c r="IE19" s="929"/>
      <c r="IF19" s="930"/>
      <c r="IQ19" s="934"/>
      <c r="IR19" s="935"/>
      <c r="IS19" s="935"/>
      <c r="IT19" s="935"/>
      <c r="IU19" s="935"/>
      <c r="IV19" s="935"/>
      <c r="IW19" s="935"/>
      <c r="IX19" s="935"/>
      <c r="IY19" s="935"/>
      <c r="IZ19" s="936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212"/>
      <c r="L20" s="937"/>
      <c r="M20" s="937"/>
      <c r="N20" s="938"/>
      <c r="O20" s="217"/>
      <c r="P20" s="939"/>
      <c r="Q20" s="939"/>
      <c r="R20" s="939"/>
      <c r="S20" s="939"/>
      <c r="T20" s="939"/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39"/>
      <c r="AZ20" s="939"/>
      <c r="BA20" s="939"/>
      <c r="BB20" s="939"/>
      <c r="BC20" s="939"/>
      <c r="BD20" s="940"/>
      <c r="BE20" s="941"/>
      <c r="BF20" s="941"/>
      <c r="BG20" s="941"/>
      <c r="BH20" s="941"/>
      <c r="BI20" s="941"/>
      <c r="BJ20" s="941"/>
      <c r="BK20" s="941"/>
      <c r="BL20" s="941"/>
      <c r="BM20" s="941"/>
      <c r="BN20" s="941"/>
      <c r="BO20" s="941"/>
      <c r="BP20" s="941"/>
      <c r="BQ20" s="941"/>
      <c r="BR20" s="941"/>
      <c r="BS20" s="941"/>
      <c r="BT20" s="941"/>
      <c r="BU20" s="941"/>
      <c r="BV20" s="941"/>
      <c r="BW20" s="941"/>
      <c r="BX20" s="941"/>
      <c r="BY20" s="941"/>
      <c r="BZ20" s="941"/>
      <c r="CA20" s="941"/>
      <c r="CB20" s="941"/>
      <c r="CC20" s="941"/>
      <c r="CD20" s="941"/>
      <c r="CE20" s="941"/>
      <c r="CF20" s="941"/>
      <c r="CG20" s="942"/>
      <c r="CH20" s="943"/>
      <c r="CI20" s="944"/>
      <c r="CJ20" s="944"/>
      <c r="CK20" s="944"/>
      <c r="CL20" s="944"/>
      <c r="CM20" s="371"/>
      <c r="CN20" s="371"/>
      <c r="CO20" s="372"/>
      <c r="CP20" s="945"/>
      <c r="CQ20" s="945"/>
      <c r="CR20" s="945"/>
      <c r="CS20" s="945"/>
      <c r="CT20" s="945"/>
      <c r="CU20" s="961"/>
      <c r="CV20" s="961"/>
      <c r="CW20" s="961"/>
      <c r="CX20" s="961"/>
      <c r="CY20" s="961"/>
      <c r="CZ20" s="961"/>
      <c r="DA20" s="961"/>
      <c r="DB20" s="961"/>
      <c r="DC20" s="961"/>
      <c r="DD20" s="961"/>
      <c r="DE20" s="947"/>
      <c r="DF20" s="947"/>
      <c r="DG20" s="947"/>
      <c r="DH20" s="947"/>
      <c r="DI20" s="947"/>
      <c r="DJ20" s="947"/>
      <c r="DK20" s="947"/>
      <c r="DL20" s="947"/>
      <c r="DM20" s="947"/>
      <c r="DN20" s="947"/>
      <c r="DO20" s="949"/>
      <c r="DP20" s="949"/>
      <c r="DQ20" s="949"/>
      <c r="DR20" s="949"/>
      <c r="DS20" s="949"/>
      <c r="DT20" s="949"/>
      <c r="DU20" s="949"/>
      <c r="DV20" s="949"/>
      <c r="DW20" s="947"/>
      <c r="DX20" s="947"/>
      <c r="DY20" s="947"/>
      <c r="DZ20" s="947"/>
      <c r="EA20" s="947"/>
      <c r="EB20" s="947"/>
      <c r="EC20" s="947"/>
      <c r="ED20" s="947"/>
      <c r="EE20" s="947"/>
      <c r="EF20" s="947"/>
      <c r="EG20" s="951"/>
      <c r="EH20" s="951"/>
      <c r="EI20" s="951"/>
      <c r="EJ20" s="951"/>
      <c r="EK20" s="951"/>
      <c r="EL20" s="951"/>
      <c r="EM20" s="951"/>
      <c r="EN20" s="951"/>
      <c r="EO20" s="951"/>
      <c r="EP20" s="951"/>
      <c r="EQ20" s="951"/>
      <c r="ER20" s="951"/>
      <c r="ES20" s="951"/>
      <c r="ET20" s="951"/>
      <c r="EU20" s="951"/>
      <c r="EV20" s="951"/>
      <c r="EW20" s="952"/>
      <c r="EX20" s="952"/>
      <c r="EY20" s="952"/>
      <c r="EZ20" s="952"/>
      <c r="FA20" s="952"/>
      <c r="FB20" s="952"/>
      <c r="FC20" s="952"/>
      <c r="FD20" s="952"/>
      <c r="FE20" s="963"/>
      <c r="FF20" s="963"/>
      <c r="FG20" s="963"/>
      <c r="FH20" s="963"/>
      <c r="FI20" s="963"/>
      <c r="FJ20" s="963"/>
      <c r="FK20" s="963"/>
      <c r="FL20" s="963"/>
      <c r="FM20" s="963"/>
      <c r="FN20" s="963"/>
      <c r="FO20" s="964"/>
      <c r="FP20" s="965"/>
      <c r="FQ20" s="965"/>
      <c r="FR20" s="965"/>
      <c r="FS20" s="965"/>
      <c r="FT20" s="965"/>
      <c r="FU20" s="965"/>
      <c r="FV20" s="965"/>
      <c r="FW20" s="965"/>
      <c r="FX20" s="966"/>
      <c r="FY20" s="979"/>
      <c r="FZ20" s="980"/>
      <c r="GA20" s="980"/>
      <c r="GB20" s="980"/>
      <c r="GC20" s="980"/>
      <c r="GD20" s="980"/>
      <c r="GE20" s="980"/>
      <c r="GF20" s="980"/>
      <c r="GG20" s="980"/>
      <c r="GH20" s="980"/>
      <c r="GI20" s="981"/>
      <c r="GJ20" s="981"/>
      <c r="GK20" s="981"/>
      <c r="GL20" s="981"/>
      <c r="GM20" s="981"/>
      <c r="GN20" s="981"/>
      <c r="GO20" s="981"/>
      <c r="GP20" s="981"/>
      <c r="GQ20" s="981"/>
      <c r="GR20" s="981"/>
      <c r="GS20" s="981"/>
      <c r="GT20" s="982"/>
      <c r="GU20" s="25"/>
      <c r="GV20" s="211"/>
      <c r="GW20" s="211"/>
      <c r="GX20" s="211"/>
      <c r="GY20" s="211"/>
      <c r="GZ20" s="211"/>
      <c r="HA20" s="211"/>
      <c r="HB20" s="211"/>
      <c r="HC20" s="211"/>
      <c r="HD20" s="211"/>
      <c r="HE20" s="211"/>
      <c r="HF20" s="211"/>
      <c r="HG20" s="211"/>
      <c r="HH20" s="211"/>
      <c r="HI20" s="211"/>
      <c r="HS20" s="928"/>
      <c r="HT20" s="929"/>
      <c r="HU20" s="929"/>
      <c r="HV20" s="929"/>
      <c r="HW20" s="929"/>
      <c r="HX20" s="929"/>
      <c r="HY20" s="929"/>
      <c r="HZ20" s="929"/>
      <c r="IA20" s="929"/>
      <c r="IB20" s="929"/>
      <c r="IC20" s="929"/>
      <c r="ID20" s="929"/>
      <c r="IE20" s="929"/>
      <c r="IF20" s="930"/>
      <c r="IQ20" s="934"/>
      <c r="IR20" s="935"/>
      <c r="IS20" s="935"/>
      <c r="IT20" s="935"/>
      <c r="IU20" s="935"/>
      <c r="IV20" s="935"/>
      <c r="IW20" s="935"/>
      <c r="IX20" s="935"/>
      <c r="IY20" s="935"/>
      <c r="IZ20" s="936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12"/>
      <c r="L21" s="937">
        <v>3</v>
      </c>
      <c r="M21" s="937"/>
      <c r="N21" s="938"/>
      <c r="O21" s="217"/>
      <c r="P21" s="939" t="s">
        <v>486</v>
      </c>
      <c r="Q21" s="939"/>
      <c r="R21" s="939"/>
      <c r="S21" s="939"/>
      <c r="T21" s="939"/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39"/>
      <c r="AZ21" s="939"/>
      <c r="BA21" s="939"/>
      <c r="BB21" s="939"/>
      <c r="BC21" s="939"/>
      <c r="BD21" s="940" t="s">
        <v>487</v>
      </c>
      <c r="BE21" s="941"/>
      <c r="BF21" s="941"/>
      <c r="BG21" s="941"/>
      <c r="BH21" s="941"/>
      <c r="BI21" s="941"/>
      <c r="BJ21" s="941"/>
      <c r="BK21" s="941"/>
      <c r="BL21" s="941"/>
      <c r="BM21" s="941"/>
      <c r="BN21" s="941"/>
      <c r="BO21" s="941"/>
      <c r="BP21" s="941"/>
      <c r="BQ21" s="941"/>
      <c r="BR21" s="941"/>
      <c r="BS21" s="941"/>
      <c r="BT21" s="941"/>
      <c r="BU21" s="941"/>
      <c r="BV21" s="941"/>
      <c r="BW21" s="941"/>
      <c r="BX21" s="941"/>
      <c r="BY21" s="941"/>
      <c r="BZ21" s="941"/>
      <c r="CA21" s="941"/>
      <c r="CB21" s="941"/>
      <c r="CC21" s="941"/>
      <c r="CD21" s="941"/>
      <c r="CE21" s="941"/>
      <c r="CF21" s="941"/>
      <c r="CG21" s="942"/>
      <c r="CH21" s="943">
        <v>10002927</v>
      </c>
      <c r="CI21" s="944"/>
      <c r="CJ21" s="944"/>
      <c r="CK21" s="944"/>
      <c r="CL21" s="944"/>
      <c r="CM21" s="371"/>
      <c r="CN21" s="371"/>
      <c r="CO21" s="372"/>
      <c r="CP21" s="945">
        <v>1</v>
      </c>
      <c r="CQ21" s="945"/>
      <c r="CR21" s="945"/>
      <c r="CS21" s="945"/>
      <c r="CT21" s="945"/>
      <c r="CU21" s="973">
        <v>80</v>
      </c>
      <c r="CV21" s="973"/>
      <c r="CW21" s="973"/>
      <c r="CX21" s="973"/>
      <c r="CY21" s="973"/>
      <c r="CZ21" s="973"/>
      <c r="DA21" s="973"/>
      <c r="DB21" s="973"/>
      <c r="DC21" s="973"/>
      <c r="DD21" s="973"/>
      <c r="DE21" s="947"/>
      <c r="DF21" s="947"/>
      <c r="DG21" s="947"/>
      <c r="DH21" s="947"/>
      <c r="DI21" s="947"/>
      <c r="DJ21" s="947"/>
      <c r="DK21" s="947"/>
      <c r="DL21" s="947"/>
      <c r="DM21" s="947"/>
      <c r="DN21" s="947"/>
      <c r="DO21" s="949">
        <f>BEZ_Lohn_3_Ges_Zeit/60</f>
        <v>0</v>
      </c>
      <c r="DP21" s="949"/>
      <c r="DQ21" s="949"/>
      <c r="DR21" s="949"/>
      <c r="DS21" s="949"/>
      <c r="DT21" s="949"/>
      <c r="DU21" s="949"/>
      <c r="DV21" s="949"/>
      <c r="DW21" s="947"/>
      <c r="DX21" s="947"/>
      <c r="DY21" s="947"/>
      <c r="DZ21" s="947"/>
      <c r="EA21" s="947"/>
      <c r="EB21" s="947"/>
      <c r="EC21" s="947"/>
      <c r="ED21" s="947"/>
      <c r="EE21" s="947"/>
      <c r="EF21" s="947"/>
      <c r="EG21" s="951"/>
      <c r="EH21" s="951"/>
      <c r="EI21" s="951"/>
      <c r="EJ21" s="951"/>
      <c r="EK21" s="951"/>
      <c r="EL21" s="951"/>
      <c r="EM21" s="951"/>
      <c r="EN21" s="951"/>
      <c r="EO21" s="951"/>
      <c r="EP21" s="951"/>
      <c r="EQ21" s="951"/>
      <c r="ER21" s="951"/>
      <c r="ES21" s="951"/>
      <c r="ET21" s="951"/>
      <c r="EU21" s="951"/>
      <c r="EV21" s="951"/>
      <c r="EW21" s="952" t="str">
        <f>IF(BEZ_Lohn_3_Ges_Zeit="","",((BEZ_Lohn_3_Ges_Zeit*((BEZ_Lohn_3_Zuschl_auf_Zeit/100)+1))/BEZ_Lohn_3_Leist_je_Art)*BEZ_Lohn_3_Bedarf_je_Art*BEZ_Lohn_3_MA_Anz)</f>
        <v/>
      </c>
      <c r="EX21" s="952"/>
      <c r="EY21" s="952"/>
      <c r="EZ21" s="952"/>
      <c r="FA21" s="952"/>
      <c r="FB21" s="952"/>
      <c r="FC21" s="952"/>
      <c r="FD21" s="952"/>
      <c r="FE21" s="963" t="str">
        <f>IF(BEZ_Lohn_3_Ges_Min_je_Art="","",(BEZ_Lohn_3_Ges_Min_je_Art / 60)*BEZ_Lohn_3_St_Satz_excl)</f>
        <v/>
      </c>
      <c r="FF21" s="963"/>
      <c r="FG21" s="963"/>
      <c r="FH21" s="963"/>
      <c r="FI21" s="963"/>
      <c r="FJ21" s="963"/>
      <c r="FK21" s="963"/>
      <c r="FL21" s="963"/>
      <c r="FM21" s="963"/>
      <c r="FN21" s="963"/>
      <c r="FO21" s="964" t="str">
        <f>IF(BEZ_Lohn_3_Ges_Min_je_Art="","",(BEZ_Lohn_3_Ges_Min_je_Art / 60)*BEZ_Lohn_3_St_Satz_excl*KI_N)</f>
        <v/>
      </c>
      <c r="FP21" s="965"/>
      <c r="FQ21" s="965"/>
      <c r="FR21" s="965"/>
      <c r="FS21" s="965"/>
      <c r="FT21" s="965"/>
      <c r="FU21" s="965"/>
      <c r="FV21" s="965"/>
      <c r="FW21" s="965"/>
      <c r="FX21" s="966"/>
      <c r="FY21" s="977">
        <f>SUM(FO17:FX72)</f>
        <v>6.5</v>
      </c>
      <c r="FZ21" s="978"/>
      <c r="GA21" s="978"/>
      <c r="GB21" s="978"/>
      <c r="GC21" s="978"/>
      <c r="GD21" s="978"/>
      <c r="GE21" s="978"/>
      <c r="GF21" s="978"/>
      <c r="GG21" s="978"/>
      <c r="GH21" s="978"/>
      <c r="GI21" s="983" t="s">
        <v>251</v>
      </c>
      <c r="GJ21" s="983"/>
      <c r="GK21" s="983"/>
      <c r="GL21" s="983"/>
      <c r="GM21" s="983"/>
      <c r="GN21" s="983"/>
      <c r="GO21" s="983"/>
      <c r="GP21" s="983"/>
      <c r="GQ21" s="983"/>
      <c r="GR21" s="983"/>
      <c r="GS21" s="983"/>
      <c r="GT21" s="984"/>
      <c r="GU21" s="25"/>
      <c r="GV21" s="211"/>
      <c r="GW21" s="211"/>
      <c r="GX21" s="211"/>
      <c r="GY21" s="211"/>
      <c r="GZ21" s="211"/>
      <c r="HA21" s="211"/>
      <c r="HB21" s="211"/>
      <c r="HC21" s="211"/>
      <c r="HD21" s="211"/>
      <c r="HE21" s="211"/>
      <c r="HF21" s="211"/>
      <c r="HG21" s="211"/>
      <c r="HH21" s="211"/>
      <c r="HI21" s="211"/>
      <c r="HS21" s="928"/>
      <c r="HT21" s="929"/>
      <c r="HU21" s="929"/>
      <c r="HV21" s="929"/>
      <c r="HW21" s="929"/>
      <c r="HX21" s="929"/>
      <c r="HY21" s="929"/>
      <c r="HZ21" s="929"/>
      <c r="IA21" s="929"/>
      <c r="IB21" s="929"/>
      <c r="IC21" s="929"/>
      <c r="ID21" s="929"/>
      <c r="IE21" s="929"/>
      <c r="IF21" s="930"/>
      <c r="IQ21" s="934"/>
      <c r="IR21" s="935"/>
      <c r="IS21" s="935"/>
      <c r="IT21" s="935"/>
      <c r="IU21" s="935"/>
      <c r="IV21" s="935"/>
      <c r="IW21" s="935"/>
      <c r="IX21" s="935"/>
      <c r="IY21" s="935"/>
      <c r="IZ21" s="936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12"/>
      <c r="L22" s="937"/>
      <c r="M22" s="937"/>
      <c r="N22" s="938"/>
      <c r="O22" s="217"/>
      <c r="P22" s="939"/>
      <c r="Q22" s="939"/>
      <c r="R22" s="939"/>
      <c r="S22" s="939"/>
      <c r="T22" s="939"/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39"/>
      <c r="AZ22" s="939"/>
      <c r="BA22" s="939"/>
      <c r="BB22" s="939"/>
      <c r="BC22" s="939"/>
      <c r="BD22" s="940"/>
      <c r="BE22" s="941"/>
      <c r="BF22" s="941"/>
      <c r="BG22" s="941"/>
      <c r="BH22" s="941"/>
      <c r="BI22" s="941"/>
      <c r="BJ22" s="941"/>
      <c r="BK22" s="941"/>
      <c r="BL22" s="941"/>
      <c r="BM22" s="941"/>
      <c r="BN22" s="941"/>
      <c r="BO22" s="941"/>
      <c r="BP22" s="941"/>
      <c r="BQ22" s="941"/>
      <c r="BR22" s="941"/>
      <c r="BS22" s="941"/>
      <c r="BT22" s="941"/>
      <c r="BU22" s="941"/>
      <c r="BV22" s="941"/>
      <c r="BW22" s="941"/>
      <c r="BX22" s="941"/>
      <c r="BY22" s="941"/>
      <c r="BZ22" s="941"/>
      <c r="CA22" s="941"/>
      <c r="CB22" s="941"/>
      <c r="CC22" s="941"/>
      <c r="CD22" s="941"/>
      <c r="CE22" s="941"/>
      <c r="CF22" s="941"/>
      <c r="CG22" s="942"/>
      <c r="CH22" s="943"/>
      <c r="CI22" s="944"/>
      <c r="CJ22" s="944"/>
      <c r="CK22" s="944"/>
      <c r="CL22" s="944"/>
      <c r="CM22" s="371"/>
      <c r="CN22" s="371"/>
      <c r="CO22" s="372"/>
      <c r="CP22" s="945"/>
      <c r="CQ22" s="945"/>
      <c r="CR22" s="945"/>
      <c r="CS22" s="945"/>
      <c r="CT22" s="945"/>
      <c r="CU22" s="973"/>
      <c r="CV22" s="973"/>
      <c r="CW22" s="973"/>
      <c r="CX22" s="973"/>
      <c r="CY22" s="973"/>
      <c r="CZ22" s="973"/>
      <c r="DA22" s="973"/>
      <c r="DB22" s="973"/>
      <c r="DC22" s="973"/>
      <c r="DD22" s="973"/>
      <c r="DE22" s="947"/>
      <c r="DF22" s="947"/>
      <c r="DG22" s="947"/>
      <c r="DH22" s="947"/>
      <c r="DI22" s="947"/>
      <c r="DJ22" s="947"/>
      <c r="DK22" s="947"/>
      <c r="DL22" s="947"/>
      <c r="DM22" s="947"/>
      <c r="DN22" s="947"/>
      <c r="DO22" s="949"/>
      <c r="DP22" s="949"/>
      <c r="DQ22" s="949"/>
      <c r="DR22" s="949"/>
      <c r="DS22" s="949"/>
      <c r="DT22" s="949"/>
      <c r="DU22" s="949"/>
      <c r="DV22" s="949"/>
      <c r="DW22" s="947"/>
      <c r="DX22" s="947"/>
      <c r="DY22" s="947"/>
      <c r="DZ22" s="947"/>
      <c r="EA22" s="947"/>
      <c r="EB22" s="947"/>
      <c r="EC22" s="947"/>
      <c r="ED22" s="947"/>
      <c r="EE22" s="947"/>
      <c r="EF22" s="947"/>
      <c r="EG22" s="951"/>
      <c r="EH22" s="951"/>
      <c r="EI22" s="951"/>
      <c r="EJ22" s="951"/>
      <c r="EK22" s="951"/>
      <c r="EL22" s="951"/>
      <c r="EM22" s="951"/>
      <c r="EN22" s="951"/>
      <c r="EO22" s="951"/>
      <c r="EP22" s="951"/>
      <c r="EQ22" s="951"/>
      <c r="ER22" s="951"/>
      <c r="ES22" s="951"/>
      <c r="ET22" s="951"/>
      <c r="EU22" s="951"/>
      <c r="EV22" s="951"/>
      <c r="EW22" s="952"/>
      <c r="EX22" s="952"/>
      <c r="EY22" s="952"/>
      <c r="EZ22" s="952"/>
      <c r="FA22" s="952"/>
      <c r="FB22" s="952"/>
      <c r="FC22" s="952"/>
      <c r="FD22" s="952"/>
      <c r="FE22" s="963"/>
      <c r="FF22" s="963"/>
      <c r="FG22" s="963"/>
      <c r="FH22" s="963"/>
      <c r="FI22" s="963"/>
      <c r="FJ22" s="963"/>
      <c r="FK22" s="963"/>
      <c r="FL22" s="963"/>
      <c r="FM22" s="963"/>
      <c r="FN22" s="963"/>
      <c r="FO22" s="964"/>
      <c r="FP22" s="965"/>
      <c r="FQ22" s="965"/>
      <c r="FR22" s="965"/>
      <c r="FS22" s="965"/>
      <c r="FT22" s="965"/>
      <c r="FU22" s="965"/>
      <c r="FV22" s="965"/>
      <c r="FW22" s="965"/>
      <c r="FX22" s="966"/>
      <c r="FY22" s="977"/>
      <c r="FZ22" s="978"/>
      <c r="GA22" s="978"/>
      <c r="GB22" s="978"/>
      <c r="GC22" s="978"/>
      <c r="GD22" s="978"/>
      <c r="GE22" s="978"/>
      <c r="GF22" s="978"/>
      <c r="GG22" s="978"/>
      <c r="GH22" s="978"/>
      <c r="GI22" s="983"/>
      <c r="GJ22" s="983"/>
      <c r="GK22" s="983"/>
      <c r="GL22" s="983"/>
      <c r="GM22" s="983"/>
      <c r="GN22" s="983"/>
      <c r="GO22" s="983"/>
      <c r="GP22" s="983"/>
      <c r="GQ22" s="983"/>
      <c r="GR22" s="983"/>
      <c r="GS22" s="983"/>
      <c r="GT22" s="984"/>
      <c r="GU22" s="25"/>
      <c r="GV22" s="211"/>
      <c r="GW22" s="211"/>
      <c r="GX22" s="211"/>
      <c r="GY22" s="211"/>
      <c r="GZ22" s="211"/>
      <c r="HA22" s="211"/>
      <c r="HB22" s="211"/>
      <c r="HC22" s="211"/>
      <c r="HD22" s="211"/>
      <c r="HE22" s="211"/>
      <c r="HF22" s="211"/>
      <c r="HG22" s="211"/>
      <c r="HH22" s="211"/>
      <c r="HI22" s="211"/>
      <c r="HS22" s="928"/>
      <c r="HT22" s="929"/>
      <c r="HU22" s="929"/>
      <c r="HV22" s="929"/>
      <c r="HW22" s="929"/>
      <c r="HX22" s="929"/>
      <c r="HY22" s="929"/>
      <c r="HZ22" s="929"/>
      <c r="IA22" s="929"/>
      <c r="IB22" s="929"/>
      <c r="IC22" s="929"/>
      <c r="ID22" s="929"/>
      <c r="IE22" s="929"/>
      <c r="IF22" s="930"/>
      <c r="IQ22" s="934"/>
      <c r="IR22" s="935"/>
      <c r="IS22" s="935"/>
      <c r="IT22" s="935"/>
      <c r="IU22" s="935"/>
      <c r="IV22" s="935"/>
      <c r="IW22" s="935"/>
      <c r="IX22" s="935"/>
      <c r="IY22" s="935"/>
      <c r="IZ22" s="936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12"/>
      <c r="L23" s="937">
        <v>4</v>
      </c>
      <c r="M23" s="937"/>
      <c r="N23" s="938"/>
      <c r="O23" s="217"/>
      <c r="P23" s="939" t="s">
        <v>488</v>
      </c>
      <c r="Q23" s="939"/>
      <c r="R23" s="939"/>
      <c r="S23" s="939"/>
      <c r="T23" s="939"/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39"/>
      <c r="AZ23" s="939"/>
      <c r="BA23" s="939"/>
      <c r="BB23" s="939"/>
      <c r="BC23" s="939"/>
      <c r="BD23" s="940" t="s">
        <v>489</v>
      </c>
      <c r="BE23" s="941"/>
      <c r="BF23" s="941"/>
      <c r="BG23" s="941"/>
      <c r="BH23" s="941"/>
      <c r="BI23" s="941"/>
      <c r="BJ23" s="941"/>
      <c r="BK23" s="941"/>
      <c r="BL23" s="941"/>
      <c r="BM23" s="941"/>
      <c r="BN23" s="941"/>
      <c r="BO23" s="941"/>
      <c r="BP23" s="941"/>
      <c r="BQ23" s="941"/>
      <c r="BR23" s="941"/>
      <c r="BS23" s="941"/>
      <c r="BT23" s="941"/>
      <c r="BU23" s="941"/>
      <c r="BV23" s="941"/>
      <c r="BW23" s="941"/>
      <c r="BX23" s="941"/>
      <c r="BY23" s="941"/>
      <c r="BZ23" s="941"/>
      <c r="CA23" s="941"/>
      <c r="CB23" s="941"/>
      <c r="CC23" s="941"/>
      <c r="CD23" s="941"/>
      <c r="CE23" s="941"/>
      <c r="CF23" s="941"/>
      <c r="CG23" s="942"/>
      <c r="CH23" s="943">
        <v>10002924</v>
      </c>
      <c r="CI23" s="944"/>
      <c r="CJ23" s="944"/>
      <c r="CK23" s="944"/>
      <c r="CL23" s="944"/>
      <c r="CM23" s="371"/>
      <c r="CN23" s="371"/>
      <c r="CO23" s="372"/>
      <c r="CP23" s="945">
        <v>1</v>
      </c>
      <c r="CQ23" s="945"/>
      <c r="CR23" s="945"/>
      <c r="CS23" s="945"/>
      <c r="CT23" s="945"/>
      <c r="CU23" s="973">
        <v>70</v>
      </c>
      <c r="CV23" s="973"/>
      <c r="CW23" s="973"/>
      <c r="CX23" s="973"/>
      <c r="CY23" s="973"/>
      <c r="CZ23" s="973"/>
      <c r="DA23" s="973"/>
      <c r="DB23" s="973"/>
      <c r="DC23" s="973"/>
      <c r="DD23" s="973"/>
      <c r="DE23" s="947"/>
      <c r="DF23" s="947"/>
      <c r="DG23" s="947"/>
      <c r="DH23" s="947"/>
      <c r="DI23" s="947"/>
      <c r="DJ23" s="947"/>
      <c r="DK23" s="947"/>
      <c r="DL23" s="947"/>
      <c r="DM23" s="947"/>
      <c r="DN23" s="947"/>
      <c r="DO23" s="949">
        <f>BEZ_Lohn_4_Ges_Zeit/60</f>
        <v>0</v>
      </c>
      <c r="DP23" s="949"/>
      <c r="DQ23" s="949"/>
      <c r="DR23" s="949"/>
      <c r="DS23" s="949"/>
      <c r="DT23" s="949"/>
      <c r="DU23" s="949"/>
      <c r="DV23" s="949"/>
      <c r="DW23" s="947"/>
      <c r="DX23" s="947"/>
      <c r="DY23" s="947"/>
      <c r="DZ23" s="947"/>
      <c r="EA23" s="947"/>
      <c r="EB23" s="947"/>
      <c r="EC23" s="947"/>
      <c r="ED23" s="947"/>
      <c r="EE23" s="947"/>
      <c r="EF23" s="947"/>
      <c r="EG23" s="951"/>
      <c r="EH23" s="951"/>
      <c r="EI23" s="951"/>
      <c r="EJ23" s="951"/>
      <c r="EK23" s="951"/>
      <c r="EL23" s="951"/>
      <c r="EM23" s="951"/>
      <c r="EN23" s="951"/>
      <c r="EO23" s="951"/>
      <c r="EP23" s="951"/>
      <c r="EQ23" s="951"/>
      <c r="ER23" s="951"/>
      <c r="ES23" s="951"/>
      <c r="ET23" s="951"/>
      <c r="EU23" s="951"/>
      <c r="EV23" s="951"/>
      <c r="EW23" s="952" t="str">
        <f>IF(BEZ_Lohn_4_Ges_Zeit="","",((BEZ_Lohn_4_Ges_Zeit*((BEZ_Lohn_4_Zuschl_auf_Zeit/100)+1))/BEZ_Lohn_4_Leist_je_Art)*BEZ_Lohn_4_Bedarf_je_Art*BEZ_Lohn_4_MA_Anz)</f>
        <v/>
      </c>
      <c r="EX23" s="952"/>
      <c r="EY23" s="952"/>
      <c r="EZ23" s="952"/>
      <c r="FA23" s="952"/>
      <c r="FB23" s="952"/>
      <c r="FC23" s="952"/>
      <c r="FD23" s="952"/>
      <c r="FE23" s="963" t="str">
        <f>IF(BEZ_Lohn_4_Ges_Min_je_Art="","",(BEZ_Lohn_4_Ges_Min_je_Art / 60)*BEZ_Lohn_4_St_Satz_excl)</f>
        <v/>
      </c>
      <c r="FF23" s="963"/>
      <c r="FG23" s="963"/>
      <c r="FH23" s="963"/>
      <c r="FI23" s="963"/>
      <c r="FJ23" s="963"/>
      <c r="FK23" s="963"/>
      <c r="FL23" s="963"/>
      <c r="FM23" s="963"/>
      <c r="FN23" s="963"/>
      <c r="FO23" s="964" t="str">
        <f>IF(BEZ_Lohn_4_Ges_Min_je_Art="","",(BEZ_Lohn_4_Ges_Min_je_Art / 60)*BEZ_Lohn_4_St_Satz_excl*KI_N)</f>
        <v/>
      </c>
      <c r="FP23" s="965"/>
      <c r="FQ23" s="965"/>
      <c r="FR23" s="965"/>
      <c r="FS23" s="965"/>
      <c r="FT23" s="965"/>
      <c r="FU23" s="965"/>
      <c r="FV23" s="965"/>
      <c r="FW23" s="965"/>
      <c r="FX23" s="966"/>
      <c r="FY23" s="974"/>
      <c r="FZ23" s="975"/>
      <c r="GA23" s="975"/>
      <c r="GB23" s="975"/>
      <c r="GC23" s="975"/>
      <c r="GD23" s="975"/>
      <c r="GE23" s="975"/>
      <c r="GF23" s="975"/>
      <c r="GG23" s="975"/>
      <c r="GH23" s="975"/>
      <c r="GI23" s="975"/>
      <c r="GJ23" s="975"/>
      <c r="GK23" s="975"/>
      <c r="GL23" s="975"/>
      <c r="GM23" s="975"/>
      <c r="GN23" s="975"/>
      <c r="GO23" s="975"/>
      <c r="GP23" s="975"/>
      <c r="GQ23" s="975"/>
      <c r="GR23" s="975"/>
      <c r="GS23" s="975"/>
      <c r="GT23" s="976"/>
      <c r="GU23" s="25"/>
      <c r="GV23" s="211"/>
      <c r="GW23" s="211"/>
      <c r="GX23" s="211"/>
      <c r="GY23" s="211"/>
      <c r="GZ23" s="211"/>
      <c r="HA23" s="211"/>
      <c r="HB23" s="211"/>
      <c r="HC23" s="211"/>
      <c r="HD23" s="211"/>
      <c r="HE23" s="211"/>
      <c r="HF23" s="211"/>
      <c r="HG23" s="211"/>
      <c r="HH23" s="211"/>
      <c r="HI23" s="211"/>
      <c r="HS23" s="928"/>
      <c r="HT23" s="929"/>
      <c r="HU23" s="929"/>
      <c r="HV23" s="929"/>
      <c r="HW23" s="929"/>
      <c r="HX23" s="929"/>
      <c r="HY23" s="929"/>
      <c r="HZ23" s="929"/>
      <c r="IA23" s="929"/>
      <c r="IB23" s="929"/>
      <c r="IC23" s="929"/>
      <c r="ID23" s="929"/>
      <c r="IE23" s="929"/>
      <c r="IF23" s="930"/>
      <c r="IQ23" s="934"/>
      <c r="IR23" s="935"/>
      <c r="IS23" s="935"/>
      <c r="IT23" s="935"/>
      <c r="IU23" s="935"/>
      <c r="IV23" s="935"/>
      <c r="IW23" s="935"/>
      <c r="IX23" s="935"/>
      <c r="IY23" s="935"/>
      <c r="IZ23" s="936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12"/>
      <c r="L24" s="937"/>
      <c r="M24" s="937"/>
      <c r="N24" s="938"/>
      <c r="O24" s="217"/>
      <c r="P24" s="939"/>
      <c r="Q24" s="939"/>
      <c r="R24" s="939"/>
      <c r="S24" s="939"/>
      <c r="T24" s="939"/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39"/>
      <c r="AZ24" s="939"/>
      <c r="BA24" s="939"/>
      <c r="BB24" s="939"/>
      <c r="BC24" s="939"/>
      <c r="BD24" s="940"/>
      <c r="BE24" s="941"/>
      <c r="BF24" s="941"/>
      <c r="BG24" s="941"/>
      <c r="BH24" s="941"/>
      <c r="BI24" s="941"/>
      <c r="BJ24" s="941"/>
      <c r="BK24" s="941"/>
      <c r="BL24" s="941"/>
      <c r="BM24" s="941"/>
      <c r="BN24" s="941"/>
      <c r="BO24" s="941"/>
      <c r="BP24" s="941"/>
      <c r="BQ24" s="941"/>
      <c r="BR24" s="941"/>
      <c r="BS24" s="941"/>
      <c r="BT24" s="941"/>
      <c r="BU24" s="941"/>
      <c r="BV24" s="941"/>
      <c r="BW24" s="941"/>
      <c r="BX24" s="941"/>
      <c r="BY24" s="941"/>
      <c r="BZ24" s="941"/>
      <c r="CA24" s="941"/>
      <c r="CB24" s="941"/>
      <c r="CC24" s="941"/>
      <c r="CD24" s="941"/>
      <c r="CE24" s="941"/>
      <c r="CF24" s="941"/>
      <c r="CG24" s="942"/>
      <c r="CH24" s="943"/>
      <c r="CI24" s="944"/>
      <c r="CJ24" s="944"/>
      <c r="CK24" s="944"/>
      <c r="CL24" s="944"/>
      <c r="CM24" s="371"/>
      <c r="CN24" s="371"/>
      <c r="CO24" s="372"/>
      <c r="CP24" s="945"/>
      <c r="CQ24" s="945"/>
      <c r="CR24" s="945"/>
      <c r="CS24" s="945"/>
      <c r="CT24" s="945"/>
      <c r="CU24" s="973"/>
      <c r="CV24" s="973"/>
      <c r="CW24" s="973"/>
      <c r="CX24" s="973"/>
      <c r="CY24" s="973"/>
      <c r="CZ24" s="973"/>
      <c r="DA24" s="973"/>
      <c r="DB24" s="973"/>
      <c r="DC24" s="973"/>
      <c r="DD24" s="973"/>
      <c r="DE24" s="947"/>
      <c r="DF24" s="947"/>
      <c r="DG24" s="947"/>
      <c r="DH24" s="947"/>
      <c r="DI24" s="947"/>
      <c r="DJ24" s="947"/>
      <c r="DK24" s="947"/>
      <c r="DL24" s="947"/>
      <c r="DM24" s="947"/>
      <c r="DN24" s="947"/>
      <c r="DO24" s="949"/>
      <c r="DP24" s="949"/>
      <c r="DQ24" s="949"/>
      <c r="DR24" s="949"/>
      <c r="DS24" s="949"/>
      <c r="DT24" s="949"/>
      <c r="DU24" s="949"/>
      <c r="DV24" s="949"/>
      <c r="DW24" s="947"/>
      <c r="DX24" s="947"/>
      <c r="DY24" s="947"/>
      <c r="DZ24" s="947"/>
      <c r="EA24" s="947"/>
      <c r="EB24" s="947"/>
      <c r="EC24" s="947"/>
      <c r="ED24" s="947"/>
      <c r="EE24" s="947"/>
      <c r="EF24" s="947"/>
      <c r="EG24" s="951"/>
      <c r="EH24" s="951"/>
      <c r="EI24" s="951"/>
      <c r="EJ24" s="951"/>
      <c r="EK24" s="951"/>
      <c r="EL24" s="951"/>
      <c r="EM24" s="951"/>
      <c r="EN24" s="951"/>
      <c r="EO24" s="951"/>
      <c r="EP24" s="951"/>
      <c r="EQ24" s="951"/>
      <c r="ER24" s="951"/>
      <c r="ES24" s="951"/>
      <c r="ET24" s="951"/>
      <c r="EU24" s="951"/>
      <c r="EV24" s="951"/>
      <c r="EW24" s="952"/>
      <c r="EX24" s="952"/>
      <c r="EY24" s="952"/>
      <c r="EZ24" s="952"/>
      <c r="FA24" s="952"/>
      <c r="FB24" s="952"/>
      <c r="FC24" s="952"/>
      <c r="FD24" s="952"/>
      <c r="FE24" s="963"/>
      <c r="FF24" s="963"/>
      <c r="FG24" s="963"/>
      <c r="FH24" s="963"/>
      <c r="FI24" s="963"/>
      <c r="FJ24" s="963"/>
      <c r="FK24" s="963"/>
      <c r="FL24" s="963"/>
      <c r="FM24" s="963"/>
      <c r="FN24" s="963"/>
      <c r="FO24" s="964"/>
      <c r="FP24" s="965"/>
      <c r="FQ24" s="965"/>
      <c r="FR24" s="965"/>
      <c r="FS24" s="965"/>
      <c r="FT24" s="965"/>
      <c r="FU24" s="965"/>
      <c r="FV24" s="965"/>
      <c r="FW24" s="965"/>
      <c r="FX24" s="966"/>
      <c r="FY24" s="974"/>
      <c r="FZ24" s="975"/>
      <c r="GA24" s="975"/>
      <c r="GB24" s="975"/>
      <c r="GC24" s="975"/>
      <c r="GD24" s="975"/>
      <c r="GE24" s="975"/>
      <c r="GF24" s="975"/>
      <c r="GG24" s="975"/>
      <c r="GH24" s="975"/>
      <c r="GI24" s="975"/>
      <c r="GJ24" s="975"/>
      <c r="GK24" s="975"/>
      <c r="GL24" s="975"/>
      <c r="GM24" s="975"/>
      <c r="GN24" s="975"/>
      <c r="GO24" s="975"/>
      <c r="GP24" s="975"/>
      <c r="GQ24" s="975"/>
      <c r="GR24" s="975"/>
      <c r="GS24" s="975"/>
      <c r="GT24" s="976"/>
      <c r="GU24" s="25"/>
      <c r="GV24" s="211"/>
      <c r="GW24" s="211"/>
      <c r="GX24" s="211"/>
      <c r="GY24" s="211"/>
      <c r="GZ24" s="211"/>
      <c r="HA24" s="211"/>
      <c r="HB24" s="211"/>
      <c r="HC24" s="211"/>
      <c r="HD24" s="211"/>
      <c r="HE24" s="211"/>
      <c r="HF24" s="211"/>
      <c r="HG24" s="211"/>
      <c r="HH24" s="211"/>
      <c r="HI24" s="211"/>
      <c r="HS24" s="928"/>
      <c r="HT24" s="929"/>
      <c r="HU24" s="929"/>
      <c r="HV24" s="929"/>
      <c r="HW24" s="929"/>
      <c r="HX24" s="929"/>
      <c r="HY24" s="929"/>
      <c r="HZ24" s="929"/>
      <c r="IA24" s="929"/>
      <c r="IB24" s="929"/>
      <c r="IC24" s="929"/>
      <c r="ID24" s="929"/>
      <c r="IE24" s="929"/>
      <c r="IF24" s="930"/>
      <c r="IQ24" s="934"/>
      <c r="IR24" s="935"/>
      <c r="IS24" s="935"/>
      <c r="IT24" s="935"/>
      <c r="IU24" s="935"/>
      <c r="IV24" s="935"/>
      <c r="IW24" s="935"/>
      <c r="IX24" s="935"/>
      <c r="IY24" s="935"/>
      <c r="IZ24" s="936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12"/>
      <c r="L25" s="937">
        <v>5</v>
      </c>
      <c r="M25" s="937"/>
      <c r="N25" s="938"/>
      <c r="O25" s="217"/>
      <c r="P25" s="939" t="s">
        <v>490</v>
      </c>
      <c r="Q25" s="939"/>
      <c r="R25" s="939"/>
      <c r="S25" s="939"/>
      <c r="T25" s="939"/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39"/>
      <c r="AZ25" s="939"/>
      <c r="BA25" s="939"/>
      <c r="BB25" s="939"/>
      <c r="BC25" s="939"/>
      <c r="BD25" s="940" t="s">
        <v>489</v>
      </c>
      <c r="BE25" s="941"/>
      <c r="BF25" s="941"/>
      <c r="BG25" s="941"/>
      <c r="BH25" s="941"/>
      <c r="BI25" s="941"/>
      <c r="BJ25" s="941"/>
      <c r="BK25" s="941"/>
      <c r="BL25" s="941"/>
      <c r="BM25" s="941"/>
      <c r="BN25" s="941"/>
      <c r="BO25" s="941"/>
      <c r="BP25" s="941"/>
      <c r="BQ25" s="941"/>
      <c r="BR25" s="941"/>
      <c r="BS25" s="941"/>
      <c r="BT25" s="941"/>
      <c r="BU25" s="941"/>
      <c r="BV25" s="941"/>
      <c r="BW25" s="941"/>
      <c r="BX25" s="941"/>
      <c r="BY25" s="941"/>
      <c r="BZ25" s="941"/>
      <c r="CA25" s="941"/>
      <c r="CB25" s="941"/>
      <c r="CC25" s="941"/>
      <c r="CD25" s="941"/>
      <c r="CE25" s="941"/>
      <c r="CF25" s="941"/>
      <c r="CG25" s="942"/>
      <c r="CH25" s="943">
        <v>10002925</v>
      </c>
      <c r="CI25" s="944"/>
      <c r="CJ25" s="944"/>
      <c r="CK25" s="944"/>
      <c r="CL25" s="944"/>
      <c r="CM25" s="371"/>
      <c r="CN25" s="371"/>
      <c r="CO25" s="372"/>
      <c r="CP25" s="945">
        <v>1</v>
      </c>
      <c r="CQ25" s="945"/>
      <c r="CR25" s="945"/>
      <c r="CS25" s="945"/>
      <c r="CT25" s="945"/>
      <c r="CU25" s="973">
        <v>55</v>
      </c>
      <c r="CV25" s="973"/>
      <c r="CW25" s="973"/>
      <c r="CX25" s="973"/>
      <c r="CY25" s="973"/>
      <c r="CZ25" s="973"/>
      <c r="DA25" s="973"/>
      <c r="DB25" s="973"/>
      <c r="DC25" s="973"/>
      <c r="DD25" s="973"/>
      <c r="DE25" s="947"/>
      <c r="DF25" s="947"/>
      <c r="DG25" s="947"/>
      <c r="DH25" s="947"/>
      <c r="DI25" s="947"/>
      <c r="DJ25" s="947"/>
      <c r="DK25" s="947"/>
      <c r="DL25" s="947"/>
      <c r="DM25" s="947"/>
      <c r="DN25" s="947"/>
      <c r="DO25" s="949">
        <f>BEZ_Lohn_5_Ges_Zeit/60</f>
        <v>0</v>
      </c>
      <c r="DP25" s="949"/>
      <c r="DQ25" s="949"/>
      <c r="DR25" s="949"/>
      <c r="DS25" s="949"/>
      <c r="DT25" s="949"/>
      <c r="DU25" s="949"/>
      <c r="DV25" s="949"/>
      <c r="DW25" s="947"/>
      <c r="DX25" s="947"/>
      <c r="DY25" s="947"/>
      <c r="DZ25" s="947"/>
      <c r="EA25" s="947"/>
      <c r="EB25" s="947"/>
      <c r="EC25" s="947"/>
      <c r="ED25" s="947"/>
      <c r="EE25" s="947"/>
      <c r="EF25" s="947"/>
      <c r="EG25" s="951"/>
      <c r="EH25" s="951"/>
      <c r="EI25" s="951"/>
      <c r="EJ25" s="951"/>
      <c r="EK25" s="951"/>
      <c r="EL25" s="951"/>
      <c r="EM25" s="951"/>
      <c r="EN25" s="951"/>
      <c r="EO25" s="951"/>
      <c r="EP25" s="951"/>
      <c r="EQ25" s="951"/>
      <c r="ER25" s="951"/>
      <c r="ES25" s="951"/>
      <c r="ET25" s="951"/>
      <c r="EU25" s="951"/>
      <c r="EV25" s="951"/>
      <c r="EW25" s="952" t="str">
        <f>IF(BEZ_Lohn_5_Ges_Zeit="","",((BEZ_Lohn_5_Ges_Zeit*((BEZ_Lohn_5_Zuschl_auf_Zeit/100)+1))/BEZ_Lohn_5_Leist_je_Art)*BEZ_Lohn_5_Bedarf_je_Art*BEZ_Lohn_5_MA_Anz)</f>
        <v/>
      </c>
      <c r="EX25" s="952"/>
      <c r="EY25" s="952"/>
      <c r="EZ25" s="952"/>
      <c r="FA25" s="952"/>
      <c r="FB25" s="952"/>
      <c r="FC25" s="952"/>
      <c r="FD25" s="952"/>
      <c r="FE25" s="963" t="str">
        <f>IF(BEZ_Lohn_5_Ges_Min_je_Art="","",(BEZ_Lohn_5_Ges_Min_je_Art / 60)*BEZ_Lohn_5_St_Satz_excl)</f>
        <v/>
      </c>
      <c r="FF25" s="963"/>
      <c r="FG25" s="963"/>
      <c r="FH25" s="963"/>
      <c r="FI25" s="963"/>
      <c r="FJ25" s="963"/>
      <c r="FK25" s="963"/>
      <c r="FL25" s="963"/>
      <c r="FM25" s="963"/>
      <c r="FN25" s="963"/>
      <c r="FO25" s="964" t="str">
        <f>IF(BEZ_Lohn_5_Ges_Min_je_Art="","",(BEZ_Lohn_5_Ges_Min_je_Art / 60)*BEZ_Lohn_5_St_Satz_excl*KI_N)</f>
        <v/>
      </c>
      <c r="FP25" s="965"/>
      <c r="FQ25" s="965"/>
      <c r="FR25" s="965"/>
      <c r="FS25" s="965"/>
      <c r="FT25" s="965"/>
      <c r="FU25" s="965"/>
      <c r="FV25" s="965"/>
      <c r="FW25" s="965"/>
      <c r="FX25" s="966"/>
      <c r="FY25" s="985" t="s">
        <v>276</v>
      </c>
      <c r="FZ25" s="986"/>
      <c r="GA25" s="986"/>
      <c r="GB25" s="986"/>
      <c r="GC25" s="986"/>
      <c r="GD25" s="986"/>
      <c r="GE25" s="986"/>
      <c r="GF25" s="986"/>
      <c r="GG25" s="986"/>
      <c r="GH25" s="986"/>
      <c r="GI25" s="986"/>
      <c r="GJ25" s="986"/>
      <c r="GK25" s="986"/>
      <c r="GL25" s="986"/>
      <c r="GM25" s="986"/>
      <c r="GN25" s="986"/>
      <c r="GO25" s="986"/>
      <c r="GP25" s="986"/>
      <c r="GQ25" s="986"/>
      <c r="GR25" s="986"/>
      <c r="GS25" s="986"/>
      <c r="GT25" s="987"/>
      <c r="GU25" s="25"/>
      <c r="GV25" s="211"/>
      <c r="GW25" s="211"/>
      <c r="GX25" s="211"/>
      <c r="GY25" s="211"/>
      <c r="GZ25" s="211"/>
      <c r="HA25" s="211"/>
      <c r="HB25" s="211"/>
      <c r="HC25" s="211"/>
      <c r="HD25" s="211"/>
      <c r="HE25" s="211"/>
      <c r="HF25" s="211"/>
      <c r="HG25" s="211"/>
      <c r="HH25" s="211"/>
      <c r="HI25" s="211"/>
      <c r="HS25" s="928"/>
      <c r="HT25" s="929"/>
      <c r="HU25" s="929"/>
      <c r="HV25" s="929"/>
      <c r="HW25" s="929"/>
      <c r="HX25" s="929"/>
      <c r="HY25" s="929"/>
      <c r="HZ25" s="929"/>
      <c r="IA25" s="929"/>
      <c r="IB25" s="929"/>
      <c r="IC25" s="929"/>
      <c r="ID25" s="929"/>
      <c r="IE25" s="929"/>
      <c r="IF25" s="930"/>
      <c r="IQ25" s="934"/>
      <c r="IR25" s="935"/>
      <c r="IS25" s="935"/>
      <c r="IT25" s="935"/>
      <c r="IU25" s="935"/>
      <c r="IV25" s="935"/>
      <c r="IW25" s="935"/>
      <c r="IX25" s="935"/>
      <c r="IY25" s="935"/>
      <c r="IZ25" s="936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12"/>
      <c r="L26" s="937"/>
      <c r="M26" s="937"/>
      <c r="N26" s="938"/>
      <c r="O26" s="217"/>
      <c r="P26" s="939"/>
      <c r="Q26" s="939"/>
      <c r="R26" s="939"/>
      <c r="S26" s="939"/>
      <c r="T26" s="939"/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39"/>
      <c r="AZ26" s="939"/>
      <c r="BA26" s="939"/>
      <c r="BB26" s="939"/>
      <c r="BC26" s="939"/>
      <c r="BD26" s="940"/>
      <c r="BE26" s="941"/>
      <c r="BF26" s="941"/>
      <c r="BG26" s="941"/>
      <c r="BH26" s="941"/>
      <c r="BI26" s="941"/>
      <c r="BJ26" s="941"/>
      <c r="BK26" s="941"/>
      <c r="BL26" s="941"/>
      <c r="BM26" s="941"/>
      <c r="BN26" s="941"/>
      <c r="BO26" s="941"/>
      <c r="BP26" s="941"/>
      <c r="BQ26" s="941"/>
      <c r="BR26" s="941"/>
      <c r="BS26" s="941"/>
      <c r="BT26" s="941"/>
      <c r="BU26" s="941"/>
      <c r="BV26" s="941"/>
      <c r="BW26" s="941"/>
      <c r="BX26" s="941"/>
      <c r="BY26" s="941"/>
      <c r="BZ26" s="941"/>
      <c r="CA26" s="941"/>
      <c r="CB26" s="941"/>
      <c r="CC26" s="941"/>
      <c r="CD26" s="941"/>
      <c r="CE26" s="941"/>
      <c r="CF26" s="941"/>
      <c r="CG26" s="942"/>
      <c r="CH26" s="943"/>
      <c r="CI26" s="944"/>
      <c r="CJ26" s="944"/>
      <c r="CK26" s="944"/>
      <c r="CL26" s="944"/>
      <c r="CM26" s="371"/>
      <c r="CN26" s="371"/>
      <c r="CO26" s="372"/>
      <c r="CP26" s="945"/>
      <c r="CQ26" s="945"/>
      <c r="CR26" s="945"/>
      <c r="CS26" s="945"/>
      <c r="CT26" s="945"/>
      <c r="CU26" s="973"/>
      <c r="CV26" s="973"/>
      <c r="CW26" s="973"/>
      <c r="CX26" s="973"/>
      <c r="CY26" s="973"/>
      <c r="CZ26" s="973"/>
      <c r="DA26" s="973"/>
      <c r="DB26" s="973"/>
      <c r="DC26" s="973"/>
      <c r="DD26" s="973"/>
      <c r="DE26" s="947"/>
      <c r="DF26" s="947"/>
      <c r="DG26" s="947"/>
      <c r="DH26" s="947"/>
      <c r="DI26" s="947"/>
      <c r="DJ26" s="947"/>
      <c r="DK26" s="947"/>
      <c r="DL26" s="947"/>
      <c r="DM26" s="947"/>
      <c r="DN26" s="947"/>
      <c r="DO26" s="949"/>
      <c r="DP26" s="949"/>
      <c r="DQ26" s="949"/>
      <c r="DR26" s="949"/>
      <c r="DS26" s="949"/>
      <c r="DT26" s="949"/>
      <c r="DU26" s="949"/>
      <c r="DV26" s="949"/>
      <c r="DW26" s="947"/>
      <c r="DX26" s="947"/>
      <c r="DY26" s="947"/>
      <c r="DZ26" s="947"/>
      <c r="EA26" s="947"/>
      <c r="EB26" s="947"/>
      <c r="EC26" s="947"/>
      <c r="ED26" s="947"/>
      <c r="EE26" s="947"/>
      <c r="EF26" s="947"/>
      <c r="EG26" s="951"/>
      <c r="EH26" s="951"/>
      <c r="EI26" s="951"/>
      <c r="EJ26" s="951"/>
      <c r="EK26" s="951"/>
      <c r="EL26" s="951"/>
      <c r="EM26" s="951"/>
      <c r="EN26" s="951"/>
      <c r="EO26" s="951"/>
      <c r="EP26" s="951"/>
      <c r="EQ26" s="951"/>
      <c r="ER26" s="951"/>
      <c r="ES26" s="951"/>
      <c r="ET26" s="951"/>
      <c r="EU26" s="951"/>
      <c r="EV26" s="951"/>
      <c r="EW26" s="952"/>
      <c r="EX26" s="952"/>
      <c r="EY26" s="952"/>
      <c r="EZ26" s="952"/>
      <c r="FA26" s="952"/>
      <c r="FB26" s="952"/>
      <c r="FC26" s="952"/>
      <c r="FD26" s="952"/>
      <c r="FE26" s="963"/>
      <c r="FF26" s="963"/>
      <c r="FG26" s="963"/>
      <c r="FH26" s="963"/>
      <c r="FI26" s="963"/>
      <c r="FJ26" s="963"/>
      <c r="FK26" s="963"/>
      <c r="FL26" s="963"/>
      <c r="FM26" s="963"/>
      <c r="FN26" s="963"/>
      <c r="FO26" s="964"/>
      <c r="FP26" s="965"/>
      <c r="FQ26" s="965"/>
      <c r="FR26" s="965"/>
      <c r="FS26" s="965"/>
      <c r="FT26" s="965"/>
      <c r="FU26" s="965"/>
      <c r="FV26" s="965"/>
      <c r="FW26" s="965"/>
      <c r="FX26" s="966"/>
      <c r="FY26" s="985"/>
      <c r="FZ26" s="986"/>
      <c r="GA26" s="986"/>
      <c r="GB26" s="986"/>
      <c r="GC26" s="986"/>
      <c r="GD26" s="986"/>
      <c r="GE26" s="986"/>
      <c r="GF26" s="986"/>
      <c r="GG26" s="986"/>
      <c r="GH26" s="986"/>
      <c r="GI26" s="986"/>
      <c r="GJ26" s="986"/>
      <c r="GK26" s="986"/>
      <c r="GL26" s="986"/>
      <c r="GM26" s="986"/>
      <c r="GN26" s="986"/>
      <c r="GO26" s="986"/>
      <c r="GP26" s="986"/>
      <c r="GQ26" s="986"/>
      <c r="GR26" s="986"/>
      <c r="GS26" s="986"/>
      <c r="GT26" s="987"/>
      <c r="GU26" s="25"/>
      <c r="GV26" s="211"/>
      <c r="GW26" s="211"/>
      <c r="GX26" s="211"/>
      <c r="GY26" s="211"/>
      <c r="GZ26" s="211"/>
      <c r="HA26" s="211"/>
      <c r="HB26" s="211"/>
      <c r="HC26" s="211"/>
      <c r="HD26" s="211"/>
      <c r="HE26" s="211"/>
      <c r="HF26" s="211"/>
      <c r="HG26" s="211"/>
      <c r="HH26" s="211"/>
      <c r="HI26" s="211"/>
      <c r="HS26" s="928"/>
      <c r="HT26" s="929"/>
      <c r="HU26" s="929"/>
      <c r="HV26" s="929"/>
      <c r="HW26" s="929"/>
      <c r="HX26" s="929"/>
      <c r="HY26" s="929"/>
      <c r="HZ26" s="929"/>
      <c r="IA26" s="929"/>
      <c r="IB26" s="929"/>
      <c r="IC26" s="929"/>
      <c r="ID26" s="929"/>
      <c r="IE26" s="929"/>
      <c r="IF26" s="930"/>
      <c r="IQ26" s="934"/>
      <c r="IR26" s="935"/>
      <c r="IS26" s="935"/>
      <c r="IT26" s="935"/>
      <c r="IU26" s="935"/>
      <c r="IV26" s="935"/>
      <c r="IW26" s="935"/>
      <c r="IX26" s="935"/>
      <c r="IY26" s="935"/>
      <c r="IZ26" s="936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12"/>
      <c r="L27" s="937">
        <v>6</v>
      </c>
      <c r="M27" s="937"/>
      <c r="N27" s="938"/>
      <c r="O27" s="217"/>
      <c r="P27" s="939"/>
      <c r="Q27" s="939"/>
      <c r="R27" s="939"/>
      <c r="S27" s="939"/>
      <c r="T27" s="939"/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39"/>
      <c r="AZ27" s="939"/>
      <c r="BA27" s="939"/>
      <c r="BB27" s="939"/>
      <c r="BC27" s="939"/>
      <c r="BD27" s="940"/>
      <c r="BE27" s="941"/>
      <c r="BF27" s="941"/>
      <c r="BG27" s="941"/>
      <c r="BH27" s="941"/>
      <c r="BI27" s="941"/>
      <c r="BJ27" s="941"/>
      <c r="BK27" s="941"/>
      <c r="BL27" s="941"/>
      <c r="BM27" s="941"/>
      <c r="BN27" s="941"/>
      <c r="BO27" s="941"/>
      <c r="BP27" s="941"/>
      <c r="BQ27" s="941"/>
      <c r="BR27" s="941"/>
      <c r="BS27" s="941"/>
      <c r="BT27" s="941"/>
      <c r="BU27" s="941"/>
      <c r="BV27" s="941"/>
      <c r="BW27" s="941"/>
      <c r="BX27" s="941"/>
      <c r="BY27" s="941"/>
      <c r="BZ27" s="941"/>
      <c r="CA27" s="941"/>
      <c r="CB27" s="941"/>
      <c r="CC27" s="941"/>
      <c r="CD27" s="941"/>
      <c r="CE27" s="941"/>
      <c r="CF27" s="941"/>
      <c r="CG27" s="942"/>
      <c r="CH27" s="943"/>
      <c r="CI27" s="944"/>
      <c r="CJ27" s="944"/>
      <c r="CK27" s="944"/>
      <c r="CL27" s="944"/>
      <c r="CM27" s="371"/>
      <c r="CN27" s="371"/>
      <c r="CO27" s="372"/>
      <c r="CP27" s="945"/>
      <c r="CQ27" s="945"/>
      <c r="CR27" s="945"/>
      <c r="CS27" s="945"/>
      <c r="CT27" s="945"/>
      <c r="CU27" s="973"/>
      <c r="CV27" s="973"/>
      <c r="CW27" s="973"/>
      <c r="CX27" s="973"/>
      <c r="CY27" s="973"/>
      <c r="CZ27" s="973"/>
      <c r="DA27" s="973"/>
      <c r="DB27" s="973"/>
      <c r="DC27" s="973"/>
      <c r="DD27" s="973"/>
      <c r="DE27" s="947"/>
      <c r="DF27" s="947"/>
      <c r="DG27" s="947"/>
      <c r="DH27" s="947"/>
      <c r="DI27" s="947"/>
      <c r="DJ27" s="947"/>
      <c r="DK27" s="947"/>
      <c r="DL27" s="947"/>
      <c r="DM27" s="947"/>
      <c r="DN27" s="947"/>
      <c r="DO27" s="949">
        <f>BEZ_Lohn_6_Ges_Zeit/60</f>
        <v>0</v>
      </c>
      <c r="DP27" s="949"/>
      <c r="DQ27" s="949"/>
      <c r="DR27" s="949"/>
      <c r="DS27" s="949"/>
      <c r="DT27" s="949"/>
      <c r="DU27" s="949"/>
      <c r="DV27" s="949"/>
      <c r="DW27" s="947"/>
      <c r="DX27" s="947"/>
      <c r="DY27" s="947"/>
      <c r="DZ27" s="947"/>
      <c r="EA27" s="947"/>
      <c r="EB27" s="947"/>
      <c r="EC27" s="947"/>
      <c r="ED27" s="947"/>
      <c r="EE27" s="947"/>
      <c r="EF27" s="947"/>
      <c r="EG27" s="951"/>
      <c r="EH27" s="951"/>
      <c r="EI27" s="951"/>
      <c r="EJ27" s="951"/>
      <c r="EK27" s="951"/>
      <c r="EL27" s="951"/>
      <c r="EM27" s="951"/>
      <c r="EN27" s="951"/>
      <c r="EO27" s="951"/>
      <c r="EP27" s="951"/>
      <c r="EQ27" s="951"/>
      <c r="ER27" s="951"/>
      <c r="ES27" s="951"/>
      <c r="ET27" s="951"/>
      <c r="EU27" s="951"/>
      <c r="EV27" s="951"/>
      <c r="EW27" s="952" t="str">
        <f>IF(BEZ_Lohn_6_Ges_Zeit="","",((BEZ_Lohn_6_Ges_Zeit*((BEZ_Lohn_6_Zuschl_auf_Zeit/100)+1))/BEZ_Lohn_6_Leist_je_Art)*BEZ_Lohn_6_Bedarf_je_Art*BEZ_Lohn_6_MA_Anz)</f>
        <v/>
      </c>
      <c r="EX27" s="952"/>
      <c r="EY27" s="952"/>
      <c r="EZ27" s="952"/>
      <c r="FA27" s="952"/>
      <c r="FB27" s="952"/>
      <c r="FC27" s="952"/>
      <c r="FD27" s="952"/>
      <c r="FE27" s="963" t="str">
        <f>IF(BEZ_Lohn_6_Ges_Min_je_Art="","",(BEZ_Lohn_6_Ges_Min_je_Art / 60)*BEZ_Lohn_6_St_Satz_excl)</f>
        <v/>
      </c>
      <c r="FF27" s="963"/>
      <c r="FG27" s="963"/>
      <c r="FH27" s="963"/>
      <c r="FI27" s="963"/>
      <c r="FJ27" s="963"/>
      <c r="FK27" s="963"/>
      <c r="FL27" s="963"/>
      <c r="FM27" s="963"/>
      <c r="FN27" s="963"/>
      <c r="FO27" s="964" t="str">
        <f>IF(BEZ_Lohn_6_Ges_Min_je_Art="","",(BEZ_Lohn_6_Ges_Min_je_Art / 60)*BEZ_Lohn_6_St_Satz_excl*KI_N)</f>
        <v/>
      </c>
      <c r="FP27" s="965"/>
      <c r="FQ27" s="965"/>
      <c r="FR27" s="965"/>
      <c r="FS27" s="965"/>
      <c r="FT27" s="965"/>
      <c r="FU27" s="965"/>
      <c r="FV27" s="965"/>
      <c r="FW27" s="965"/>
      <c r="FX27" s="966"/>
      <c r="FY27" s="979">
        <f>SUM(EW17:FD72)</f>
        <v>5</v>
      </c>
      <c r="FZ27" s="980"/>
      <c r="GA27" s="980"/>
      <c r="GB27" s="980"/>
      <c r="GC27" s="980"/>
      <c r="GD27" s="980"/>
      <c r="GE27" s="980"/>
      <c r="GF27" s="980"/>
      <c r="GG27" s="980"/>
      <c r="GH27" s="980"/>
      <c r="GI27" s="981" t="s">
        <v>277</v>
      </c>
      <c r="GJ27" s="981"/>
      <c r="GK27" s="981"/>
      <c r="GL27" s="981"/>
      <c r="GM27" s="981"/>
      <c r="GN27" s="981"/>
      <c r="GO27" s="981"/>
      <c r="GP27" s="981"/>
      <c r="GQ27" s="981"/>
      <c r="GR27" s="981"/>
      <c r="GS27" s="981"/>
      <c r="GT27" s="982"/>
      <c r="GU27" s="25"/>
      <c r="GV27" s="211"/>
      <c r="GW27" s="211"/>
      <c r="GX27" s="211"/>
      <c r="GY27" s="211"/>
      <c r="GZ27" s="211"/>
      <c r="HA27" s="211"/>
      <c r="HB27" s="211"/>
      <c r="HC27" s="211"/>
      <c r="HD27" s="211"/>
      <c r="HE27" s="211"/>
      <c r="HF27" s="211"/>
      <c r="HG27" s="211"/>
      <c r="HH27" s="211"/>
      <c r="HI27" s="211"/>
      <c r="HS27" s="928"/>
      <c r="HT27" s="929"/>
      <c r="HU27" s="929"/>
      <c r="HV27" s="929"/>
      <c r="HW27" s="929"/>
      <c r="HX27" s="929"/>
      <c r="HY27" s="929"/>
      <c r="HZ27" s="929"/>
      <c r="IA27" s="929"/>
      <c r="IB27" s="929"/>
      <c r="IC27" s="929"/>
      <c r="ID27" s="929"/>
      <c r="IE27" s="929"/>
      <c r="IF27" s="930"/>
      <c r="IQ27" s="934"/>
      <c r="IR27" s="935"/>
      <c r="IS27" s="935"/>
      <c r="IT27" s="935"/>
      <c r="IU27" s="935"/>
      <c r="IV27" s="935"/>
      <c r="IW27" s="935"/>
      <c r="IX27" s="935"/>
      <c r="IY27" s="935"/>
      <c r="IZ27" s="936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12"/>
      <c r="L28" s="937"/>
      <c r="M28" s="937"/>
      <c r="N28" s="938"/>
      <c r="O28" s="217"/>
      <c r="P28" s="939"/>
      <c r="Q28" s="939"/>
      <c r="R28" s="939"/>
      <c r="S28" s="939"/>
      <c r="T28" s="939"/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39"/>
      <c r="AZ28" s="939"/>
      <c r="BA28" s="939"/>
      <c r="BB28" s="939"/>
      <c r="BC28" s="939"/>
      <c r="BD28" s="940"/>
      <c r="BE28" s="941"/>
      <c r="BF28" s="941"/>
      <c r="BG28" s="941"/>
      <c r="BH28" s="941"/>
      <c r="BI28" s="941"/>
      <c r="BJ28" s="941"/>
      <c r="BK28" s="941"/>
      <c r="BL28" s="941"/>
      <c r="BM28" s="941"/>
      <c r="BN28" s="941"/>
      <c r="BO28" s="941"/>
      <c r="BP28" s="941"/>
      <c r="BQ28" s="941"/>
      <c r="BR28" s="941"/>
      <c r="BS28" s="941"/>
      <c r="BT28" s="941"/>
      <c r="BU28" s="941"/>
      <c r="BV28" s="941"/>
      <c r="BW28" s="941"/>
      <c r="BX28" s="941"/>
      <c r="BY28" s="941"/>
      <c r="BZ28" s="941"/>
      <c r="CA28" s="941"/>
      <c r="CB28" s="941"/>
      <c r="CC28" s="941"/>
      <c r="CD28" s="941"/>
      <c r="CE28" s="941"/>
      <c r="CF28" s="941"/>
      <c r="CG28" s="942"/>
      <c r="CH28" s="943"/>
      <c r="CI28" s="944"/>
      <c r="CJ28" s="944"/>
      <c r="CK28" s="944"/>
      <c r="CL28" s="944"/>
      <c r="CM28" s="371"/>
      <c r="CN28" s="371"/>
      <c r="CO28" s="372"/>
      <c r="CP28" s="945"/>
      <c r="CQ28" s="945"/>
      <c r="CR28" s="945"/>
      <c r="CS28" s="945"/>
      <c r="CT28" s="945"/>
      <c r="CU28" s="973"/>
      <c r="CV28" s="973"/>
      <c r="CW28" s="973"/>
      <c r="CX28" s="973"/>
      <c r="CY28" s="973"/>
      <c r="CZ28" s="973"/>
      <c r="DA28" s="973"/>
      <c r="DB28" s="973"/>
      <c r="DC28" s="973"/>
      <c r="DD28" s="973"/>
      <c r="DE28" s="947"/>
      <c r="DF28" s="947"/>
      <c r="DG28" s="947"/>
      <c r="DH28" s="947"/>
      <c r="DI28" s="947"/>
      <c r="DJ28" s="947"/>
      <c r="DK28" s="947"/>
      <c r="DL28" s="947"/>
      <c r="DM28" s="947"/>
      <c r="DN28" s="947"/>
      <c r="DO28" s="949"/>
      <c r="DP28" s="949"/>
      <c r="DQ28" s="949"/>
      <c r="DR28" s="949"/>
      <c r="DS28" s="949"/>
      <c r="DT28" s="949"/>
      <c r="DU28" s="949"/>
      <c r="DV28" s="949"/>
      <c r="DW28" s="947"/>
      <c r="DX28" s="947"/>
      <c r="DY28" s="947"/>
      <c r="DZ28" s="947"/>
      <c r="EA28" s="947"/>
      <c r="EB28" s="947"/>
      <c r="EC28" s="947"/>
      <c r="ED28" s="947"/>
      <c r="EE28" s="947"/>
      <c r="EF28" s="947"/>
      <c r="EG28" s="951"/>
      <c r="EH28" s="951"/>
      <c r="EI28" s="951"/>
      <c r="EJ28" s="951"/>
      <c r="EK28" s="951"/>
      <c r="EL28" s="951"/>
      <c r="EM28" s="951"/>
      <c r="EN28" s="951"/>
      <c r="EO28" s="951"/>
      <c r="EP28" s="951"/>
      <c r="EQ28" s="951"/>
      <c r="ER28" s="951"/>
      <c r="ES28" s="951"/>
      <c r="ET28" s="951"/>
      <c r="EU28" s="951"/>
      <c r="EV28" s="951"/>
      <c r="EW28" s="952"/>
      <c r="EX28" s="952"/>
      <c r="EY28" s="952"/>
      <c r="EZ28" s="952"/>
      <c r="FA28" s="952"/>
      <c r="FB28" s="952"/>
      <c r="FC28" s="952"/>
      <c r="FD28" s="952"/>
      <c r="FE28" s="963"/>
      <c r="FF28" s="963"/>
      <c r="FG28" s="963"/>
      <c r="FH28" s="963"/>
      <c r="FI28" s="963"/>
      <c r="FJ28" s="963"/>
      <c r="FK28" s="963"/>
      <c r="FL28" s="963"/>
      <c r="FM28" s="963"/>
      <c r="FN28" s="963"/>
      <c r="FO28" s="964"/>
      <c r="FP28" s="965"/>
      <c r="FQ28" s="965"/>
      <c r="FR28" s="965"/>
      <c r="FS28" s="965"/>
      <c r="FT28" s="965"/>
      <c r="FU28" s="965"/>
      <c r="FV28" s="965"/>
      <c r="FW28" s="965"/>
      <c r="FX28" s="966"/>
      <c r="FY28" s="979"/>
      <c r="FZ28" s="980"/>
      <c r="GA28" s="980"/>
      <c r="GB28" s="980"/>
      <c r="GC28" s="980"/>
      <c r="GD28" s="980"/>
      <c r="GE28" s="980"/>
      <c r="GF28" s="980"/>
      <c r="GG28" s="980"/>
      <c r="GH28" s="980"/>
      <c r="GI28" s="981"/>
      <c r="GJ28" s="981"/>
      <c r="GK28" s="981"/>
      <c r="GL28" s="981"/>
      <c r="GM28" s="981"/>
      <c r="GN28" s="981"/>
      <c r="GO28" s="981"/>
      <c r="GP28" s="981"/>
      <c r="GQ28" s="981"/>
      <c r="GR28" s="981"/>
      <c r="GS28" s="981"/>
      <c r="GT28" s="982"/>
      <c r="GU28" s="25"/>
      <c r="GV28" s="211"/>
      <c r="GW28" s="211"/>
      <c r="GX28" s="211"/>
      <c r="GY28" s="211"/>
      <c r="GZ28" s="211"/>
      <c r="HA28" s="211"/>
      <c r="HB28" s="211"/>
      <c r="HC28" s="211"/>
      <c r="HD28" s="211"/>
      <c r="HE28" s="211"/>
      <c r="HF28" s="211"/>
      <c r="HG28" s="211"/>
      <c r="HH28" s="211"/>
      <c r="HI28" s="211"/>
      <c r="HS28" s="928"/>
      <c r="HT28" s="929"/>
      <c r="HU28" s="929"/>
      <c r="HV28" s="929"/>
      <c r="HW28" s="929"/>
      <c r="HX28" s="929"/>
      <c r="HY28" s="929"/>
      <c r="HZ28" s="929"/>
      <c r="IA28" s="929"/>
      <c r="IB28" s="929"/>
      <c r="IC28" s="929"/>
      <c r="ID28" s="929"/>
      <c r="IE28" s="929"/>
      <c r="IF28" s="930"/>
      <c r="IQ28" s="934"/>
      <c r="IR28" s="935"/>
      <c r="IS28" s="935"/>
      <c r="IT28" s="935"/>
      <c r="IU28" s="935"/>
      <c r="IV28" s="935"/>
      <c r="IW28" s="935"/>
      <c r="IX28" s="935"/>
      <c r="IY28" s="935"/>
      <c r="IZ28" s="936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12"/>
      <c r="L29" s="937">
        <v>7</v>
      </c>
      <c r="M29" s="937"/>
      <c r="N29" s="938"/>
      <c r="O29" s="217"/>
      <c r="P29" s="939" t="s">
        <v>493</v>
      </c>
      <c r="Q29" s="939"/>
      <c r="R29" s="939"/>
      <c r="S29" s="939"/>
      <c r="T29" s="939"/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39"/>
      <c r="AZ29" s="939"/>
      <c r="BA29" s="939"/>
      <c r="BB29" s="939"/>
      <c r="BC29" s="939"/>
      <c r="BD29" s="940" t="s">
        <v>492</v>
      </c>
      <c r="BE29" s="941"/>
      <c r="BF29" s="941"/>
      <c r="BG29" s="941"/>
      <c r="BH29" s="941"/>
      <c r="BI29" s="941"/>
      <c r="BJ29" s="941"/>
      <c r="BK29" s="941"/>
      <c r="BL29" s="941"/>
      <c r="BM29" s="941"/>
      <c r="BN29" s="941"/>
      <c r="BO29" s="941"/>
      <c r="BP29" s="941"/>
      <c r="BQ29" s="941"/>
      <c r="BR29" s="941"/>
      <c r="BS29" s="941"/>
      <c r="BT29" s="941"/>
      <c r="BU29" s="941"/>
      <c r="BV29" s="941"/>
      <c r="BW29" s="941"/>
      <c r="BX29" s="941"/>
      <c r="BY29" s="941"/>
      <c r="BZ29" s="941"/>
      <c r="CA29" s="941"/>
      <c r="CB29" s="941"/>
      <c r="CC29" s="941"/>
      <c r="CD29" s="941"/>
      <c r="CE29" s="941"/>
      <c r="CF29" s="941"/>
      <c r="CG29" s="942"/>
      <c r="CH29" s="943">
        <v>10002930</v>
      </c>
      <c r="CI29" s="944"/>
      <c r="CJ29" s="944"/>
      <c r="CK29" s="944"/>
      <c r="CL29" s="944"/>
      <c r="CM29" s="371"/>
      <c r="CN29" s="371"/>
      <c r="CO29" s="372"/>
      <c r="CP29" s="945">
        <v>1</v>
      </c>
      <c r="CQ29" s="945"/>
      <c r="CR29" s="945"/>
      <c r="CS29" s="945"/>
      <c r="CT29" s="945"/>
      <c r="CU29" s="973">
        <v>85</v>
      </c>
      <c r="CV29" s="973"/>
      <c r="CW29" s="973"/>
      <c r="CX29" s="973"/>
      <c r="CY29" s="973"/>
      <c r="CZ29" s="973"/>
      <c r="DA29" s="973"/>
      <c r="DB29" s="973"/>
      <c r="DC29" s="973"/>
      <c r="DD29" s="973"/>
      <c r="DE29" s="947"/>
      <c r="DF29" s="947"/>
      <c r="DG29" s="947"/>
      <c r="DH29" s="947"/>
      <c r="DI29" s="947"/>
      <c r="DJ29" s="947"/>
      <c r="DK29" s="947"/>
      <c r="DL29" s="947"/>
      <c r="DM29" s="947"/>
      <c r="DN29" s="947"/>
      <c r="DO29" s="949">
        <f>BEZ_Lohn_7_Ges_Zeit/60</f>
        <v>0</v>
      </c>
      <c r="DP29" s="949"/>
      <c r="DQ29" s="949"/>
      <c r="DR29" s="949"/>
      <c r="DS29" s="949"/>
      <c r="DT29" s="949"/>
      <c r="DU29" s="949"/>
      <c r="DV29" s="949"/>
      <c r="DW29" s="947"/>
      <c r="DX29" s="947"/>
      <c r="DY29" s="947"/>
      <c r="DZ29" s="947"/>
      <c r="EA29" s="947"/>
      <c r="EB29" s="947"/>
      <c r="EC29" s="947"/>
      <c r="ED29" s="947"/>
      <c r="EE29" s="947"/>
      <c r="EF29" s="947"/>
      <c r="EG29" s="951"/>
      <c r="EH29" s="951"/>
      <c r="EI29" s="951"/>
      <c r="EJ29" s="951"/>
      <c r="EK29" s="951"/>
      <c r="EL29" s="951"/>
      <c r="EM29" s="951"/>
      <c r="EN29" s="951"/>
      <c r="EO29" s="951"/>
      <c r="EP29" s="951"/>
      <c r="EQ29" s="951"/>
      <c r="ER29" s="951"/>
      <c r="ES29" s="951"/>
      <c r="ET29" s="951"/>
      <c r="EU29" s="951"/>
      <c r="EV29" s="951"/>
      <c r="EW29" s="952" t="str">
        <f>IF(BEZ_Lohn_7_Ges_Zeit="","",((BEZ_Lohn_7_Ges_Zeit*((BEZ_Lohn_7_Zuschl_auf_Zeit/100)+1))/BEZ_Lohn_7_Leist_je_Art)*BEZ_Lohn_7_Bedarf_je_Art*BEZ_Lohn_7_MA_Anz)</f>
        <v/>
      </c>
      <c r="EX29" s="952"/>
      <c r="EY29" s="952"/>
      <c r="EZ29" s="952"/>
      <c r="FA29" s="952"/>
      <c r="FB29" s="952"/>
      <c r="FC29" s="952"/>
      <c r="FD29" s="952"/>
      <c r="FE29" s="963" t="str">
        <f>IF(BEZ_Lohn_7_Ges_Min_je_Art="","",(BEZ_Lohn_7_Ges_Min_je_Art / 60)*BEZ_Lohn_7_St_Satz_excl)</f>
        <v/>
      </c>
      <c r="FF29" s="963"/>
      <c r="FG29" s="963"/>
      <c r="FH29" s="963"/>
      <c r="FI29" s="963"/>
      <c r="FJ29" s="963"/>
      <c r="FK29" s="963"/>
      <c r="FL29" s="963"/>
      <c r="FM29" s="963"/>
      <c r="FN29" s="963"/>
      <c r="FO29" s="964" t="str">
        <f>IF(BEZ_Lohn_7_Ges_Min_je_Art="","",(BEZ_Lohn_7_Ges_Min_je_Art / 60)*BEZ_Lohn_7_St_Satz_excl*KI_N)</f>
        <v/>
      </c>
      <c r="FP29" s="965"/>
      <c r="FQ29" s="965"/>
      <c r="FR29" s="965"/>
      <c r="FS29" s="965"/>
      <c r="FT29" s="965"/>
      <c r="FU29" s="965"/>
      <c r="FV29" s="965"/>
      <c r="FW29" s="965"/>
      <c r="FX29" s="966"/>
      <c r="FY29" s="977">
        <f>BEZ_Lohn_Zeit_KI*KI_N</f>
        <v>5</v>
      </c>
      <c r="FZ29" s="978"/>
      <c r="GA29" s="978"/>
      <c r="GB29" s="978"/>
      <c r="GC29" s="978"/>
      <c r="GD29" s="978"/>
      <c r="GE29" s="978"/>
      <c r="GF29" s="978"/>
      <c r="GG29" s="978"/>
      <c r="GH29" s="978"/>
      <c r="GI29" s="983" t="s">
        <v>278</v>
      </c>
      <c r="GJ29" s="983"/>
      <c r="GK29" s="983"/>
      <c r="GL29" s="983"/>
      <c r="GM29" s="983"/>
      <c r="GN29" s="983"/>
      <c r="GO29" s="983"/>
      <c r="GP29" s="983"/>
      <c r="GQ29" s="983"/>
      <c r="GR29" s="983"/>
      <c r="GS29" s="983"/>
      <c r="GT29" s="984"/>
      <c r="GU29" s="25"/>
      <c r="GV29" s="211"/>
      <c r="GW29" s="211"/>
      <c r="GX29" s="211"/>
      <c r="GY29" s="211"/>
      <c r="GZ29" s="211"/>
      <c r="HA29" s="211"/>
      <c r="HB29" s="211"/>
      <c r="HC29" s="211"/>
      <c r="HD29" s="211"/>
      <c r="HE29" s="211"/>
      <c r="HF29" s="211"/>
      <c r="HG29" s="211"/>
      <c r="HH29" s="211"/>
      <c r="HI29" s="211"/>
      <c r="HS29" s="928"/>
      <c r="HT29" s="929"/>
      <c r="HU29" s="929"/>
      <c r="HV29" s="929"/>
      <c r="HW29" s="929"/>
      <c r="HX29" s="929"/>
      <c r="HY29" s="929"/>
      <c r="HZ29" s="929"/>
      <c r="IA29" s="929"/>
      <c r="IB29" s="929"/>
      <c r="IC29" s="929"/>
      <c r="ID29" s="929"/>
      <c r="IE29" s="929"/>
      <c r="IF29" s="930"/>
      <c r="IQ29" s="934"/>
      <c r="IR29" s="935"/>
      <c r="IS29" s="935"/>
      <c r="IT29" s="935"/>
      <c r="IU29" s="935"/>
      <c r="IV29" s="935"/>
      <c r="IW29" s="935"/>
      <c r="IX29" s="935"/>
      <c r="IY29" s="935"/>
      <c r="IZ29" s="936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12"/>
      <c r="L30" s="937"/>
      <c r="M30" s="937"/>
      <c r="N30" s="938"/>
      <c r="O30" s="217"/>
      <c r="P30" s="939"/>
      <c r="Q30" s="939"/>
      <c r="R30" s="939"/>
      <c r="S30" s="939"/>
      <c r="T30" s="939"/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39"/>
      <c r="AZ30" s="939"/>
      <c r="BA30" s="939"/>
      <c r="BB30" s="939"/>
      <c r="BC30" s="939"/>
      <c r="BD30" s="940"/>
      <c r="BE30" s="941"/>
      <c r="BF30" s="941"/>
      <c r="BG30" s="941"/>
      <c r="BH30" s="941"/>
      <c r="BI30" s="941"/>
      <c r="BJ30" s="941"/>
      <c r="BK30" s="941"/>
      <c r="BL30" s="941"/>
      <c r="BM30" s="941"/>
      <c r="BN30" s="941"/>
      <c r="BO30" s="941"/>
      <c r="BP30" s="941"/>
      <c r="BQ30" s="941"/>
      <c r="BR30" s="941"/>
      <c r="BS30" s="941"/>
      <c r="BT30" s="941"/>
      <c r="BU30" s="941"/>
      <c r="BV30" s="941"/>
      <c r="BW30" s="941"/>
      <c r="BX30" s="941"/>
      <c r="BY30" s="941"/>
      <c r="BZ30" s="941"/>
      <c r="CA30" s="941"/>
      <c r="CB30" s="941"/>
      <c r="CC30" s="941"/>
      <c r="CD30" s="941"/>
      <c r="CE30" s="941"/>
      <c r="CF30" s="941"/>
      <c r="CG30" s="942"/>
      <c r="CH30" s="943"/>
      <c r="CI30" s="944"/>
      <c r="CJ30" s="944"/>
      <c r="CK30" s="944"/>
      <c r="CL30" s="944"/>
      <c r="CM30" s="371"/>
      <c r="CN30" s="371"/>
      <c r="CO30" s="372"/>
      <c r="CP30" s="945"/>
      <c r="CQ30" s="945"/>
      <c r="CR30" s="945"/>
      <c r="CS30" s="945"/>
      <c r="CT30" s="945"/>
      <c r="CU30" s="973"/>
      <c r="CV30" s="973"/>
      <c r="CW30" s="973"/>
      <c r="CX30" s="973"/>
      <c r="CY30" s="973"/>
      <c r="CZ30" s="973"/>
      <c r="DA30" s="973"/>
      <c r="DB30" s="973"/>
      <c r="DC30" s="973"/>
      <c r="DD30" s="973"/>
      <c r="DE30" s="947"/>
      <c r="DF30" s="947"/>
      <c r="DG30" s="947"/>
      <c r="DH30" s="947"/>
      <c r="DI30" s="947"/>
      <c r="DJ30" s="947"/>
      <c r="DK30" s="947"/>
      <c r="DL30" s="947"/>
      <c r="DM30" s="947"/>
      <c r="DN30" s="947"/>
      <c r="DO30" s="949"/>
      <c r="DP30" s="949"/>
      <c r="DQ30" s="949"/>
      <c r="DR30" s="949"/>
      <c r="DS30" s="949"/>
      <c r="DT30" s="949"/>
      <c r="DU30" s="949"/>
      <c r="DV30" s="949"/>
      <c r="DW30" s="947"/>
      <c r="DX30" s="947"/>
      <c r="DY30" s="947"/>
      <c r="DZ30" s="947"/>
      <c r="EA30" s="947"/>
      <c r="EB30" s="947"/>
      <c r="EC30" s="947"/>
      <c r="ED30" s="947"/>
      <c r="EE30" s="947"/>
      <c r="EF30" s="947"/>
      <c r="EG30" s="951"/>
      <c r="EH30" s="951"/>
      <c r="EI30" s="951"/>
      <c r="EJ30" s="951"/>
      <c r="EK30" s="951"/>
      <c r="EL30" s="951"/>
      <c r="EM30" s="951"/>
      <c r="EN30" s="951"/>
      <c r="EO30" s="951"/>
      <c r="EP30" s="951"/>
      <c r="EQ30" s="951"/>
      <c r="ER30" s="951"/>
      <c r="ES30" s="951"/>
      <c r="ET30" s="951"/>
      <c r="EU30" s="951"/>
      <c r="EV30" s="951"/>
      <c r="EW30" s="952"/>
      <c r="EX30" s="952"/>
      <c r="EY30" s="952"/>
      <c r="EZ30" s="952"/>
      <c r="FA30" s="952"/>
      <c r="FB30" s="952"/>
      <c r="FC30" s="952"/>
      <c r="FD30" s="952"/>
      <c r="FE30" s="963"/>
      <c r="FF30" s="963"/>
      <c r="FG30" s="963"/>
      <c r="FH30" s="963"/>
      <c r="FI30" s="963"/>
      <c r="FJ30" s="963"/>
      <c r="FK30" s="963"/>
      <c r="FL30" s="963"/>
      <c r="FM30" s="963"/>
      <c r="FN30" s="963"/>
      <c r="FO30" s="964"/>
      <c r="FP30" s="965"/>
      <c r="FQ30" s="965"/>
      <c r="FR30" s="965"/>
      <c r="FS30" s="965"/>
      <c r="FT30" s="965"/>
      <c r="FU30" s="965"/>
      <c r="FV30" s="965"/>
      <c r="FW30" s="965"/>
      <c r="FX30" s="966"/>
      <c r="FY30" s="977"/>
      <c r="FZ30" s="978"/>
      <c r="GA30" s="978"/>
      <c r="GB30" s="978"/>
      <c r="GC30" s="978"/>
      <c r="GD30" s="978"/>
      <c r="GE30" s="978"/>
      <c r="GF30" s="978"/>
      <c r="GG30" s="978"/>
      <c r="GH30" s="978"/>
      <c r="GI30" s="983"/>
      <c r="GJ30" s="983"/>
      <c r="GK30" s="983"/>
      <c r="GL30" s="983"/>
      <c r="GM30" s="983"/>
      <c r="GN30" s="983"/>
      <c r="GO30" s="983"/>
      <c r="GP30" s="983"/>
      <c r="GQ30" s="983"/>
      <c r="GR30" s="983"/>
      <c r="GS30" s="983"/>
      <c r="GT30" s="984"/>
      <c r="GU30" s="25"/>
      <c r="GV30" s="211"/>
      <c r="GW30" s="211"/>
      <c r="GX30" s="211"/>
      <c r="GY30" s="211"/>
      <c r="GZ30" s="211"/>
      <c r="HA30" s="211"/>
      <c r="HB30" s="211"/>
      <c r="HC30" s="211"/>
      <c r="HD30" s="211"/>
      <c r="HE30" s="211"/>
      <c r="HF30" s="211"/>
      <c r="HG30" s="211"/>
      <c r="HH30" s="211"/>
      <c r="HI30" s="211"/>
      <c r="HS30" s="928"/>
      <c r="HT30" s="929"/>
      <c r="HU30" s="929"/>
      <c r="HV30" s="929"/>
      <c r="HW30" s="929"/>
      <c r="HX30" s="929"/>
      <c r="HY30" s="929"/>
      <c r="HZ30" s="929"/>
      <c r="IA30" s="929"/>
      <c r="IB30" s="929"/>
      <c r="IC30" s="929"/>
      <c r="ID30" s="929"/>
      <c r="IE30" s="929"/>
      <c r="IF30" s="930"/>
      <c r="IQ30" s="934"/>
      <c r="IR30" s="935"/>
      <c r="IS30" s="935"/>
      <c r="IT30" s="935"/>
      <c r="IU30" s="935"/>
      <c r="IV30" s="935"/>
      <c r="IW30" s="935"/>
      <c r="IX30" s="935"/>
      <c r="IY30" s="935"/>
      <c r="IZ30" s="936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12"/>
      <c r="L31" s="937">
        <v>8</v>
      </c>
      <c r="M31" s="937"/>
      <c r="N31" s="938"/>
      <c r="O31" s="217"/>
      <c r="P31" s="939" t="s">
        <v>491</v>
      </c>
      <c r="Q31" s="939"/>
      <c r="R31" s="939"/>
      <c r="S31" s="939"/>
      <c r="T31" s="939"/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39"/>
      <c r="AZ31" s="939"/>
      <c r="BA31" s="939"/>
      <c r="BB31" s="939"/>
      <c r="BC31" s="939"/>
      <c r="BD31" s="940" t="s">
        <v>492</v>
      </c>
      <c r="BE31" s="941"/>
      <c r="BF31" s="941"/>
      <c r="BG31" s="941"/>
      <c r="BH31" s="941"/>
      <c r="BI31" s="941"/>
      <c r="BJ31" s="941"/>
      <c r="BK31" s="941"/>
      <c r="BL31" s="941"/>
      <c r="BM31" s="941"/>
      <c r="BN31" s="941"/>
      <c r="BO31" s="941"/>
      <c r="BP31" s="941"/>
      <c r="BQ31" s="941"/>
      <c r="BR31" s="941"/>
      <c r="BS31" s="941"/>
      <c r="BT31" s="941"/>
      <c r="BU31" s="941"/>
      <c r="BV31" s="941"/>
      <c r="BW31" s="941"/>
      <c r="BX31" s="941"/>
      <c r="BY31" s="941"/>
      <c r="BZ31" s="941"/>
      <c r="CA31" s="941"/>
      <c r="CB31" s="941"/>
      <c r="CC31" s="941"/>
      <c r="CD31" s="941"/>
      <c r="CE31" s="941"/>
      <c r="CF31" s="941"/>
      <c r="CG31" s="942"/>
      <c r="CH31" s="943">
        <v>10002930</v>
      </c>
      <c r="CI31" s="944"/>
      <c r="CJ31" s="944"/>
      <c r="CK31" s="944"/>
      <c r="CL31" s="944"/>
      <c r="CM31" s="371"/>
      <c r="CN31" s="371"/>
      <c r="CO31" s="372"/>
      <c r="CP31" s="945">
        <v>1</v>
      </c>
      <c r="CQ31" s="945"/>
      <c r="CR31" s="945"/>
      <c r="CS31" s="945"/>
      <c r="CT31" s="945"/>
      <c r="CU31" s="973">
        <v>85</v>
      </c>
      <c r="CV31" s="973"/>
      <c r="CW31" s="973"/>
      <c r="CX31" s="973"/>
      <c r="CY31" s="973"/>
      <c r="CZ31" s="973"/>
      <c r="DA31" s="973"/>
      <c r="DB31" s="973"/>
      <c r="DC31" s="973"/>
      <c r="DD31" s="973"/>
      <c r="DE31" s="947"/>
      <c r="DF31" s="947"/>
      <c r="DG31" s="947"/>
      <c r="DH31" s="947"/>
      <c r="DI31" s="947"/>
      <c r="DJ31" s="947"/>
      <c r="DK31" s="947"/>
      <c r="DL31" s="947"/>
      <c r="DM31" s="947"/>
      <c r="DN31" s="947"/>
      <c r="DO31" s="949">
        <f>BEZ_Lohn_8_Ges_Zeit/60</f>
        <v>0</v>
      </c>
      <c r="DP31" s="949"/>
      <c r="DQ31" s="949"/>
      <c r="DR31" s="949"/>
      <c r="DS31" s="949"/>
      <c r="DT31" s="949"/>
      <c r="DU31" s="949"/>
      <c r="DV31" s="949"/>
      <c r="DW31" s="947"/>
      <c r="DX31" s="947"/>
      <c r="DY31" s="947"/>
      <c r="DZ31" s="947"/>
      <c r="EA31" s="947"/>
      <c r="EB31" s="947"/>
      <c r="EC31" s="947"/>
      <c r="ED31" s="947"/>
      <c r="EE31" s="947"/>
      <c r="EF31" s="947"/>
      <c r="EG31" s="951"/>
      <c r="EH31" s="951"/>
      <c r="EI31" s="951"/>
      <c r="EJ31" s="951"/>
      <c r="EK31" s="951"/>
      <c r="EL31" s="951"/>
      <c r="EM31" s="951"/>
      <c r="EN31" s="951"/>
      <c r="EO31" s="951"/>
      <c r="EP31" s="951"/>
      <c r="EQ31" s="951"/>
      <c r="ER31" s="951"/>
      <c r="ES31" s="951"/>
      <c r="ET31" s="951"/>
      <c r="EU31" s="951"/>
      <c r="EV31" s="951"/>
      <c r="EW31" s="952" t="str">
        <f>IF(BEZ_Lohn_8_Ges_Zeit="","",((BEZ_Lohn_8_Ges_Zeit*((BEZ_Lohn_8_Zuschl_auf_Zeit/100)+1))/BEZ_Lohn_8_Leist_je_Art)*BEZ_Lohn_8_Bedarf_je_Art*BEZ_Lohn_8_MA_Anz)</f>
        <v/>
      </c>
      <c r="EX31" s="952"/>
      <c r="EY31" s="952"/>
      <c r="EZ31" s="952"/>
      <c r="FA31" s="952"/>
      <c r="FB31" s="952"/>
      <c r="FC31" s="952"/>
      <c r="FD31" s="952"/>
      <c r="FE31" s="963" t="str">
        <f>IF(BEZ_Lohn_8_Ges_Min_je_Art="","",(BEZ_Lohn_8_Ges_Min_je_Art / 60)*BEZ_Lohn_8_St_Satz_excl)</f>
        <v/>
      </c>
      <c r="FF31" s="963"/>
      <c r="FG31" s="963"/>
      <c r="FH31" s="963"/>
      <c r="FI31" s="963"/>
      <c r="FJ31" s="963"/>
      <c r="FK31" s="963"/>
      <c r="FL31" s="963"/>
      <c r="FM31" s="963"/>
      <c r="FN31" s="963"/>
      <c r="FO31" s="964" t="str">
        <f>IF(BEZ_Lohn_8_Ges_Min_je_Art="","",(BEZ_Lohn_8_Ges_Min_je_Art / 60)*BEZ_Lohn_8_St_Satz_excl*KI_N)</f>
        <v/>
      </c>
      <c r="FP31" s="965"/>
      <c r="FQ31" s="965"/>
      <c r="FR31" s="965"/>
      <c r="FS31" s="965"/>
      <c r="FT31" s="965"/>
      <c r="FU31" s="965"/>
      <c r="FV31" s="965"/>
      <c r="FW31" s="965"/>
      <c r="FX31" s="966"/>
      <c r="FY31" s="432"/>
      <c r="FZ31" s="433"/>
      <c r="GA31" s="433"/>
      <c r="GB31" s="433"/>
      <c r="GC31" s="433"/>
      <c r="GD31" s="433"/>
      <c r="GE31" s="433"/>
      <c r="GF31" s="433"/>
      <c r="GG31" s="433"/>
      <c r="GH31" s="433"/>
      <c r="GI31" s="433"/>
      <c r="GJ31" s="433"/>
      <c r="GK31" s="433"/>
      <c r="GL31" s="433"/>
      <c r="GM31" s="433"/>
      <c r="GN31" s="433"/>
      <c r="GO31" s="433"/>
      <c r="GP31" s="433"/>
      <c r="GQ31" s="433"/>
      <c r="GR31" s="434"/>
      <c r="GS31" s="434"/>
      <c r="GT31" s="435"/>
      <c r="GU31" s="25"/>
      <c r="GV31" s="211"/>
      <c r="GW31" s="211"/>
      <c r="GX31" s="211"/>
      <c r="GY31" s="211"/>
      <c r="GZ31" s="211"/>
      <c r="HA31" s="211"/>
      <c r="HB31" s="211"/>
      <c r="HC31" s="211"/>
      <c r="HD31" s="211"/>
      <c r="HE31" s="211"/>
      <c r="HF31" s="211"/>
      <c r="HG31" s="211"/>
      <c r="HH31" s="211"/>
      <c r="HI31" s="211"/>
      <c r="HS31" s="928"/>
      <c r="HT31" s="929"/>
      <c r="HU31" s="929"/>
      <c r="HV31" s="929"/>
      <c r="HW31" s="929"/>
      <c r="HX31" s="929"/>
      <c r="HY31" s="929"/>
      <c r="HZ31" s="929"/>
      <c r="IA31" s="929"/>
      <c r="IB31" s="929"/>
      <c r="IC31" s="929"/>
      <c r="ID31" s="929"/>
      <c r="IE31" s="929"/>
      <c r="IF31" s="930"/>
      <c r="IQ31" s="934"/>
      <c r="IR31" s="935"/>
      <c r="IS31" s="935"/>
      <c r="IT31" s="935"/>
      <c r="IU31" s="935"/>
      <c r="IV31" s="935"/>
      <c r="IW31" s="935"/>
      <c r="IX31" s="935"/>
      <c r="IY31" s="935"/>
      <c r="IZ31" s="936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12"/>
      <c r="L32" s="937"/>
      <c r="M32" s="937"/>
      <c r="N32" s="938"/>
      <c r="O32" s="217"/>
      <c r="P32" s="939"/>
      <c r="Q32" s="939"/>
      <c r="R32" s="939"/>
      <c r="S32" s="939"/>
      <c r="T32" s="939"/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39"/>
      <c r="AZ32" s="939"/>
      <c r="BA32" s="939"/>
      <c r="BB32" s="939"/>
      <c r="BC32" s="939"/>
      <c r="BD32" s="940"/>
      <c r="BE32" s="941"/>
      <c r="BF32" s="941"/>
      <c r="BG32" s="941"/>
      <c r="BH32" s="941"/>
      <c r="BI32" s="941"/>
      <c r="BJ32" s="941"/>
      <c r="BK32" s="941"/>
      <c r="BL32" s="941"/>
      <c r="BM32" s="941"/>
      <c r="BN32" s="941"/>
      <c r="BO32" s="941"/>
      <c r="BP32" s="941"/>
      <c r="BQ32" s="941"/>
      <c r="BR32" s="941"/>
      <c r="BS32" s="941"/>
      <c r="BT32" s="941"/>
      <c r="BU32" s="941"/>
      <c r="BV32" s="941"/>
      <c r="BW32" s="941"/>
      <c r="BX32" s="941"/>
      <c r="BY32" s="941"/>
      <c r="BZ32" s="941"/>
      <c r="CA32" s="941"/>
      <c r="CB32" s="941"/>
      <c r="CC32" s="941"/>
      <c r="CD32" s="941"/>
      <c r="CE32" s="941"/>
      <c r="CF32" s="941"/>
      <c r="CG32" s="942"/>
      <c r="CH32" s="943"/>
      <c r="CI32" s="944"/>
      <c r="CJ32" s="944"/>
      <c r="CK32" s="944"/>
      <c r="CL32" s="944"/>
      <c r="CM32" s="371"/>
      <c r="CN32" s="371"/>
      <c r="CO32" s="372"/>
      <c r="CP32" s="945"/>
      <c r="CQ32" s="945"/>
      <c r="CR32" s="945"/>
      <c r="CS32" s="945"/>
      <c r="CT32" s="945"/>
      <c r="CU32" s="973"/>
      <c r="CV32" s="973"/>
      <c r="CW32" s="973"/>
      <c r="CX32" s="973"/>
      <c r="CY32" s="973"/>
      <c r="CZ32" s="973"/>
      <c r="DA32" s="973"/>
      <c r="DB32" s="973"/>
      <c r="DC32" s="973"/>
      <c r="DD32" s="973"/>
      <c r="DE32" s="947"/>
      <c r="DF32" s="947"/>
      <c r="DG32" s="947"/>
      <c r="DH32" s="947"/>
      <c r="DI32" s="947"/>
      <c r="DJ32" s="947"/>
      <c r="DK32" s="947"/>
      <c r="DL32" s="947"/>
      <c r="DM32" s="947"/>
      <c r="DN32" s="947"/>
      <c r="DO32" s="949"/>
      <c r="DP32" s="949"/>
      <c r="DQ32" s="949"/>
      <c r="DR32" s="949"/>
      <c r="DS32" s="949"/>
      <c r="DT32" s="949"/>
      <c r="DU32" s="949"/>
      <c r="DV32" s="949"/>
      <c r="DW32" s="947"/>
      <c r="DX32" s="947"/>
      <c r="DY32" s="947"/>
      <c r="DZ32" s="947"/>
      <c r="EA32" s="947"/>
      <c r="EB32" s="947"/>
      <c r="EC32" s="947"/>
      <c r="ED32" s="947"/>
      <c r="EE32" s="947"/>
      <c r="EF32" s="947"/>
      <c r="EG32" s="951"/>
      <c r="EH32" s="951"/>
      <c r="EI32" s="951"/>
      <c r="EJ32" s="951"/>
      <c r="EK32" s="951"/>
      <c r="EL32" s="951"/>
      <c r="EM32" s="951"/>
      <c r="EN32" s="951"/>
      <c r="EO32" s="951"/>
      <c r="EP32" s="951"/>
      <c r="EQ32" s="951"/>
      <c r="ER32" s="951"/>
      <c r="ES32" s="951"/>
      <c r="ET32" s="951"/>
      <c r="EU32" s="951"/>
      <c r="EV32" s="951"/>
      <c r="EW32" s="952"/>
      <c r="EX32" s="952"/>
      <c r="EY32" s="952"/>
      <c r="EZ32" s="952"/>
      <c r="FA32" s="952"/>
      <c r="FB32" s="952"/>
      <c r="FC32" s="952"/>
      <c r="FD32" s="952"/>
      <c r="FE32" s="963"/>
      <c r="FF32" s="963"/>
      <c r="FG32" s="963"/>
      <c r="FH32" s="963"/>
      <c r="FI32" s="963"/>
      <c r="FJ32" s="963"/>
      <c r="FK32" s="963"/>
      <c r="FL32" s="963"/>
      <c r="FM32" s="963"/>
      <c r="FN32" s="963"/>
      <c r="FO32" s="964"/>
      <c r="FP32" s="965"/>
      <c r="FQ32" s="965"/>
      <c r="FR32" s="965"/>
      <c r="FS32" s="965"/>
      <c r="FT32" s="965"/>
      <c r="FU32" s="965"/>
      <c r="FV32" s="965"/>
      <c r="FW32" s="965"/>
      <c r="FX32" s="966"/>
      <c r="FY32" s="979">
        <f>BEZ_Lohn_Zeit_KI/60</f>
        <v>8.3333333333333329E-2</v>
      </c>
      <c r="FZ32" s="980"/>
      <c r="GA32" s="980"/>
      <c r="GB32" s="980"/>
      <c r="GC32" s="980"/>
      <c r="GD32" s="980"/>
      <c r="GE32" s="980"/>
      <c r="GF32" s="980"/>
      <c r="GG32" s="980"/>
      <c r="GH32" s="980"/>
      <c r="GI32" s="981" t="s">
        <v>279</v>
      </c>
      <c r="GJ32" s="981"/>
      <c r="GK32" s="981"/>
      <c r="GL32" s="981"/>
      <c r="GM32" s="981"/>
      <c r="GN32" s="981"/>
      <c r="GO32" s="981"/>
      <c r="GP32" s="981"/>
      <c r="GQ32" s="981"/>
      <c r="GR32" s="981"/>
      <c r="GS32" s="981"/>
      <c r="GT32" s="982"/>
      <c r="GU32" s="25"/>
      <c r="GV32" s="211"/>
      <c r="GW32" s="211"/>
      <c r="GX32" s="211"/>
      <c r="GY32" s="211"/>
      <c r="GZ32" s="211"/>
      <c r="HA32" s="211"/>
      <c r="HB32" s="211"/>
      <c r="HC32" s="211"/>
      <c r="HD32" s="211"/>
      <c r="HE32" s="211"/>
      <c r="HF32" s="211"/>
      <c r="HG32" s="211"/>
      <c r="HH32" s="211"/>
      <c r="HI32" s="211"/>
      <c r="HS32" s="928"/>
      <c r="HT32" s="929"/>
      <c r="HU32" s="929"/>
      <c r="HV32" s="929"/>
      <c r="HW32" s="929"/>
      <c r="HX32" s="929"/>
      <c r="HY32" s="929"/>
      <c r="HZ32" s="929"/>
      <c r="IA32" s="929"/>
      <c r="IB32" s="929"/>
      <c r="IC32" s="929"/>
      <c r="ID32" s="929"/>
      <c r="IE32" s="929"/>
      <c r="IF32" s="930"/>
      <c r="IQ32" s="934"/>
      <c r="IR32" s="935"/>
      <c r="IS32" s="935"/>
      <c r="IT32" s="935"/>
      <c r="IU32" s="935"/>
      <c r="IV32" s="935"/>
      <c r="IW32" s="935"/>
      <c r="IX32" s="935"/>
      <c r="IY32" s="935"/>
      <c r="IZ32" s="936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12"/>
      <c r="L33" s="937">
        <v>9</v>
      </c>
      <c r="M33" s="937"/>
      <c r="N33" s="938"/>
      <c r="O33" s="217"/>
      <c r="P33" s="939"/>
      <c r="Q33" s="939"/>
      <c r="R33" s="939"/>
      <c r="S33" s="939"/>
      <c r="T33" s="939"/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39"/>
      <c r="AZ33" s="939"/>
      <c r="BA33" s="939"/>
      <c r="BB33" s="939"/>
      <c r="BC33" s="939"/>
      <c r="BD33" s="940"/>
      <c r="BE33" s="941"/>
      <c r="BF33" s="941"/>
      <c r="BG33" s="941"/>
      <c r="BH33" s="941"/>
      <c r="BI33" s="941"/>
      <c r="BJ33" s="941"/>
      <c r="BK33" s="941"/>
      <c r="BL33" s="941"/>
      <c r="BM33" s="941"/>
      <c r="BN33" s="941"/>
      <c r="BO33" s="941"/>
      <c r="BP33" s="941"/>
      <c r="BQ33" s="941"/>
      <c r="BR33" s="941"/>
      <c r="BS33" s="941"/>
      <c r="BT33" s="941"/>
      <c r="BU33" s="941"/>
      <c r="BV33" s="941"/>
      <c r="BW33" s="941"/>
      <c r="BX33" s="941"/>
      <c r="BY33" s="941"/>
      <c r="BZ33" s="941"/>
      <c r="CA33" s="941"/>
      <c r="CB33" s="941"/>
      <c r="CC33" s="941"/>
      <c r="CD33" s="941"/>
      <c r="CE33" s="941"/>
      <c r="CF33" s="941"/>
      <c r="CG33" s="942"/>
      <c r="CH33" s="943"/>
      <c r="CI33" s="944"/>
      <c r="CJ33" s="944"/>
      <c r="CK33" s="944"/>
      <c r="CL33" s="944"/>
      <c r="CM33" s="371"/>
      <c r="CN33" s="371"/>
      <c r="CO33" s="372"/>
      <c r="CP33" s="945"/>
      <c r="CQ33" s="945"/>
      <c r="CR33" s="945"/>
      <c r="CS33" s="945"/>
      <c r="CT33" s="945"/>
      <c r="CU33" s="973"/>
      <c r="CV33" s="973"/>
      <c r="CW33" s="973"/>
      <c r="CX33" s="973"/>
      <c r="CY33" s="973"/>
      <c r="CZ33" s="973"/>
      <c r="DA33" s="973"/>
      <c r="DB33" s="973"/>
      <c r="DC33" s="973"/>
      <c r="DD33" s="973"/>
      <c r="DE33" s="947"/>
      <c r="DF33" s="947"/>
      <c r="DG33" s="947"/>
      <c r="DH33" s="947"/>
      <c r="DI33" s="947"/>
      <c r="DJ33" s="947"/>
      <c r="DK33" s="947"/>
      <c r="DL33" s="947"/>
      <c r="DM33" s="947"/>
      <c r="DN33" s="947"/>
      <c r="DO33" s="949">
        <f>BEZ_Lohn_9_Ges_Zeit/60</f>
        <v>0</v>
      </c>
      <c r="DP33" s="949"/>
      <c r="DQ33" s="949"/>
      <c r="DR33" s="949"/>
      <c r="DS33" s="949"/>
      <c r="DT33" s="949"/>
      <c r="DU33" s="949"/>
      <c r="DV33" s="949"/>
      <c r="DW33" s="947"/>
      <c r="DX33" s="947"/>
      <c r="DY33" s="947"/>
      <c r="DZ33" s="947"/>
      <c r="EA33" s="947"/>
      <c r="EB33" s="947"/>
      <c r="EC33" s="947"/>
      <c r="ED33" s="947"/>
      <c r="EE33" s="947"/>
      <c r="EF33" s="947"/>
      <c r="EG33" s="951"/>
      <c r="EH33" s="951"/>
      <c r="EI33" s="951"/>
      <c r="EJ33" s="951"/>
      <c r="EK33" s="951"/>
      <c r="EL33" s="951"/>
      <c r="EM33" s="951"/>
      <c r="EN33" s="951"/>
      <c r="EO33" s="951"/>
      <c r="EP33" s="951"/>
      <c r="EQ33" s="951"/>
      <c r="ER33" s="951"/>
      <c r="ES33" s="951"/>
      <c r="ET33" s="951"/>
      <c r="EU33" s="951"/>
      <c r="EV33" s="951"/>
      <c r="EW33" s="952" t="str">
        <f>IF(BEZ_Lohn_9_Ges_Zeit="","",((BEZ_Lohn_9_Ges_Zeit*((BEZ_Lohn_9_Zuschl_auf_Zeit/100)+1))/BEZ_Lohn_9_Leist_je_Art)*BEZ_Lohn_9_Bedarf_je_Art*BEZ_Lohn_9_MA_Anz)</f>
        <v/>
      </c>
      <c r="EX33" s="952"/>
      <c r="EY33" s="952"/>
      <c r="EZ33" s="952"/>
      <c r="FA33" s="952"/>
      <c r="FB33" s="952"/>
      <c r="FC33" s="952"/>
      <c r="FD33" s="952"/>
      <c r="FE33" s="963" t="str">
        <f>IF(BEZ_Lohn_9_Ges_Min_je_Art="","",(BEZ_Lohn_9_Ges_Min_je_Art / 60)*BEZ_Lohn_9_St_Satz_excl)</f>
        <v/>
      </c>
      <c r="FF33" s="963"/>
      <c r="FG33" s="963"/>
      <c r="FH33" s="963"/>
      <c r="FI33" s="963"/>
      <c r="FJ33" s="963"/>
      <c r="FK33" s="963"/>
      <c r="FL33" s="963"/>
      <c r="FM33" s="963"/>
      <c r="FN33" s="963"/>
      <c r="FO33" s="964" t="str">
        <f>IF(BEZ_Lohn_9_Ges_Min_je_Art="","",(BEZ_Lohn_9_Ges_Min_je_Art / 60)*BEZ_Lohn_9_St_Satz_excl*KI_N)</f>
        <v/>
      </c>
      <c r="FP33" s="965"/>
      <c r="FQ33" s="965"/>
      <c r="FR33" s="965"/>
      <c r="FS33" s="965"/>
      <c r="FT33" s="965"/>
      <c r="FU33" s="965"/>
      <c r="FV33" s="965"/>
      <c r="FW33" s="965"/>
      <c r="FX33" s="966"/>
      <c r="FY33" s="979"/>
      <c r="FZ33" s="980"/>
      <c r="GA33" s="980"/>
      <c r="GB33" s="980"/>
      <c r="GC33" s="980"/>
      <c r="GD33" s="980"/>
      <c r="GE33" s="980"/>
      <c r="GF33" s="980"/>
      <c r="GG33" s="980"/>
      <c r="GH33" s="980"/>
      <c r="GI33" s="981"/>
      <c r="GJ33" s="981"/>
      <c r="GK33" s="981"/>
      <c r="GL33" s="981"/>
      <c r="GM33" s="981"/>
      <c r="GN33" s="981"/>
      <c r="GO33" s="981"/>
      <c r="GP33" s="981"/>
      <c r="GQ33" s="981"/>
      <c r="GR33" s="981"/>
      <c r="GS33" s="981"/>
      <c r="GT33" s="982"/>
      <c r="GU33" s="25"/>
      <c r="GV33" s="211"/>
      <c r="GW33" s="211"/>
      <c r="GX33" s="211"/>
      <c r="GY33" s="211"/>
      <c r="GZ33" s="211"/>
      <c r="HA33" s="211"/>
      <c r="HB33" s="211"/>
      <c r="HC33" s="211"/>
      <c r="HD33" s="211"/>
      <c r="HE33" s="211"/>
      <c r="HF33" s="211"/>
      <c r="HG33" s="211"/>
      <c r="HH33" s="211"/>
      <c r="HI33" s="211"/>
      <c r="HS33" s="928"/>
      <c r="HT33" s="929"/>
      <c r="HU33" s="929"/>
      <c r="HV33" s="929"/>
      <c r="HW33" s="929"/>
      <c r="HX33" s="929"/>
      <c r="HY33" s="929"/>
      <c r="HZ33" s="929"/>
      <c r="IA33" s="929"/>
      <c r="IB33" s="929"/>
      <c r="IC33" s="929"/>
      <c r="ID33" s="929"/>
      <c r="IE33" s="929"/>
      <c r="IF33" s="930"/>
      <c r="IQ33" s="934"/>
      <c r="IR33" s="935"/>
      <c r="IS33" s="935"/>
      <c r="IT33" s="935"/>
      <c r="IU33" s="935"/>
      <c r="IV33" s="935"/>
      <c r="IW33" s="935"/>
      <c r="IX33" s="935"/>
      <c r="IY33" s="935"/>
      <c r="IZ33" s="936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12"/>
      <c r="L34" s="937"/>
      <c r="M34" s="937"/>
      <c r="N34" s="938"/>
      <c r="O34" s="217"/>
      <c r="P34" s="939"/>
      <c r="Q34" s="939"/>
      <c r="R34" s="939"/>
      <c r="S34" s="939"/>
      <c r="T34" s="939"/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39"/>
      <c r="AZ34" s="939"/>
      <c r="BA34" s="939"/>
      <c r="BB34" s="939"/>
      <c r="BC34" s="939"/>
      <c r="BD34" s="940"/>
      <c r="BE34" s="941"/>
      <c r="BF34" s="941"/>
      <c r="BG34" s="941"/>
      <c r="BH34" s="941"/>
      <c r="BI34" s="941"/>
      <c r="BJ34" s="941"/>
      <c r="BK34" s="941"/>
      <c r="BL34" s="941"/>
      <c r="BM34" s="941"/>
      <c r="BN34" s="941"/>
      <c r="BO34" s="941"/>
      <c r="BP34" s="941"/>
      <c r="BQ34" s="941"/>
      <c r="BR34" s="941"/>
      <c r="BS34" s="941"/>
      <c r="BT34" s="941"/>
      <c r="BU34" s="941"/>
      <c r="BV34" s="941"/>
      <c r="BW34" s="941"/>
      <c r="BX34" s="941"/>
      <c r="BY34" s="941"/>
      <c r="BZ34" s="941"/>
      <c r="CA34" s="941"/>
      <c r="CB34" s="941"/>
      <c r="CC34" s="941"/>
      <c r="CD34" s="941"/>
      <c r="CE34" s="941"/>
      <c r="CF34" s="941"/>
      <c r="CG34" s="942"/>
      <c r="CH34" s="943"/>
      <c r="CI34" s="944"/>
      <c r="CJ34" s="944"/>
      <c r="CK34" s="944"/>
      <c r="CL34" s="944"/>
      <c r="CM34" s="371"/>
      <c r="CN34" s="371"/>
      <c r="CO34" s="372"/>
      <c r="CP34" s="945"/>
      <c r="CQ34" s="945"/>
      <c r="CR34" s="945"/>
      <c r="CS34" s="945"/>
      <c r="CT34" s="945"/>
      <c r="CU34" s="973"/>
      <c r="CV34" s="973"/>
      <c r="CW34" s="973"/>
      <c r="CX34" s="973"/>
      <c r="CY34" s="973"/>
      <c r="CZ34" s="973"/>
      <c r="DA34" s="973"/>
      <c r="DB34" s="973"/>
      <c r="DC34" s="973"/>
      <c r="DD34" s="973"/>
      <c r="DE34" s="947"/>
      <c r="DF34" s="947"/>
      <c r="DG34" s="947"/>
      <c r="DH34" s="947"/>
      <c r="DI34" s="947"/>
      <c r="DJ34" s="947"/>
      <c r="DK34" s="947"/>
      <c r="DL34" s="947"/>
      <c r="DM34" s="947"/>
      <c r="DN34" s="947"/>
      <c r="DO34" s="949"/>
      <c r="DP34" s="949"/>
      <c r="DQ34" s="949"/>
      <c r="DR34" s="949"/>
      <c r="DS34" s="949"/>
      <c r="DT34" s="949"/>
      <c r="DU34" s="949"/>
      <c r="DV34" s="949"/>
      <c r="DW34" s="947"/>
      <c r="DX34" s="947"/>
      <c r="DY34" s="947"/>
      <c r="DZ34" s="947"/>
      <c r="EA34" s="947"/>
      <c r="EB34" s="947"/>
      <c r="EC34" s="947"/>
      <c r="ED34" s="947"/>
      <c r="EE34" s="947"/>
      <c r="EF34" s="947"/>
      <c r="EG34" s="951"/>
      <c r="EH34" s="951"/>
      <c r="EI34" s="951"/>
      <c r="EJ34" s="951"/>
      <c r="EK34" s="951"/>
      <c r="EL34" s="951"/>
      <c r="EM34" s="951"/>
      <c r="EN34" s="951"/>
      <c r="EO34" s="951"/>
      <c r="EP34" s="951"/>
      <c r="EQ34" s="951"/>
      <c r="ER34" s="951"/>
      <c r="ES34" s="951"/>
      <c r="ET34" s="951"/>
      <c r="EU34" s="951"/>
      <c r="EV34" s="951"/>
      <c r="EW34" s="952"/>
      <c r="EX34" s="952"/>
      <c r="EY34" s="952"/>
      <c r="EZ34" s="952"/>
      <c r="FA34" s="952"/>
      <c r="FB34" s="952"/>
      <c r="FC34" s="952"/>
      <c r="FD34" s="952"/>
      <c r="FE34" s="963"/>
      <c r="FF34" s="963"/>
      <c r="FG34" s="963"/>
      <c r="FH34" s="963"/>
      <c r="FI34" s="963"/>
      <c r="FJ34" s="963"/>
      <c r="FK34" s="963"/>
      <c r="FL34" s="963"/>
      <c r="FM34" s="963"/>
      <c r="FN34" s="963"/>
      <c r="FO34" s="964"/>
      <c r="FP34" s="965"/>
      <c r="FQ34" s="965"/>
      <c r="FR34" s="965"/>
      <c r="FS34" s="965"/>
      <c r="FT34" s="965"/>
      <c r="FU34" s="965"/>
      <c r="FV34" s="965"/>
      <c r="FW34" s="965"/>
      <c r="FX34" s="966"/>
      <c r="FY34" s="977">
        <f>Bez_Lohn_Eur_BA/60</f>
        <v>0.10833333333333334</v>
      </c>
      <c r="FZ34" s="978"/>
      <c r="GA34" s="978"/>
      <c r="GB34" s="978"/>
      <c r="GC34" s="978"/>
      <c r="GD34" s="978"/>
      <c r="GE34" s="978"/>
      <c r="GF34" s="978"/>
      <c r="GG34" s="978"/>
      <c r="GH34" s="978"/>
      <c r="GI34" s="983" t="s">
        <v>280</v>
      </c>
      <c r="GJ34" s="983"/>
      <c r="GK34" s="983"/>
      <c r="GL34" s="983"/>
      <c r="GM34" s="983"/>
      <c r="GN34" s="983"/>
      <c r="GO34" s="983"/>
      <c r="GP34" s="983"/>
      <c r="GQ34" s="983"/>
      <c r="GR34" s="983"/>
      <c r="GS34" s="983"/>
      <c r="GT34" s="984"/>
      <c r="GU34" s="25"/>
      <c r="GV34" s="211"/>
      <c r="GW34" s="211"/>
      <c r="GX34" s="211"/>
      <c r="GY34" s="211"/>
      <c r="GZ34" s="211"/>
      <c r="HA34" s="211"/>
      <c r="HB34" s="211"/>
      <c r="HC34" s="211"/>
      <c r="HD34" s="211"/>
      <c r="HE34" s="211"/>
      <c r="HF34" s="211"/>
      <c r="HG34" s="211"/>
      <c r="HH34" s="211"/>
      <c r="HI34" s="211"/>
      <c r="HS34" s="928"/>
      <c r="HT34" s="929"/>
      <c r="HU34" s="929"/>
      <c r="HV34" s="929"/>
      <c r="HW34" s="929"/>
      <c r="HX34" s="929"/>
      <c r="HY34" s="929"/>
      <c r="HZ34" s="929"/>
      <c r="IA34" s="929"/>
      <c r="IB34" s="929"/>
      <c r="IC34" s="929"/>
      <c r="ID34" s="929"/>
      <c r="IE34" s="929"/>
      <c r="IF34" s="930"/>
      <c r="IQ34" s="934"/>
      <c r="IR34" s="935"/>
      <c r="IS34" s="935"/>
      <c r="IT34" s="935"/>
      <c r="IU34" s="935"/>
      <c r="IV34" s="935"/>
      <c r="IW34" s="935"/>
      <c r="IX34" s="935"/>
      <c r="IY34" s="935"/>
      <c r="IZ34" s="936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12"/>
      <c r="L35" s="937">
        <v>10</v>
      </c>
      <c r="M35" s="937"/>
      <c r="N35" s="938"/>
      <c r="O35" s="217"/>
      <c r="P35" s="939" t="s">
        <v>500</v>
      </c>
      <c r="Q35" s="939"/>
      <c r="R35" s="939"/>
      <c r="S35" s="939"/>
      <c r="T35" s="939"/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39"/>
      <c r="AZ35" s="939"/>
      <c r="BA35" s="939"/>
      <c r="BB35" s="939"/>
      <c r="BC35" s="939"/>
      <c r="BD35" s="940" t="s">
        <v>494</v>
      </c>
      <c r="BE35" s="941"/>
      <c r="BF35" s="941"/>
      <c r="BG35" s="941"/>
      <c r="BH35" s="941"/>
      <c r="BI35" s="941"/>
      <c r="BJ35" s="941"/>
      <c r="BK35" s="941"/>
      <c r="BL35" s="941"/>
      <c r="BM35" s="941"/>
      <c r="BN35" s="941"/>
      <c r="BO35" s="941"/>
      <c r="BP35" s="941"/>
      <c r="BQ35" s="941"/>
      <c r="BR35" s="941"/>
      <c r="BS35" s="941"/>
      <c r="BT35" s="941"/>
      <c r="BU35" s="941"/>
      <c r="BV35" s="941"/>
      <c r="BW35" s="941"/>
      <c r="BX35" s="941"/>
      <c r="BY35" s="941"/>
      <c r="BZ35" s="941"/>
      <c r="CA35" s="941"/>
      <c r="CB35" s="941"/>
      <c r="CC35" s="941"/>
      <c r="CD35" s="941"/>
      <c r="CE35" s="941"/>
      <c r="CF35" s="941"/>
      <c r="CG35" s="942"/>
      <c r="CH35" s="943">
        <v>10002949</v>
      </c>
      <c r="CI35" s="944"/>
      <c r="CJ35" s="944"/>
      <c r="CK35" s="944"/>
      <c r="CL35" s="944"/>
      <c r="CM35" s="371"/>
      <c r="CN35" s="371"/>
      <c r="CO35" s="372"/>
      <c r="CP35" s="945">
        <v>1</v>
      </c>
      <c r="CQ35" s="945"/>
      <c r="CR35" s="945"/>
      <c r="CS35" s="945"/>
      <c r="CT35" s="945"/>
      <c r="CU35" s="973">
        <v>60</v>
      </c>
      <c r="CV35" s="973"/>
      <c r="CW35" s="973"/>
      <c r="CX35" s="973"/>
      <c r="CY35" s="973"/>
      <c r="CZ35" s="973"/>
      <c r="DA35" s="973"/>
      <c r="DB35" s="973"/>
      <c r="DC35" s="973"/>
      <c r="DD35" s="973"/>
      <c r="DE35" s="947"/>
      <c r="DF35" s="947"/>
      <c r="DG35" s="947"/>
      <c r="DH35" s="947"/>
      <c r="DI35" s="947"/>
      <c r="DJ35" s="947"/>
      <c r="DK35" s="947"/>
      <c r="DL35" s="947"/>
      <c r="DM35" s="947"/>
      <c r="DN35" s="947"/>
      <c r="DO35" s="949">
        <f>BEZ_Lohn_10_Ges_Zeit/60</f>
        <v>0</v>
      </c>
      <c r="DP35" s="949"/>
      <c r="DQ35" s="949"/>
      <c r="DR35" s="949"/>
      <c r="DS35" s="949"/>
      <c r="DT35" s="949"/>
      <c r="DU35" s="949"/>
      <c r="DV35" s="949"/>
      <c r="DW35" s="947"/>
      <c r="DX35" s="947"/>
      <c r="DY35" s="947"/>
      <c r="DZ35" s="947"/>
      <c r="EA35" s="947"/>
      <c r="EB35" s="947"/>
      <c r="EC35" s="947"/>
      <c r="ED35" s="947"/>
      <c r="EE35" s="947"/>
      <c r="EF35" s="947"/>
      <c r="EG35" s="951"/>
      <c r="EH35" s="951"/>
      <c r="EI35" s="951"/>
      <c r="EJ35" s="951"/>
      <c r="EK35" s="951"/>
      <c r="EL35" s="951"/>
      <c r="EM35" s="951"/>
      <c r="EN35" s="951"/>
      <c r="EO35" s="951"/>
      <c r="EP35" s="951"/>
      <c r="EQ35" s="951"/>
      <c r="ER35" s="951"/>
      <c r="ES35" s="951"/>
      <c r="ET35" s="951"/>
      <c r="EU35" s="951"/>
      <c r="EV35" s="951"/>
      <c r="EW35" s="952" t="str">
        <f>IF(BEZ_Lohn_10_Ges_Zeit="","",((BEZ_Lohn_10_Ges_Zeit*((BEZ_Lohn_10_Zuschl_auf_Zeit/100)+1))/BEZ_Lohn_10_Leist_je_Art)*BEZ_Lohn_10_Bedarf_je_Art*BEZ_Lohn_10_MA_Anz)</f>
        <v/>
      </c>
      <c r="EX35" s="952"/>
      <c r="EY35" s="952"/>
      <c r="EZ35" s="952"/>
      <c r="FA35" s="952"/>
      <c r="FB35" s="952"/>
      <c r="FC35" s="952"/>
      <c r="FD35" s="952"/>
      <c r="FE35" s="963" t="str">
        <f>IF(BEZ_Lohn_10_Ges_Min_je_Art="","",(BEZ_Lohn_10_Ges_Min_je_Art / 60)*BEZ_Lohn_10_St_Satz_excl)</f>
        <v/>
      </c>
      <c r="FF35" s="963"/>
      <c r="FG35" s="963"/>
      <c r="FH35" s="963"/>
      <c r="FI35" s="963"/>
      <c r="FJ35" s="963"/>
      <c r="FK35" s="963"/>
      <c r="FL35" s="963"/>
      <c r="FM35" s="963"/>
      <c r="FN35" s="963"/>
      <c r="FO35" s="964" t="str">
        <f>IF(BEZ_Lohn_10_Ges_Min_je_Art="","",(BEZ_Lohn_10_Ges_Min_je_Art / 60)*BEZ_Lohn_10_St_Satz_excl*KI_N)</f>
        <v/>
      </c>
      <c r="FP35" s="965"/>
      <c r="FQ35" s="965"/>
      <c r="FR35" s="965"/>
      <c r="FS35" s="965"/>
      <c r="FT35" s="965"/>
      <c r="FU35" s="965"/>
      <c r="FV35" s="965"/>
      <c r="FW35" s="965"/>
      <c r="FX35" s="966"/>
      <c r="FY35" s="977"/>
      <c r="FZ35" s="978"/>
      <c r="GA35" s="978"/>
      <c r="GB35" s="978"/>
      <c r="GC35" s="978"/>
      <c r="GD35" s="978"/>
      <c r="GE35" s="978"/>
      <c r="GF35" s="978"/>
      <c r="GG35" s="978"/>
      <c r="GH35" s="978"/>
      <c r="GI35" s="983"/>
      <c r="GJ35" s="983"/>
      <c r="GK35" s="983"/>
      <c r="GL35" s="983"/>
      <c r="GM35" s="983"/>
      <c r="GN35" s="983"/>
      <c r="GO35" s="983"/>
      <c r="GP35" s="983"/>
      <c r="GQ35" s="983"/>
      <c r="GR35" s="983"/>
      <c r="GS35" s="983"/>
      <c r="GT35" s="984"/>
      <c r="GU35" s="25"/>
      <c r="GV35" s="211"/>
      <c r="GW35" s="211"/>
      <c r="GX35" s="211"/>
      <c r="GY35" s="211"/>
      <c r="GZ35" s="211"/>
      <c r="HA35" s="211"/>
      <c r="HB35" s="211"/>
      <c r="HC35" s="211"/>
      <c r="HD35" s="211"/>
      <c r="HE35" s="211"/>
      <c r="HF35" s="211"/>
      <c r="HG35" s="211"/>
      <c r="HH35" s="211"/>
      <c r="HI35" s="211"/>
      <c r="HS35" s="928"/>
      <c r="HT35" s="929"/>
      <c r="HU35" s="929"/>
      <c r="HV35" s="929"/>
      <c r="HW35" s="929"/>
      <c r="HX35" s="929"/>
      <c r="HY35" s="929"/>
      <c r="HZ35" s="929"/>
      <c r="IA35" s="929"/>
      <c r="IB35" s="929"/>
      <c r="IC35" s="929"/>
      <c r="ID35" s="929"/>
      <c r="IE35" s="929"/>
      <c r="IF35" s="930"/>
      <c r="IQ35" s="934"/>
      <c r="IR35" s="935"/>
      <c r="IS35" s="935"/>
      <c r="IT35" s="935"/>
      <c r="IU35" s="935"/>
      <c r="IV35" s="935"/>
      <c r="IW35" s="935"/>
      <c r="IX35" s="935"/>
      <c r="IY35" s="935"/>
      <c r="IZ35" s="936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12"/>
      <c r="L36" s="937"/>
      <c r="M36" s="937"/>
      <c r="N36" s="938"/>
      <c r="O36" s="217"/>
      <c r="P36" s="939"/>
      <c r="Q36" s="939"/>
      <c r="R36" s="939"/>
      <c r="S36" s="939"/>
      <c r="T36" s="939"/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39"/>
      <c r="AZ36" s="939"/>
      <c r="BA36" s="939"/>
      <c r="BB36" s="939"/>
      <c r="BC36" s="939"/>
      <c r="BD36" s="940"/>
      <c r="BE36" s="941"/>
      <c r="BF36" s="941"/>
      <c r="BG36" s="941"/>
      <c r="BH36" s="941"/>
      <c r="BI36" s="941"/>
      <c r="BJ36" s="941"/>
      <c r="BK36" s="941"/>
      <c r="BL36" s="941"/>
      <c r="BM36" s="941"/>
      <c r="BN36" s="941"/>
      <c r="BO36" s="941"/>
      <c r="BP36" s="941"/>
      <c r="BQ36" s="941"/>
      <c r="BR36" s="941"/>
      <c r="BS36" s="941"/>
      <c r="BT36" s="941"/>
      <c r="BU36" s="941"/>
      <c r="BV36" s="941"/>
      <c r="BW36" s="941"/>
      <c r="BX36" s="941"/>
      <c r="BY36" s="941"/>
      <c r="BZ36" s="941"/>
      <c r="CA36" s="941"/>
      <c r="CB36" s="941"/>
      <c r="CC36" s="941"/>
      <c r="CD36" s="941"/>
      <c r="CE36" s="941"/>
      <c r="CF36" s="941"/>
      <c r="CG36" s="942"/>
      <c r="CH36" s="943"/>
      <c r="CI36" s="944"/>
      <c r="CJ36" s="944"/>
      <c r="CK36" s="944"/>
      <c r="CL36" s="944"/>
      <c r="CM36" s="371"/>
      <c r="CN36" s="371"/>
      <c r="CO36" s="372"/>
      <c r="CP36" s="945"/>
      <c r="CQ36" s="945"/>
      <c r="CR36" s="945"/>
      <c r="CS36" s="945"/>
      <c r="CT36" s="945"/>
      <c r="CU36" s="973"/>
      <c r="CV36" s="973"/>
      <c r="CW36" s="973"/>
      <c r="CX36" s="973"/>
      <c r="CY36" s="973"/>
      <c r="CZ36" s="973"/>
      <c r="DA36" s="973"/>
      <c r="DB36" s="973"/>
      <c r="DC36" s="973"/>
      <c r="DD36" s="973"/>
      <c r="DE36" s="947"/>
      <c r="DF36" s="947"/>
      <c r="DG36" s="947"/>
      <c r="DH36" s="947"/>
      <c r="DI36" s="947"/>
      <c r="DJ36" s="947"/>
      <c r="DK36" s="947"/>
      <c r="DL36" s="947"/>
      <c r="DM36" s="947"/>
      <c r="DN36" s="947"/>
      <c r="DO36" s="949"/>
      <c r="DP36" s="949"/>
      <c r="DQ36" s="949"/>
      <c r="DR36" s="949"/>
      <c r="DS36" s="949"/>
      <c r="DT36" s="949"/>
      <c r="DU36" s="949"/>
      <c r="DV36" s="949"/>
      <c r="DW36" s="947"/>
      <c r="DX36" s="947"/>
      <c r="DY36" s="947"/>
      <c r="DZ36" s="947"/>
      <c r="EA36" s="947"/>
      <c r="EB36" s="947"/>
      <c r="EC36" s="947"/>
      <c r="ED36" s="947"/>
      <c r="EE36" s="947"/>
      <c r="EF36" s="947"/>
      <c r="EG36" s="951"/>
      <c r="EH36" s="951"/>
      <c r="EI36" s="951"/>
      <c r="EJ36" s="951"/>
      <c r="EK36" s="951"/>
      <c r="EL36" s="951"/>
      <c r="EM36" s="951"/>
      <c r="EN36" s="951"/>
      <c r="EO36" s="951"/>
      <c r="EP36" s="951"/>
      <c r="EQ36" s="951"/>
      <c r="ER36" s="951"/>
      <c r="ES36" s="951"/>
      <c r="ET36" s="951"/>
      <c r="EU36" s="951"/>
      <c r="EV36" s="951"/>
      <c r="EW36" s="952"/>
      <c r="EX36" s="952"/>
      <c r="EY36" s="952"/>
      <c r="EZ36" s="952"/>
      <c r="FA36" s="952"/>
      <c r="FB36" s="952"/>
      <c r="FC36" s="952"/>
      <c r="FD36" s="952"/>
      <c r="FE36" s="963"/>
      <c r="FF36" s="963"/>
      <c r="FG36" s="963"/>
      <c r="FH36" s="963"/>
      <c r="FI36" s="963"/>
      <c r="FJ36" s="963"/>
      <c r="FK36" s="963"/>
      <c r="FL36" s="963"/>
      <c r="FM36" s="963"/>
      <c r="FN36" s="963"/>
      <c r="FO36" s="964"/>
      <c r="FP36" s="965"/>
      <c r="FQ36" s="965"/>
      <c r="FR36" s="965"/>
      <c r="FS36" s="965"/>
      <c r="FT36" s="965"/>
      <c r="FU36" s="965"/>
      <c r="FV36" s="965"/>
      <c r="FW36" s="965"/>
      <c r="FX36" s="966"/>
      <c r="FY36" s="979"/>
      <c r="FZ36" s="980"/>
      <c r="GA36" s="980"/>
      <c r="GB36" s="980"/>
      <c r="GC36" s="980"/>
      <c r="GD36" s="980"/>
      <c r="GE36" s="980"/>
      <c r="GF36" s="980"/>
      <c r="GG36" s="980"/>
      <c r="GH36" s="980"/>
      <c r="GI36" s="981"/>
      <c r="GJ36" s="981"/>
      <c r="GK36" s="981"/>
      <c r="GL36" s="981"/>
      <c r="GM36" s="981"/>
      <c r="GN36" s="981"/>
      <c r="GO36" s="981"/>
      <c r="GP36" s="981"/>
      <c r="GQ36" s="981"/>
      <c r="GR36" s="981"/>
      <c r="GS36" s="981"/>
      <c r="GT36" s="982"/>
      <c r="GU36" s="25"/>
      <c r="GV36" s="211"/>
      <c r="GW36" s="211"/>
      <c r="GX36" s="211"/>
      <c r="GY36" s="211"/>
      <c r="GZ36" s="211"/>
      <c r="HA36" s="211"/>
      <c r="HB36" s="211"/>
      <c r="HC36" s="211"/>
      <c r="HD36" s="211"/>
      <c r="HE36" s="211"/>
      <c r="HF36" s="211"/>
      <c r="HG36" s="211"/>
      <c r="HH36" s="211"/>
      <c r="HI36" s="211"/>
      <c r="HS36" s="928"/>
      <c r="HT36" s="929"/>
      <c r="HU36" s="929"/>
      <c r="HV36" s="929"/>
      <c r="HW36" s="929"/>
      <c r="HX36" s="929"/>
      <c r="HY36" s="929"/>
      <c r="HZ36" s="929"/>
      <c r="IA36" s="929"/>
      <c r="IB36" s="929"/>
      <c r="IC36" s="929"/>
      <c r="ID36" s="929"/>
      <c r="IE36" s="929"/>
      <c r="IF36" s="930"/>
      <c r="IQ36" s="934"/>
      <c r="IR36" s="935"/>
      <c r="IS36" s="935"/>
      <c r="IT36" s="935"/>
      <c r="IU36" s="935"/>
      <c r="IV36" s="935"/>
      <c r="IW36" s="935"/>
      <c r="IX36" s="935"/>
      <c r="IY36" s="935"/>
      <c r="IZ36" s="936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12"/>
      <c r="L37" s="937">
        <v>11</v>
      </c>
      <c r="M37" s="937"/>
      <c r="N37" s="938"/>
      <c r="O37" s="217"/>
      <c r="P37" s="939" t="s">
        <v>501</v>
      </c>
      <c r="Q37" s="939"/>
      <c r="R37" s="939"/>
      <c r="S37" s="939"/>
      <c r="T37" s="939"/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39"/>
      <c r="AZ37" s="939"/>
      <c r="BA37" s="939"/>
      <c r="BB37" s="939"/>
      <c r="BC37" s="939"/>
      <c r="BD37" s="940" t="s">
        <v>495</v>
      </c>
      <c r="BE37" s="941"/>
      <c r="BF37" s="941"/>
      <c r="BG37" s="941"/>
      <c r="BH37" s="941"/>
      <c r="BI37" s="941"/>
      <c r="BJ37" s="941"/>
      <c r="BK37" s="941"/>
      <c r="BL37" s="941"/>
      <c r="BM37" s="941"/>
      <c r="BN37" s="941"/>
      <c r="BO37" s="941"/>
      <c r="BP37" s="941"/>
      <c r="BQ37" s="941"/>
      <c r="BR37" s="941"/>
      <c r="BS37" s="941"/>
      <c r="BT37" s="941"/>
      <c r="BU37" s="941"/>
      <c r="BV37" s="941"/>
      <c r="BW37" s="941"/>
      <c r="BX37" s="941"/>
      <c r="BY37" s="941"/>
      <c r="BZ37" s="941"/>
      <c r="CA37" s="941"/>
      <c r="CB37" s="941"/>
      <c r="CC37" s="941"/>
      <c r="CD37" s="941"/>
      <c r="CE37" s="941"/>
      <c r="CF37" s="941"/>
      <c r="CG37" s="942"/>
      <c r="CH37" s="943">
        <v>10002920</v>
      </c>
      <c r="CI37" s="944"/>
      <c r="CJ37" s="944"/>
      <c r="CK37" s="944"/>
      <c r="CL37" s="944"/>
      <c r="CM37" s="371"/>
      <c r="CN37" s="371"/>
      <c r="CO37" s="372"/>
      <c r="CP37" s="945">
        <v>1</v>
      </c>
      <c r="CQ37" s="945"/>
      <c r="CR37" s="945"/>
      <c r="CS37" s="945"/>
      <c r="CT37" s="945"/>
      <c r="CU37" s="973">
        <v>46</v>
      </c>
      <c r="CV37" s="973"/>
      <c r="CW37" s="973"/>
      <c r="CX37" s="973"/>
      <c r="CY37" s="973"/>
      <c r="CZ37" s="973"/>
      <c r="DA37" s="973"/>
      <c r="DB37" s="973"/>
      <c r="DC37" s="973"/>
      <c r="DD37" s="973"/>
      <c r="DE37" s="947"/>
      <c r="DF37" s="947"/>
      <c r="DG37" s="947"/>
      <c r="DH37" s="947"/>
      <c r="DI37" s="947"/>
      <c r="DJ37" s="947"/>
      <c r="DK37" s="947"/>
      <c r="DL37" s="947"/>
      <c r="DM37" s="947"/>
      <c r="DN37" s="947"/>
      <c r="DO37" s="949">
        <f>BEZ_Lohn_11_Ges_Zeit/60</f>
        <v>0</v>
      </c>
      <c r="DP37" s="949"/>
      <c r="DQ37" s="949"/>
      <c r="DR37" s="949"/>
      <c r="DS37" s="949"/>
      <c r="DT37" s="949"/>
      <c r="DU37" s="949"/>
      <c r="DV37" s="949"/>
      <c r="DW37" s="947"/>
      <c r="DX37" s="947"/>
      <c r="DY37" s="947"/>
      <c r="DZ37" s="947"/>
      <c r="EA37" s="947"/>
      <c r="EB37" s="947"/>
      <c r="EC37" s="947"/>
      <c r="ED37" s="947"/>
      <c r="EE37" s="947"/>
      <c r="EF37" s="947"/>
      <c r="EG37" s="951"/>
      <c r="EH37" s="951"/>
      <c r="EI37" s="951"/>
      <c r="EJ37" s="951"/>
      <c r="EK37" s="951"/>
      <c r="EL37" s="951"/>
      <c r="EM37" s="951"/>
      <c r="EN37" s="951"/>
      <c r="EO37" s="951"/>
      <c r="EP37" s="951"/>
      <c r="EQ37" s="951"/>
      <c r="ER37" s="951"/>
      <c r="ES37" s="951"/>
      <c r="ET37" s="951"/>
      <c r="EU37" s="951"/>
      <c r="EV37" s="951"/>
      <c r="EW37" s="952" t="str">
        <f>IF(BEZ_Lohn_11_Ges_Zeit="","",((BEZ_Lohn_11_Ges_Zeit*((BEZ_Lohn_11_Zuschl_auf_Zeit/100)+1))/BEZ_Lohn_11_Leist_je_Art)*BEZ_Lohn_11_Bedarf_je_Art*BEZ_Lohn_11_MA_Anz)</f>
        <v/>
      </c>
      <c r="EX37" s="952"/>
      <c r="EY37" s="952"/>
      <c r="EZ37" s="952"/>
      <c r="FA37" s="952"/>
      <c r="FB37" s="952"/>
      <c r="FC37" s="952"/>
      <c r="FD37" s="952"/>
      <c r="FE37" s="963" t="str">
        <f>IF(BEZ_Lohn_11_Ges_Min_je_Art="","",(BEZ_Lohn_11_Ges_Min_je_Art / 60)*BEZ_Lohn_11_St_Satz_excl)</f>
        <v/>
      </c>
      <c r="FF37" s="963"/>
      <c r="FG37" s="963"/>
      <c r="FH37" s="963"/>
      <c r="FI37" s="963"/>
      <c r="FJ37" s="963"/>
      <c r="FK37" s="963"/>
      <c r="FL37" s="963"/>
      <c r="FM37" s="963"/>
      <c r="FN37" s="963"/>
      <c r="FO37" s="964" t="str">
        <f>IF(BEZ_Lohn_11_Ges_Min_je_Art="","",(BEZ_Lohn_11_Ges_Min_je_Art / 60)*BEZ_Lohn_11_St_Satz_excl*KI_N)</f>
        <v/>
      </c>
      <c r="FP37" s="965"/>
      <c r="FQ37" s="965"/>
      <c r="FR37" s="965"/>
      <c r="FS37" s="965"/>
      <c r="FT37" s="965"/>
      <c r="FU37" s="965"/>
      <c r="FV37" s="965"/>
      <c r="FW37" s="965"/>
      <c r="FX37" s="966"/>
      <c r="FY37" s="979"/>
      <c r="FZ37" s="980"/>
      <c r="GA37" s="980"/>
      <c r="GB37" s="980"/>
      <c r="GC37" s="980"/>
      <c r="GD37" s="980"/>
      <c r="GE37" s="980"/>
      <c r="GF37" s="980"/>
      <c r="GG37" s="980"/>
      <c r="GH37" s="980"/>
      <c r="GI37" s="981"/>
      <c r="GJ37" s="981"/>
      <c r="GK37" s="981"/>
      <c r="GL37" s="981"/>
      <c r="GM37" s="981"/>
      <c r="GN37" s="981"/>
      <c r="GO37" s="981"/>
      <c r="GP37" s="981"/>
      <c r="GQ37" s="981"/>
      <c r="GR37" s="981"/>
      <c r="GS37" s="981"/>
      <c r="GT37" s="982"/>
      <c r="GU37" s="25"/>
      <c r="GV37" s="211"/>
      <c r="GW37" s="211"/>
      <c r="GX37" s="211"/>
      <c r="GY37" s="211"/>
      <c r="GZ37" s="211"/>
      <c r="HA37" s="211"/>
      <c r="HB37" s="211"/>
      <c r="HC37" s="211"/>
      <c r="HD37" s="211"/>
      <c r="HE37" s="211"/>
      <c r="HF37" s="211"/>
      <c r="HG37" s="211"/>
      <c r="HH37" s="211"/>
      <c r="HI37" s="211"/>
      <c r="HS37" s="928"/>
      <c r="HT37" s="929"/>
      <c r="HU37" s="929"/>
      <c r="HV37" s="929"/>
      <c r="HW37" s="929"/>
      <c r="HX37" s="929"/>
      <c r="HY37" s="929"/>
      <c r="HZ37" s="929"/>
      <c r="IA37" s="929"/>
      <c r="IB37" s="929"/>
      <c r="IC37" s="929"/>
      <c r="ID37" s="929"/>
      <c r="IE37" s="929"/>
      <c r="IF37" s="930"/>
      <c r="IQ37" s="934"/>
      <c r="IR37" s="935"/>
      <c r="IS37" s="935"/>
      <c r="IT37" s="935"/>
      <c r="IU37" s="935"/>
      <c r="IV37" s="935"/>
      <c r="IW37" s="935"/>
      <c r="IX37" s="935"/>
      <c r="IY37" s="935"/>
      <c r="IZ37" s="936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12"/>
      <c r="L38" s="937"/>
      <c r="M38" s="937"/>
      <c r="N38" s="938"/>
      <c r="O38" s="217"/>
      <c r="P38" s="939"/>
      <c r="Q38" s="939"/>
      <c r="R38" s="939"/>
      <c r="S38" s="939"/>
      <c r="T38" s="939"/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39"/>
      <c r="AZ38" s="939"/>
      <c r="BA38" s="939"/>
      <c r="BB38" s="939"/>
      <c r="BC38" s="939"/>
      <c r="BD38" s="940"/>
      <c r="BE38" s="941"/>
      <c r="BF38" s="941"/>
      <c r="BG38" s="941"/>
      <c r="BH38" s="941"/>
      <c r="BI38" s="941"/>
      <c r="BJ38" s="941"/>
      <c r="BK38" s="941"/>
      <c r="BL38" s="941"/>
      <c r="BM38" s="941"/>
      <c r="BN38" s="941"/>
      <c r="BO38" s="941"/>
      <c r="BP38" s="941"/>
      <c r="BQ38" s="941"/>
      <c r="BR38" s="941"/>
      <c r="BS38" s="941"/>
      <c r="BT38" s="941"/>
      <c r="BU38" s="941"/>
      <c r="BV38" s="941"/>
      <c r="BW38" s="941"/>
      <c r="BX38" s="941"/>
      <c r="BY38" s="941"/>
      <c r="BZ38" s="941"/>
      <c r="CA38" s="941"/>
      <c r="CB38" s="941"/>
      <c r="CC38" s="941"/>
      <c r="CD38" s="941"/>
      <c r="CE38" s="941"/>
      <c r="CF38" s="941"/>
      <c r="CG38" s="942"/>
      <c r="CH38" s="943"/>
      <c r="CI38" s="944"/>
      <c r="CJ38" s="944"/>
      <c r="CK38" s="944"/>
      <c r="CL38" s="944"/>
      <c r="CM38" s="371"/>
      <c r="CN38" s="371"/>
      <c r="CO38" s="372"/>
      <c r="CP38" s="945"/>
      <c r="CQ38" s="945"/>
      <c r="CR38" s="945"/>
      <c r="CS38" s="945"/>
      <c r="CT38" s="945"/>
      <c r="CU38" s="973"/>
      <c r="CV38" s="973"/>
      <c r="CW38" s="973"/>
      <c r="CX38" s="973"/>
      <c r="CY38" s="973"/>
      <c r="CZ38" s="973"/>
      <c r="DA38" s="973"/>
      <c r="DB38" s="973"/>
      <c r="DC38" s="973"/>
      <c r="DD38" s="973"/>
      <c r="DE38" s="947"/>
      <c r="DF38" s="947"/>
      <c r="DG38" s="947"/>
      <c r="DH38" s="947"/>
      <c r="DI38" s="947"/>
      <c r="DJ38" s="947"/>
      <c r="DK38" s="947"/>
      <c r="DL38" s="947"/>
      <c r="DM38" s="947"/>
      <c r="DN38" s="947"/>
      <c r="DO38" s="949"/>
      <c r="DP38" s="949"/>
      <c r="DQ38" s="949"/>
      <c r="DR38" s="949"/>
      <c r="DS38" s="949"/>
      <c r="DT38" s="949"/>
      <c r="DU38" s="949"/>
      <c r="DV38" s="949"/>
      <c r="DW38" s="947"/>
      <c r="DX38" s="947"/>
      <c r="DY38" s="947"/>
      <c r="DZ38" s="947"/>
      <c r="EA38" s="947"/>
      <c r="EB38" s="947"/>
      <c r="EC38" s="947"/>
      <c r="ED38" s="947"/>
      <c r="EE38" s="947"/>
      <c r="EF38" s="947"/>
      <c r="EG38" s="951"/>
      <c r="EH38" s="951"/>
      <c r="EI38" s="951"/>
      <c r="EJ38" s="951"/>
      <c r="EK38" s="951"/>
      <c r="EL38" s="951"/>
      <c r="EM38" s="951"/>
      <c r="EN38" s="951"/>
      <c r="EO38" s="951"/>
      <c r="EP38" s="951"/>
      <c r="EQ38" s="951"/>
      <c r="ER38" s="951"/>
      <c r="ES38" s="951"/>
      <c r="ET38" s="951"/>
      <c r="EU38" s="951"/>
      <c r="EV38" s="951"/>
      <c r="EW38" s="952"/>
      <c r="EX38" s="952"/>
      <c r="EY38" s="952"/>
      <c r="EZ38" s="952"/>
      <c r="FA38" s="952"/>
      <c r="FB38" s="952"/>
      <c r="FC38" s="952"/>
      <c r="FD38" s="952"/>
      <c r="FE38" s="963"/>
      <c r="FF38" s="963"/>
      <c r="FG38" s="963"/>
      <c r="FH38" s="963"/>
      <c r="FI38" s="963"/>
      <c r="FJ38" s="963"/>
      <c r="FK38" s="963"/>
      <c r="FL38" s="963"/>
      <c r="FM38" s="963"/>
      <c r="FN38" s="963"/>
      <c r="FO38" s="964"/>
      <c r="FP38" s="965"/>
      <c r="FQ38" s="965"/>
      <c r="FR38" s="965"/>
      <c r="FS38" s="965"/>
      <c r="FT38" s="965"/>
      <c r="FU38" s="965"/>
      <c r="FV38" s="965"/>
      <c r="FW38" s="965"/>
      <c r="FX38" s="966"/>
      <c r="FY38" s="985" t="s">
        <v>148</v>
      </c>
      <c r="FZ38" s="986"/>
      <c r="GA38" s="986"/>
      <c r="GB38" s="986"/>
      <c r="GC38" s="986"/>
      <c r="GD38" s="986"/>
      <c r="GE38" s="986"/>
      <c r="GF38" s="986"/>
      <c r="GG38" s="986"/>
      <c r="GH38" s="986"/>
      <c r="GI38" s="986"/>
      <c r="GJ38" s="986"/>
      <c r="GK38" s="986"/>
      <c r="GL38" s="986"/>
      <c r="GM38" s="986"/>
      <c r="GN38" s="986"/>
      <c r="GO38" s="986"/>
      <c r="GP38" s="986"/>
      <c r="GQ38" s="986"/>
      <c r="GR38" s="986"/>
      <c r="GS38" s="986"/>
      <c r="GT38" s="987"/>
      <c r="GU38" s="25"/>
      <c r="GV38" s="211"/>
      <c r="GW38" s="211"/>
      <c r="GX38" s="211"/>
      <c r="GY38" s="211"/>
      <c r="GZ38" s="211"/>
      <c r="HA38" s="211"/>
      <c r="HB38" s="211"/>
      <c r="HC38" s="211"/>
      <c r="HD38" s="211"/>
      <c r="HE38" s="211"/>
      <c r="HF38" s="211"/>
      <c r="HG38" s="211"/>
      <c r="HH38" s="211"/>
      <c r="HI38" s="211"/>
      <c r="HS38" s="928"/>
      <c r="HT38" s="929"/>
      <c r="HU38" s="929"/>
      <c r="HV38" s="929"/>
      <c r="HW38" s="929"/>
      <c r="HX38" s="929"/>
      <c r="HY38" s="929"/>
      <c r="HZ38" s="929"/>
      <c r="IA38" s="929"/>
      <c r="IB38" s="929"/>
      <c r="IC38" s="929"/>
      <c r="ID38" s="929"/>
      <c r="IE38" s="929"/>
      <c r="IF38" s="930"/>
      <c r="IQ38" s="934"/>
      <c r="IR38" s="935"/>
      <c r="IS38" s="935"/>
      <c r="IT38" s="935"/>
      <c r="IU38" s="935"/>
      <c r="IV38" s="935"/>
      <c r="IW38" s="935"/>
      <c r="IX38" s="935"/>
      <c r="IY38" s="935"/>
      <c r="IZ38" s="936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12"/>
      <c r="L39" s="937">
        <v>12</v>
      </c>
      <c r="M39" s="937"/>
      <c r="N39" s="938"/>
      <c r="O39" s="217"/>
      <c r="P39" s="939"/>
      <c r="Q39" s="939"/>
      <c r="R39" s="939"/>
      <c r="S39" s="939"/>
      <c r="T39" s="939"/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39"/>
      <c r="AZ39" s="939"/>
      <c r="BA39" s="939"/>
      <c r="BB39" s="939"/>
      <c r="BC39" s="939"/>
      <c r="BD39" s="940"/>
      <c r="BE39" s="941"/>
      <c r="BF39" s="941"/>
      <c r="BG39" s="941"/>
      <c r="BH39" s="941"/>
      <c r="BI39" s="941"/>
      <c r="BJ39" s="941"/>
      <c r="BK39" s="941"/>
      <c r="BL39" s="941"/>
      <c r="BM39" s="941"/>
      <c r="BN39" s="941"/>
      <c r="BO39" s="941"/>
      <c r="BP39" s="941"/>
      <c r="BQ39" s="941"/>
      <c r="BR39" s="941"/>
      <c r="BS39" s="941"/>
      <c r="BT39" s="941"/>
      <c r="BU39" s="941"/>
      <c r="BV39" s="941"/>
      <c r="BW39" s="941"/>
      <c r="BX39" s="941"/>
      <c r="BY39" s="941"/>
      <c r="BZ39" s="941"/>
      <c r="CA39" s="941"/>
      <c r="CB39" s="941"/>
      <c r="CC39" s="941"/>
      <c r="CD39" s="941"/>
      <c r="CE39" s="941"/>
      <c r="CF39" s="941"/>
      <c r="CG39" s="942"/>
      <c r="CH39" s="943"/>
      <c r="CI39" s="944"/>
      <c r="CJ39" s="944"/>
      <c r="CK39" s="944"/>
      <c r="CL39" s="944"/>
      <c r="CM39" s="371"/>
      <c r="CN39" s="371"/>
      <c r="CO39" s="372"/>
      <c r="CP39" s="945"/>
      <c r="CQ39" s="945"/>
      <c r="CR39" s="945"/>
      <c r="CS39" s="945"/>
      <c r="CT39" s="945"/>
      <c r="CU39" s="973"/>
      <c r="CV39" s="973"/>
      <c r="CW39" s="973"/>
      <c r="CX39" s="973"/>
      <c r="CY39" s="973"/>
      <c r="CZ39" s="973"/>
      <c r="DA39" s="973"/>
      <c r="DB39" s="973"/>
      <c r="DC39" s="973"/>
      <c r="DD39" s="973"/>
      <c r="DE39" s="947"/>
      <c r="DF39" s="947"/>
      <c r="DG39" s="947"/>
      <c r="DH39" s="947"/>
      <c r="DI39" s="947"/>
      <c r="DJ39" s="947"/>
      <c r="DK39" s="947"/>
      <c r="DL39" s="947"/>
      <c r="DM39" s="947"/>
      <c r="DN39" s="947"/>
      <c r="DO39" s="949">
        <f>BEZ_Lohn_12_Ges_Zeit/60</f>
        <v>0</v>
      </c>
      <c r="DP39" s="949"/>
      <c r="DQ39" s="949"/>
      <c r="DR39" s="949"/>
      <c r="DS39" s="949"/>
      <c r="DT39" s="949"/>
      <c r="DU39" s="949"/>
      <c r="DV39" s="949"/>
      <c r="DW39" s="947"/>
      <c r="DX39" s="947"/>
      <c r="DY39" s="947"/>
      <c r="DZ39" s="947"/>
      <c r="EA39" s="947"/>
      <c r="EB39" s="947"/>
      <c r="EC39" s="947"/>
      <c r="ED39" s="947"/>
      <c r="EE39" s="947"/>
      <c r="EF39" s="947"/>
      <c r="EG39" s="951"/>
      <c r="EH39" s="951"/>
      <c r="EI39" s="951"/>
      <c r="EJ39" s="951"/>
      <c r="EK39" s="951"/>
      <c r="EL39" s="951"/>
      <c r="EM39" s="951"/>
      <c r="EN39" s="951"/>
      <c r="EO39" s="951"/>
      <c r="EP39" s="951"/>
      <c r="EQ39" s="951"/>
      <c r="ER39" s="951"/>
      <c r="ES39" s="951"/>
      <c r="ET39" s="951"/>
      <c r="EU39" s="951"/>
      <c r="EV39" s="951"/>
      <c r="EW39" s="952" t="str">
        <f>IF(BEZ_Lohn_12_Ges_Zeit="","",((BEZ_Lohn_12_Ges_Zeit*((BEZ_Lohn_12_Zuschl_auf_Zeit/100)+1))/BEZ_Lohn_12_Leist_je_Art)*BEZ_Lohn_12_Bedarf_je_Art*BEZ_Lohn_12_MA_Anz)</f>
        <v/>
      </c>
      <c r="EX39" s="952"/>
      <c r="EY39" s="952"/>
      <c r="EZ39" s="952"/>
      <c r="FA39" s="952"/>
      <c r="FB39" s="952"/>
      <c r="FC39" s="952"/>
      <c r="FD39" s="952"/>
      <c r="FE39" s="963" t="str">
        <f>IF(BEZ_Lohn_12_Ges_Min_je_Art="","",(BEZ_Lohn_12_Ges_Min_je_Art / 60)*BEZ_Lohn_12_St_Satz_excl)</f>
        <v/>
      </c>
      <c r="FF39" s="963"/>
      <c r="FG39" s="963"/>
      <c r="FH39" s="963"/>
      <c r="FI39" s="963"/>
      <c r="FJ39" s="963"/>
      <c r="FK39" s="963"/>
      <c r="FL39" s="963"/>
      <c r="FM39" s="963"/>
      <c r="FN39" s="963"/>
      <c r="FO39" s="964" t="str">
        <f>IF(BEZ_Lohn_12_Ges_Min_je_Art="","",(BEZ_Lohn_12_Ges_Min_je_Art / 60)*BEZ_Lohn_12_St_Satz_excl*KI_N)</f>
        <v/>
      </c>
      <c r="FP39" s="965"/>
      <c r="FQ39" s="965"/>
      <c r="FR39" s="965"/>
      <c r="FS39" s="965"/>
      <c r="FT39" s="965"/>
      <c r="FU39" s="965"/>
      <c r="FV39" s="965"/>
      <c r="FW39" s="965"/>
      <c r="FX39" s="966"/>
      <c r="FY39" s="985"/>
      <c r="FZ39" s="986"/>
      <c r="GA39" s="986"/>
      <c r="GB39" s="986"/>
      <c r="GC39" s="986"/>
      <c r="GD39" s="986"/>
      <c r="GE39" s="986"/>
      <c r="GF39" s="986"/>
      <c r="GG39" s="986"/>
      <c r="GH39" s="986"/>
      <c r="GI39" s="986"/>
      <c r="GJ39" s="986"/>
      <c r="GK39" s="986"/>
      <c r="GL39" s="986"/>
      <c r="GM39" s="986"/>
      <c r="GN39" s="986"/>
      <c r="GO39" s="986"/>
      <c r="GP39" s="986"/>
      <c r="GQ39" s="986"/>
      <c r="GR39" s="986"/>
      <c r="GS39" s="986"/>
      <c r="GT39" s="987"/>
      <c r="GU39" s="25"/>
      <c r="GV39" s="211"/>
      <c r="GW39" s="211"/>
      <c r="GX39" s="211"/>
      <c r="GY39" s="211"/>
      <c r="GZ39" s="211"/>
      <c r="HA39" s="211"/>
      <c r="HB39" s="211"/>
      <c r="HC39" s="211"/>
      <c r="HD39" s="211"/>
      <c r="HE39" s="211"/>
      <c r="HF39" s="211"/>
      <c r="HG39" s="211"/>
      <c r="HH39" s="211"/>
      <c r="HI39" s="211"/>
      <c r="HS39" s="928"/>
      <c r="HT39" s="929"/>
      <c r="HU39" s="929"/>
      <c r="HV39" s="929"/>
      <c r="HW39" s="929"/>
      <c r="HX39" s="929"/>
      <c r="HY39" s="929"/>
      <c r="HZ39" s="929"/>
      <c r="IA39" s="929"/>
      <c r="IB39" s="929"/>
      <c r="IC39" s="929"/>
      <c r="ID39" s="929"/>
      <c r="IE39" s="929"/>
      <c r="IF39" s="930"/>
      <c r="IQ39" s="934"/>
      <c r="IR39" s="935"/>
      <c r="IS39" s="935"/>
      <c r="IT39" s="935"/>
      <c r="IU39" s="935"/>
      <c r="IV39" s="935"/>
      <c r="IW39" s="935"/>
      <c r="IX39" s="935"/>
      <c r="IY39" s="935"/>
      <c r="IZ39" s="936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12"/>
      <c r="L40" s="937"/>
      <c r="M40" s="937"/>
      <c r="N40" s="938"/>
      <c r="O40" s="217"/>
      <c r="P40" s="939"/>
      <c r="Q40" s="939"/>
      <c r="R40" s="939"/>
      <c r="S40" s="939"/>
      <c r="T40" s="939"/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39"/>
      <c r="AZ40" s="939"/>
      <c r="BA40" s="939"/>
      <c r="BB40" s="939"/>
      <c r="BC40" s="939"/>
      <c r="BD40" s="940"/>
      <c r="BE40" s="941"/>
      <c r="BF40" s="941"/>
      <c r="BG40" s="941"/>
      <c r="BH40" s="941"/>
      <c r="BI40" s="941"/>
      <c r="BJ40" s="941"/>
      <c r="BK40" s="941"/>
      <c r="BL40" s="941"/>
      <c r="BM40" s="941"/>
      <c r="BN40" s="941"/>
      <c r="BO40" s="941"/>
      <c r="BP40" s="941"/>
      <c r="BQ40" s="941"/>
      <c r="BR40" s="941"/>
      <c r="BS40" s="941"/>
      <c r="BT40" s="941"/>
      <c r="BU40" s="941"/>
      <c r="BV40" s="941"/>
      <c r="BW40" s="941"/>
      <c r="BX40" s="941"/>
      <c r="BY40" s="941"/>
      <c r="BZ40" s="941"/>
      <c r="CA40" s="941"/>
      <c r="CB40" s="941"/>
      <c r="CC40" s="941"/>
      <c r="CD40" s="941"/>
      <c r="CE40" s="941"/>
      <c r="CF40" s="941"/>
      <c r="CG40" s="942"/>
      <c r="CH40" s="943"/>
      <c r="CI40" s="944"/>
      <c r="CJ40" s="944"/>
      <c r="CK40" s="944"/>
      <c r="CL40" s="944"/>
      <c r="CM40" s="371"/>
      <c r="CN40" s="371"/>
      <c r="CO40" s="372"/>
      <c r="CP40" s="945"/>
      <c r="CQ40" s="945"/>
      <c r="CR40" s="945"/>
      <c r="CS40" s="945"/>
      <c r="CT40" s="945"/>
      <c r="CU40" s="973"/>
      <c r="CV40" s="973"/>
      <c r="CW40" s="973"/>
      <c r="CX40" s="973"/>
      <c r="CY40" s="973"/>
      <c r="CZ40" s="973"/>
      <c r="DA40" s="973"/>
      <c r="DB40" s="973"/>
      <c r="DC40" s="973"/>
      <c r="DD40" s="973"/>
      <c r="DE40" s="947"/>
      <c r="DF40" s="947"/>
      <c r="DG40" s="947"/>
      <c r="DH40" s="947"/>
      <c r="DI40" s="947"/>
      <c r="DJ40" s="947"/>
      <c r="DK40" s="947"/>
      <c r="DL40" s="947"/>
      <c r="DM40" s="947"/>
      <c r="DN40" s="947"/>
      <c r="DO40" s="949"/>
      <c r="DP40" s="949"/>
      <c r="DQ40" s="949"/>
      <c r="DR40" s="949"/>
      <c r="DS40" s="949"/>
      <c r="DT40" s="949"/>
      <c r="DU40" s="949"/>
      <c r="DV40" s="949"/>
      <c r="DW40" s="947"/>
      <c r="DX40" s="947"/>
      <c r="DY40" s="947"/>
      <c r="DZ40" s="947"/>
      <c r="EA40" s="947"/>
      <c r="EB40" s="947"/>
      <c r="EC40" s="947"/>
      <c r="ED40" s="947"/>
      <c r="EE40" s="947"/>
      <c r="EF40" s="947"/>
      <c r="EG40" s="951"/>
      <c r="EH40" s="951"/>
      <c r="EI40" s="951"/>
      <c r="EJ40" s="951"/>
      <c r="EK40" s="951"/>
      <c r="EL40" s="951"/>
      <c r="EM40" s="951"/>
      <c r="EN40" s="951"/>
      <c r="EO40" s="951"/>
      <c r="EP40" s="951"/>
      <c r="EQ40" s="951"/>
      <c r="ER40" s="951"/>
      <c r="ES40" s="951"/>
      <c r="ET40" s="951"/>
      <c r="EU40" s="951"/>
      <c r="EV40" s="951"/>
      <c r="EW40" s="952"/>
      <c r="EX40" s="952"/>
      <c r="EY40" s="952"/>
      <c r="EZ40" s="952"/>
      <c r="FA40" s="952"/>
      <c r="FB40" s="952"/>
      <c r="FC40" s="952"/>
      <c r="FD40" s="952"/>
      <c r="FE40" s="963"/>
      <c r="FF40" s="963"/>
      <c r="FG40" s="963"/>
      <c r="FH40" s="963"/>
      <c r="FI40" s="963"/>
      <c r="FJ40" s="963"/>
      <c r="FK40" s="963"/>
      <c r="FL40" s="963"/>
      <c r="FM40" s="963"/>
      <c r="FN40" s="963"/>
      <c r="FO40" s="964"/>
      <c r="FP40" s="965"/>
      <c r="FQ40" s="965"/>
      <c r="FR40" s="965"/>
      <c r="FS40" s="965"/>
      <c r="FT40" s="965"/>
      <c r="FU40" s="965"/>
      <c r="FV40" s="965"/>
      <c r="FW40" s="965"/>
      <c r="FX40" s="966"/>
      <c r="FY40" s="979">
        <f>BEZ_Lohn_Zeit_KI/AUSSEN_RECH_M2</f>
        <v>0.98829854522454152</v>
      </c>
      <c r="FZ40" s="980"/>
      <c r="GA40" s="980"/>
      <c r="GB40" s="980"/>
      <c r="GC40" s="980"/>
      <c r="GD40" s="980"/>
      <c r="GE40" s="980"/>
      <c r="GF40" s="980"/>
      <c r="GG40" s="980"/>
      <c r="GH40" s="980"/>
      <c r="GI40" s="981" t="s">
        <v>382</v>
      </c>
      <c r="GJ40" s="981"/>
      <c r="GK40" s="981"/>
      <c r="GL40" s="981"/>
      <c r="GM40" s="981"/>
      <c r="GN40" s="981"/>
      <c r="GO40" s="981"/>
      <c r="GP40" s="981"/>
      <c r="GQ40" s="981"/>
      <c r="GR40" s="981"/>
      <c r="GS40" s="981"/>
      <c r="GT40" s="982"/>
      <c r="GU40" s="25"/>
      <c r="GV40" s="211"/>
      <c r="GW40" s="211"/>
      <c r="GX40" s="211"/>
      <c r="GY40" s="211"/>
      <c r="GZ40" s="211"/>
      <c r="HA40" s="211"/>
      <c r="HB40" s="211"/>
      <c r="HC40" s="211"/>
      <c r="HD40" s="211"/>
      <c r="HE40" s="211"/>
      <c r="HF40" s="211"/>
      <c r="HG40" s="211"/>
      <c r="HH40" s="211"/>
      <c r="HI40" s="211"/>
      <c r="HS40" s="928"/>
      <c r="HT40" s="929"/>
      <c r="HU40" s="929"/>
      <c r="HV40" s="929"/>
      <c r="HW40" s="929"/>
      <c r="HX40" s="929"/>
      <c r="HY40" s="929"/>
      <c r="HZ40" s="929"/>
      <c r="IA40" s="929"/>
      <c r="IB40" s="929"/>
      <c r="IC40" s="929"/>
      <c r="ID40" s="929"/>
      <c r="IE40" s="929"/>
      <c r="IF40" s="930"/>
      <c r="IQ40" s="934"/>
      <c r="IR40" s="935"/>
      <c r="IS40" s="935"/>
      <c r="IT40" s="935"/>
      <c r="IU40" s="935"/>
      <c r="IV40" s="935"/>
      <c r="IW40" s="935"/>
      <c r="IX40" s="935"/>
      <c r="IY40" s="935"/>
      <c r="IZ40" s="936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12"/>
      <c r="L41" s="937">
        <v>13</v>
      </c>
      <c r="M41" s="937"/>
      <c r="N41" s="938"/>
      <c r="O41" s="217"/>
      <c r="P41" s="939" t="s">
        <v>498</v>
      </c>
      <c r="Q41" s="939"/>
      <c r="R41" s="939"/>
      <c r="S41" s="939"/>
      <c r="T41" s="939"/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39"/>
      <c r="AZ41" s="939"/>
      <c r="BA41" s="939"/>
      <c r="BB41" s="939"/>
      <c r="BC41" s="939"/>
      <c r="BD41" s="940" t="s">
        <v>496</v>
      </c>
      <c r="BE41" s="941"/>
      <c r="BF41" s="941"/>
      <c r="BG41" s="941"/>
      <c r="BH41" s="941"/>
      <c r="BI41" s="941"/>
      <c r="BJ41" s="941"/>
      <c r="BK41" s="941"/>
      <c r="BL41" s="941"/>
      <c r="BM41" s="941"/>
      <c r="BN41" s="941"/>
      <c r="BO41" s="941"/>
      <c r="BP41" s="941"/>
      <c r="BQ41" s="941"/>
      <c r="BR41" s="941"/>
      <c r="BS41" s="941"/>
      <c r="BT41" s="941"/>
      <c r="BU41" s="941"/>
      <c r="BV41" s="941"/>
      <c r="BW41" s="941"/>
      <c r="BX41" s="941"/>
      <c r="BY41" s="941"/>
      <c r="BZ41" s="941"/>
      <c r="CA41" s="941"/>
      <c r="CB41" s="941"/>
      <c r="CC41" s="941"/>
      <c r="CD41" s="941"/>
      <c r="CE41" s="941"/>
      <c r="CF41" s="941"/>
      <c r="CG41" s="942"/>
      <c r="CH41" s="943">
        <v>10002939</v>
      </c>
      <c r="CI41" s="944"/>
      <c r="CJ41" s="944"/>
      <c r="CK41" s="944"/>
      <c r="CL41" s="944"/>
      <c r="CM41" s="371"/>
      <c r="CN41" s="371"/>
      <c r="CO41" s="372"/>
      <c r="CP41" s="945">
        <v>1</v>
      </c>
      <c r="CQ41" s="945"/>
      <c r="CR41" s="945"/>
      <c r="CS41" s="945"/>
      <c r="CT41" s="945"/>
      <c r="CU41" s="973">
        <v>60</v>
      </c>
      <c r="CV41" s="973"/>
      <c r="CW41" s="973"/>
      <c r="CX41" s="973"/>
      <c r="CY41" s="973"/>
      <c r="CZ41" s="973"/>
      <c r="DA41" s="973"/>
      <c r="DB41" s="973"/>
      <c r="DC41" s="973"/>
      <c r="DD41" s="973"/>
      <c r="DE41" s="947">
        <v>30</v>
      </c>
      <c r="DF41" s="947"/>
      <c r="DG41" s="947"/>
      <c r="DH41" s="947"/>
      <c r="DI41" s="947"/>
      <c r="DJ41" s="947"/>
      <c r="DK41" s="947"/>
      <c r="DL41" s="947"/>
      <c r="DM41" s="947"/>
      <c r="DN41" s="947"/>
      <c r="DO41" s="949">
        <f>BEZ_Lohn_13_Ges_Zeit/60</f>
        <v>0.5</v>
      </c>
      <c r="DP41" s="949"/>
      <c r="DQ41" s="949"/>
      <c r="DR41" s="949"/>
      <c r="DS41" s="949"/>
      <c r="DT41" s="949"/>
      <c r="DU41" s="949"/>
      <c r="DV41" s="949"/>
      <c r="DW41" s="947"/>
      <c r="DX41" s="947"/>
      <c r="DY41" s="947"/>
      <c r="DZ41" s="947"/>
      <c r="EA41" s="947"/>
      <c r="EB41" s="947"/>
      <c r="EC41" s="947"/>
      <c r="ED41" s="947"/>
      <c r="EE41" s="947"/>
      <c r="EF41" s="947"/>
      <c r="EG41" s="951">
        <v>30</v>
      </c>
      <c r="EH41" s="951"/>
      <c r="EI41" s="951"/>
      <c r="EJ41" s="951"/>
      <c r="EK41" s="951"/>
      <c r="EL41" s="951"/>
      <c r="EM41" s="951"/>
      <c r="EN41" s="951"/>
      <c r="EO41" s="951">
        <v>1</v>
      </c>
      <c r="EP41" s="951"/>
      <c r="EQ41" s="951"/>
      <c r="ER41" s="951"/>
      <c r="ES41" s="951"/>
      <c r="ET41" s="951"/>
      <c r="EU41" s="951"/>
      <c r="EV41" s="951"/>
      <c r="EW41" s="952">
        <f>IF(BEZ_Lohn_13_Ges_Zeit="","",((BEZ_Lohn_13_Ges_Zeit*((BEZ_Lohn_13_Zuschl_auf_Zeit/100)+1))/BEZ_Lohn_13_Leist_je_Art)*BEZ_Lohn_13_Bedarf_je_Art*BEZ_Lohn_13_MA_Anz)</f>
        <v>1</v>
      </c>
      <c r="EX41" s="952"/>
      <c r="EY41" s="952"/>
      <c r="EZ41" s="952"/>
      <c r="FA41" s="952"/>
      <c r="FB41" s="952"/>
      <c r="FC41" s="952"/>
      <c r="FD41" s="952"/>
      <c r="FE41" s="963">
        <f>IF(BEZ_Lohn_13_Ges_Min_je_Art="","",(BEZ_Lohn_13_Ges_Min_je_Art / 60)*BEZ_Lohn_13_St_Satz_excl)</f>
        <v>1</v>
      </c>
      <c r="FF41" s="963"/>
      <c r="FG41" s="963"/>
      <c r="FH41" s="963"/>
      <c r="FI41" s="963"/>
      <c r="FJ41" s="963"/>
      <c r="FK41" s="963"/>
      <c r="FL41" s="963"/>
      <c r="FM41" s="963"/>
      <c r="FN41" s="963"/>
      <c r="FO41" s="964">
        <f>IF(BEZ_Lohn_13_Ges_Min_je_Art="","",(BEZ_Lohn_13_Ges_Min_je_Art / 60)*BEZ_Lohn_13_St_Satz_excl*KI_N)</f>
        <v>1</v>
      </c>
      <c r="FP41" s="965"/>
      <c r="FQ41" s="965"/>
      <c r="FR41" s="965"/>
      <c r="FS41" s="965"/>
      <c r="FT41" s="965"/>
      <c r="FU41" s="965"/>
      <c r="FV41" s="965"/>
      <c r="FW41" s="965"/>
      <c r="FX41" s="966"/>
      <c r="FY41" s="979"/>
      <c r="FZ41" s="980"/>
      <c r="GA41" s="980"/>
      <c r="GB41" s="980"/>
      <c r="GC41" s="980"/>
      <c r="GD41" s="980"/>
      <c r="GE41" s="980"/>
      <c r="GF41" s="980"/>
      <c r="GG41" s="980"/>
      <c r="GH41" s="980"/>
      <c r="GI41" s="981"/>
      <c r="GJ41" s="981"/>
      <c r="GK41" s="981"/>
      <c r="GL41" s="981"/>
      <c r="GM41" s="981"/>
      <c r="GN41" s="981"/>
      <c r="GO41" s="981"/>
      <c r="GP41" s="981"/>
      <c r="GQ41" s="981"/>
      <c r="GR41" s="981"/>
      <c r="GS41" s="981"/>
      <c r="GT41" s="982"/>
      <c r="GU41" s="25"/>
      <c r="GV41" s="211"/>
      <c r="GW41" s="211"/>
      <c r="GX41" s="211"/>
      <c r="GY41" s="211"/>
      <c r="GZ41" s="211"/>
      <c r="HA41" s="211"/>
      <c r="HB41" s="211"/>
      <c r="HC41" s="211"/>
      <c r="HD41" s="211"/>
      <c r="HE41" s="211"/>
      <c r="HF41" s="211"/>
      <c r="HG41" s="211"/>
      <c r="HH41" s="211"/>
      <c r="HI41" s="211"/>
      <c r="HS41" s="928"/>
      <c r="HT41" s="929"/>
      <c r="HU41" s="929"/>
      <c r="HV41" s="929"/>
      <c r="HW41" s="929"/>
      <c r="HX41" s="929"/>
      <c r="HY41" s="929"/>
      <c r="HZ41" s="929"/>
      <c r="IA41" s="929"/>
      <c r="IB41" s="929"/>
      <c r="IC41" s="929"/>
      <c r="ID41" s="929"/>
      <c r="IE41" s="929"/>
      <c r="IF41" s="930"/>
      <c r="IQ41" s="934"/>
      <c r="IR41" s="935"/>
      <c r="IS41" s="935"/>
      <c r="IT41" s="935"/>
      <c r="IU41" s="935"/>
      <c r="IV41" s="935"/>
      <c r="IW41" s="935"/>
      <c r="IX41" s="935"/>
      <c r="IY41" s="935"/>
      <c r="IZ41" s="936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12"/>
      <c r="L42" s="937"/>
      <c r="M42" s="937"/>
      <c r="N42" s="938"/>
      <c r="O42" s="217"/>
      <c r="P42" s="939"/>
      <c r="Q42" s="939"/>
      <c r="R42" s="939"/>
      <c r="S42" s="939"/>
      <c r="T42" s="939"/>
      <c r="U42" s="939"/>
      <c r="V42" s="939"/>
      <c r="W42" s="939"/>
      <c r="X42" s="939"/>
      <c r="Y42" s="939"/>
      <c r="Z42" s="939"/>
      <c r="AA42" s="939"/>
      <c r="AB42" s="939"/>
      <c r="AC42" s="939"/>
      <c r="AD42" s="939"/>
      <c r="AE42" s="939"/>
      <c r="AF42" s="939"/>
      <c r="AG42" s="939"/>
      <c r="AH42" s="939"/>
      <c r="AI42" s="939"/>
      <c r="AJ42" s="939"/>
      <c r="AK42" s="939"/>
      <c r="AL42" s="939"/>
      <c r="AM42" s="939"/>
      <c r="AN42" s="939"/>
      <c r="AO42" s="939"/>
      <c r="AP42" s="939"/>
      <c r="AQ42" s="939"/>
      <c r="AR42" s="939"/>
      <c r="AS42" s="939"/>
      <c r="AT42" s="939"/>
      <c r="AU42" s="939"/>
      <c r="AV42" s="939"/>
      <c r="AW42" s="939"/>
      <c r="AX42" s="939"/>
      <c r="AY42" s="939"/>
      <c r="AZ42" s="939"/>
      <c r="BA42" s="939"/>
      <c r="BB42" s="939"/>
      <c r="BC42" s="939"/>
      <c r="BD42" s="940"/>
      <c r="BE42" s="941"/>
      <c r="BF42" s="941"/>
      <c r="BG42" s="941"/>
      <c r="BH42" s="941"/>
      <c r="BI42" s="941"/>
      <c r="BJ42" s="941"/>
      <c r="BK42" s="941"/>
      <c r="BL42" s="941"/>
      <c r="BM42" s="941"/>
      <c r="BN42" s="941"/>
      <c r="BO42" s="941"/>
      <c r="BP42" s="941"/>
      <c r="BQ42" s="941"/>
      <c r="BR42" s="941"/>
      <c r="BS42" s="941"/>
      <c r="BT42" s="941"/>
      <c r="BU42" s="941"/>
      <c r="BV42" s="941"/>
      <c r="BW42" s="941"/>
      <c r="BX42" s="941"/>
      <c r="BY42" s="941"/>
      <c r="BZ42" s="941"/>
      <c r="CA42" s="941"/>
      <c r="CB42" s="941"/>
      <c r="CC42" s="941"/>
      <c r="CD42" s="941"/>
      <c r="CE42" s="941"/>
      <c r="CF42" s="941"/>
      <c r="CG42" s="942"/>
      <c r="CH42" s="943"/>
      <c r="CI42" s="944"/>
      <c r="CJ42" s="944"/>
      <c r="CK42" s="944"/>
      <c r="CL42" s="944"/>
      <c r="CM42" s="371"/>
      <c r="CN42" s="371"/>
      <c r="CO42" s="372"/>
      <c r="CP42" s="945"/>
      <c r="CQ42" s="945"/>
      <c r="CR42" s="945"/>
      <c r="CS42" s="945"/>
      <c r="CT42" s="945"/>
      <c r="CU42" s="973"/>
      <c r="CV42" s="973"/>
      <c r="CW42" s="973"/>
      <c r="CX42" s="973"/>
      <c r="CY42" s="973"/>
      <c r="CZ42" s="973"/>
      <c r="DA42" s="973"/>
      <c r="DB42" s="973"/>
      <c r="DC42" s="973"/>
      <c r="DD42" s="973"/>
      <c r="DE42" s="947"/>
      <c r="DF42" s="947"/>
      <c r="DG42" s="947"/>
      <c r="DH42" s="947"/>
      <c r="DI42" s="947"/>
      <c r="DJ42" s="947"/>
      <c r="DK42" s="947"/>
      <c r="DL42" s="947"/>
      <c r="DM42" s="947"/>
      <c r="DN42" s="947"/>
      <c r="DO42" s="949"/>
      <c r="DP42" s="949"/>
      <c r="DQ42" s="949"/>
      <c r="DR42" s="949"/>
      <c r="DS42" s="949"/>
      <c r="DT42" s="949"/>
      <c r="DU42" s="949"/>
      <c r="DV42" s="949"/>
      <c r="DW42" s="947"/>
      <c r="DX42" s="947"/>
      <c r="DY42" s="947"/>
      <c r="DZ42" s="947"/>
      <c r="EA42" s="947"/>
      <c r="EB42" s="947"/>
      <c r="EC42" s="947"/>
      <c r="ED42" s="947"/>
      <c r="EE42" s="947"/>
      <c r="EF42" s="947"/>
      <c r="EG42" s="951"/>
      <c r="EH42" s="951"/>
      <c r="EI42" s="951"/>
      <c r="EJ42" s="951"/>
      <c r="EK42" s="951"/>
      <c r="EL42" s="951"/>
      <c r="EM42" s="951"/>
      <c r="EN42" s="951"/>
      <c r="EO42" s="951"/>
      <c r="EP42" s="951"/>
      <c r="EQ42" s="951"/>
      <c r="ER42" s="951"/>
      <c r="ES42" s="951"/>
      <c r="ET42" s="951"/>
      <c r="EU42" s="951"/>
      <c r="EV42" s="951"/>
      <c r="EW42" s="952"/>
      <c r="EX42" s="952"/>
      <c r="EY42" s="952"/>
      <c r="EZ42" s="952"/>
      <c r="FA42" s="952"/>
      <c r="FB42" s="952"/>
      <c r="FC42" s="952"/>
      <c r="FD42" s="952"/>
      <c r="FE42" s="963"/>
      <c r="FF42" s="963"/>
      <c r="FG42" s="963"/>
      <c r="FH42" s="963"/>
      <c r="FI42" s="963"/>
      <c r="FJ42" s="963"/>
      <c r="FK42" s="963"/>
      <c r="FL42" s="963"/>
      <c r="FM42" s="963"/>
      <c r="FN42" s="963"/>
      <c r="FO42" s="964"/>
      <c r="FP42" s="965"/>
      <c r="FQ42" s="965"/>
      <c r="FR42" s="965"/>
      <c r="FS42" s="965"/>
      <c r="FT42" s="965"/>
      <c r="FU42" s="965"/>
      <c r="FV42" s="965"/>
      <c r="FW42" s="965"/>
      <c r="FX42" s="966"/>
      <c r="FY42" s="436"/>
      <c r="FZ42" s="436"/>
      <c r="GA42" s="436"/>
      <c r="GB42" s="436"/>
      <c r="GC42" s="436"/>
      <c r="GD42" s="436"/>
      <c r="GE42" s="436"/>
      <c r="GF42" s="436"/>
      <c r="GG42" s="436"/>
      <c r="GH42" s="436"/>
      <c r="GI42" s="981" t="s">
        <v>281</v>
      </c>
      <c r="GJ42" s="981"/>
      <c r="GK42" s="981"/>
      <c r="GL42" s="981"/>
      <c r="GM42" s="981"/>
      <c r="GN42" s="981"/>
      <c r="GO42" s="981"/>
      <c r="GP42" s="981"/>
      <c r="GQ42" s="981"/>
      <c r="GR42" s="981"/>
      <c r="GS42" s="981"/>
      <c r="GT42" s="982"/>
      <c r="GU42" s="25"/>
      <c r="GV42" s="211"/>
      <c r="GW42" s="211"/>
      <c r="GX42" s="211"/>
      <c r="GY42" s="211"/>
      <c r="GZ42" s="211"/>
      <c r="HA42" s="211"/>
      <c r="HB42" s="211"/>
      <c r="HC42" s="211"/>
      <c r="HD42" s="211"/>
      <c r="HE42" s="211"/>
      <c r="HF42" s="211"/>
      <c r="HG42" s="211"/>
      <c r="HH42" s="211"/>
      <c r="HI42" s="211"/>
      <c r="HS42" s="928"/>
      <c r="HT42" s="929"/>
      <c r="HU42" s="929"/>
      <c r="HV42" s="929"/>
      <c r="HW42" s="929"/>
      <c r="HX42" s="929"/>
      <c r="HY42" s="929"/>
      <c r="HZ42" s="929"/>
      <c r="IA42" s="929"/>
      <c r="IB42" s="929"/>
      <c r="IC42" s="929"/>
      <c r="ID42" s="929"/>
      <c r="IE42" s="929"/>
      <c r="IF42" s="930"/>
      <c r="IQ42" s="934"/>
      <c r="IR42" s="935"/>
      <c r="IS42" s="935"/>
      <c r="IT42" s="935"/>
      <c r="IU42" s="935"/>
      <c r="IV42" s="935"/>
      <c r="IW42" s="935"/>
      <c r="IX42" s="935"/>
      <c r="IY42" s="935"/>
      <c r="IZ42" s="936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12"/>
      <c r="L43" s="937">
        <v>14</v>
      </c>
      <c r="M43" s="937"/>
      <c r="N43" s="938"/>
      <c r="O43" s="217"/>
      <c r="P43" s="939" t="s">
        <v>499</v>
      </c>
      <c r="Q43" s="939"/>
      <c r="R43" s="939"/>
      <c r="S43" s="939"/>
      <c r="T43" s="939"/>
      <c r="U43" s="939"/>
      <c r="V43" s="939"/>
      <c r="W43" s="939"/>
      <c r="X43" s="939"/>
      <c r="Y43" s="939"/>
      <c r="Z43" s="939"/>
      <c r="AA43" s="939"/>
      <c r="AB43" s="939"/>
      <c r="AC43" s="939"/>
      <c r="AD43" s="939"/>
      <c r="AE43" s="939"/>
      <c r="AF43" s="939"/>
      <c r="AG43" s="939"/>
      <c r="AH43" s="939"/>
      <c r="AI43" s="939"/>
      <c r="AJ43" s="939"/>
      <c r="AK43" s="939"/>
      <c r="AL43" s="939"/>
      <c r="AM43" s="939"/>
      <c r="AN43" s="939"/>
      <c r="AO43" s="939"/>
      <c r="AP43" s="939"/>
      <c r="AQ43" s="939"/>
      <c r="AR43" s="939"/>
      <c r="AS43" s="939"/>
      <c r="AT43" s="939"/>
      <c r="AU43" s="939"/>
      <c r="AV43" s="939"/>
      <c r="AW43" s="939"/>
      <c r="AX43" s="939"/>
      <c r="AY43" s="939"/>
      <c r="AZ43" s="939"/>
      <c r="BA43" s="939"/>
      <c r="BB43" s="939"/>
      <c r="BC43" s="939"/>
      <c r="BD43" s="940" t="s">
        <v>496</v>
      </c>
      <c r="BE43" s="941"/>
      <c r="BF43" s="941"/>
      <c r="BG43" s="941"/>
      <c r="BH43" s="941"/>
      <c r="BI43" s="941"/>
      <c r="BJ43" s="941"/>
      <c r="BK43" s="941"/>
      <c r="BL43" s="941"/>
      <c r="BM43" s="941"/>
      <c r="BN43" s="941"/>
      <c r="BO43" s="941"/>
      <c r="BP43" s="941"/>
      <c r="BQ43" s="941"/>
      <c r="BR43" s="941"/>
      <c r="BS43" s="941"/>
      <c r="BT43" s="941"/>
      <c r="BU43" s="941"/>
      <c r="BV43" s="941"/>
      <c r="BW43" s="941"/>
      <c r="BX43" s="941"/>
      <c r="BY43" s="941"/>
      <c r="BZ43" s="941"/>
      <c r="CA43" s="941"/>
      <c r="CB43" s="941"/>
      <c r="CC43" s="941"/>
      <c r="CD43" s="941"/>
      <c r="CE43" s="941"/>
      <c r="CF43" s="941"/>
      <c r="CG43" s="942"/>
      <c r="CH43" s="943">
        <v>10002939</v>
      </c>
      <c r="CI43" s="944"/>
      <c r="CJ43" s="944"/>
      <c r="CK43" s="944"/>
      <c r="CL43" s="944"/>
      <c r="CM43" s="371"/>
      <c r="CN43" s="371"/>
      <c r="CO43" s="372"/>
      <c r="CP43" s="945">
        <v>1</v>
      </c>
      <c r="CQ43" s="945"/>
      <c r="CR43" s="945"/>
      <c r="CS43" s="945"/>
      <c r="CT43" s="945"/>
      <c r="CU43" s="973">
        <v>60</v>
      </c>
      <c r="CV43" s="973"/>
      <c r="CW43" s="973"/>
      <c r="CX43" s="973"/>
      <c r="CY43" s="973"/>
      <c r="CZ43" s="973"/>
      <c r="DA43" s="973"/>
      <c r="DB43" s="973"/>
      <c r="DC43" s="973"/>
      <c r="DD43" s="973"/>
      <c r="DE43" s="947">
        <v>30</v>
      </c>
      <c r="DF43" s="947"/>
      <c r="DG43" s="947"/>
      <c r="DH43" s="947"/>
      <c r="DI43" s="947"/>
      <c r="DJ43" s="947"/>
      <c r="DK43" s="947"/>
      <c r="DL43" s="947"/>
      <c r="DM43" s="947"/>
      <c r="DN43" s="947"/>
      <c r="DO43" s="949">
        <f>BEZ_Lohn_14_Ges_Zeit/60</f>
        <v>0.5</v>
      </c>
      <c r="DP43" s="949"/>
      <c r="DQ43" s="949"/>
      <c r="DR43" s="949"/>
      <c r="DS43" s="949"/>
      <c r="DT43" s="949"/>
      <c r="DU43" s="949"/>
      <c r="DV43" s="949"/>
      <c r="DW43" s="947"/>
      <c r="DX43" s="947"/>
      <c r="DY43" s="947"/>
      <c r="DZ43" s="947"/>
      <c r="EA43" s="947"/>
      <c r="EB43" s="947"/>
      <c r="EC43" s="947"/>
      <c r="ED43" s="947"/>
      <c r="EE43" s="947"/>
      <c r="EF43" s="947"/>
      <c r="EG43" s="951">
        <v>30</v>
      </c>
      <c r="EH43" s="951"/>
      <c r="EI43" s="951"/>
      <c r="EJ43" s="951"/>
      <c r="EK43" s="951"/>
      <c r="EL43" s="951"/>
      <c r="EM43" s="951"/>
      <c r="EN43" s="951"/>
      <c r="EO43" s="951">
        <v>1</v>
      </c>
      <c r="EP43" s="951"/>
      <c r="EQ43" s="951"/>
      <c r="ER43" s="951"/>
      <c r="ES43" s="951"/>
      <c r="ET43" s="951"/>
      <c r="EU43" s="951"/>
      <c r="EV43" s="951"/>
      <c r="EW43" s="952">
        <f>IF(BEZ_Lohn_14_Ges_Zeit="","",((BEZ_Lohn_14_Ges_Zeit*((BEZ_Lohn_14_Zuschl_auf_Zeit/100)+1))/BEZ_Lohn_14_Leist_je_Art)*BEZ_Lohn_14_Bedarf_je_Art*BEZ_Lohn_14_MA_Anz)</f>
        <v>1</v>
      </c>
      <c r="EX43" s="952"/>
      <c r="EY43" s="952"/>
      <c r="EZ43" s="952"/>
      <c r="FA43" s="952"/>
      <c r="FB43" s="952"/>
      <c r="FC43" s="952"/>
      <c r="FD43" s="952"/>
      <c r="FE43" s="963">
        <f>IF(BEZ_Lohn_14_Ges_Min_je_Art="","",(BEZ_Lohn_14_Ges_Min_je_Art / 60)*BEZ_Lohn_14_St_Satz_excl)</f>
        <v>1</v>
      </c>
      <c r="FF43" s="963"/>
      <c r="FG43" s="963"/>
      <c r="FH43" s="963"/>
      <c r="FI43" s="963"/>
      <c r="FJ43" s="963"/>
      <c r="FK43" s="963"/>
      <c r="FL43" s="963"/>
      <c r="FM43" s="963"/>
      <c r="FN43" s="963"/>
      <c r="FO43" s="964">
        <f>IF(BEZ_Lohn_14_Ges_Min_je_Art="","",(BEZ_Lohn_14_Ges_Min_je_Art / 60)*BEZ_Lohn_14_St_Satz_excl*KI_N)</f>
        <v>1</v>
      </c>
      <c r="FP43" s="965"/>
      <c r="FQ43" s="965"/>
      <c r="FR43" s="965"/>
      <c r="FS43" s="965"/>
      <c r="FT43" s="965"/>
      <c r="FU43" s="965"/>
      <c r="FV43" s="965"/>
      <c r="FW43" s="965"/>
      <c r="FX43" s="966"/>
      <c r="FY43" s="436"/>
      <c r="FZ43" s="436"/>
      <c r="GA43" s="436"/>
      <c r="GB43" s="436"/>
      <c r="GC43" s="436"/>
      <c r="GD43" s="436"/>
      <c r="GE43" s="436"/>
      <c r="GF43" s="436"/>
      <c r="GG43" s="436"/>
      <c r="GH43" s="436"/>
      <c r="GI43" s="981"/>
      <c r="GJ43" s="981"/>
      <c r="GK43" s="981"/>
      <c r="GL43" s="981"/>
      <c r="GM43" s="981"/>
      <c r="GN43" s="981"/>
      <c r="GO43" s="981"/>
      <c r="GP43" s="981"/>
      <c r="GQ43" s="981"/>
      <c r="GR43" s="981"/>
      <c r="GS43" s="981"/>
      <c r="GT43" s="982"/>
      <c r="GU43" s="25"/>
      <c r="GV43" s="211"/>
      <c r="GW43" s="211"/>
      <c r="GX43" s="211"/>
      <c r="GY43" s="211"/>
      <c r="GZ43" s="211"/>
      <c r="HA43" s="211"/>
      <c r="HB43" s="211"/>
      <c r="HC43" s="211"/>
      <c r="HD43" s="211"/>
      <c r="HE43" s="211"/>
      <c r="HF43" s="211"/>
      <c r="HG43" s="211"/>
      <c r="HH43" s="211"/>
      <c r="HI43" s="211"/>
      <c r="HS43" s="928"/>
      <c r="HT43" s="929"/>
      <c r="HU43" s="929"/>
      <c r="HV43" s="929"/>
      <c r="HW43" s="929"/>
      <c r="HX43" s="929"/>
      <c r="HY43" s="929"/>
      <c r="HZ43" s="929"/>
      <c r="IA43" s="929"/>
      <c r="IB43" s="929"/>
      <c r="IC43" s="929"/>
      <c r="ID43" s="929"/>
      <c r="IE43" s="929"/>
      <c r="IF43" s="930"/>
      <c r="IQ43" s="934"/>
      <c r="IR43" s="935"/>
      <c r="IS43" s="935"/>
      <c r="IT43" s="935"/>
      <c r="IU43" s="935"/>
      <c r="IV43" s="935"/>
      <c r="IW43" s="935"/>
      <c r="IX43" s="935"/>
      <c r="IY43" s="935"/>
      <c r="IZ43" s="936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12"/>
      <c r="L44" s="937"/>
      <c r="M44" s="937"/>
      <c r="N44" s="938"/>
      <c r="O44" s="217"/>
      <c r="P44" s="939"/>
      <c r="Q44" s="939"/>
      <c r="R44" s="939"/>
      <c r="S44" s="939"/>
      <c r="T44" s="939"/>
      <c r="U44" s="939"/>
      <c r="V44" s="939"/>
      <c r="W44" s="939"/>
      <c r="X44" s="939"/>
      <c r="Y44" s="939"/>
      <c r="Z44" s="939"/>
      <c r="AA44" s="939"/>
      <c r="AB44" s="939"/>
      <c r="AC44" s="939"/>
      <c r="AD44" s="939"/>
      <c r="AE44" s="939"/>
      <c r="AF44" s="939"/>
      <c r="AG44" s="939"/>
      <c r="AH44" s="939"/>
      <c r="AI44" s="939"/>
      <c r="AJ44" s="939"/>
      <c r="AK44" s="939"/>
      <c r="AL44" s="939"/>
      <c r="AM44" s="939"/>
      <c r="AN44" s="939"/>
      <c r="AO44" s="939"/>
      <c r="AP44" s="939"/>
      <c r="AQ44" s="939"/>
      <c r="AR44" s="939"/>
      <c r="AS44" s="939"/>
      <c r="AT44" s="939"/>
      <c r="AU44" s="939"/>
      <c r="AV44" s="939"/>
      <c r="AW44" s="939"/>
      <c r="AX44" s="939"/>
      <c r="AY44" s="939"/>
      <c r="AZ44" s="939"/>
      <c r="BA44" s="939"/>
      <c r="BB44" s="939"/>
      <c r="BC44" s="939"/>
      <c r="BD44" s="940"/>
      <c r="BE44" s="941"/>
      <c r="BF44" s="941"/>
      <c r="BG44" s="941"/>
      <c r="BH44" s="941"/>
      <c r="BI44" s="941"/>
      <c r="BJ44" s="941"/>
      <c r="BK44" s="941"/>
      <c r="BL44" s="941"/>
      <c r="BM44" s="941"/>
      <c r="BN44" s="941"/>
      <c r="BO44" s="941"/>
      <c r="BP44" s="941"/>
      <c r="BQ44" s="941"/>
      <c r="BR44" s="941"/>
      <c r="BS44" s="941"/>
      <c r="BT44" s="941"/>
      <c r="BU44" s="941"/>
      <c r="BV44" s="941"/>
      <c r="BW44" s="941"/>
      <c r="BX44" s="941"/>
      <c r="BY44" s="941"/>
      <c r="BZ44" s="941"/>
      <c r="CA44" s="941"/>
      <c r="CB44" s="941"/>
      <c r="CC44" s="941"/>
      <c r="CD44" s="941"/>
      <c r="CE44" s="941"/>
      <c r="CF44" s="941"/>
      <c r="CG44" s="942"/>
      <c r="CH44" s="943"/>
      <c r="CI44" s="944"/>
      <c r="CJ44" s="944"/>
      <c r="CK44" s="944"/>
      <c r="CL44" s="944"/>
      <c r="CM44" s="371"/>
      <c r="CN44" s="371"/>
      <c r="CO44" s="372"/>
      <c r="CP44" s="945"/>
      <c r="CQ44" s="945"/>
      <c r="CR44" s="945"/>
      <c r="CS44" s="945"/>
      <c r="CT44" s="945"/>
      <c r="CU44" s="973"/>
      <c r="CV44" s="973"/>
      <c r="CW44" s="973"/>
      <c r="CX44" s="973"/>
      <c r="CY44" s="973"/>
      <c r="CZ44" s="973"/>
      <c r="DA44" s="973"/>
      <c r="DB44" s="973"/>
      <c r="DC44" s="973"/>
      <c r="DD44" s="973"/>
      <c r="DE44" s="947"/>
      <c r="DF44" s="947"/>
      <c r="DG44" s="947"/>
      <c r="DH44" s="947"/>
      <c r="DI44" s="947"/>
      <c r="DJ44" s="947"/>
      <c r="DK44" s="947"/>
      <c r="DL44" s="947"/>
      <c r="DM44" s="947"/>
      <c r="DN44" s="947"/>
      <c r="DO44" s="949"/>
      <c r="DP44" s="949"/>
      <c r="DQ44" s="949"/>
      <c r="DR44" s="949"/>
      <c r="DS44" s="949"/>
      <c r="DT44" s="949"/>
      <c r="DU44" s="949"/>
      <c r="DV44" s="949"/>
      <c r="DW44" s="947"/>
      <c r="DX44" s="947"/>
      <c r="DY44" s="947"/>
      <c r="DZ44" s="947"/>
      <c r="EA44" s="947"/>
      <c r="EB44" s="947"/>
      <c r="EC44" s="947"/>
      <c r="ED44" s="947"/>
      <c r="EE44" s="947"/>
      <c r="EF44" s="947"/>
      <c r="EG44" s="951"/>
      <c r="EH44" s="951"/>
      <c r="EI44" s="951"/>
      <c r="EJ44" s="951"/>
      <c r="EK44" s="951"/>
      <c r="EL44" s="951"/>
      <c r="EM44" s="951"/>
      <c r="EN44" s="951"/>
      <c r="EO44" s="951"/>
      <c r="EP44" s="951"/>
      <c r="EQ44" s="951"/>
      <c r="ER44" s="951"/>
      <c r="ES44" s="951"/>
      <c r="ET44" s="951"/>
      <c r="EU44" s="951"/>
      <c r="EV44" s="951"/>
      <c r="EW44" s="952"/>
      <c r="EX44" s="952"/>
      <c r="EY44" s="952"/>
      <c r="EZ44" s="952"/>
      <c r="FA44" s="952"/>
      <c r="FB44" s="952"/>
      <c r="FC44" s="952"/>
      <c r="FD44" s="952"/>
      <c r="FE44" s="963"/>
      <c r="FF44" s="963"/>
      <c r="FG44" s="963"/>
      <c r="FH44" s="963"/>
      <c r="FI44" s="963"/>
      <c r="FJ44" s="963"/>
      <c r="FK44" s="963"/>
      <c r="FL44" s="963"/>
      <c r="FM44" s="963"/>
      <c r="FN44" s="963"/>
      <c r="FO44" s="964"/>
      <c r="FP44" s="965"/>
      <c r="FQ44" s="965"/>
      <c r="FR44" s="965"/>
      <c r="FS44" s="965"/>
      <c r="FT44" s="965"/>
      <c r="FU44" s="965"/>
      <c r="FV44" s="965"/>
      <c r="FW44" s="965"/>
      <c r="FX44" s="966"/>
      <c r="FY44" s="979"/>
      <c r="FZ44" s="980"/>
      <c r="GA44" s="980"/>
      <c r="GB44" s="980"/>
      <c r="GC44" s="980"/>
      <c r="GD44" s="980"/>
      <c r="GE44" s="980"/>
      <c r="GF44" s="980"/>
      <c r="GG44" s="980"/>
      <c r="GH44" s="980"/>
      <c r="GI44" s="981"/>
      <c r="GJ44" s="981"/>
      <c r="GK44" s="981"/>
      <c r="GL44" s="981"/>
      <c r="GM44" s="981"/>
      <c r="GN44" s="981"/>
      <c r="GO44" s="981"/>
      <c r="GP44" s="981"/>
      <c r="GQ44" s="981"/>
      <c r="GR44" s="981"/>
      <c r="GS44" s="981"/>
      <c r="GT44" s="982"/>
      <c r="GU44" s="25"/>
      <c r="GV44" s="211"/>
      <c r="GW44" s="211"/>
      <c r="GX44" s="211"/>
      <c r="GY44" s="211"/>
      <c r="GZ44" s="211"/>
      <c r="HA44" s="211"/>
      <c r="HB44" s="211"/>
      <c r="HC44" s="211"/>
      <c r="HD44" s="211"/>
      <c r="HE44" s="211"/>
      <c r="HF44" s="211"/>
      <c r="HG44" s="211"/>
      <c r="HH44" s="211"/>
      <c r="HI44" s="211"/>
      <c r="HS44" s="928"/>
      <c r="HT44" s="929"/>
      <c r="HU44" s="929"/>
      <c r="HV44" s="929"/>
      <c r="HW44" s="929"/>
      <c r="HX44" s="929"/>
      <c r="HY44" s="929"/>
      <c r="HZ44" s="929"/>
      <c r="IA44" s="929"/>
      <c r="IB44" s="929"/>
      <c r="IC44" s="929"/>
      <c r="ID44" s="929"/>
      <c r="IE44" s="929"/>
      <c r="IF44" s="930"/>
      <c r="IQ44" s="934"/>
      <c r="IR44" s="935"/>
      <c r="IS44" s="935"/>
      <c r="IT44" s="935"/>
      <c r="IU44" s="935"/>
      <c r="IV44" s="935"/>
      <c r="IW44" s="935"/>
      <c r="IX44" s="935"/>
      <c r="IY44" s="935"/>
      <c r="IZ44" s="936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12"/>
      <c r="L45" s="937">
        <v>15</v>
      </c>
      <c r="M45" s="937"/>
      <c r="N45" s="938"/>
      <c r="O45" s="217"/>
      <c r="P45" s="939"/>
      <c r="Q45" s="939"/>
      <c r="R45" s="939"/>
      <c r="S45" s="939"/>
      <c r="T45" s="939"/>
      <c r="U45" s="939"/>
      <c r="V45" s="939"/>
      <c r="W45" s="939"/>
      <c r="X45" s="939"/>
      <c r="Y45" s="939"/>
      <c r="Z45" s="939"/>
      <c r="AA45" s="939"/>
      <c r="AB45" s="939"/>
      <c r="AC45" s="939"/>
      <c r="AD45" s="939"/>
      <c r="AE45" s="939"/>
      <c r="AF45" s="939"/>
      <c r="AG45" s="939"/>
      <c r="AH45" s="939"/>
      <c r="AI45" s="939"/>
      <c r="AJ45" s="939"/>
      <c r="AK45" s="939"/>
      <c r="AL45" s="939"/>
      <c r="AM45" s="939"/>
      <c r="AN45" s="939"/>
      <c r="AO45" s="939"/>
      <c r="AP45" s="939"/>
      <c r="AQ45" s="939"/>
      <c r="AR45" s="939"/>
      <c r="AS45" s="939"/>
      <c r="AT45" s="939"/>
      <c r="AU45" s="939"/>
      <c r="AV45" s="939"/>
      <c r="AW45" s="939"/>
      <c r="AX45" s="939"/>
      <c r="AY45" s="939"/>
      <c r="AZ45" s="939"/>
      <c r="BA45" s="939"/>
      <c r="BB45" s="939"/>
      <c r="BC45" s="939"/>
      <c r="BD45" s="940"/>
      <c r="BE45" s="941"/>
      <c r="BF45" s="941"/>
      <c r="BG45" s="941"/>
      <c r="BH45" s="941"/>
      <c r="BI45" s="941"/>
      <c r="BJ45" s="941"/>
      <c r="BK45" s="941"/>
      <c r="BL45" s="941"/>
      <c r="BM45" s="941"/>
      <c r="BN45" s="941"/>
      <c r="BO45" s="941"/>
      <c r="BP45" s="941"/>
      <c r="BQ45" s="941"/>
      <c r="BR45" s="941"/>
      <c r="BS45" s="941"/>
      <c r="BT45" s="941"/>
      <c r="BU45" s="941"/>
      <c r="BV45" s="941"/>
      <c r="BW45" s="941"/>
      <c r="BX45" s="941"/>
      <c r="BY45" s="941"/>
      <c r="BZ45" s="941"/>
      <c r="CA45" s="941"/>
      <c r="CB45" s="941"/>
      <c r="CC45" s="941"/>
      <c r="CD45" s="941"/>
      <c r="CE45" s="941"/>
      <c r="CF45" s="941"/>
      <c r="CG45" s="942"/>
      <c r="CH45" s="943"/>
      <c r="CI45" s="944"/>
      <c r="CJ45" s="944"/>
      <c r="CK45" s="944"/>
      <c r="CL45" s="944"/>
      <c r="CM45" s="371"/>
      <c r="CN45" s="371"/>
      <c r="CO45" s="372"/>
      <c r="CP45" s="945"/>
      <c r="CQ45" s="945"/>
      <c r="CR45" s="945"/>
      <c r="CS45" s="945"/>
      <c r="CT45" s="945"/>
      <c r="CU45" s="973"/>
      <c r="CV45" s="973"/>
      <c r="CW45" s="973"/>
      <c r="CX45" s="973"/>
      <c r="CY45" s="973"/>
      <c r="CZ45" s="973"/>
      <c r="DA45" s="973"/>
      <c r="DB45" s="973"/>
      <c r="DC45" s="973"/>
      <c r="DD45" s="973"/>
      <c r="DE45" s="947"/>
      <c r="DF45" s="947"/>
      <c r="DG45" s="947"/>
      <c r="DH45" s="947"/>
      <c r="DI45" s="947"/>
      <c r="DJ45" s="947"/>
      <c r="DK45" s="947"/>
      <c r="DL45" s="947"/>
      <c r="DM45" s="947"/>
      <c r="DN45" s="947"/>
      <c r="DO45" s="949">
        <f>BEZ_Lohn_15_Ges_Zeit/60</f>
        <v>0</v>
      </c>
      <c r="DP45" s="949"/>
      <c r="DQ45" s="949"/>
      <c r="DR45" s="949"/>
      <c r="DS45" s="949"/>
      <c r="DT45" s="949"/>
      <c r="DU45" s="949"/>
      <c r="DV45" s="949"/>
      <c r="DW45" s="947"/>
      <c r="DX45" s="947"/>
      <c r="DY45" s="947"/>
      <c r="DZ45" s="947"/>
      <c r="EA45" s="947"/>
      <c r="EB45" s="947"/>
      <c r="EC45" s="947"/>
      <c r="ED45" s="947"/>
      <c r="EE45" s="947"/>
      <c r="EF45" s="947"/>
      <c r="EG45" s="951"/>
      <c r="EH45" s="951"/>
      <c r="EI45" s="951"/>
      <c r="EJ45" s="951"/>
      <c r="EK45" s="951"/>
      <c r="EL45" s="951"/>
      <c r="EM45" s="951"/>
      <c r="EN45" s="951"/>
      <c r="EO45" s="951"/>
      <c r="EP45" s="951"/>
      <c r="EQ45" s="951"/>
      <c r="ER45" s="951"/>
      <c r="ES45" s="951"/>
      <c r="ET45" s="951"/>
      <c r="EU45" s="951"/>
      <c r="EV45" s="951"/>
      <c r="EW45" s="952" t="str">
        <f>IF(BEZ_Lohn_15_Ges_Zeit="","",((BEZ_Lohn_15_Ges_Zeit*((BEZ_Lohn_15_Zuschl_auf_Zeit/100)+1))/BEZ_Lohn_15_Leist_je_Art)*BEZ_Lohn_15_Bedarf_je_Art*BEZ_Lohn_15_MA_Anz)</f>
        <v/>
      </c>
      <c r="EX45" s="952"/>
      <c r="EY45" s="952"/>
      <c r="EZ45" s="952"/>
      <c r="FA45" s="952"/>
      <c r="FB45" s="952"/>
      <c r="FC45" s="952"/>
      <c r="FD45" s="952"/>
      <c r="FE45" s="963" t="str">
        <f>IF(BEZ_Lohn_15_Ges_Min_je_Art="","",(BEZ_Lohn_15_Ges_Min_je_Art / 60)*BEZ_Lohn_15_St_Satz_excl)</f>
        <v/>
      </c>
      <c r="FF45" s="963"/>
      <c r="FG45" s="963"/>
      <c r="FH45" s="963"/>
      <c r="FI45" s="963"/>
      <c r="FJ45" s="963"/>
      <c r="FK45" s="963"/>
      <c r="FL45" s="963"/>
      <c r="FM45" s="963"/>
      <c r="FN45" s="963"/>
      <c r="FO45" s="964" t="str">
        <f>IF(BEZ_Lohn_15_Ges_Min_je_Art="","",(BEZ_Lohn_15_Ges_Min_je_Art / 60)*BEZ_Lohn_15_St_Satz_excl*KI_N)</f>
        <v/>
      </c>
      <c r="FP45" s="965"/>
      <c r="FQ45" s="965"/>
      <c r="FR45" s="965"/>
      <c r="FS45" s="965"/>
      <c r="FT45" s="965"/>
      <c r="FU45" s="965"/>
      <c r="FV45" s="965"/>
      <c r="FW45" s="965"/>
      <c r="FX45" s="966"/>
      <c r="FY45" s="979"/>
      <c r="FZ45" s="980"/>
      <c r="GA45" s="980"/>
      <c r="GB45" s="980"/>
      <c r="GC45" s="980"/>
      <c r="GD45" s="980"/>
      <c r="GE45" s="980"/>
      <c r="GF45" s="980"/>
      <c r="GG45" s="980"/>
      <c r="GH45" s="980"/>
      <c r="GI45" s="981"/>
      <c r="GJ45" s="981"/>
      <c r="GK45" s="981"/>
      <c r="GL45" s="981"/>
      <c r="GM45" s="981"/>
      <c r="GN45" s="981"/>
      <c r="GO45" s="981"/>
      <c r="GP45" s="981"/>
      <c r="GQ45" s="981"/>
      <c r="GR45" s="981"/>
      <c r="GS45" s="981"/>
      <c r="GT45" s="982"/>
      <c r="GU45" s="25"/>
      <c r="GV45" s="211"/>
      <c r="GW45" s="211"/>
      <c r="GX45" s="211"/>
      <c r="GY45" s="211"/>
      <c r="GZ45" s="211"/>
      <c r="HA45" s="211"/>
      <c r="HB45" s="211"/>
      <c r="HC45" s="211"/>
      <c r="HD45" s="211"/>
      <c r="HE45" s="211"/>
      <c r="HF45" s="211"/>
      <c r="HG45" s="211"/>
      <c r="HH45" s="211"/>
      <c r="HI45" s="211"/>
      <c r="HS45" s="928"/>
      <c r="HT45" s="929"/>
      <c r="HU45" s="929"/>
      <c r="HV45" s="929"/>
      <c r="HW45" s="929"/>
      <c r="HX45" s="929"/>
      <c r="HY45" s="929"/>
      <c r="HZ45" s="929"/>
      <c r="IA45" s="929"/>
      <c r="IB45" s="929"/>
      <c r="IC45" s="929"/>
      <c r="ID45" s="929"/>
      <c r="IE45" s="929"/>
      <c r="IF45" s="930"/>
      <c r="IQ45" s="934"/>
      <c r="IR45" s="935"/>
      <c r="IS45" s="935"/>
      <c r="IT45" s="935"/>
      <c r="IU45" s="935"/>
      <c r="IV45" s="935"/>
      <c r="IW45" s="935"/>
      <c r="IX45" s="935"/>
      <c r="IY45" s="935"/>
      <c r="IZ45" s="936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12"/>
      <c r="L46" s="937"/>
      <c r="M46" s="937"/>
      <c r="N46" s="938"/>
      <c r="O46" s="217"/>
      <c r="P46" s="939"/>
      <c r="Q46" s="939"/>
      <c r="R46" s="939"/>
      <c r="S46" s="939"/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39"/>
      <c r="AY46" s="939"/>
      <c r="AZ46" s="939"/>
      <c r="BA46" s="939"/>
      <c r="BB46" s="939"/>
      <c r="BC46" s="939"/>
      <c r="BD46" s="940"/>
      <c r="BE46" s="941"/>
      <c r="BF46" s="941"/>
      <c r="BG46" s="941"/>
      <c r="BH46" s="941"/>
      <c r="BI46" s="941"/>
      <c r="BJ46" s="941"/>
      <c r="BK46" s="941"/>
      <c r="BL46" s="941"/>
      <c r="BM46" s="941"/>
      <c r="BN46" s="941"/>
      <c r="BO46" s="941"/>
      <c r="BP46" s="941"/>
      <c r="BQ46" s="941"/>
      <c r="BR46" s="941"/>
      <c r="BS46" s="941"/>
      <c r="BT46" s="941"/>
      <c r="BU46" s="941"/>
      <c r="BV46" s="941"/>
      <c r="BW46" s="941"/>
      <c r="BX46" s="941"/>
      <c r="BY46" s="941"/>
      <c r="BZ46" s="941"/>
      <c r="CA46" s="941"/>
      <c r="CB46" s="941"/>
      <c r="CC46" s="941"/>
      <c r="CD46" s="941"/>
      <c r="CE46" s="941"/>
      <c r="CF46" s="941"/>
      <c r="CG46" s="942"/>
      <c r="CH46" s="943"/>
      <c r="CI46" s="944"/>
      <c r="CJ46" s="944"/>
      <c r="CK46" s="944"/>
      <c r="CL46" s="944"/>
      <c r="CM46" s="371"/>
      <c r="CN46" s="371"/>
      <c r="CO46" s="372"/>
      <c r="CP46" s="945"/>
      <c r="CQ46" s="945"/>
      <c r="CR46" s="945"/>
      <c r="CS46" s="945"/>
      <c r="CT46" s="945"/>
      <c r="CU46" s="973"/>
      <c r="CV46" s="973"/>
      <c r="CW46" s="973"/>
      <c r="CX46" s="973"/>
      <c r="CY46" s="973"/>
      <c r="CZ46" s="973"/>
      <c r="DA46" s="973"/>
      <c r="DB46" s="973"/>
      <c r="DC46" s="973"/>
      <c r="DD46" s="973"/>
      <c r="DE46" s="947"/>
      <c r="DF46" s="947"/>
      <c r="DG46" s="947"/>
      <c r="DH46" s="947"/>
      <c r="DI46" s="947"/>
      <c r="DJ46" s="947"/>
      <c r="DK46" s="947"/>
      <c r="DL46" s="947"/>
      <c r="DM46" s="947"/>
      <c r="DN46" s="947"/>
      <c r="DO46" s="949"/>
      <c r="DP46" s="949"/>
      <c r="DQ46" s="949"/>
      <c r="DR46" s="949"/>
      <c r="DS46" s="949"/>
      <c r="DT46" s="949"/>
      <c r="DU46" s="949"/>
      <c r="DV46" s="949"/>
      <c r="DW46" s="947"/>
      <c r="DX46" s="947"/>
      <c r="DY46" s="947"/>
      <c r="DZ46" s="947"/>
      <c r="EA46" s="947"/>
      <c r="EB46" s="947"/>
      <c r="EC46" s="947"/>
      <c r="ED46" s="947"/>
      <c r="EE46" s="947"/>
      <c r="EF46" s="947"/>
      <c r="EG46" s="951"/>
      <c r="EH46" s="951"/>
      <c r="EI46" s="951"/>
      <c r="EJ46" s="951"/>
      <c r="EK46" s="951"/>
      <c r="EL46" s="951"/>
      <c r="EM46" s="951"/>
      <c r="EN46" s="951"/>
      <c r="EO46" s="951"/>
      <c r="EP46" s="951"/>
      <c r="EQ46" s="951"/>
      <c r="ER46" s="951"/>
      <c r="ES46" s="951"/>
      <c r="ET46" s="951"/>
      <c r="EU46" s="951"/>
      <c r="EV46" s="951"/>
      <c r="EW46" s="952"/>
      <c r="EX46" s="952"/>
      <c r="EY46" s="952"/>
      <c r="EZ46" s="952"/>
      <c r="FA46" s="952"/>
      <c r="FB46" s="952"/>
      <c r="FC46" s="952"/>
      <c r="FD46" s="952"/>
      <c r="FE46" s="963"/>
      <c r="FF46" s="963"/>
      <c r="FG46" s="963"/>
      <c r="FH46" s="963"/>
      <c r="FI46" s="963"/>
      <c r="FJ46" s="963"/>
      <c r="FK46" s="963"/>
      <c r="FL46" s="963"/>
      <c r="FM46" s="963"/>
      <c r="FN46" s="963"/>
      <c r="FO46" s="964"/>
      <c r="FP46" s="965"/>
      <c r="FQ46" s="965"/>
      <c r="FR46" s="965"/>
      <c r="FS46" s="965"/>
      <c r="FT46" s="965"/>
      <c r="FU46" s="965"/>
      <c r="FV46" s="965"/>
      <c r="FW46" s="965"/>
      <c r="FX46" s="966"/>
      <c r="FY46" s="985" t="s">
        <v>282</v>
      </c>
      <c r="FZ46" s="986"/>
      <c r="GA46" s="986"/>
      <c r="GB46" s="986"/>
      <c r="GC46" s="986"/>
      <c r="GD46" s="986"/>
      <c r="GE46" s="986"/>
      <c r="GF46" s="986"/>
      <c r="GG46" s="986"/>
      <c r="GH46" s="986"/>
      <c r="GI46" s="986"/>
      <c r="GJ46" s="986"/>
      <c r="GK46" s="986"/>
      <c r="GL46" s="986"/>
      <c r="GM46" s="986"/>
      <c r="GN46" s="986"/>
      <c r="GO46" s="986"/>
      <c r="GP46" s="986"/>
      <c r="GQ46" s="986"/>
      <c r="GR46" s="986"/>
      <c r="GS46" s="986"/>
      <c r="GT46" s="987"/>
      <c r="GU46" s="25"/>
      <c r="GV46" s="211"/>
      <c r="GW46" s="211"/>
      <c r="GX46" s="211"/>
      <c r="GY46" s="211"/>
      <c r="GZ46" s="211"/>
      <c r="HA46" s="211"/>
      <c r="HB46" s="211"/>
      <c r="HC46" s="211"/>
      <c r="HD46" s="211"/>
      <c r="HE46" s="211"/>
      <c r="HF46" s="211"/>
      <c r="HG46" s="211"/>
      <c r="HH46" s="211"/>
      <c r="HI46" s="211"/>
      <c r="HS46" s="928"/>
      <c r="HT46" s="929"/>
      <c r="HU46" s="929"/>
      <c r="HV46" s="929"/>
      <c r="HW46" s="929"/>
      <c r="HX46" s="929"/>
      <c r="HY46" s="929"/>
      <c r="HZ46" s="929"/>
      <c r="IA46" s="929"/>
      <c r="IB46" s="929"/>
      <c r="IC46" s="929"/>
      <c r="ID46" s="929"/>
      <c r="IE46" s="929"/>
      <c r="IF46" s="930"/>
      <c r="IQ46" s="934"/>
      <c r="IR46" s="935"/>
      <c r="IS46" s="935"/>
      <c r="IT46" s="935"/>
      <c r="IU46" s="935"/>
      <c r="IV46" s="935"/>
      <c r="IW46" s="935"/>
      <c r="IX46" s="935"/>
      <c r="IY46" s="935"/>
      <c r="IZ46" s="936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12"/>
      <c r="L47" s="937">
        <v>16</v>
      </c>
      <c r="M47" s="937"/>
      <c r="N47" s="938"/>
      <c r="O47" s="217"/>
      <c r="P47" s="939"/>
      <c r="Q47" s="939"/>
      <c r="R47" s="939"/>
      <c r="S47" s="939"/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39"/>
      <c r="AY47" s="939"/>
      <c r="AZ47" s="939"/>
      <c r="BA47" s="939"/>
      <c r="BB47" s="939"/>
      <c r="BC47" s="939"/>
      <c r="BD47" s="940"/>
      <c r="BE47" s="941"/>
      <c r="BF47" s="941"/>
      <c r="BG47" s="941"/>
      <c r="BH47" s="941"/>
      <c r="BI47" s="941"/>
      <c r="BJ47" s="941"/>
      <c r="BK47" s="941"/>
      <c r="BL47" s="941"/>
      <c r="BM47" s="941"/>
      <c r="BN47" s="941"/>
      <c r="BO47" s="941"/>
      <c r="BP47" s="941"/>
      <c r="BQ47" s="941"/>
      <c r="BR47" s="941"/>
      <c r="BS47" s="941"/>
      <c r="BT47" s="941"/>
      <c r="BU47" s="941"/>
      <c r="BV47" s="941"/>
      <c r="BW47" s="941"/>
      <c r="BX47" s="941"/>
      <c r="BY47" s="941"/>
      <c r="BZ47" s="941"/>
      <c r="CA47" s="941"/>
      <c r="CB47" s="941"/>
      <c r="CC47" s="941"/>
      <c r="CD47" s="941"/>
      <c r="CE47" s="941"/>
      <c r="CF47" s="941"/>
      <c r="CG47" s="942"/>
      <c r="CH47" s="943"/>
      <c r="CI47" s="944"/>
      <c r="CJ47" s="944"/>
      <c r="CK47" s="944"/>
      <c r="CL47" s="944"/>
      <c r="CM47" s="371"/>
      <c r="CN47" s="371"/>
      <c r="CO47" s="372"/>
      <c r="CP47" s="945"/>
      <c r="CQ47" s="945"/>
      <c r="CR47" s="945"/>
      <c r="CS47" s="945"/>
      <c r="CT47" s="945"/>
      <c r="CU47" s="973"/>
      <c r="CV47" s="973"/>
      <c r="CW47" s="973"/>
      <c r="CX47" s="973"/>
      <c r="CY47" s="973"/>
      <c r="CZ47" s="973"/>
      <c r="DA47" s="973"/>
      <c r="DB47" s="973"/>
      <c r="DC47" s="973"/>
      <c r="DD47" s="973"/>
      <c r="DE47" s="947"/>
      <c r="DF47" s="947"/>
      <c r="DG47" s="947"/>
      <c r="DH47" s="947"/>
      <c r="DI47" s="947"/>
      <c r="DJ47" s="947"/>
      <c r="DK47" s="947"/>
      <c r="DL47" s="947"/>
      <c r="DM47" s="947"/>
      <c r="DN47" s="947"/>
      <c r="DO47" s="949">
        <f>BEZ_Lohn_16_Ges_Zeit/60</f>
        <v>0</v>
      </c>
      <c r="DP47" s="949"/>
      <c r="DQ47" s="949"/>
      <c r="DR47" s="949"/>
      <c r="DS47" s="949"/>
      <c r="DT47" s="949"/>
      <c r="DU47" s="949"/>
      <c r="DV47" s="949"/>
      <c r="DW47" s="947"/>
      <c r="DX47" s="947"/>
      <c r="DY47" s="947"/>
      <c r="DZ47" s="947"/>
      <c r="EA47" s="947"/>
      <c r="EB47" s="947"/>
      <c r="EC47" s="947"/>
      <c r="ED47" s="947"/>
      <c r="EE47" s="947"/>
      <c r="EF47" s="947"/>
      <c r="EG47" s="951"/>
      <c r="EH47" s="951"/>
      <c r="EI47" s="951"/>
      <c r="EJ47" s="951"/>
      <c r="EK47" s="951"/>
      <c r="EL47" s="951"/>
      <c r="EM47" s="951"/>
      <c r="EN47" s="951"/>
      <c r="EO47" s="951"/>
      <c r="EP47" s="951"/>
      <c r="EQ47" s="951"/>
      <c r="ER47" s="951"/>
      <c r="ES47" s="951"/>
      <c r="ET47" s="951"/>
      <c r="EU47" s="951"/>
      <c r="EV47" s="951"/>
      <c r="EW47" s="952" t="str">
        <f>IF(BEZ_Lohn_16_Ges_Zeit="","",((BEZ_Lohn_16_Ges_Zeit*((BEZ_Lohn_16_Zuschl_auf_Zeit/100)+1))/BEZ_Lohn_16_Leist_je_Art)*BEZ_Lohn_16_Bedarf_je_Art*BEZ_Lohn_16_MA_Anz)</f>
        <v/>
      </c>
      <c r="EX47" s="952"/>
      <c r="EY47" s="952"/>
      <c r="EZ47" s="952"/>
      <c r="FA47" s="952"/>
      <c r="FB47" s="952"/>
      <c r="FC47" s="952"/>
      <c r="FD47" s="952"/>
      <c r="FE47" s="963" t="str">
        <f>IF(BEZ_Lohn_16_Ges_Min_je_Art="","",(BEZ_Lohn_16_Ges_Min_je_Art / 60)*BEZ_Lohn_16_St_Satz_excl)</f>
        <v/>
      </c>
      <c r="FF47" s="963"/>
      <c r="FG47" s="963"/>
      <c r="FH47" s="963"/>
      <c r="FI47" s="963"/>
      <c r="FJ47" s="963"/>
      <c r="FK47" s="963"/>
      <c r="FL47" s="963"/>
      <c r="FM47" s="963"/>
      <c r="FN47" s="963"/>
      <c r="FO47" s="964" t="str">
        <f>IF(BEZ_Lohn_16_Ges_Min_je_Art="","",(BEZ_Lohn_16_Ges_Min_je_Art / 60)*BEZ_Lohn_16_St_Satz_excl*KI_N)</f>
        <v/>
      </c>
      <c r="FP47" s="965"/>
      <c r="FQ47" s="965"/>
      <c r="FR47" s="965"/>
      <c r="FS47" s="965"/>
      <c r="FT47" s="965"/>
      <c r="FU47" s="965"/>
      <c r="FV47" s="965"/>
      <c r="FW47" s="965"/>
      <c r="FX47" s="966"/>
      <c r="FY47" s="985"/>
      <c r="FZ47" s="986"/>
      <c r="GA47" s="986"/>
      <c r="GB47" s="986"/>
      <c r="GC47" s="986"/>
      <c r="GD47" s="986"/>
      <c r="GE47" s="986"/>
      <c r="GF47" s="986"/>
      <c r="GG47" s="986"/>
      <c r="GH47" s="986"/>
      <c r="GI47" s="986"/>
      <c r="GJ47" s="986"/>
      <c r="GK47" s="986"/>
      <c r="GL47" s="986"/>
      <c r="GM47" s="986"/>
      <c r="GN47" s="986"/>
      <c r="GO47" s="986"/>
      <c r="GP47" s="986"/>
      <c r="GQ47" s="986"/>
      <c r="GR47" s="986"/>
      <c r="GS47" s="986"/>
      <c r="GT47" s="987"/>
      <c r="GU47" s="25"/>
      <c r="GV47" s="211"/>
      <c r="GW47" s="211"/>
      <c r="GX47" s="211"/>
      <c r="GY47" s="211"/>
      <c r="GZ47" s="211"/>
      <c r="HA47" s="211"/>
      <c r="HB47" s="211"/>
      <c r="HC47" s="211"/>
      <c r="HD47" s="211"/>
      <c r="HE47" s="211"/>
      <c r="HF47" s="211"/>
      <c r="HG47" s="211"/>
      <c r="HH47" s="211"/>
      <c r="HI47" s="211"/>
      <c r="HS47" s="928"/>
      <c r="HT47" s="929"/>
      <c r="HU47" s="929"/>
      <c r="HV47" s="929"/>
      <c r="HW47" s="929"/>
      <c r="HX47" s="929"/>
      <c r="HY47" s="929"/>
      <c r="HZ47" s="929"/>
      <c r="IA47" s="929"/>
      <c r="IB47" s="929"/>
      <c r="IC47" s="929"/>
      <c r="ID47" s="929"/>
      <c r="IE47" s="929"/>
      <c r="IF47" s="930"/>
      <c r="IQ47" s="934"/>
      <c r="IR47" s="935"/>
      <c r="IS47" s="935"/>
      <c r="IT47" s="935"/>
      <c r="IU47" s="935"/>
      <c r="IV47" s="935"/>
      <c r="IW47" s="935"/>
      <c r="IX47" s="935"/>
      <c r="IY47" s="935"/>
      <c r="IZ47" s="936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12"/>
      <c r="L48" s="937"/>
      <c r="M48" s="937"/>
      <c r="N48" s="938"/>
      <c r="O48" s="217"/>
      <c r="P48" s="939"/>
      <c r="Q48" s="939"/>
      <c r="R48" s="939"/>
      <c r="S48" s="939"/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39"/>
      <c r="AY48" s="939"/>
      <c r="AZ48" s="939"/>
      <c r="BA48" s="939"/>
      <c r="BB48" s="939"/>
      <c r="BC48" s="939"/>
      <c r="BD48" s="940"/>
      <c r="BE48" s="941"/>
      <c r="BF48" s="941"/>
      <c r="BG48" s="941"/>
      <c r="BH48" s="941"/>
      <c r="BI48" s="941"/>
      <c r="BJ48" s="941"/>
      <c r="BK48" s="941"/>
      <c r="BL48" s="941"/>
      <c r="BM48" s="941"/>
      <c r="BN48" s="941"/>
      <c r="BO48" s="941"/>
      <c r="BP48" s="941"/>
      <c r="BQ48" s="941"/>
      <c r="BR48" s="941"/>
      <c r="BS48" s="941"/>
      <c r="BT48" s="941"/>
      <c r="BU48" s="941"/>
      <c r="BV48" s="941"/>
      <c r="BW48" s="941"/>
      <c r="BX48" s="941"/>
      <c r="BY48" s="941"/>
      <c r="BZ48" s="941"/>
      <c r="CA48" s="941"/>
      <c r="CB48" s="941"/>
      <c r="CC48" s="941"/>
      <c r="CD48" s="941"/>
      <c r="CE48" s="941"/>
      <c r="CF48" s="941"/>
      <c r="CG48" s="942"/>
      <c r="CH48" s="943"/>
      <c r="CI48" s="944"/>
      <c r="CJ48" s="944"/>
      <c r="CK48" s="944"/>
      <c r="CL48" s="944"/>
      <c r="CM48" s="371"/>
      <c r="CN48" s="371"/>
      <c r="CO48" s="372"/>
      <c r="CP48" s="945"/>
      <c r="CQ48" s="945"/>
      <c r="CR48" s="945"/>
      <c r="CS48" s="945"/>
      <c r="CT48" s="945"/>
      <c r="CU48" s="973"/>
      <c r="CV48" s="973"/>
      <c r="CW48" s="973"/>
      <c r="CX48" s="973"/>
      <c r="CY48" s="973"/>
      <c r="CZ48" s="973"/>
      <c r="DA48" s="973"/>
      <c r="DB48" s="973"/>
      <c r="DC48" s="973"/>
      <c r="DD48" s="973"/>
      <c r="DE48" s="947"/>
      <c r="DF48" s="947"/>
      <c r="DG48" s="947"/>
      <c r="DH48" s="947"/>
      <c r="DI48" s="947"/>
      <c r="DJ48" s="947"/>
      <c r="DK48" s="947"/>
      <c r="DL48" s="947"/>
      <c r="DM48" s="947"/>
      <c r="DN48" s="947"/>
      <c r="DO48" s="949"/>
      <c r="DP48" s="949"/>
      <c r="DQ48" s="949"/>
      <c r="DR48" s="949"/>
      <c r="DS48" s="949"/>
      <c r="DT48" s="949"/>
      <c r="DU48" s="949"/>
      <c r="DV48" s="949"/>
      <c r="DW48" s="947"/>
      <c r="DX48" s="947"/>
      <c r="DY48" s="947"/>
      <c r="DZ48" s="947"/>
      <c r="EA48" s="947"/>
      <c r="EB48" s="947"/>
      <c r="EC48" s="947"/>
      <c r="ED48" s="947"/>
      <c r="EE48" s="947"/>
      <c r="EF48" s="947"/>
      <c r="EG48" s="951"/>
      <c r="EH48" s="951"/>
      <c r="EI48" s="951"/>
      <c r="EJ48" s="951"/>
      <c r="EK48" s="951"/>
      <c r="EL48" s="951"/>
      <c r="EM48" s="951"/>
      <c r="EN48" s="951"/>
      <c r="EO48" s="951"/>
      <c r="EP48" s="951"/>
      <c r="EQ48" s="951"/>
      <c r="ER48" s="951"/>
      <c r="ES48" s="951"/>
      <c r="ET48" s="951"/>
      <c r="EU48" s="951"/>
      <c r="EV48" s="951"/>
      <c r="EW48" s="952"/>
      <c r="EX48" s="952"/>
      <c r="EY48" s="952"/>
      <c r="EZ48" s="952"/>
      <c r="FA48" s="952"/>
      <c r="FB48" s="952"/>
      <c r="FC48" s="952"/>
      <c r="FD48" s="952"/>
      <c r="FE48" s="963"/>
      <c r="FF48" s="963"/>
      <c r="FG48" s="963"/>
      <c r="FH48" s="963"/>
      <c r="FI48" s="963"/>
      <c r="FJ48" s="963"/>
      <c r="FK48" s="963"/>
      <c r="FL48" s="963"/>
      <c r="FM48" s="963"/>
      <c r="FN48" s="963"/>
      <c r="FO48" s="964"/>
      <c r="FP48" s="965"/>
      <c r="FQ48" s="965"/>
      <c r="FR48" s="965"/>
      <c r="FS48" s="965"/>
      <c r="FT48" s="965"/>
      <c r="FU48" s="965"/>
      <c r="FV48" s="965"/>
      <c r="FW48" s="965"/>
      <c r="FX48" s="966"/>
      <c r="FY48" s="977">
        <f>IF(BEZ_Lohn_Zeit_KI=0,"",BEZ_Lohn_Eur_KI/(BEZ_Lohn_Zeit_KI/60))</f>
        <v>78</v>
      </c>
      <c r="FZ48" s="978"/>
      <c r="GA48" s="978"/>
      <c r="GB48" s="978"/>
      <c r="GC48" s="978"/>
      <c r="GD48" s="978"/>
      <c r="GE48" s="978"/>
      <c r="GF48" s="978"/>
      <c r="GG48" s="978"/>
      <c r="GH48" s="978"/>
      <c r="GI48" s="983" t="s">
        <v>283</v>
      </c>
      <c r="GJ48" s="983"/>
      <c r="GK48" s="983"/>
      <c r="GL48" s="983"/>
      <c r="GM48" s="983"/>
      <c r="GN48" s="983"/>
      <c r="GO48" s="983"/>
      <c r="GP48" s="983"/>
      <c r="GQ48" s="983"/>
      <c r="GR48" s="983"/>
      <c r="GS48" s="983"/>
      <c r="GT48" s="984"/>
      <c r="GU48" s="25"/>
      <c r="GV48" s="211"/>
      <c r="GW48" s="211"/>
      <c r="GX48" s="211"/>
      <c r="GY48" s="211"/>
      <c r="GZ48" s="211"/>
      <c r="HA48" s="211"/>
      <c r="HB48" s="211"/>
      <c r="HC48" s="211"/>
      <c r="HD48" s="211"/>
      <c r="HE48" s="211"/>
      <c r="HF48" s="211"/>
      <c r="HG48" s="211"/>
      <c r="HH48" s="211"/>
      <c r="HI48" s="211"/>
      <c r="HS48" s="928"/>
      <c r="HT48" s="929"/>
      <c r="HU48" s="929"/>
      <c r="HV48" s="929"/>
      <c r="HW48" s="929"/>
      <c r="HX48" s="929"/>
      <c r="HY48" s="929"/>
      <c r="HZ48" s="929"/>
      <c r="IA48" s="929"/>
      <c r="IB48" s="929"/>
      <c r="IC48" s="929"/>
      <c r="ID48" s="929"/>
      <c r="IE48" s="929"/>
      <c r="IF48" s="930"/>
      <c r="IQ48" s="934"/>
      <c r="IR48" s="935"/>
      <c r="IS48" s="935"/>
      <c r="IT48" s="935"/>
      <c r="IU48" s="935"/>
      <c r="IV48" s="935"/>
      <c r="IW48" s="935"/>
      <c r="IX48" s="935"/>
      <c r="IY48" s="935"/>
      <c r="IZ48" s="936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12"/>
      <c r="L49" s="937">
        <v>17</v>
      </c>
      <c r="M49" s="937"/>
      <c r="N49" s="938"/>
      <c r="O49" s="217"/>
      <c r="P49" s="939"/>
      <c r="Q49" s="939"/>
      <c r="R49" s="939"/>
      <c r="S49" s="939"/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39"/>
      <c r="AY49" s="939"/>
      <c r="AZ49" s="939"/>
      <c r="BA49" s="939"/>
      <c r="BB49" s="939"/>
      <c r="BC49" s="939"/>
      <c r="BD49" s="940"/>
      <c r="BE49" s="941"/>
      <c r="BF49" s="941"/>
      <c r="BG49" s="941"/>
      <c r="BH49" s="941"/>
      <c r="BI49" s="941"/>
      <c r="BJ49" s="941"/>
      <c r="BK49" s="941"/>
      <c r="BL49" s="941"/>
      <c r="BM49" s="941"/>
      <c r="BN49" s="941"/>
      <c r="BO49" s="941"/>
      <c r="BP49" s="941"/>
      <c r="BQ49" s="941"/>
      <c r="BR49" s="941"/>
      <c r="BS49" s="941"/>
      <c r="BT49" s="941"/>
      <c r="BU49" s="941"/>
      <c r="BV49" s="941"/>
      <c r="BW49" s="941"/>
      <c r="BX49" s="941"/>
      <c r="BY49" s="941"/>
      <c r="BZ49" s="941"/>
      <c r="CA49" s="941"/>
      <c r="CB49" s="941"/>
      <c r="CC49" s="941"/>
      <c r="CD49" s="941"/>
      <c r="CE49" s="941"/>
      <c r="CF49" s="941"/>
      <c r="CG49" s="942"/>
      <c r="CH49" s="943"/>
      <c r="CI49" s="944"/>
      <c r="CJ49" s="944"/>
      <c r="CK49" s="944"/>
      <c r="CL49" s="944"/>
      <c r="CM49" s="371"/>
      <c r="CN49" s="371"/>
      <c r="CO49" s="372"/>
      <c r="CP49" s="945"/>
      <c r="CQ49" s="945"/>
      <c r="CR49" s="945"/>
      <c r="CS49" s="945"/>
      <c r="CT49" s="945"/>
      <c r="CU49" s="973"/>
      <c r="CV49" s="973"/>
      <c r="CW49" s="973"/>
      <c r="CX49" s="973"/>
      <c r="CY49" s="973"/>
      <c r="CZ49" s="973"/>
      <c r="DA49" s="973"/>
      <c r="DB49" s="973"/>
      <c r="DC49" s="973"/>
      <c r="DD49" s="973"/>
      <c r="DE49" s="947"/>
      <c r="DF49" s="947"/>
      <c r="DG49" s="947"/>
      <c r="DH49" s="947"/>
      <c r="DI49" s="947"/>
      <c r="DJ49" s="947"/>
      <c r="DK49" s="947"/>
      <c r="DL49" s="947"/>
      <c r="DM49" s="947"/>
      <c r="DN49" s="947"/>
      <c r="DO49" s="949">
        <f>BEZ_Lohn_17_Ges_Zeit/60</f>
        <v>0</v>
      </c>
      <c r="DP49" s="949"/>
      <c r="DQ49" s="949"/>
      <c r="DR49" s="949"/>
      <c r="DS49" s="949"/>
      <c r="DT49" s="949"/>
      <c r="DU49" s="949"/>
      <c r="DV49" s="949"/>
      <c r="DW49" s="947"/>
      <c r="DX49" s="947"/>
      <c r="DY49" s="947"/>
      <c r="DZ49" s="947"/>
      <c r="EA49" s="947"/>
      <c r="EB49" s="947"/>
      <c r="EC49" s="947"/>
      <c r="ED49" s="947"/>
      <c r="EE49" s="947"/>
      <c r="EF49" s="947"/>
      <c r="EG49" s="951"/>
      <c r="EH49" s="951"/>
      <c r="EI49" s="951"/>
      <c r="EJ49" s="951"/>
      <c r="EK49" s="951"/>
      <c r="EL49" s="951"/>
      <c r="EM49" s="951"/>
      <c r="EN49" s="951"/>
      <c r="EO49" s="951"/>
      <c r="EP49" s="951"/>
      <c r="EQ49" s="951"/>
      <c r="ER49" s="951"/>
      <c r="ES49" s="951"/>
      <c r="ET49" s="951"/>
      <c r="EU49" s="951"/>
      <c r="EV49" s="951"/>
      <c r="EW49" s="952" t="str">
        <f>IF(BEZ_Lohn_17_Ges_Zeit="","",((BEZ_Lohn_17_Ges_Zeit*((BEZ_Lohn_17_Zuschl_auf_Zeit/100)+1))/BEZ_Lohn_17_Leist_je_Art)*BEZ_Lohn_17_Bedarf_je_Art*BEZ_Lohn_17_MA_Anz)</f>
        <v/>
      </c>
      <c r="EX49" s="952"/>
      <c r="EY49" s="952"/>
      <c r="EZ49" s="952"/>
      <c r="FA49" s="952"/>
      <c r="FB49" s="952"/>
      <c r="FC49" s="952"/>
      <c r="FD49" s="952"/>
      <c r="FE49" s="963" t="str">
        <f>IF(BEZ_Lohn_17_Ges_Min_je_Art="","",(BEZ_Lohn_17_Ges_Min_je_Art / 60)*BEZ_Lohn_17_St_Satz_excl)</f>
        <v/>
      </c>
      <c r="FF49" s="963"/>
      <c r="FG49" s="963"/>
      <c r="FH49" s="963"/>
      <c r="FI49" s="963"/>
      <c r="FJ49" s="963"/>
      <c r="FK49" s="963"/>
      <c r="FL49" s="963"/>
      <c r="FM49" s="963"/>
      <c r="FN49" s="963"/>
      <c r="FO49" s="964" t="str">
        <f>IF(BEZ_Lohn_17_Ges_Min_je_Art="","",(BEZ_Lohn_17_Ges_Min_je_Art / 60)*BEZ_Lohn_17_St_Satz_excl*KI_N)</f>
        <v/>
      </c>
      <c r="FP49" s="965"/>
      <c r="FQ49" s="965"/>
      <c r="FR49" s="965"/>
      <c r="FS49" s="965"/>
      <c r="FT49" s="965"/>
      <c r="FU49" s="965"/>
      <c r="FV49" s="965"/>
      <c r="FW49" s="965"/>
      <c r="FX49" s="966"/>
      <c r="FY49" s="977"/>
      <c r="FZ49" s="978"/>
      <c r="GA49" s="978"/>
      <c r="GB49" s="978"/>
      <c r="GC49" s="978"/>
      <c r="GD49" s="978"/>
      <c r="GE49" s="978"/>
      <c r="GF49" s="978"/>
      <c r="GG49" s="978"/>
      <c r="GH49" s="978"/>
      <c r="GI49" s="983"/>
      <c r="GJ49" s="983"/>
      <c r="GK49" s="983"/>
      <c r="GL49" s="983"/>
      <c r="GM49" s="983"/>
      <c r="GN49" s="983"/>
      <c r="GO49" s="983"/>
      <c r="GP49" s="983"/>
      <c r="GQ49" s="983"/>
      <c r="GR49" s="983"/>
      <c r="GS49" s="983"/>
      <c r="GT49" s="984"/>
      <c r="GU49" s="25"/>
      <c r="GV49" s="211"/>
      <c r="GW49" s="211"/>
      <c r="GX49" s="211"/>
      <c r="GY49" s="211"/>
      <c r="GZ49" s="211"/>
      <c r="HA49" s="211"/>
      <c r="HB49" s="211"/>
      <c r="HC49" s="211"/>
      <c r="HD49" s="211"/>
      <c r="HE49" s="211"/>
      <c r="HF49" s="211"/>
      <c r="HG49" s="211"/>
      <c r="HH49" s="211"/>
      <c r="HI49" s="211"/>
      <c r="HS49" s="928"/>
      <c r="HT49" s="929"/>
      <c r="HU49" s="929"/>
      <c r="HV49" s="929"/>
      <c r="HW49" s="929"/>
      <c r="HX49" s="929"/>
      <c r="HY49" s="929"/>
      <c r="HZ49" s="929"/>
      <c r="IA49" s="929"/>
      <c r="IB49" s="929"/>
      <c r="IC49" s="929"/>
      <c r="ID49" s="929"/>
      <c r="IE49" s="929"/>
      <c r="IF49" s="930"/>
      <c r="IQ49" s="934"/>
      <c r="IR49" s="935"/>
      <c r="IS49" s="935"/>
      <c r="IT49" s="935"/>
      <c r="IU49" s="935"/>
      <c r="IV49" s="935"/>
      <c r="IW49" s="935"/>
      <c r="IX49" s="935"/>
      <c r="IY49" s="935"/>
      <c r="IZ49" s="936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12"/>
      <c r="L50" s="937"/>
      <c r="M50" s="937"/>
      <c r="N50" s="938"/>
      <c r="O50" s="217"/>
      <c r="P50" s="939"/>
      <c r="Q50" s="939"/>
      <c r="R50" s="939"/>
      <c r="S50" s="939"/>
      <c r="T50" s="939"/>
      <c r="U50" s="939"/>
      <c r="V50" s="939"/>
      <c r="W50" s="939"/>
      <c r="X50" s="939"/>
      <c r="Y50" s="939"/>
      <c r="Z50" s="939"/>
      <c r="AA50" s="939"/>
      <c r="AB50" s="939"/>
      <c r="AC50" s="939"/>
      <c r="AD50" s="939"/>
      <c r="AE50" s="939"/>
      <c r="AF50" s="939"/>
      <c r="AG50" s="939"/>
      <c r="AH50" s="939"/>
      <c r="AI50" s="939"/>
      <c r="AJ50" s="939"/>
      <c r="AK50" s="939"/>
      <c r="AL50" s="939"/>
      <c r="AM50" s="939"/>
      <c r="AN50" s="939"/>
      <c r="AO50" s="939"/>
      <c r="AP50" s="939"/>
      <c r="AQ50" s="939"/>
      <c r="AR50" s="939"/>
      <c r="AS50" s="939"/>
      <c r="AT50" s="939"/>
      <c r="AU50" s="939"/>
      <c r="AV50" s="939"/>
      <c r="AW50" s="939"/>
      <c r="AX50" s="939"/>
      <c r="AY50" s="939"/>
      <c r="AZ50" s="939"/>
      <c r="BA50" s="939"/>
      <c r="BB50" s="939"/>
      <c r="BC50" s="939"/>
      <c r="BD50" s="940"/>
      <c r="BE50" s="941"/>
      <c r="BF50" s="941"/>
      <c r="BG50" s="941"/>
      <c r="BH50" s="941"/>
      <c r="BI50" s="941"/>
      <c r="BJ50" s="941"/>
      <c r="BK50" s="941"/>
      <c r="BL50" s="941"/>
      <c r="BM50" s="941"/>
      <c r="BN50" s="941"/>
      <c r="BO50" s="941"/>
      <c r="BP50" s="941"/>
      <c r="BQ50" s="941"/>
      <c r="BR50" s="941"/>
      <c r="BS50" s="941"/>
      <c r="BT50" s="941"/>
      <c r="BU50" s="941"/>
      <c r="BV50" s="941"/>
      <c r="BW50" s="941"/>
      <c r="BX50" s="941"/>
      <c r="BY50" s="941"/>
      <c r="BZ50" s="941"/>
      <c r="CA50" s="941"/>
      <c r="CB50" s="941"/>
      <c r="CC50" s="941"/>
      <c r="CD50" s="941"/>
      <c r="CE50" s="941"/>
      <c r="CF50" s="941"/>
      <c r="CG50" s="942"/>
      <c r="CH50" s="943"/>
      <c r="CI50" s="944"/>
      <c r="CJ50" s="944"/>
      <c r="CK50" s="944"/>
      <c r="CL50" s="944"/>
      <c r="CM50" s="371"/>
      <c r="CN50" s="371"/>
      <c r="CO50" s="372"/>
      <c r="CP50" s="945"/>
      <c r="CQ50" s="945"/>
      <c r="CR50" s="945"/>
      <c r="CS50" s="945"/>
      <c r="CT50" s="945"/>
      <c r="CU50" s="973"/>
      <c r="CV50" s="973"/>
      <c r="CW50" s="973"/>
      <c r="CX50" s="973"/>
      <c r="CY50" s="973"/>
      <c r="CZ50" s="973"/>
      <c r="DA50" s="973"/>
      <c r="DB50" s="973"/>
      <c r="DC50" s="973"/>
      <c r="DD50" s="973"/>
      <c r="DE50" s="947"/>
      <c r="DF50" s="947"/>
      <c r="DG50" s="947"/>
      <c r="DH50" s="947"/>
      <c r="DI50" s="947"/>
      <c r="DJ50" s="947"/>
      <c r="DK50" s="947"/>
      <c r="DL50" s="947"/>
      <c r="DM50" s="947"/>
      <c r="DN50" s="947"/>
      <c r="DO50" s="949"/>
      <c r="DP50" s="949"/>
      <c r="DQ50" s="949"/>
      <c r="DR50" s="949"/>
      <c r="DS50" s="949"/>
      <c r="DT50" s="949"/>
      <c r="DU50" s="949"/>
      <c r="DV50" s="949"/>
      <c r="DW50" s="947"/>
      <c r="DX50" s="947"/>
      <c r="DY50" s="947"/>
      <c r="DZ50" s="947"/>
      <c r="EA50" s="947"/>
      <c r="EB50" s="947"/>
      <c r="EC50" s="947"/>
      <c r="ED50" s="947"/>
      <c r="EE50" s="947"/>
      <c r="EF50" s="947"/>
      <c r="EG50" s="951"/>
      <c r="EH50" s="951"/>
      <c r="EI50" s="951"/>
      <c r="EJ50" s="951"/>
      <c r="EK50" s="951"/>
      <c r="EL50" s="951"/>
      <c r="EM50" s="951"/>
      <c r="EN50" s="951"/>
      <c r="EO50" s="951"/>
      <c r="EP50" s="951"/>
      <c r="EQ50" s="951"/>
      <c r="ER50" s="951"/>
      <c r="ES50" s="951"/>
      <c r="ET50" s="951"/>
      <c r="EU50" s="951"/>
      <c r="EV50" s="951"/>
      <c r="EW50" s="952"/>
      <c r="EX50" s="952"/>
      <c r="EY50" s="952"/>
      <c r="EZ50" s="952"/>
      <c r="FA50" s="952"/>
      <c r="FB50" s="952"/>
      <c r="FC50" s="952"/>
      <c r="FD50" s="952"/>
      <c r="FE50" s="963"/>
      <c r="FF50" s="963"/>
      <c r="FG50" s="963"/>
      <c r="FH50" s="963"/>
      <c r="FI50" s="963"/>
      <c r="FJ50" s="963"/>
      <c r="FK50" s="963"/>
      <c r="FL50" s="963"/>
      <c r="FM50" s="963"/>
      <c r="FN50" s="963"/>
      <c r="FO50" s="964"/>
      <c r="FP50" s="965"/>
      <c r="FQ50" s="965"/>
      <c r="FR50" s="965"/>
      <c r="FS50" s="965"/>
      <c r="FT50" s="965"/>
      <c r="FU50" s="965"/>
      <c r="FV50" s="965"/>
      <c r="FW50" s="965"/>
      <c r="FX50" s="966"/>
      <c r="FY50" s="437"/>
      <c r="FZ50" s="436"/>
      <c r="GA50" s="436"/>
      <c r="GB50" s="436"/>
      <c r="GC50" s="436"/>
      <c r="GD50" s="436"/>
      <c r="GE50" s="436"/>
      <c r="GF50" s="436"/>
      <c r="GG50" s="436"/>
      <c r="GH50" s="436"/>
      <c r="GI50" s="436"/>
      <c r="GJ50" s="436"/>
      <c r="GK50" s="436"/>
      <c r="GL50" s="436"/>
      <c r="GM50" s="436"/>
      <c r="GN50" s="436"/>
      <c r="GO50" s="436"/>
      <c r="GP50" s="436"/>
      <c r="GQ50" s="436"/>
      <c r="GR50" s="436"/>
      <c r="GS50" s="436"/>
      <c r="GT50" s="438"/>
      <c r="GU50" s="25"/>
      <c r="GV50" s="211"/>
      <c r="GW50" s="13"/>
      <c r="GX50" s="13"/>
      <c r="GY50" s="13"/>
      <c r="GZ50" s="13"/>
      <c r="HA50" s="13"/>
      <c r="HB50" s="13"/>
      <c r="HC50" s="13"/>
      <c r="HD50" s="13"/>
      <c r="HE50" s="211"/>
      <c r="HF50" s="211"/>
      <c r="HG50" s="211"/>
      <c r="HH50" s="211"/>
      <c r="HI50" s="211"/>
      <c r="HS50" s="928"/>
      <c r="HT50" s="929"/>
      <c r="HU50" s="929"/>
      <c r="HV50" s="929"/>
      <c r="HW50" s="929"/>
      <c r="HX50" s="929"/>
      <c r="HY50" s="929"/>
      <c r="HZ50" s="929"/>
      <c r="IA50" s="929"/>
      <c r="IB50" s="929"/>
      <c r="IC50" s="929"/>
      <c r="ID50" s="929"/>
      <c r="IE50" s="929"/>
      <c r="IF50" s="930"/>
      <c r="IQ50" s="934"/>
      <c r="IR50" s="935"/>
      <c r="IS50" s="935"/>
      <c r="IT50" s="935"/>
      <c r="IU50" s="935"/>
      <c r="IV50" s="935"/>
      <c r="IW50" s="935"/>
      <c r="IX50" s="935"/>
      <c r="IY50" s="935"/>
      <c r="IZ50" s="936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12"/>
      <c r="L51" s="937">
        <v>18</v>
      </c>
      <c r="M51" s="937"/>
      <c r="N51" s="938"/>
      <c r="O51" s="217"/>
      <c r="P51" s="939" t="s">
        <v>411</v>
      </c>
      <c r="Q51" s="939"/>
      <c r="R51" s="939"/>
      <c r="S51" s="939"/>
      <c r="T51" s="939"/>
      <c r="U51" s="939"/>
      <c r="V51" s="939"/>
      <c r="W51" s="939"/>
      <c r="X51" s="939"/>
      <c r="Y51" s="939"/>
      <c r="Z51" s="939"/>
      <c r="AA51" s="939"/>
      <c r="AB51" s="939"/>
      <c r="AC51" s="939"/>
      <c r="AD51" s="939"/>
      <c r="AE51" s="939"/>
      <c r="AF51" s="939"/>
      <c r="AG51" s="939"/>
      <c r="AH51" s="939"/>
      <c r="AI51" s="939"/>
      <c r="AJ51" s="939"/>
      <c r="AK51" s="939"/>
      <c r="AL51" s="939"/>
      <c r="AM51" s="939"/>
      <c r="AN51" s="939"/>
      <c r="AO51" s="939"/>
      <c r="AP51" s="939"/>
      <c r="AQ51" s="939"/>
      <c r="AR51" s="939"/>
      <c r="AS51" s="939"/>
      <c r="AT51" s="939"/>
      <c r="AU51" s="939"/>
      <c r="AV51" s="939"/>
      <c r="AW51" s="939"/>
      <c r="AX51" s="939"/>
      <c r="AY51" s="939"/>
      <c r="AZ51" s="939"/>
      <c r="BA51" s="939"/>
      <c r="BB51" s="939"/>
      <c r="BC51" s="939"/>
      <c r="BD51" s="940" t="s">
        <v>497</v>
      </c>
      <c r="BE51" s="941"/>
      <c r="BF51" s="941"/>
      <c r="BG51" s="941"/>
      <c r="BH51" s="941"/>
      <c r="BI51" s="941"/>
      <c r="BJ51" s="941"/>
      <c r="BK51" s="941"/>
      <c r="BL51" s="941"/>
      <c r="BM51" s="941"/>
      <c r="BN51" s="941"/>
      <c r="BO51" s="941"/>
      <c r="BP51" s="941"/>
      <c r="BQ51" s="941"/>
      <c r="BR51" s="941"/>
      <c r="BS51" s="941"/>
      <c r="BT51" s="941"/>
      <c r="BU51" s="941"/>
      <c r="BV51" s="941"/>
      <c r="BW51" s="941"/>
      <c r="BX51" s="941"/>
      <c r="BY51" s="941"/>
      <c r="BZ51" s="941"/>
      <c r="CA51" s="941"/>
      <c r="CB51" s="941"/>
      <c r="CC51" s="941"/>
      <c r="CD51" s="941"/>
      <c r="CE51" s="941"/>
      <c r="CF51" s="941"/>
      <c r="CG51" s="942"/>
      <c r="CH51" s="943">
        <v>10002947</v>
      </c>
      <c r="CI51" s="944"/>
      <c r="CJ51" s="944"/>
      <c r="CK51" s="944"/>
      <c r="CL51" s="944"/>
      <c r="CM51" s="371"/>
      <c r="CN51" s="371"/>
      <c r="CO51" s="372"/>
      <c r="CP51" s="945">
        <v>1</v>
      </c>
      <c r="CQ51" s="945"/>
      <c r="CR51" s="945"/>
      <c r="CS51" s="945"/>
      <c r="CT51" s="945"/>
      <c r="CU51" s="973">
        <v>90</v>
      </c>
      <c r="CV51" s="973"/>
      <c r="CW51" s="973"/>
      <c r="CX51" s="973"/>
      <c r="CY51" s="973"/>
      <c r="CZ51" s="973"/>
      <c r="DA51" s="973"/>
      <c r="DB51" s="973"/>
      <c r="DC51" s="973"/>
      <c r="DD51" s="973"/>
      <c r="DE51" s="947">
        <v>90</v>
      </c>
      <c r="DF51" s="947"/>
      <c r="DG51" s="947"/>
      <c r="DH51" s="947"/>
      <c r="DI51" s="947"/>
      <c r="DJ51" s="947"/>
      <c r="DK51" s="947"/>
      <c r="DL51" s="947"/>
      <c r="DM51" s="947"/>
      <c r="DN51" s="947"/>
      <c r="DO51" s="949">
        <f>BEZ_Lohn_18_Ges_Zeit/60</f>
        <v>1.5</v>
      </c>
      <c r="DP51" s="949"/>
      <c r="DQ51" s="949"/>
      <c r="DR51" s="949"/>
      <c r="DS51" s="949"/>
      <c r="DT51" s="949"/>
      <c r="DU51" s="949"/>
      <c r="DV51" s="949"/>
      <c r="DW51" s="947"/>
      <c r="DX51" s="947"/>
      <c r="DY51" s="947"/>
      <c r="DZ51" s="947"/>
      <c r="EA51" s="947"/>
      <c r="EB51" s="947"/>
      <c r="EC51" s="947"/>
      <c r="ED51" s="947"/>
      <c r="EE51" s="947"/>
      <c r="EF51" s="947"/>
      <c r="EG51" s="951">
        <v>30</v>
      </c>
      <c r="EH51" s="951"/>
      <c r="EI51" s="951"/>
      <c r="EJ51" s="951"/>
      <c r="EK51" s="951"/>
      <c r="EL51" s="951"/>
      <c r="EM51" s="951"/>
      <c r="EN51" s="951"/>
      <c r="EO51" s="951">
        <v>1</v>
      </c>
      <c r="EP51" s="951"/>
      <c r="EQ51" s="951"/>
      <c r="ER51" s="951"/>
      <c r="ES51" s="951"/>
      <c r="ET51" s="951"/>
      <c r="EU51" s="951"/>
      <c r="EV51" s="951"/>
      <c r="EW51" s="952">
        <f>IF(BEZ_Lohn_18_Ges_Zeit="","",((BEZ_Lohn_18_Ges_Zeit*((BEZ_Lohn_18_Zuschl_auf_Zeit/100)+1))/BEZ_Lohn_18_Leist_je_Art)*BEZ_Lohn_18_Bedarf_je_Art*BEZ_Lohn_18_MA_Anz)</f>
        <v>3</v>
      </c>
      <c r="EX51" s="952"/>
      <c r="EY51" s="952"/>
      <c r="EZ51" s="952"/>
      <c r="FA51" s="952"/>
      <c r="FB51" s="952"/>
      <c r="FC51" s="952"/>
      <c r="FD51" s="952"/>
      <c r="FE51" s="963">
        <f>IF(BEZ_Lohn_18_Ges_Min_je_Art="","",(BEZ_Lohn_18_Ges_Min_je_Art / 60)*BEZ_Lohn_18_St_Satz_excl)</f>
        <v>4.5</v>
      </c>
      <c r="FF51" s="963"/>
      <c r="FG51" s="963"/>
      <c r="FH51" s="963"/>
      <c r="FI51" s="963"/>
      <c r="FJ51" s="963"/>
      <c r="FK51" s="963"/>
      <c r="FL51" s="963"/>
      <c r="FM51" s="963"/>
      <c r="FN51" s="963"/>
      <c r="FO51" s="964">
        <f>IF(BEZ_Lohn_18_Ges_Min_je_Art="","",(BEZ_Lohn_18_Ges_Min_je_Art / 60)*BEZ_Lohn_18_St_Satz_excl*KI_N)</f>
        <v>4.5</v>
      </c>
      <c r="FP51" s="965"/>
      <c r="FQ51" s="965"/>
      <c r="FR51" s="965"/>
      <c r="FS51" s="965"/>
      <c r="FT51" s="965"/>
      <c r="FU51" s="965"/>
      <c r="FV51" s="965"/>
      <c r="FW51" s="965"/>
      <c r="FX51" s="966"/>
      <c r="FY51" s="437"/>
      <c r="FZ51" s="436"/>
      <c r="GA51" s="436"/>
      <c r="GB51" s="436"/>
      <c r="GC51" s="436"/>
      <c r="GD51" s="436"/>
      <c r="GE51" s="436"/>
      <c r="GF51" s="436"/>
      <c r="GG51" s="436"/>
      <c r="GH51" s="436"/>
      <c r="GI51" s="436"/>
      <c r="GJ51" s="436"/>
      <c r="GK51" s="436"/>
      <c r="GL51" s="436"/>
      <c r="GM51" s="436"/>
      <c r="GN51" s="436"/>
      <c r="GO51" s="436"/>
      <c r="GP51" s="436"/>
      <c r="GQ51" s="436"/>
      <c r="GR51" s="436"/>
      <c r="GS51" s="436"/>
      <c r="GT51" s="438"/>
      <c r="GU51" s="25"/>
      <c r="GV51" s="211"/>
      <c r="GW51" s="211"/>
      <c r="GX51" s="211"/>
      <c r="GY51" s="211"/>
      <c r="GZ51" s="211"/>
      <c r="HA51" s="211"/>
      <c r="HB51" s="211"/>
      <c r="HC51" s="211"/>
      <c r="HD51" s="211"/>
      <c r="HE51" s="211"/>
      <c r="HF51" s="211"/>
      <c r="HG51" s="211"/>
      <c r="HH51" s="211"/>
      <c r="HI51" s="211"/>
      <c r="HS51" s="928"/>
      <c r="HT51" s="929"/>
      <c r="HU51" s="929"/>
      <c r="HV51" s="929"/>
      <c r="HW51" s="929"/>
      <c r="HX51" s="929"/>
      <c r="HY51" s="929"/>
      <c r="HZ51" s="929"/>
      <c r="IA51" s="929"/>
      <c r="IB51" s="929"/>
      <c r="IC51" s="929"/>
      <c r="ID51" s="929"/>
      <c r="IE51" s="929"/>
      <c r="IF51" s="930"/>
      <c r="IQ51" s="934"/>
      <c r="IR51" s="935"/>
      <c r="IS51" s="935"/>
      <c r="IT51" s="935"/>
      <c r="IU51" s="935"/>
      <c r="IV51" s="935"/>
      <c r="IW51" s="935"/>
      <c r="IX51" s="935"/>
      <c r="IY51" s="935"/>
      <c r="IZ51" s="936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12"/>
      <c r="L52" s="937"/>
      <c r="M52" s="937"/>
      <c r="N52" s="938"/>
      <c r="O52" s="217"/>
      <c r="P52" s="939"/>
      <c r="Q52" s="939"/>
      <c r="R52" s="939"/>
      <c r="S52" s="939"/>
      <c r="T52" s="939"/>
      <c r="U52" s="939"/>
      <c r="V52" s="939"/>
      <c r="W52" s="939"/>
      <c r="X52" s="939"/>
      <c r="Y52" s="939"/>
      <c r="Z52" s="939"/>
      <c r="AA52" s="939"/>
      <c r="AB52" s="939"/>
      <c r="AC52" s="939"/>
      <c r="AD52" s="939"/>
      <c r="AE52" s="939"/>
      <c r="AF52" s="939"/>
      <c r="AG52" s="939"/>
      <c r="AH52" s="939"/>
      <c r="AI52" s="939"/>
      <c r="AJ52" s="939"/>
      <c r="AK52" s="939"/>
      <c r="AL52" s="939"/>
      <c r="AM52" s="939"/>
      <c r="AN52" s="939"/>
      <c r="AO52" s="939"/>
      <c r="AP52" s="939"/>
      <c r="AQ52" s="939"/>
      <c r="AR52" s="939"/>
      <c r="AS52" s="939"/>
      <c r="AT52" s="939"/>
      <c r="AU52" s="939"/>
      <c r="AV52" s="939"/>
      <c r="AW52" s="939"/>
      <c r="AX52" s="939"/>
      <c r="AY52" s="939"/>
      <c r="AZ52" s="939"/>
      <c r="BA52" s="939"/>
      <c r="BB52" s="939"/>
      <c r="BC52" s="939"/>
      <c r="BD52" s="940"/>
      <c r="BE52" s="941"/>
      <c r="BF52" s="941"/>
      <c r="BG52" s="941"/>
      <c r="BH52" s="941"/>
      <c r="BI52" s="941"/>
      <c r="BJ52" s="941"/>
      <c r="BK52" s="941"/>
      <c r="BL52" s="941"/>
      <c r="BM52" s="941"/>
      <c r="BN52" s="941"/>
      <c r="BO52" s="941"/>
      <c r="BP52" s="941"/>
      <c r="BQ52" s="941"/>
      <c r="BR52" s="941"/>
      <c r="BS52" s="941"/>
      <c r="BT52" s="941"/>
      <c r="BU52" s="941"/>
      <c r="BV52" s="941"/>
      <c r="BW52" s="941"/>
      <c r="BX52" s="941"/>
      <c r="BY52" s="941"/>
      <c r="BZ52" s="941"/>
      <c r="CA52" s="941"/>
      <c r="CB52" s="941"/>
      <c r="CC52" s="941"/>
      <c r="CD52" s="941"/>
      <c r="CE52" s="941"/>
      <c r="CF52" s="941"/>
      <c r="CG52" s="942"/>
      <c r="CH52" s="943"/>
      <c r="CI52" s="944"/>
      <c r="CJ52" s="944"/>
      <c r="CK52" s="944"/>
      <c r="CL52" s="944"/>
      <c r="CM52" s="371"/>
      <c r="CN52" s="371"/>
      <c r="CO52" s="372"/>
      <c r="CP52" s="945"/>
      <c r="CQ52" s="945"/>
      <c r="CR52" s="945"/>
      <c r="CS52" s="945"/>
      <c r="CT52" s="945"/>
      <c r="CU52" s="973"/>
      <c r="CV52" s="973"/>
      <c r="CW52" s="973"/>
      <c r="CX52" s="973"/>
      <c r="CY52" s="973"/>
      <c r="CZ52" s="973"/>
      <c r="DA52" s="973"/>
      <c r="DB52" s="973"/>
      <c r="DC52" s="973"/>
      <c r="DD52" s="973"/>
      <c r="DE52" s="947"/>
      <c r="DF52" s="947"/>
      <c r="DG52" s="947"/>
      <c r="DH52" s="947"/>
      <c r="DI52" s="947"/>
      <c r="DJ52" s="947"/>
      <c r="DK52" s="947"/>
      <c r="DL52" s="947"/>
      <c r="DM52" s="947"/>
      <c r="DN52" s="947"/>
      <c r="DO52" s="949"/>
      <c r="DP52" s="949"/>
      <c r="DQ52" s="949"/>
      <c r="DR52" s="949"/>
      <c r="DS52" s="949"/>
      <c r="DT52" s="949"/>
      <c r="DU52" s="949"/>
      <c r="DV52" s="949"/>
      <c r="DW52" s="947"/>
      <c r="DX52" s="947"/>
      <c r="DY52" s="947"/>
      <c r="DZ52" s="947"/>
      <c r="EA52" s="947"/>
      <c r="EB52" s="947"/>
      <c r="EC52" s="947"/>
      <c r="ED52" s="947"/>
      <c r="EE52" s="947"/>
      <c r="EF52" s="947"/>
      <c r="EG52" s="951"/>
      <c r="EH52" s="951"/>
      <c r="EI52" s="951"/>
      <c r="EJ52" s="951"/>
      <c r="EK52" s="951"/>
      <c r="EL52" s="951"/>
      <c r="EM52" s="951"/>
      <c r="EN52" s="951"/>
      <c r="EO52" s="951"/>
      <c r="EP52" s="951"/>
      <c r="EQ52" s="951"/>
      <c r="ER52" s="951"/>
      <c r="ES52" s="951"/>
      <c r="ET52" s="951"/>
      <c r="EU52" s="951"/>
      <c r="EV52" s="951"/>
      <c r="EW52" s="952"/>
      <c r="EX52" s="952"/>
      <c r="EY52" s="952"/>
      <c r="EZ52" s="952"/>
      <c r="FA52" s="952"/>
      <c r="FB52" s="952"/>
      <c r="FC52" s="952"/>
      <c r="FD52" s="952"/>
      <c r="FE52" s="963"/>
      <c r="FF52" s="963"/>
      <c r="FG52" s="963"/>
      <c r="FH52" s="963"/>
      <c r="FI52" s="963"/>
      <c r="FJ52" s="963"/>
      <c r="FK52" s="963"/>
      <c r="FL52" s="963"/>
      <c r="FM52" s="963"/>
      <c r="FN52" s="963"/>
      <c r="FO52" s="964"/>
      <c r="FP52" s="965"/>
      <c r="FQ52" s="965"/>
      <c r="FR52" s="965"/>
      <c r="FS52" s="965"/>
      <c r="FT52" s="965"/>
      <c r="FU52" s="965"/>
      <c r="FV52" s="965"/>
      <c r="FW52" s="965"/>
      <c r="FX52" s="966"/>
      <c r="FY52" s="437"/>
      <c r="FZ52" s="436"/>
      <c r="GA52" s="436"/>
      <c r="GB52" s="436"/>
      <c r="GC52" s="436"/>
      <c r="GD52" s="436"/>
      <c r="GE52" s="436"/>
      <c r="GF52" s="436"/>
      <c r="GG52" s="436"/>
      <c r="GH52" s="436"/>
      <c r="GI52" s="436"/>
      <c r="GJ52" s="436"/>
      <c r="GK52" s="436"/>
      <c r="GL52" s="436"/>
      <c r="GM52" s="436"/>
      <c r="GN52" s="436"/>
      <c r="GO52" s="436"/>
      <c r="GP52" s="436"/>
      <c r="GQ52" s="436"/>
      <c r="GR52" s="436"/>
      <c r="GS52" s="436"/>
      <c r="GT52" s="438"/>
      <c r="GU52" s="25"/>
      <c r="GV52" s="211"/>
      <c r="GW52" s="211"/>
      <c r="GX52" s="211"/>
      <c r="GY52" s="211"/>
      <c r="GZ52" s="211"/>
      <c r="HA52" s="211"/>
      <c r="HB52" s="211"/>
      <c r="HC52" s="211"/>
      <c r="HD52" s="211"/>
      <c r="HE52" s="211"/>
      <c r="HF52" s="211"/>
      <c r="HG52" s="211"/>
      <c r="HH52" s="211"/>
      <c r="HI52" s="211"/>
      <c r="HS52" s="928"/>
      <c r="HT52" s="929"/>
      <c r="HU52" s="929"/>
      <c r="HV52" s="929"/>
      <c r="HW52" s="929"/>
      <c r="HX52" s="929"/>
      <c r="HY52" s="929"/>
      <c r="HZ52" s="929"/>
      <c r="IA52" s="929"/>
      <c r="IB52" s="929"/>
      <c r="IC52" s="929"/>
      <c r="ID52" s="929"/>
      <c r="IE52" s="929"/>
      <c r="IF52" s="930"/>
      <c r="IQ52" s="934"/>
      <c r="IR52" s="935"/>
      <c r="IS52" s="935"/>
      <c r="IT52" s="935"/>
      <c r="IU52" s="935"/>
      <c r="IV52" s="935"/>
      <c r="IW52" s="935"/>
      <c r="IX52" s="935"/>
      <c r="IY52" s="935"/>
      <c r="IZ52" s="936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12"/>
      <c r="L53" s="937">
        <v>19</v>
      </c>
      <c r="M53" s="937"/>
      <c r="N53" s="938"/>
      <c r="O53" s="217"/>
      <c r="P53" s="939"/>
      <c r="Q53" s="939"/>
      <c r="R53" s="939"/>
      <c r="S53" s="939"/>
      <c r="T53" s="939"/>
      <c r="U53" s="939"/>
      <c r="V53" s="939"/>
      <c r="W53" s="939"/>
      <c r="X53" s="939"/>
      <c r="Y53" s="939"/>
      <c r="Z53" s="939"/>
      <c r="AA53" s="939"/>
      <c r="AB53" s="939"/>
      <c r="AC53" s="939"/>
      <c r="AD53" s="939"/>
      <c r="AE53" s="939"/>
      <c r="AF53" s="939"/>
      <c r="AG53" s="939"/>
      <c r="AH53" s="939"/>
      <c r="AI53" s="939"/>
      <c r="AJ53" s="939"/>
      <c r="AK53" s="939"/>
      <c r="AL53" s="939"/>
      <c r="AM53" s="939"/>
      <c r="AN53" s="939"/>
      <c r="AO53" s="939"/>
      <c r="AP53" s="939"/>
      <c r="AQ53" s="939"/>
      <c r="AR53" s="939"/>
      <c r="AS53" s="939"/>
      <c r="AT53" s="939"/>
      <c r="AU53" s="939"/>
      <c r="AV53" s="939"/>
      <c r="AW53" s="939"/>
      <c r="AX53" s="939"/>
      <c r="AY53" s="939"/>
      <c r="AZ53" s="939"/>
      <c r="BA53" s="939"/>
      <c r="BB53" s="939"/>
      <c r="BC53" s="939"/>
      <c r="BD53" s="940"/>
      <c r="BE53" s="941"/>
      <c r="BF53" s="941"/>
      <c r="BG53" s="941"/>
      <c r="BH53" s="941"/>
      <c r="BI53" s="941"/>
      <c r="BJ53" s="941"/>
      <c r="BK53" s="941"/>
      <c r="BL53" s="941"/>
      <c r="BM53" s="941"/>
      <c r="BN53" s="941"/>
      <c r="BO53" s="941"/>
      <c r="BP53" s="941"/>
      <c r="BQ53" s="941"/>
      <c r="BR53" s="941"/>
      <c r="BS53" s="941"/>
      <c r="BT53" s="941"/>
      <c r="BU53" s="941"/>
      <c r="BV53" s="941"/>
      <c r="BW53" s="941"/>
      <c r="BX53" s="941"/>
      <c r="BY53" s="941"/>
      <c r="BZ53" s="941"/>
      <c r="CA53" s="941"/>
      <c r="CB53" s="941"/>
      <c r="CC53" s="941"/>
      <c r="CD53" s="941"/>
      <c r="CE53" s="941"/>
      <c r="CF53" s="941"/>
      <c r="CG53" s="942"/>
      <c r="CH53" s="943"/>
      <c r="CI53" s="944"/>
      <c r="CJ53" s="944"/>
      <c r="CK53" s="944"/>
      <c r="CL53" s="944"/>
      <c r="CM53" s="371"/>
      <c r="CN53" s="371"/>
      <c r="CO53" s="372"/>
      <c r="CP53" s="945"/>
      <c r="CQ53" s="945"/>
      <c r="CR53" s="945"/>
      <c r="CS53" s="945"/>
      <c r="CT53" s="945"/>
      <c r="CU53" s="973"/>
      <c r="CV53" s="973"/>
      <c r="CW53" s="973"/>
      <c r="CX53" s="973"/>
      <c r="CY53" s="973"/>
      <c r="CZ53" s="973"/>
      <c r="DA53" s="973"/>
      <c r="DB53" s="973"/>
      <c r="DC53" s="973"/>
      <c r="DD53" s="973"/>
      <c r="DE53" s="947"/>
      <c r="DF53" s="947"/>
      <c r="DG53" s="947"/>
      <c r="DH53" s="947"/>
      <c r="DI53" s="947"/>
      <c r="DJ53" s="947"/>
      <c r="DK53" s="947"/>
      <c r="DL53" s="947"/>
      <c r="DM53" s="947"/>
      <c r="DN53" s="947"/>
      <c r="DO53" s="949">
        <f>BEZ_Lohn_19_Ges_Zeit/60</f>
        <v>0</v>
      </c>
      <c r="DP53" s="949"/>
      <c r="DQ53" s="949"/>
      <c r="DR53" s="949"/>
      <c r="DS53" s="949"/>
      <c r="DT53" s="949"/>
      <c r="DU53" s="949"/>
      <c r="DV53" s="949"/>
      <c r="DW53" s="947"/>
      <c r="DX53" s="947"/>
      <c r="DY53" s="947"/>
      <c r="DZ53" s="947"/>
      <c r="EA53" s="947"/>
      <c r="EB53" s="947"/>
      <c r="EC53" s="947"/>
      <c r="ED53" s="947"/>
      <c r="EE53" s="947"/>
      <c r="EF53" s="947"/>
      <c r="EG53" s="951"/>
      <c r="EH53" s="951"/>
      <c r="EI53" s="951"/>
      <c r="EJ53" s="951"/>
      <c r="EK53" s="951"/>
      <c r="EL53" s="951"/>
      <c r="EM53" s="951"/>
      <c r="EN53" s="951"/>
      <c r="EO53" s="951"/>
      <c r="EP53" s="951"/>
      <c r="EQ53" s="951"/>
      <c r="ER53" s="951"/>
      <c r="ES53" s="951"/>
      <c r="ET53" s="951"/>
      <c r="EU53" s="951"/>
      <c r="EV53" s="951"/>
      <c r="EW53" s="952" t="str">
        <f>IF(BEZ_Lohn_19_Ges_Zeit="","",((BEZ_Lohn_19_Ges_Zeit*((BEZ_Lohn_19_Zuschl_auf_Zeit/100)+1))/BEZ_Lohn_19_Leist_je_Art)*BEZ_Lohn_1_Bedarf_je_Art*BEZ_Lohn_19_MA_Anz)</f>
        <v/>
      </c>
      <c r="EX53" s="952"/>
      <c r="EY53" s="952"/>
      <c r="EZ53" s="952"/>
      <c r="FA53" s="952"/>
      <c r="FB53" s="952"/>
      <c r="FC53" s="952"/>
      <c r="FD53" s="952"/>
      <c r="FE53" s="963" t="str">
        <f>IF(BEZ_Lohn_19_Ges_Min_je_Art="","",(BEZ_Lohn_19_Ges_Min_je_Art / 60)*BEZ_Lohn_19_St_Satz_excl)</f>
        <v/>
      </c>
      <c r="FF53" s="963"/>
      <c r="FG53" s="963"/>
      <c r="FH53" s="963"/>
      <c r="FI53" s="963"/>
      <c r="FJ53" s="963"/>
      <c r="FK53" s="963"/>
      <c r="FL53" s="963"/>
      <c r="FM53" s="963"/>
      <c r="FN53" s="963"/>
      <c r="FO53" s="964" t="str">
        <f>IF(BEZ_Lohn_19_Ges_Min_je_Art="","",(BEZ_Lohn_19_Ges_Min_je_Art / 60)*BEZ_Lohn_19_St_Satz_excl*KI_N)</f>
        <v/>
      </c>
      <c r="FP53" s="965"/>
      <c r="FQ53" s="965"/>
      <c r="FR53" s="965"/>
      <c r="FS53" s="965"/>
      <c r="FT53" s="965"/>
      <c r="FU53" s="965"/>
      <c r="FV53" s="965"/>
      <c r="FW53" s="965"/>
      <c r="FX53" s="966"/>
      <c r="FY53" s="437"/>
      <c r="FZ53" s="436"/>
      <c r="GA53" s="436"/>
      <c r="GB53" s="436"/>
      <c r="GC53" s="436"/>
      <c r="GD53" s="436"/>
      <c r="GE53" s="436"/>
      <c r="GF53" s="436"/>
      <c r="GG53" s="436"/>
      <c r="GH53" s="436"/>
      <c r="GI53" s="436"/>
      <c r="GJ53" s="436"/>
      <c r="GK53" s="436"/>
      <c r="GL53" s="436"/>
      <c r="GM53" s="436"/>
      <c r="GN53" s="436"/>
      <c r="GO53" s="436"/>
      <c r="GP53" s="436"/>
      <c r="GQ53" s="436"/>
      <c r="GR53" s="436"/>
      <c r="GS53" s="436"/>
      <c r="GT53" s="438"/>
      <c r="GU53" s="25"/>
      <c r="GV53" s="211"/>
      <c r="GW53" s="211"/>
      <c r="GX53" s="211"/>
      <c r="GY53" s="211"/>
      <c r="GZ53" s="211"/>
      <c r="HA53" s="211"/>
      <c r="HB53" s="211"/>
      <c r="HC53" s="211"/>
      <c r="HD53" s="211"/>
      <c r="HE53" s="211"/>
      <c r="HF53" s="211"/>
      <c r="HG53" s="211"/>
      <c r="HH53" s="211"/>
      <c r="HI53" s="211"/>
      <c r="HS53" s="928"/>
      <c r="HT53" s="929"/>
      <c r="HU53" s="929"/>
      <c r="HV53" s="929"/>
      <c r="HW53" s="929"/>
      <c r="HX53" s="929"/>
      <c r="HY53" s="929"/>
      <c r="HZ53" s="929"/>
      <c r="IA53" s="929"/>
      <c r="IB53" s="929"/>
      <c r="IC53" s="929"/>
      <c r="ID53" s="929"/>
      <c r="IE53" s="929"/>
      <c r="IF53" s="930"/>
      <c r="IQ53" s="934"/>
      <c r="IR53" s="935"/>
      <c r="IS53" s="935"/>
      <c r="IT53" s="935"/>
      <c r="IU53" s="935"/>
      <c r="IV53" s="935"/>
      <c r="IW53" s="935"/>
      <c r="IX53" s="935"/>
      <c r="IY53" s="935"/>
      <c r="IZ53" s="936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12"/>
      <c r="L54" s="937"/>
      <c r="M54" s="937"/>
      <c r="N54" s="938"/>
      <c r="O54" s="217"/>
      <c r="P54" s="939"/>
      <c r="Q54" s="939"/>
      <c r="R54" s="939"/>
      <c r="S54" s="939"/>
      <c r="T54" s="939"/>
      <c r="U54" s="939"/>
      <c r="V54" s="939"/>
      <c r="W54" s="939"/>
      <c r="X54" s="939"/>
      <c r="Y54" s="939"/>
      <c r="Z54" s="939"/>
      <c r="AA54" s="939"/>
      <c r="AB54" s="939"/>
      <c r="AC54" s="939"/>
      <c r="AD54" s="939"/>
      <c r="AE54" s="939"/>
      <c r="AF54" s="939"/>
      <c r="AG54" s="939"/>
      <c r="AH54" s="939"/>
      <c r="AI54" s="939"/>
      <c r="AJ54" s="939"/>
      <c r="AK54" s="939"/>
      <c r="AL54" s="939"/>
      <c r="AM54" s="939"/>
      <c r="AN54" s="939"/>
      <c r="AO54" s="939"/>
      <c r="AP54" s="939"/>
      <c r="AQ54" s="939"/>
      <c r="AR54" s="939"/>
      <c r="AS54" s="939"/>
      <c r="AT54" s="939"/>
      <c r="AU54" s="939"/>
      <c r="AV54" s="939"/>
      <c r="AW54" s="939"/>
      <c r="AX54" s="939"/>
      <c r="AY54" s="939"/>
      <c r="AZ54" s="939"/>
      <c r="BA54" s="939"/>
      <c r="BB54" s="939"/>
      <c r="BC54" s="939"/>
      <c r="BD54" s="940"/>
      <c r="BE54" s="941"/>
      <c r="BF54" s="941"/>
      <c r="BG54" s="941"/>
      <c r="BH54" s="941"/>
      <c r="BI54" s="941"/>
      <c r="BJ54" s="941"/>
      <c r="BK54" s="941"/>
      <c r="BL54" s="941"/>
      <c r="BM54" s="941"/>
      <c r="BN54" s="941"/>
      <c r="BO54" s="941"/>
      <c r="BP54" s="941"/>
      <c r="BQ54" s="941"/>
      <c r="BR54" s="941"/>
      <c r="BS54" s="941"/>
      <c r="BT54" s="941"/>
      <c r="BU54" s="941"/>
      <c r="BV54" s="941"/>
      <c r="BW54" s="941"/>
      <c r="BX54" s="941"/>
      <c r="BY54" s="941"/>
      <c r="BZ54" s="941"/>
      <c r="CA54" s="941"/>
      <c r="CB54" s="941"/>
      <c r="CC54" s="941"/>
      <c r="CD54" s="941"/>
      <c r="CE54" s="941"/>
      <c r="CF54" s="941"/>
      <c r="CG54" s="942"/>
      <c r="CH54" s="943"/>
      <c r="CI54" s="944"/>
      <c r="CJ54" s="944"/>
      <c r="CK54" s="944"/>
      <c r="CL54" s="944"/>
      <c r="CM54" s="371"/>
      <c r="CN54" s="371"/>
      <c r="CO54" s="372"/>
      <c r="CP54" s="945"/>
      <c r="CQ54" s="945"/>
      <c r="CR54" s="945"/>
      <c r="CS54" s="945"/>
      <c r="CT54" s="945"/>
      <c r="CU54" s="973"/>
      <c r="CV54" s="973"/>
      <c r="CW54" s="973"/>
      <c r="CX54" s="973"/>
      <c r="CY54" s="973"/>
      <c r="CZ54" s="973"/>
      <c r="DA54" s="973"/>
      <c r="DB54" s="973"/>
      <c r="DC54" s="973"/>
      <c r="DD54" s="973"/>
      <c r="DE54" s="947"/>
      <c r="DF54" s="947"/>
      <c r="DG54" s="947"/>
      <c r="DH54" s="947"/>
      <c r="DI54" s="947"/>
      <c r="DJ54" s="947"/>
      <c r="DK54" s="947"/>
      <c r="DL54" s="947"/>
      <c r="DM54" s="947"/>
      <c r="DN54" s="947"/>
      <c r="DO54" s="949"/>
      <c r="DP54" s="949"/>
      <c r="DQ54" s="949"/>
      <c r="DR54" s="949"/>
      <c r="DS54" s="949"/>
      <c r="DT54" s="949"/>
      <c r="DU54" s="949"/>
      <c r="DV54" s="949"/>
      <c r="DW54" s="947"/>
      <c r="DX54" s="947"/>
      <c r="DY54" s="947"/>
      <c r="DZ54" s="947"/>
      <c r="EA54" s="947"/>
      <c r="EB54" s="947"/>
      <c r="EC54" s="947"/>
      <c r="ED54" s="947"/>
      <c r="EE54" s="947"/>
      <c r="EF54" s="947"/>
      <c r="EG54" s="951"/>
      <c r="EH54" s="951"/>
      <c r="EI54" s="951"/>
      <c r="EJ54" s="951"/>
      <c r="EK54" s="951"/>
      <c r="EL54" s="951"/>
      <c r="EM54" s="951"/>
      <c r="EN54" s="951"/>
      <c r="EO54" s="951"/>
      <c r="EP54" s="951"/>
      <c r="EQ54" s="951"/>
      <c r="ER54" s="951"/>
      <c r="ES54" s="951"/>
      <c r="ET54" s="951"/>
      <c r="EU54" s="951"/>
      <c r="EV54" s="951"/>
      <c r="EW54" s="952"/>
      <c r="EX54" s="952"/>
      <c r="EY54" s="952"/>
      <c r="EZ54" s="952"/>
      <c r="FA54" s="952"/>
      <c r="FB54" s="952"/>
      <c r="FC54" s="952"/>
      <c r="FD54" s="952"/>
      <c r="FE54" s="963"/>
      <c r="FF54" s="963"/>
      <c r="FG54" s="963"/>
      <c r="FH54" s="963"/>
      <c r="FI54" s="963"/>
      <c r="FJ54" s="963"/>
      <c r="FK54" s="963"/>
      <c r="FL54" s="963"/>
      <c r="FM54" s="963"/>
      <c r="FN54" s="963"/>
      <c r="FO54" s="964"/>
      <c r="FP54" s="965"/>
      <c r="FQ54" s="965"/>
      <c r="FR54" s="965"/>
      <c r="FS54" s="965"/>
      <c r="FT54" s="965"/>
      <c r="FU54" s="965"/>
      <c r="FV54" s="965"/>
      <c r="FW54" s="965"/>
      <c r="FX54" s="966"/>
      <c r="FY54" s="988" t="s">
        <v>284</v>
      </c>
      <c r="FZ54" s="989"/>
      <c r="GA54" s="989"/>
      <c r="GB54" s="989"/>
      <c r="GC54" s="989"/>
      <c r="GD54" s="989"/>
      <c r="GE54" s="989"/>
      <c r="GF54" s="989"/>
      <c r="GG54" s="989"/>
      <c r="GH54" s="989"/>
      <c r="GI54" s="989"/>
      <c r="GJ54" s="989"/>
      <c r="GK54" s="989"/>
      <c r="GL54" s="989"/>
      <c r="GM54" s="989"/>
      <c r="GN54" s="989"/>
      <c r="GO54" s="989"/>
      <c r="GP54" s="989"/>
      <c r="GQ54" s="989"/>
      <c r="GR54" s="989"/>
      <c r="GS54" s="989"/>
      <c r="GT54" s="990"/>
      <c r="GU54" s="25"/>
      <c r="GV54" s="211"/>
      <c r="GW54" s="211"/>
      <c r="GX54" s="211"/>
      <c r="GY54" s="211"/>
      <c r="GZ54" s="211"/>
      <c r="HA54" s="211"/>
      <c r="HB54" s="211"/>
      <c r="HC54" s="211"/>
      <c r="HD54" s="211"/>
      <c r="HE54" s="211"/>
      <c r="HF54" s="211"/>
      <c r="HG54" s="211"/>
      <c r="HH54" s="211"/>
      <c r="HI54" s="211"/>
      <c r="HS54" s="928"/>
      <c r="HT54" s="929"/>
      <c r="HU54" s="929"/>
      <c r="HV54" s="929"/>
      <c r="HW54" s="929"/>
      <c r="HX54" s="929"/>
      <c r="HY54" s="929"/>
      <c r="HZ54" s="929"/>
      <c r="IA54" s="929"/>
      <c r="IB54" s="929"/>
      <c r="IC54" s="929"/>
      <c r="ID54" s="929"/>
      <c r="IE54" s="929"/>
      <c r="IF54" s="930"/>
      <c r="IQ54" s="934"/>
      <c r="IR54" s="935"/>
      <c r="IS54" s="935"/>
      <c r="IT54" s="935"/>
      <c r="IU54" s="935"/>
      <c r="IV54" s="935"/>
      <c r="IW54" s="935"/>
      <c r="IX54" s="935"/>
      <c r="IY54" s="935"/>
      <c r="IZ54" s="936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12"/>
      <c r="L55" s="937">
        <v>20</v>
      </c>
      <c r="M55" s="937"/>
      <c r="N55" s="938"/>
      <c r="O55" s="217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39"/>
      <c r="AQ55" s="939"/>
      <c r="AR55" s="939"/>
      <c r="AS55" s="939"/>
      <c r="AT55" s="939"/>
      <c r="AU55" s="939"/>
      <c r="AV55" s="939"/>
      <c r="AW55" s="939"/>
      <c r="AX55" s="939"/>
      <c r="AY55" s="939"/>
      <c r="AZ55" s="939"/>
      <c r="BA55" s="939"/>
      <c r="BB55" s="939"/>
      <c r="BC55" s="939"/>
      <c r="BD55" s="940"/>
      <c r="BE55" s="941"/>
      <c r="BF55" s="941"/>
      <c r="BG55" s="941"/>
      <c r="BH55" s="941"/>
      <c r="BI55" s="941"/>
      <c r="BJ55" s="941"/>
      <c r="BK55" s="941"/>
      <c r="BL55" s="941"/>
      <c r="BM55" s="941"/>
      <c r="BN55" s="941"/>
      <c r="BO55" s="941"/>
      <c r="BP55" s="941"/>
      <c r="BQ55" s="941"/>
      <c r="BR55" s="941"/>
      <c r="BS55" s="941"/>
      <c r="BT55" s="941"/>
      <c r="BU55" s="941"/>
      <c r="BV55" s="941"/>
      <c r="BW55" s="941"/>
      <c r="BX55" s="941"/>
      <c r="BY55" s="941"/>
      <c r="BZ55" s="941"/>
      <c r="CA55" s="941"/>
      <c r="CB55" s="941"/>
      <c r="CC55" s="941"/>
      <c r="CD55" s="941"/>
      <c r="CE55" s="941"/>
      <c r="CF55" s="941"/>
      <c r="CG55" s="942"/>
      <c r="CH55" s="943"/>
      <c r="CI55" s="944"/>
      <c r="CJ55" s="944"/>
      <c r="CK55" s="944"/>
      <c r="CL55" s="944"/>
      <c r="CM55" s="371"/>
      <c r="CN55" s="371"/>
      <c r="CO55" s="372"/>
      <c r="CP55" s="945"/>
      <c r="CQ55" s="945"/>
      <c r="CR55" s="945"/>
      <c r="CS55" s="945"/>
      <c r="CT55" s="945"/>
      <c r="CU55" s="973"/>
      <c r="CV55" s="973"/>
      <c r="CW55" s="973"/>
      <c r="CX55" s="973"/>
      <c r="CY55" s="973"/>
      <c r="CZ55" s="973"/>
      <c r="DA55" s="973"/>
      <c r="DB55" s="973"/>
      <c r="DC55" s="973"/>
      <c r="DD55" s="973"/>
      <c r="DE55" s="947"/>
      <c r="DF55" s="947"/>
      <c r="DG55" s="947"/>
      <c r="DH55" s="947"/>
      <c r="DI55" s="947"/>
      <c r="DJ55" s="947"/>
      <c r="DK55" s="947"/>
      <c r="DL55" s="947"/>
      <c r="DM55" s="947"/>
      <c r="DN55" s="947"/>
      <c r="DO55" s="949">
        <f>BEZ_Lohn_20_Ges_Zeit/60</f>
        <v>0</v>
      </c>
      <c r="DP55" s="949"/>
      <c r="DQ55" s="949"/>
      <c r="DR55" s="949"/>
      <c r="DS55" s="949"/>
      <c r="DT55" s="949"/>
      <c r="DU55" s="949"/>
      <c r="DV55" s="949"/>
      <c r="DW55" s="947"/>
      <c r="DX55" s="947"/>
      <c r="DY55" s="947"/>
      <c r="DZ55" s="947"/>
      <c r="EA55" s="947"/>
      <c r="EB55" s="947"/>
      <c r="EC55" s="947"/>
      <c r="ED55" s="947"/>
      <c r="EE55" s="947"/>
      <c r="EF55" s="947"/>
      <c r="EG55" s="951"/>
      <c r="EH55" s="951"/>
      <c r="EI55" s="951"/>
      <c r="EJ55" s="951"/>
      <c r="EK55" s="951"/>
      <c r="EL55" s="951"/>
      <c r="EM55" s="951"/>
      <c r="EN55" s="951"/>
      <c r="EO55" s="951"/>
      <c r="EP55" s="951"/>
      <c r="EQ55" s="951"/>
      <c r="ER55" s="951"/>
      <c r="ES55" s="951"/>
      <c r="ET55" s="951"/>
      <c r="EU55" s="951"/>
      <c r="EV55" s="951"/>
      <c r="EW55" s="952" t="str">
        <f>IF(BEZ_Lohn_20_Ges_Zeit="","",((BEZ_Lohn_20_Ges_Zeit*((BEZ_Lohn_20_Zuschl_auf_Zeit/100)+1))/BEZ_Lohn_20_Leist_je_Art)*BEZ_Lohn_20_Bedarf_je_Art*BEZ_Lohn_20_MA_Anz)</f>
        <v/>
      </c>
      <c r="EX55" s="952"/>
      <c r="EY55" s="952"/>
      <c r="EZ55" s="952"/>
      <c r="FA55" s="952"/>
      <c r="FB55" s="952"/>
      <c r="FC55" s="952"/>
      <c r="FD55" s="952"/>
      <c r="FE55" s="963" t="str">
        <f>IF(BEZ_Lohn_20_Ges_Min_je_Art="","",(BEZ_Lohn_20_Ges_Min_je_Art / 60)*BEZ_Lohn_20_St_Satz_excl)</f>
        <v/>
      </c>
      <c r="FF55" s="963"/>
      <c r="FG55" s="963"/>
      <c r="FH55" s="963"/>
      <c r="FI55" s="963"/>
      <c r="FJ55" s="963"/>
      <c r="FK55" s="963"/>
      <c r="FL55" s="963"/>
      <c r="FM55" s="963"/>
      <c r="FN55" s="963"/>
      <c r="FO55" s="964" t="str">
        <f>IF(BEZ_Lohn_20_Ges_Min_je_Art="","",(BEZ_Lohn_20_Ges_Min_je_Art / 60)*BEZ_Lohn_20_St_Satz_excl*KI_N)</f>
        <v/>
      </c>
      <c r="FP55" s="965"/>
      <c r="FQ55" s="965"/>
      <c r="FR55" s="965"/>
      <c r="FS55" s="965"/>
      <c r="FT55" s="965"/>
      <c r="FU55" s="965"/>
      <c r="FV55" s="965"/>
      <c r="FW55" s="965"/>
      <c r="FX55" s="966"/>
      <c r="FY55" s="988"/>
      <c r="FZ55" s="989"/>
      <c r="GA55" s="989"/>
      <c r="GB55" s="989"/>
      <c r="GC55" s="989"/>
      <c r="GD55" s="989"/>
      <c r="GE55" s="989"/>
      <c r="GF55" s="989"/>
      <c r="GG55" s="989"/>
      <c r="GH55" s="989"/>
      <c r="GI55" s="989"/>
      <c r="GJ55" s="989"/>
      <c r="GK55" s="989"/>
      <c r="GL55" s="989"/>
      <c r="GM55" s="989"/>
      <c r="GN55" s="989"/>
      <c r="GO55" s="989"/>
      <c r="GP55" s="989"/>
      <c r="GQ55" s="989"/>
      <c r="GR55" s="989"/>
      <c r="GS55" s="989"/>
      <c r="GT55" s="990"/>
      <c r="GU55" s="25"/>
      <c r="GV55" s="211"/>
      <c r="GW55" s="211"/>
      <c r="GX55" s="211"/>
      <c r="GY55" s="211"/>
      <c r="GZ55" s="211"/>
      <c r="HA55" s="211"/>
      <c r="HB55" s="211"/>
      <c r="HC55" s="211"/>
      <c r="HD55" s="211"/>
      <c r="HE55" s="211"/>
      <c r="HF55" s="211"/>
      <c r="HG55" s="211"/>
      <c r="HH55" s="211"/>
      <c r="HI55" s="211"/>
      <c r="HS55" s="928"/>
      <c r="HT55" s="929"/>
      <c r="HU55" s="929"/>
      <c r="HV55" s="929"/>
      <c r="HW55" s="929"/>
      <c r="HX55" s="929"/>
      <c r="HY55" s="929"/>
      <c r="HZ55" s="929"/>
      <c r="IA55" s="929"/>
      <c r="IB55" s="929"/>
      <c r="IC55" s="929"/>
      <c r="ID55" s="929"/>
      <c r="IE55" s="929"/>
      <c r="IF55" s="930"/>
      <c r="IQ55" s="934"/>
      <c r="IR55" s="935"/>
      <c r="IS55" s="935"/>
      <c r="IT55" s="935"/>
      <c r="IU55" s="935"/>
      <c r="IV55" s="935"/>
      <c r="IW55" s="935"/>
      <c r="IX55" s="935"/>
      <c r="IY55" s="935"/>
      <c r="IZ55" s="936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12"/>
      <c r="L56" s="937"/>
      <c r="M56" s="937"/>
      <c r="N56" s="938"/>
      <c r="O56" s="217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39"/>
      <c r="AQ56" s="939"/>
      <c r="AR56" s="939"/>
      <c r="AS56" s="939"/>
      <c r="AT56" s="939"/>
      <c r="AU56" s="939"/>
      <c r="AV56" s="939"/>
      <c r="AW56" s="939"/>
      <c r="AX56" s="939"/>
      <c r="AY56" s="939"/>
      <c r="AZ56" s="939"/>
      <c r="BA56" s="939"/>
      <c r="BB56" s="939"/>
      <c r="BC56" s="939"/>
      <c r="BD56" s="940"/>
      <c r="BE56" s="941"/>
      <c r="BF56" s="941"/>
      <c r="BG56" s="941"/>
      <c r="BH56" s="941"/>
      <c r="BI56" s="941"/>
      <c r="BJ56" s="941"/>
      <c r="BK56" s="941"/>
      <c r="BL56" s="941"/>
      <c r="BM56" s="941"/>
      <c r="BN56" s="941"/>
      <c r="BO56" s="941"/>
      <c r="BP56" s="941"/>
      <c r="BQ56" s="941"/>
      <c r="BR56" s="941"/>
      <c r="BS56" s="941"/>
      <c r="BT56" s="941"/>
      <c r="BU56" s="941"/>
      <c r="BV56" s="941"/>
      <c r="BW56" s="941"/>
      <c r="BX56" s="941"/>
      <c r="BY56" s="941"/>
      <c r="BZ56" s="941"/>
      <c r="CA56" s="941"/>
      <c r="CB56" s="941"/>
      <c r="CC56" s="941"/>
      <c r="CD56" s="941"/>
      <c r="CE56" s="941"/>
      <c r="CF56" s="941"/>
      <c r="CG56" s="942"/>
      <c r="CH56" s="943"/>
      <c r="CI56" s="944"/>
      <c r="CJ56" s="944"/>
      <c r="CK56" s="944"/>
      <c r="CL56" s="944"/>
      <c r="CM56" s="371"/>
      <c r="CN56" s="371"/>
      <c r="CO56" s="372"/>
      <c r="CP56" s="945"/>
      <c r="CQ56" s="945"/>
      <c r="CR56" s="945"/>
      <c r="CS56" s="945"/>
      <c r="CT56" s="945"/>
      <c r="CU56" s="973"/>
      <c r="CV56" s="973"/>
      <c r="CW56" s="973"/>
      <c r="CX56" s="973"/>
      <c r="CY56" s="973"/>
      <c r="CZ56" s="973"/>
      <c r="DA56" s="973"/>
      <c r="DB56" s="973"/>
      <c r="DC56" s="973"/>
      <c r="DD56" s="973"/>
      <c r="DE56" s="947"/>
      <c r="DF56" s="947"/>
      <c r="DG56" s="947"/>
      <c r="DH56" s="947"/>
      <c r="DI56" s="947"/>
      <c r="DJ56" s="947"/>
      <c r="DK56" s="947"/>
      <c r="DL56" s="947"/>
      <c r="DM56" s="947"/>
      <c r="DN56" s="947"/>
      <c r="DO56" s="949"/>
      <c r="DP56" s="949"/>
      <c r="DQ56" s="949"/>
      <c r="DR56" s="949"/>
      <c r="DS56" s="949"/>
      <c r="DT56" s="949"/>
      <c r="DU56" s="949"/>
      <c r="DV56" s="949"/>
      <c r="DW56" s="947"/>
      <c r="DX56" s="947"/>
      <c r="DY56" s="947"/>
      <c r="DZ56" s="947"/>
      <c r="EA56" s="947"/>
      <c r="EB56" s="947"/>
      <c r="EC56" s="947"/>
      <c r="ED56" s="947"/>
      <c r="EE56" s="947"/>
      <c r="EF56" s="947"/>
      <c r="EG56" s="951"/>
      <c r="EH56" s="951"/>
      <c r="EI56" s="951"/>
      <c r="EJ56" s="951"/>
      <c r="EK56" s="951"/>
      <c r="EL56" s="951"/>
      <c r="EM56" s="951"/>
      <c r="EN56" s="951"/>
      <c r="EO56" s="951"/>
      <c r="EP56" s="951"/>
      <c r="EQ56" s="951"/>
      <c r="ER56" s="951"/>
      <c r="ES56" s="951"/>
      <c r="ET56" s="951"/>
      <c r="EU56" s="951"/>
      <c r="EV56" s="951"/>
      <c r="EW56" s="952"/>
      <c r="EX56" s="952"/>
      <c r="EY56" s="952"/>
      <c r="EZ56" s="952"/>
      <c r="FA56" s="952"/>
      <c r="FB56" s="952"/>
      <c r="FC56" s="952"/>
      <c r="FD56" s="952"/>
      <c r="FE56" s="963"/>
      <c r="FF56" s="963"/>
      <c r="FG56" s="963"/>
      <c r="FH56" s="963"/>
      <c r="FI56" s="963"/>
      <c r="FJ56" s="963"/>
      <c r="FK56" s="963"/>
      <c r="FL56" s="963"/>
      <c r="FM56" s="963"/>
      <c r="FN56" s="963"/>
      <c r="FO56" s="964"/>
      <c r="FP56" s="965"/>
      <c r="FQ56" s="965"/>
      <c r="FR56" s="965"/>
      <c r="FS56" s="965"/>
      <c r="FT56" s="965"/>
      <c r="FU56" s="965"/>
      <c r="FV56" s="965"/>
      <c r="FW56" s="965"/>
      <c r="FX56" s="966"/>
      <c r="FY56" s="988"/>
      <c r="FZ56" s="989"/>
      <c r="GA56" s="989"/>
      <c r="GB56" s="989"/>
      <c r="GC56" s="989"/>
      <c r="GD56" s="989"/>
      <c r="GE56" s="989"/>
      <c r="GF56" s="989"/>
      <c r="GG56" s="989"/>
      <c r="GH56" s="989"/>
      <c r="GI56" s="989"/>
      <c r="GJ56" s="989"/>
      <c r="GK56" s="989"/>
      <c r="GL56" s="989"/>
      <c r="GM56" s="989"/>
      <c r="GN56" s="989"/>
      <c r="GO56" s="989"/>
      <c r="GP56" s="989"/>
      <c r="GQ56" s="989"/>
      <c r="GR56" s="989"/>
      <c r="GS56" s="989"/>
      <c r="GT56" s="990"/>
      <c r="GU56" s="25"/>
      <c r="GV56" s="211"/>
      <c r="GW56" s="211"/>
      <c r="GX56" s="211"/>
      <c r="GY56" s="211"/>
      <c r="GZ56" s="211"/>
      <c r="HA56" s="211"/>
      <c r="HB56" s="211"/>
      <c r="HC56" s="211"/>
      <c r="HD56" s="211"/>
      <c r="HE56" s="211"/>
      <c r="HF56" s="211"/>
      <c r="HG56" s="211"/>
      <c r="HH56" s="211"/>
      <c r="HI56" s="211"/>
      <c r="HS56" s="928"/>
      <c r="HT56" s="929"/>
      <c r="HU56" s="929"/>
      <c r="HV56" s="929"/>
      <c r="HW56" s="929"/>
      <c r="HX56" s="929"/>
      <c r="HY56" s="929"/>
      <c r="HZ56" s="929"/>
      <c r="IA56" s="929"/>
      <c r="IB56" s="929"/>
      <c r="IC56" s="929"/>
      <c r="ID56" s="929"/>
      <c r="IE56" s="929"/>
      <c r="IF56" s="930"/>
      <c r="IQ56" s="934"/>
      <c r="IR56" s="935"/>
      <c r="IS56" s="935"/>
      <c r="IT56" s="935"/>
      <c r="IU56" s="935"/>
      <c r="IV56" s="935"/>
      <c r="IW56" s="935"/>
      <c r="IX56" s="935"/>
      <c r="IY56" s="935"/>
      <c r="IZ56" s="936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12"/>
      <c r="L57" s="937">
        <v>21</v>
      </c>
      <c r="M57" s="937"/>
      <c r="N57" s="938"/>
      <c r="O57" s="217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39"/>
      <c r="AQ57" s="939"/>
      <c r="AR57" s="939"/>
      <c r="AS57" s="939"/>
      <c r="AT57" s="939"/>
      <c r="AU57" s="939"/>
      <c r="AV57" s="939"/>
      <c r="AW57" s="939"/>
      <c r="AX57" s="939"/>
      <c r="AY57" s="939"/>
      <c r="AZ57" s="939"/>
      <c r="BA57" s="939"/>
      <c r="BB57" s="939"/>
      <c r="BC57" s="939"/>
      <c r="BD57" s="940"/>
      <c r="BE57" s="941"/>
      <c r="BF57" s="941"/>
      <c r="BG57" s="941"/>
      <c r="BH57" s="941"/>
      <c r="BI57" s="941"/>
      <c r="BJ57" s="941"/>
      <c r="BK57" s="941"/>
      <c r="BL57" s="941"/>
      <c r="BM57" s="941"/>
      <c r="BN57" s="941"/>
      <c r="BO57" s="941"/>
      <c r="BP57" s="941"/>
      <c r="BQ57" s="941"/>
      <c r="BR57" s="941"/>
      <c r="BS57" s="941"/>
      <c r="BT57" s="941"/>
      <c r="BU57" s="941"/>
      <c r="BV57" s="941"/>
      <c r="BW57" s="941"/>
      <c r="BX57" s="941"/>
      <c r="BY57" s="941"/>
      <c r="BZ57" s="941"/>
      <c r="CA57" s="941"/>
      <c r="CB57" s="941"/>
      <c r="CC57" s="941"/>
      <c r="CD57" s="941"/>
      <c r="CE57" s="941"/>
      <c r="CF57" s="941"/>
      <c r="CG57" s="942"/>
      <c r="CH57" s="943"/>
      <c r="CI57" s="944"/>
      <c r="CJ57" s="944"/>
      <c r="CK57" s="944"/>
      <c r="CL57" s="944"/>
      <c r="CM57" s="371"/>
      <c r="CN57" s="371"/>
      <c r="CO57" s="372"/>
      <c r="CP57" s="945"/>
      <c r="CQ57" s="945"/>
      <c r="CR57" s="945"/>
      <c r="CS57" s="945"/>
      <c r="CT57" s="945"/>
      <c r="CU57" s="973"/>
      <c r="CV57" s="973"/>
      <c r="CW57" s="973"/>
      <c r="CX57" s="973"/>
      <c r="CY57" s="973"/>
      <c r="CZ57" s="973"/>
      <c r="DA57" s="973"/>
      <c r="DB57" s="973"/>
      <c r="DC57" s="973"/>
      <c r="DD57" s="973"/>
      <c r="DE57" s="947"/>
      <c r="DF57" s="947"/>
      <c r="DG57" s="947"/>
      <c r="DH57" s="947"/>
      <c r="DI57" s="947"/>
      <c r="DJ57" s="947"/>
      <c r="DK57" s="947"/>
      <c r="DL57" s="947"/>
      <c r="DM57" s="947"/>
      <c r="DN57" s="947"/>
      <c r="DO57" s="949">
        <f>BEZ_Lohn_21_Ges_Zeit/60</f>
        <v>0</v>
      </c>
      <c r="DP57" s="949"/>
      <c r="DQ57" s="949"/>
      <c r="DR57" s="949"/>
      <c r="DS57" s="949"/>
      <c r="DT57" s="949"/>
      <c r="DU57" s="949"/>
      <c r="DV57" s="949"/>
      <c r="DW57" s="947"/>
      <c r="DX57" s="947"/>
      <c r="DY57" s="947"/>
      <c r="DZ57" s="947"/>
      <c r="EA57" s="947"/>
      <c r="EB57" s="947"/>
      <c r="EC57" s="947"/>
      <c r="ED57" s="947"/>
      <c r="EE57" s="947"/>
      <c r="EF57" s="947"/>
      <c r="EG57" s="951"/>
      <c r="EH57" s="951"/>
      <c r="EI57" s="951"/>
      <c r="EJ57" s="951"/>
      <c r="EK57" s="951"/>
      <c r="EL57" s="951"/>
      <c r="EM57" s="951"/>
      <c r="EN57" s="951"/>
      <c r="EO57" s="951"/>
      <c r="EP57" s="951"/>
      <c r="EQ57" s="951"/>
      <c r="ER57" s="951"/>
      <c r="ES57" s="951"/>
      <c r="ET57" s="951"/>
      <c r="EU57" s="951"/>
      <c r="EV57" s="951"/>
      <c r="EW57" s="952" t="str">
        <f>IF(BEZ_Lohn_21_Ges_Zeit="","",((BEZ_Lohn_21_Ges_Zeit*((BEZ_Lohn_21_Zuschl_auf_Zeit/100)+1))/BEZ_Lohn_21_Leist_je_Art)*BEZ_Lohn_21_Bedarf_je_Art*BEZ_Lohn_21_MA_Anz)</f>
        <v/>
      </c>
      <c r="EX57" s="952"/>
      <c r="EY57" s="952"/>
      <c r="EZ57" s="952"/>
      <c r="FA57" s="952"/>
      <c r="FB57" s="952"/>
      <c r="FC57" s="952"/>
      <c r="FD57" s="952"/>
      <c r="FE57" s="963" t="str">
        <f>IF(BEZ_Lohn_21_Ges_Min_je_Art="","",(BEZ_Lohn_21_Ges_Min_je_Art / 60)*BEZ_Lohn_21_St_Satz_excl)</f>
        <v/>
      </c>
      <c r="FF57" s="963"/>
      <c r="FG57" s="963"/>
      <c r="FH57" s="963"/>
      <c r="FI57" s="963"/>
      <c r="FJ57" s="963"/>
      <c r="FK57" s="963"/>
      <c r="FL57" s="963"/>
      <c r="FM57" s="963"/>
      <c r="FN57" s="963"/>
      <c r="FO57" s="964" t="str">
        <f>IF(BEZ_Lohn_21_Ges_Min_je_Art="","",(BEZ_Lohn_21_Ges_Min_je_Art / 60)*BEZ_Lohn_21_St_Satz_excl*KI_N)</f>
        <v/>
      </c>
      <c r="FP57" s="965"/>
      <c r="FQ57" s="965"/>
      <c r="FR57" s="965"/>
      <c r="FS57" s="965"/>
      <c r="FT57" s="965"/>
      <c r="FU57" s="965"/>
      <c r="FV57" s="965"/>
      <c r="FW57" s="965"/>
      <c r="FX57" s="966"/>
      <c r="FY57" s="988"/>
      <c r="FZ57" s="989"/>
      <c r="GA57" s="989"/>
      <c r="GB57" s="989"/>
      <c r="GC57" s="989"/>
      <c r="GD57" s="989"/>
      <c r="GE57" s="989"/>
      <c r="GF57" s="989"/>
      <c r="GG57" s="989"/>
      <c r="GH57" s="989"/>
      <c r="GI57" s="989"/>
      <c r="GJ57" s="989"/>
      <c r="GK57" s="989"/>
      <c r="GL57" s="989"/>
      <c r="GM57" s="989"/>
      <c r="GN57" s="989"/>
      <c r="GO57" s="989"/>
      <c r="GP57" s="989"/>
      <c r="GQ57" s="989"/>
      <c r="GR57" s="989"/>
      <c r="GS57" s="989"/>
      <c r="GT57" s="990"/>
      <c r="GU57" s="25"/>
      <c r="GV57" s="211"/>
      <c r="GW57" s="211"/>
      <c r="GX57" s="211"/>
      <c r="GY57" s="211"/>
      <c r="GZ57" s="211"/>
      <c r="HA57" s="211"/>
      <c r="HB57" s="211"/>
      <c r="HC57" s="211"/>
      <c r="HD57" s="211"/>
      <c r="HE57" s="211"/>
      <c r="HF57" s="211"/>
      <c r="HG57" s="211"/>
      <c r="HH57" s="211"/>
      <c r="HI57" s="211"/>
      <c r="HS57" s="928"/>
      <c r="HT57" s="929"/>
      <c r="HU57" s="929"/>
      <c r="HV57" s="929"/>
      <c r="HW57" s="929"/>
      <c r="HX57" s="929"/>
      <c r="HY57" s="929"/>
      <c r="HZ57" s="929"/>
      <c r="IA57" s="929"/>
      <c r="IB57" s="929"/>
      <c r="IC57" s="929"/>
      <c r="ID57" s="929"/>
      <c r="IE57" s="929"/>
      <c r="IF57" s="930"/>
      <c r="IQ57" s="934"/>
      <c r="IR57" s="935"/>
      <c r="IS57" s="935"/>
      <c r="IT57" s="935"/>
      <c r="IU57" s="935"/>
      <c r="IV57" s="935"/>
      <c r="IW57" s="935"/>
      <c r="IX57" s="935"/>
      <c r="IY57" s="935"/>
      <c r="IZ57" s="936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12"/>
      <c r="L58" s="937"/>
      <c r="M58" s="937"/>
      <c r="N58" s="938"/>
      <c r="O58" s="217"/>
      <c r="P58" s="939"/>
      <c r="Q58" s="939"/>
      <c r="R58" s="939"/>
      <c r="S58" s="939"/>
      <c r="T58" s="939"/>
      <c r="U58" s="939"/>
      <c r="V58" s="939"/>
      <c r="W58" s="939"/>
      <c r="X58" s="939"/>
      <c r="Y58" s="939"/>
      <c r="Z58" s="939"/>
      <c r="AA58" s="939"/>
      <c r="AB58" s="939"/>
      <c r="AC58" s="939"/>
      <c r="AD58" s="939"/>
      <c r="AE58" s="939"/>
      <c r="AF58" s="939"/>
      <c r="AG58" s="939"/>
      <c r="AH58" s="939"/>
      <c r="AI58" s="939"/>
      <c r="AJ58" s="939"/>
      <c r="AK58" s="939"/>
      <c r="AL58" s="939"/>
      <c r="AM58" s="939"/>
      <c r="AN58" s="939"/>
      <c r="AO58" s="939"/>
      <c r="AP58" s="939"/>
      <c r="AQ58" s="939"/>
      <c r="AR58" s="939"/>
      <c r="AS58" s="939"/>
      <c r="AT58" s="939"/>
      <c r="AU58" s="939"/>
      <c r="AV58" s="939"/>
      <c r="AW58" s="939"/>
      <c r="AX58" s="939"/>
      <c r="AY58" s="939"/>
      <c r="AZ58" s="939"/>
      <c r="BA58" s="939"/>
      <c r="BB58" s="939"/>
      <c r="BC58" s="939"/>
      <c r="BD58" s="940"/>
      <c r="BE58" s="941"/>
      <c r="BF58" s="941"/>
      <c r="BG58" s="941"/>
      <c r="BH58" s="941"/>
      <c r="BI58" s="941"/>
      <c r="BJ58" s="941"/>
      <c r="BK58" s="941"/>
      <c r="BL58" s="941"/>
      <c r="BM58" s="941"/>
      <c r="BN58" s="941"/>
      <c r="BO58" s="941"/>
      <c r="BP58" s="941"/>
      <c r="BQ58" s="941"/>
      <c r="BR58" s="941"/>
      <c r="BS58" s="941"/>
      <c r="BT58" s="941"/>
      <c r="BU58" s="941"/>
      <c r="BV58" s="941"/>
      <c r="BW58" s="941"/>
      <c r="BX58" s="941"/>
      <c r="BY58" s="941"/>
      <c r="BZ58" s="941"/>
      <c r="CA58" s="941"/>
      <c r="CB58" s="941"/>
      <c r="CC58" s="941"/>
      <c r="CD58" s="941"/>
      <c r="CE58" s="941"/>
      <c r="CF58" s="941"/>
      <c r="CG58" s="942"/>
      <c r="CH58" s="943"/>
      <c r="CI58" s="944"/>
      <c r="CJ58" s="944"/>
      <c r="CK58" s="944"/>
      <c r="CL58" s="944"/>
      <c r="CM58" s="371"/>
      <c r="CN58" s="371"/>
      <c r="CO58" s="372"/>
      <c r="CP58" s="945"/>
      <c r="CQ58" s="945"/>
      <c r="CR58" s="945"/>
      <c r="CS58" s="945"/>
      <c r="CT58" s="945"/>
      <c r="CU58" s="973"/>
      <c r="CV58" s="973"/>
      <c r="CW58" s="973"/>
      <c r="CX58" s="973"/>
      <c r="CY58" s="973"/>
      <c r="CZ58" s="973"/>
      <c r="DA58" s="973"/>
      <c r="DB58" s="973"/>
      <c r="DC58" s="973"/>
      <c r="DD58" s="973"/>
      <c r="DE58" s="947"/>
      <c r="DF58" s="947"/>
      <c r="DG58" s="947"/>
      <c r="DH58" s="947"/>
      <c r="DI58" s="947"/>
      <c r="DJ58" s="947"/>
      <c r="DK58" s="947"/>
      <c r="DL58" s="947"/>
      <c r="DM58" s="947"/>
      <c r="DN58" s="947"/>
      <c r="DO58" s="949"/>
      <c r="DP58" s="949"/>
      <c r="DQ58" s="949"/>
      <c r="DR58" s="949"/>
      <c r="DS58" s="949"/>
      <c r="DT58" s="949"/>
      <c r="DU58" s="949"/>
      <c r="DV58" s="949"/>
      <c r="DW58" s="947"/>
      <c r="DX58" s="947"/>
      <c r="DY58" s="947"/>
      <c r="DZ58" s="947"/>
      <c r="EA58" s="947"/>
      <c r="EB58" s="947"/>
      <c r="EC58" s="947"/>
      <c r="ED58" s="947"/>
      <c r="EE58" s="947"/>
      <c r="EF58" s="947"/>
      <c r="EG58" s="951"/>
      <c r="EH58" s="951"/>
      <c r="EI58" s="951"/>
      <c r="EJ58" s="951"/>
      <c r="EK58" s="951"/>
      <c r="EL58" s="951"/>
      <c r="EM58" s="951"/>
      <c r="EN58" s="951"/>
      <c r="EO58" s="951"/>
      <c r="EP58" s="951"/>
      <c r="EQ58" s="951"/>
      <c r="ER58" s="951"/>
      <c r="ES58" s="951"/>
      <c r="ET58" s="951"/>
      <c r="EU58" s="951"/>
      <c r="EV58" s="951"/>
      <c r="EW58" s="952"/>
      <c r="EX58" s="952"/>
      <c r="EY58" s="952"/>
      <c r="EZ58" s="952"/>
      <c r="FA58" s="952"/>
      <c r="FB58" s="952"/>
      <c r="FC58" s="952"/>
      <c r="FD58" s="952"/>
      <c r="FE58" s="963"/>
      <c r="FF58" s="963"/>
      <c r="FG58" s="963"/>
      <c r="FH58" s="963"/>
      <c r="FI58" s="963"/>
      <c r="FJ58" s="963"/>
      <c r="FK58" s="963"/>
      <c r="FL58" s="963"/>
      <c r="FM58" s="963"/>
      <c r="FN58" s="963"/>
      <c r="FO58" s="964"/>
      <c r="FP58" s="965"/>
      <c r="FQ58" s="965"/>
      <c r="FR58" s="965"/>
      <c r="FS58" s="965"/>
      <c r="FT58" s="965"/>
      <c r="FU58" s="965"/>
      <c r="FV58" s="965"/>
      <c r="FW58" s="965"/>
      <c r="FX58" s="966"/>
      <c r="FY58" s="977">
        <f>100/Kalkulation!AN177*Kalkulation!AN172</f>
        <v>12.569929249698845</v>
      </c>
      <c r="FZ58" s="978"/>
      <c r="GA58" s="978"/>
      <c r="GB58" s="978"/>
      <c r="GC58" s="978"/>
      <c r="GD58" s="978"/>
      <c r="GE58" s="978"/>
      <c r="GF58" s="978"/>
      <c r="GG58" s="978"/>
      <c r="GH58" s="978"/>
      <c r="GI58" s="983" t="s">
        <v>285</v>
      </c>
      <c r="GJ58" s="983"/>
      <c r="GK58" s="983"/>
      <c r="GL58" s="983"/>
      <c r="GM58" s="983"/>
      <c r="GN58" s="983"/>
      <c r="GO58" s="983"/>
      <c r="GP58" s="983"/>
      <c r="GQ58" s="983"/>
      <c r="GR58" s="983"/>
      <c r="GS58" s="983"/>
      <c r="GT58" s="984"/>
      <c r="GU58" s="25"/>
      <c r="GV58" s="211"/>
      <c r="GW58" s="211"/>
      <c r="GX58" s="211"/>
      <c r="GY58" s="211"/>
      <c r="GZ58" s="211"/>
      <c r="HA58" s="211"/>
      <c r="HB58" s="211"/>
      <c r="HC58" s="211"/>
      <c r="HD58" s="211"/>
      <c r="HE58" s="211"/>
      <c r="HF58" s="211"/>
      <c r="HG58" s="211"/>
      <c r="HH58" s="211"/>
      <c r="HI58" s="211"/>
      <c r="HS58" s="928"/>
      <c r="HT58" s="929"/>
      <c r="HU58" s="929"/>
      <c r="HV58" s="929"/>
      <c r="HW58" s="929"/>
      <c r="HX58" s="929"/>
      <c r="HY58" s="929"/>
      <c r="HZ58" s="929"/>
      <c r="IA58" s="929"/>
      <c r="IB58" s="929"/>
      <c r="IC58" s="929"/>
      <c r="ID58" s="929"/>
      <c r="IE58" s="929"/>
      <c r="IF58" s="930"/>
      <c r="IQ58" s="934"/>
      <c r="IR58" s="935"/>
      <c r="IS58" s="935"/>
      <c r="IT58" s="935"/>
      <c r="IU58" s="935"/>
      <c r="IV58" s="935"/>
      <c r="IW58" s="935"/>
      <c r="IX58" s="935"/>
      <c r="IY58" s="935"/>
      <c r="IZ58" s="936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12"/>
      <c r="L59" s="937">
        <v>22</v>
      </c>
      <c r="M59" s="937"/>
      <c r="N59" s="938"/>
      <c r="O59" s="217"/>
      <c r="P59" s="939"/>
      <c r="Q59" s="939"/>
      <c r="R59" s="939"/>
      <c r="S59" s="939"/>
      <c r="T59" s="939"/>
      <c r="U59" s="939"/>
      <c r="V59" s="939"/>
      <c r="W59" s="939"/>
      <c r="X59" s="939"/>
      <c r="Y59" s="939"/>
      <c r="Z59" s="939"/>
      <c r="AA59" s="939"/>
      <c r="AB59" s="939"/>
      <c r="AC59" s="939"/>
      <c r="AD59" s="939"/>
      <c r="AE59" s="939"/>
      <c r="AF59" s="939"/>
      <c r="AG59" s="939"/>
      <c r="AH59" s="939"/>
      <c r="AI59" s="939"/>
      <c r="AJ59" s="939"/>
      <c r="AK59" s="939"/>
      <c r="AL59" s="939"/>
      <c r="AM59" s="939"/>
      <c r="AN59" s="939"/>
      <c r="AO59" s="939"/>
      <c r="AP59" s="939"/>
      <c r="AQ59" s="939"/>
      <c r="AR59" s="939"/>
      <c r="AS59" s="939"/>
      <c r="AT59" s="939"/>
      <c r="AU59" s="939"/>
      <c r="AV59" s="939"/>
      <c r="AW59" s="939"/>
      <c r="AX59" s="939"/>
      <c r="AY59" s="939"/>
      <c r="AZ59" s="939"/>
      <c r="BA59" s="939"/>
      <c r="BB59" s="939"/>
      <c r="BC59" s="939"/>
      <c r="BD59" s="940"/>
      <c r="BE59" s="941"/>
      <c r="BF59" s="941"/>
      <c r="BG59" s="941"/>
      <c r="BH59" s="941"/>
      <c r="BI59" s="941"/>
      <c r="BJ59" s="941"/>
      <c r="BK59" s="941"/>
      <c r="BL59" s="941"/>
      <c r="BM59" s="941"/>
      <c r="BN59" s="941"/>
      <c r="BO59" s="941"/>
      <c r="BP59" s="941"/>
      <c r="BQ59" s="941"/>
      <c r="BR59" s="941"/>
      <c r="BS59" s="941"/>
      <c r="BT59" s="941"/>
      <c r="BU59" s="941"/>
      <c r="BV59" s="941"/>
      <c r="BW59" s="941"/>
      <c r="BX59" s="941"/>
      <c r="BY59" s="941"/>
      <c r="BZ59" s="941"/>
      <c r="CA59" s="941"/>
      <c r="CB59" s="941"/>
      <c r="CC59" s="941"/>
      <c r="CD59" s="941"/>
      <c r="CE59" s="941"/>
      <c r="CF59" s="941"/>
      <c r="CG59" s="942"/>
      <c r="CH59" s="943"/>
      <c r="CI59" s="944"/>
      <c r="CJ59" s="944"/>
      <c r="CK59" s="944"/>
      <c r="CL59" s="944"/>
      <c r="CM59" s="371"/>
      <c r="CN59" s="371"/>
      <c r="CO59" s="372"/>
      <c r="CP59" s="945"/>
      <c r="CQ59" s="945"/>
      <c r="CR59" s="945"/>
      <c r="CS59" s="945"/>
      <c r="CT59" s="945"/>
      <c r="CU59" s="973"/>
      <c r="CV59" s="973"/>
      <c r="CW59" s="973"/>
      <c r="CX59" s="973"/>
      <c r="CY59" s="973"/>
      <c r="CZ59" s="973"/>
      <c r="DA59" s="973"/>
      <c r="DB59" s="973"/>
      <c r="DC59" s="973"/>
      <c r="DD59" s="973"/>
      <c r="DE59" s="947"/>
      <c r="DF59" s="947"/>
      <c r="DG59" s="947"/>
      <c r="DH59" s="947"/>
      <c r="DI59" s="947"/>
      <c r="DJ59" s="947"/>
      <c r="DK59" s="947"/>
      <c r="DL59" s="947"/>
      <c r="DM59" s="947"/>
      <c r="DN59" s="947"/>
      <c r="DO59" s="949">
        <f>BEZ_Lohn_22_Ges_Zeit/60</f>
        <v>0</v>
      </c>
      <c r="DP59" s="949"/>
      <c r="DQ59" s="949"/>
      <c r="DR59" s="949"/>
      <c r="DS59" s="949"/>
      <c r="DT59" s="949"/>
      <c r="DU59" s="949"/>
      <c r="DV59" s="949"/>
      <c r="DW59" s="947"/>
      <c r="DX59" s="947"/>
      <c r="DY59" s="947"/>
      <c r="DZ59" s="947"/>
      <c r="EA59" s="947"/>
      <c r="EB59" s="947"/>
      <c r="EC59" s="947"/>
      <c r="ED59" s="947"/>
      <c r="EE59" s="947"/>
      <c r="EF59" s="947"/>
      <c r="EG59" s="951"/>
      <c r="EH59" s="951"/>
      <c r="EI59" s="951"/>
      <c r="EJ59" s="951"/>
      <c r="EK59" s="951"/>
      <c r="EL59" s="951"/>
      <c r="EM59" s="951"/>
      <c r="EN59" s="951"/>
      <c r="EO59" s="951"/>
      <c r="EP59" s="951"/>
      <c r="EQ59" s="951"/>
      <c r="ER59" s="951"/>
      <c r="ES59" s="951"/>
      <c r="ET59" s="951"/>
      <c r="EU59" s="951"/>
      <c r="EV59" s="951"/>
      <c r="EW59" s="952" t="str">
        <f>IF(BEZ_Lohn_22_Ges_Zeit="","",((BEZ_Lohn_22_Ges_Zeit*((BEZ_Lohn_22_Zuschl_auf_Zeit/100)+1))/BEZ_Lohn_22_Leist_je_Art)*BEZ_Lohn_22_Bedarf_je_Art*BEZ_Lohn_22_MA_Anz)</f>
        <v/>
      </c>
      <c r="EX59" s="952"/>
      <c r="EY59" s="952"/>
      <c r="EZ59" s="952"/>
      <c r="FA59" s="952"/>
      <c r="FB59" s="952"/>
      <c r="FC59" s="952"/>
      <c r="FD59" s="952"/>
      <c r="FE59" s="963" t="str">
        <f>IF(BEZ_Lohn_22_Ges_Min_je_Art="","",(BEZ_Lohn_22_Ges_Min_je_Art / 60)*BEZ_Lohn_22_St_Satz_excl)</f>
        <v/>
      </c>
      <c r="FF59" s="963"/>
      <c r="FG59" s="963"/>
      <c r="FH59" s="963"/>
      <c r="FI59" s="963"/>
      <c r="FJ59" s="963"/>
      <c r="FK59" s="963"/>
      <c r="FL59" s="963"/>
      <c r="FM59" s="963"/>
      <c r="FN59" s="963"/>
      <c r="FO59" s="964" t="str">
        <f>IF(BEZ_Lohn_22_Ges_Min_je_Art="","",(BEZ_Lohn_22_Ges_Min_je_Art / 60)*BEZ_Lohn_22_St_Satz_excl*KI_N)</f>
        <v/>
      </c>
      <c r="FP59" s="965"/>
      <c r="FQ59" s="965"/>
      <c r="FR59" s="965"/>
      <c r="FS59" s="965"/>
      <c r="FT59" s="965"/>
      <c r="FU59" s="965"/>
      <c r="FV59" s="965"/>
      <c r="FW59" s="965"/>
      <c r="FX59" s="966"/>
      <c r="FY59" s="977"/>
      <c r="FZ59" s="978"/>
      <c r="GA59" s="978"/>
      <c r="GB59" s="978"/>
      <c r="GC59" s="978"/>
      <c r="GD59" s="978"/>
      <c r="GE59" s="978"/>
      <c r="GF59" s="978"/>
      <c r="GG59" s="978"/>
      <c r="GH59" s="978"/>
      <c r="GI59" s="983"/>
      <c r="GJ59" s="983"/>
      <c r="GK59" s="983"/>
      <c r="GL59" s="983"/>
      <c r="GM59" s="983"/>
      <c r="GN59" s="983"/>
      <c r="GO59" s="983"/>
      <c r="GP59" s="983"/>
      <c r="GQ59" s="983"/>
      <c r="GR59" s="983"/>
      <c r="GS59" s="983"/>
      <c r="GT59" s="984"/>
      <c r="GU59" s="25"/>
      <c r="GV59" s="211"/>
      <c r="GW59" s="211"/>
      <c r="GX59" s="211"/>
      <c r="GY59" s="211"/>
      <c r="GZ59" s="211"/>
      <c r="HA59" s="211"/>
      <c r="HB59" s="211"/>
      <c r="HC59" s="211"/>
      <c r="HD59" s="211"/>
      <c r="HE59" s="211"/>
      <c r="HF59" s="211"/>
      <c r="HG59" s="211"/>
      <c r="HH59" s="211"/>
      <c r="HI59" s="211"/>
      <c r="HS59" s="928"/>
      <c r="HT59" s="929"/>
      <c r="HU59" s="929"/>
      <c r="HV59" s="929"/>
      <c r="HW59" s="929"/>
      <c r="HX59" s="929"/>
      <c r="HY59" s="929"/>
      <c r="HZ59" s="929"/>
      <c r="IA59" s="929"/>
      <c r="IB59" s="929"/>
      <c r="IC59" s="929"/>
      <c r="ID59" s="929"/>
      <c r="IE59" s="929"/>
      <c r="IF59" s="930"/>
      <c r="IQ59" s="934"/>
      <c r="IR59" s="935"/>
      <c r="IS59" s="935"/>
      <c r="IT59" s="935"/>
      <c r="IU59" s="935"/>
      <c r="IV59" s="935"/>
      <c r="IW59" s="935"/>
      <c r="IX59" s="935"/>
      <c r="IY59" s="935"/>
      <c r="IZ59" s="936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12"/>
      <c r="L60" s="937"/>
      <c r="M60" s="937"/>
      <c r="N60" s="938"/>
      <c r="O60" s="217"/>
      <c r="P60" s="939"/>
      <c r="Q60" s="939"/>
      <c r="R60" s="939"/>
      <c r="S60" s="939"/>
      <c r="T60" s="939"/>
      <c r="U60" s="939"/>
      <c r="V60" s="939"/>
      <c r="W60" s="939"/>
      <c r="X60" s="939"/>
      <c r="Y60" s="939"/>
      <c r="Z60" s="939"/>
      <c r="AA60" s="939"/>
      <c r="AB60" s="939"/>
      <c r="AC60" s="939"/>
      <c r="AD60" s="939"/>
      <c r="AE60" s="939"/>
      <c r="AF60" s="939"/>
      <c r="AG60" s="939"/>
      <c r="AH60" s="939"/>
      <c r="AI60" s="939"/>
      <c r="AJ60" s="939"/>
      <c r="AK60" s="939"/>
      <c r="AL60" s="939"/>
      <c r="AM60" s="939"/>
      <c r="AN60" s="939"/>
      <c r="AO60" s="939"/>
      <c r="AP60" s="939"/>
      <c r="AQ60" s="939"/>
      <c r="AR60" s="939"/>
      <c r="AS60" s="939"/>
      <c r="AT60" s="939"/>
      <c r="AU60" s="939"/>
      <c r="AV60" s="939"/>
      <c r="AW60" s="939"/>
      <c r="AX60" s="939"/>
      <c r="AY60" s="939"/>
      <c r="AZ60" s="939"/>
      <c r="BA60" s="939"/>
      <c r="BB60" s="939"/>
      <c r="BC60" s="939"/>
      <c r="BD60" s="940"/>
      <c r="BE60" s="941"/>
      <c r="BF60" s="941"/>
      <c r="BG60" s="941"/>
      <c r="BH60" s="941"/>
      <c r="BI60" s="941"/>
      <c r="BJ60" s="941"/>
      <c r="BK60" s="941"/>
      <c r="BL60" s="941"/>
      <c r="BM60" s="941"/>
      <c r="BN60" s="941"/>
      <c r="BO60" s="941"/>
      <c r="BP60" s="941"/>
      <c r="BQ60" s="941"/>
      <c r="BR60" s="941"/>
      <c r="BS60" s="941"/>
      <c r="BT60" s="941"/>
      <c r="BU60" s="941"/>
      <c r="BV60" s="941"/>
      <c r="BW60" s="941"/>
      <c r="BX60" s="941"/>
      <c r="BY60" s="941"/>
      <c r="BZ60" s="941"/>
      <c r="CA60" s="941"/>
      <c r="CB60" s="941"/>
      <c r="CC60" s="941"/>
      <c r="CD60" s="941"/>
      <c r="CE60" s="941"/>
      <c r="CF60" s="941"/>
      <c r="CG60" s="942"/>
      <c r="CH60" s="943"/>
      <c r="CI60" s="944"/>
      <c r="CJ60" s="944"/>
      <c r="CK60" s="944"/>
      <c r="CL60" s="944"/>
      <c r="CM60" s="371"/>
      <c r="CN60" s="371"/>
      <c r="CO60" s="372"/>
      <c r="CP60" s="945"/>
      <c r="CQ60" s="945"/>
      <c r="CR60" s="945"/>
      <c r="CS60" s="945"/>
      <c r="CT60" s="945"/>
      <c r="CU60" s="973"/>
      <c r="CV60" s="973"/>
      <c r="CW60" s="973"/>
      <c r="CX60" s="973"/>
      <c r="CY60" s="973"/>
      <c r="CZ60" s="973"/>
      <c r="DA60" s="973"/>
      <c r="DB60" s="973"/>
      <c r="DC60" s="973"/>
      <c r="DD60" s="973"/>
      <c r="DE60" s="947"/>
      <c r="DF60" s="947"/>
      <c r="DG60" s="947"/>
      <c r="DH60" s="947"/>
      <c r="DI60" s="947"/>
      <c r="DJ60" s="947"/>
      <c r="DK60" s="947"/>
      <c r="DL60" s="947"/>
      <c r="DM60" s="947"/>
      <c r="DN60" s="947"/>
      <c r="DO60" s="949"/>
      <c r="DP60" s="949"/>
      <c r="DQ60" s="949"/>
      <c r="DR60" s="949"/>
      <c r="DS60" s="949"/>
      <c r="DT60" s="949"/>
      <c r="DU60" s="949"/>
      <c r="DV60" s="949"/>
      <c r="DW60" s="947"/>
      <c r="DX60" s="947"/>
      <c r="DY60" s="947"/>
      <c r="DZ60" s="947"/>
      <c r="EA60" s="947"/>
      <c r="EB60" s="947"/>
      <c r="EC60" s="947"/>
      <c r="ED60" s="947"/>
      <c r="EE60" s="947"/>
      <c r="EF60" s="947"/>
      <c r="EG60" s="951"/>
      <c r="EH60" s="951"/>
      <c r="EI60" s="951"/>
      <c r="EJ60" s="951"/>
      <c r="EK60" s="951"/>
      <c r="EL60" s="951"/>
      <c r="EM60" s="951"/>
      <c r="EN60" s="951"/>
      <c r="EO60" s="951"/>
      <c r="EP60" s="951"/>
      <c r="EQ60" s="951"/>
      <c r="ER60" s="951"/>
      <c r="ES60" s="951"/>
      <c r="ET60" s="951"/>
      <c r="EU60" s="951"/>
      <c r="EV60" s="951"/>
      <c r="EW60" s="952"/>
      <c r="EX60" s="952"/>
      <c r="EY60" s="952"/>
      <c r="EZ60" s="952"/>
      <c r="FA60" s="952"/>
      <c r="FB60" s="952"/>
      <c r="FC60" s="952"/>
      <c r="FD60" s="952"/>
      <c r="FE60" s="963"/>
      <c r="FF60" s="963"/>
      <c r="FG60" s="963"/>
      <c r="FH60" s="963"/>
      <c r="FI60" s="963"/>
      <c r="FJ60" s="963"/>
      <c r="FK60" s="963"/>
      <c r="FL60" s="963"/>
      <c r="FM60" s="963"/>
      <c r="FN60" s="963"/>
      <c r="FO60" s="964"/>
      <c r="FP60" s="965"/>
      <c r="FQ60" s="965"/>
      <c r="FR60" s="965"/>
      <c r="FS60" s="965"/>
      <c r="FT60" s="965"/>
      <c r="FU60" s="965"/>
      <c r="FV60" s="965"/>
      <c r="FW60" s="965"/>
      <c r="FX60" s="966"/>
      <c r="FY60" s="218"/>
      <c r="FZ60" s="219"/>
      <c r="GA60" s="220"/>
      <c r="GB60" s="220"/>
      <c r="GC60" s="220"/>
      <c r="GD60" s="220"/>
      <c r="GE60" s="220"/>
      <c r="GF60" s="220"/>
      <c r="GG60" s="220"/>
      <c r="GH60" s="220"/>
      <c r="GI60" s="220"/>
      <c r="GJ60" s="220"/>
      <c r="GK60" s="220"/>
      <c r="GL60" s="220"/>
      <c r="GM60" s="220"/>
      <c r="GN60" s="220"/>
      <c r="GO60" s="220"/>
      <c r="GP60" s="220"/>
      <c r="GQ60" s="220"/>
      <c r="GR60" s="220"/>
      <c r="GS60" s="220"/>
      <c r="GT60" s="221"/>
      <c r="GU60" s="25"/>
      <c r="GV60" s="211"/>
      <c r="GW60" s="211"/>
      <c r="GX60" s="211"/>
      <c r="GY60" s="211"/>
      <c r="GZ60" s="211"/>
      <c r="HA60" s="211"/>
      <c r="HB60" s="211"/>
      <c r="HC60" s="211"/>
      <c r="HD60" s="211"/>
      <c r="HE60" s="211"/>
      <c r="HF60" s="211"/>
      <c r="HG60" s="211"/>
      <c r="HH60" s="211"/>
      <c r="HI60" s="211"/>
      <c r="HS60" s="928"/>
      <c r="HT60" s="929"/>
      <c r="HU60" s="929"/>
      <c r="HV60" s="929"/>
      <c r="HW60" s="929"/>
      <c r="HX60" s="929"/>
      <c r="HY60" s="929"/>
      <c r="HZ60" s="929"/>
      <c r="IA60" s="929"/>
      <c r="IB60" s="929"/>
      <c r="IC60" s="929"/>
      <c r="ID60" s="929"/>
      <c r="IE60" s="929"/>
      <c r="IF60" s="930"/>
      <c r="IQ60" s="934"/>
      <c r="IR60" s="935"/>
      <c r="IS60" s="935"/>
      <c r="IT60" s="935"/>
      <c r="IU60" s="935"/>
      <c r="IV60" s="935"/>
      <c r="IW60" s="935"/>
      <c r="IX60" s="935"/>
      <c r="IY60" s="935"/>
      <c r="IZ60" s="936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12"/>
      <c r="L61" s="937">
        <v>23</v>
      </c>
      <c r="M61" s="937"/>
      <c r="N61" s="938"/>
      <c r="O61" s="217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39"/>
      <c r="AS61" s="939"/>
      <c r="AT61" s="939"/>
      <c r="AU61" s="939"/>
      <c r="AV61" s="939"/>
      <c r="AW61" s="939"/>
      <c r="AX61" s="939"/>
      <c r="AY61" s="939"/>
      <c r="AZ61" s="939"/>
      <c r="BA61" s="939"/>
      <c r="BB61" s="939"/>
      <c r="BC61" s="939"/>
      <c r="BD61" s="940"/>
      <c r="BE61" s="941"/>
      <c r="BF61" s="941"/>
      <c r="BG61" s="941"/>
      <c r="BH61" s="941"/>
      <c r="BI61" s="941"/>
      <c r="BJ61" s="941"/>
      <c r="BK61" s="941"/>
      <c r="BL61" s="941"/>
      <c r="BM61" s="941"/>
      <c r="BN61" s="941"/>
      <c r="BO61" s="941"/>
      <c r="BP61" s="941"/>
      <c r="BQ61" s="941"/>
      <c r="BR61" s="941"/>
      <c r="BS61" s="941"/>
      <c r="BT61" s="941"/>
      <c r="BU61" s="941"/>
      <c r="BV61" s="941"/>
      <c r="BW61" s="941"/>
      <c r="BX61" s="941"/>
      <c r="BY61" s="941"/>
      <c r="BZ61" s="941"/>
      <c r="CA61" s="941"/>
      <c r="CB61" s="941"/>
      <c r="CC61" s="941"/>
      <c r="CD61" s="941"/>
      <c r="CE61" s="941"/>
      <c r="CF61" s="941"/>
      <c r="CG61" s="942"/>
      <c r="CH61" s="943"/>
      <c r="CI61" s="944"/>
      <c r="CJ61" s="944"/>
      <c r="CK61" s="944"/>
      <c r="CL61" s="944"/>
      <c r="CM61" s="371"/>
      <c r="CN61" s="371"/>
      <c r="CO61" s="372"/>
      <c r="CP61" s="945"/>
      <c r="CQ61" s="945"/>
      <c r="CR61" s="945"/>
      <c r="CS61" s="945"/>
      <c r="CT61" s="945"/>
      <c r="CU61" s="973"/>
      <c r="CV61" s="973"/>
      <c r="CW61" s="973"/>
      <c r="CX61" s="973"/>
      <c r="CY61" s="973"/>
      <c r="CZ61" s="973"/>
      <c r="DA61" s="973"/>
      <c r="DB61" s="973"/>
      <c r="DC61" s="973"/>
      <c r="DD61" s="973"/>
      <c r="DE61" s="947"/>
      <c r="DF61" s="947"/>
      <c r="DG61" s="947"/>
      <c r="DH61" s="947"/>
      <c r="DI61" s="947"/>
      <c r="DJ61" s="947"/>
      <c r="DK61" s="947"/>
      <c r="DL61" s="947"/>
      <c r="DM61" s="947"/>
      <c r="DN61" s="947"/>
      <c r="DO61" s="949">
        <f>BEZ_Lohn_23_Ges_Zeit/60</f>
        <v>0</v>
      </c>
      <c r="DP61" s="949"/>
      <c r="DQ61" s="949"/>
      <c r="DR61" s="949"/>
      <c r="DS61" s="949"/>
      <c r="DT61" s="949"/>
      <c r="DU61" s="949"/>
      <c r="DV61" s="949"/>
      <c r="DW61" s="947"/>
      <c r="DX61" s="947"/>
      <c r="DY61" s="947"/>
      <c r="DZ61" s="947"/>
      <c r="EA61" s="947"/>
      <c r="EB61" s="947"/>
      <c r="EC61" s="947"/>
      <c r="ED61" s="947"/>
      <c r="EE61" s="947"/>
      <c r="EF61" s="947"/>
      <c r="EG61" s="951"/>
      <c r="EH61" s="951"/>
      <c r="EI61" s="951"/>
      <c r="EJ61" s="951"/>
      <c r="EK61" s="951"/>
      <c r="EL61" s="951"/>
      <c r="EM61" s="951"/>
      <c r="EN61" s="951"/>
      <c r="EO61" s="951"/>
      <c r="EP61" s="951"/>
      <c r="EQ61" s="951"/>
      <c r="ER61" s="951"/>
      <c r="ES61" s="951"/>
      <c r="ET61" s="951"/>
      <c r="EU61" s="951"/>
      <c r="EV61" s="951"/>
      <c r="EW61" s="952" t="str">
        <f>IF(BEZ_Lohn_23_Ges_Zeit="","",((BEZ_Lohn_23_Ges_Zeit*((BEZ_Lohn_23_Zuschl_auf_Zeit/100)+1))/BEZ_Lohn_23_Leist_je_Art)*BEZ_Lohn_23_Bedarf_je_Art*BEZ_Lohn_23_MA_Anz)</f>
        <v/>
      </c>
      <c r="EX61" s="952"/>
      <c r="EY61" s="952"/>
      <c r="EZ61" s="952"/>
      <c r="FA61" s="952"/>
      <c r="FB61" s="952"/>
      <c r="FC61" s="952"/>
      <c r="FD61" s="952"/>
      <c r="FE61" s="963" t="str">
        <f>IF(BEZ_Lohn_23_Ges_Min_je_Art="","",(BEZ_Lohn_23_Ges_Min_je_Art / 60)*BEZ_Lohn_23_St_Satz_excl)</f>
        <v/>
      </c>
      <c r="FF61" s="963"/>
      <c r="FG61" s="963"/>
      <c r="FH61" s="963"/>
      <c r="FI61" s="963"/>
      <c r="FJ61" s="963"/>
      <c r="FK61" s="963"/>
      <c r="FL61" s="963"/>
      <c r="FM61" s="963"/>
      <c r="FN61" s="963"/>
      <c r="FO61" s="964" t="str">
        <f>IF(BEZ_Lohn_23_Ges_Min_je_Art="","",(BEZ_Lohn_23_Ges_Min_je_Art / 60)*BEZ_Lohn_23_St_Satz_excl*KI_N)</f>
        <v/>
      </c>
      <c r="FP61" s="965"/>
      <c r="FQ61" s="965"/>
      <c r="FR61" s="965"/>
      <c r="FS61" s="965"/>
      <c r="FT61" s="965"/>
      <c r="FU61" s="965"/>
      <c r="FV61" s="965"/>
      <c r="FW61" s="965"/>
      <c r="FX61" s="966"/>
      <c r="FY61" s="218"/>
      <c r="FZ61" s="219"/>
      <c r="GA61" s="220"/>
      <c r="GB61" s="220"/>
      <c r="GC61" s="220"/>
      <c r="GD61" s="220"/>
      <c r="GE61" s="220"/>
      <c r="GF61" s="220"/>
      <c r="GG61" s="220"/>
      <c r="GH61" s="220"/>
      <c r="GI61" s="220"/>
      <c r="GJ61" s="220"/>
      <c r="GK61" s="220"/>
      <c r="GL61" s="220"/>
      <c r="GM61" s="220"/>
      <c r="GN61" s="220"/>
      <c r="GO61" s="220"/>
      <c r="GP61" s="220"/>
      <c r="GQ61" s="220"/>
      <c r="GR61" s="220"/>
      <c r="GS61" s="220"/>
      <c r="GT61" s="221"/>
      <c r="GU61" s="25"/>
      <c r="GV61" s="211"/>
      <c r="GW61" s="211"/>
      <c r="GX61" s="211"/>
      <c r="GY61" s="211"/>
      <c r="GZ61" s="211"/>
      <c r="HA61" s="211"/>
      <c r="HB61" s="211"/>
      <c r="HC61" s="211"/>
      <c r="HD61" s="211"/>
      <c r="HE61" s="211"/>
      <c r="HF61" s="211"/>
      <c r="HG61" s="211"/>
      <c r="HH61" s="211"/>
      <c r="HI61" s="211"/>
      <c r="HS61" s="928"/>
      <c r="HT61" s="929"/>
      <c r="HU61" s="929"/>
      <c r="HV61" s="929"/>
      <c r="HW61" s="929"/>
      <c r="HX61" s="929"/>
      <c r="HY61" s="929"/>
      <c r="HZ61" s="929"/>
      <c r="IA61" s="929"/>
      <c r="IB61" s="929"/>
      <c r="IC61" s="929"/>
      <c r="ID61" s="929"/>
      <c r="IE61" s="929"/>
      <c r="IF61" s="930"/>
      <c r="IQ61" s="934"/>
      <c r="IR61" s="935"/>
      <c r="IS61" s="935"/>
      <c r="IT61" s="935"/>
      <c r="IU61" s="935"/>
      <c r="IV61" s="935"/>
      <c r="IW61" s="935"/>
      <c r="IX61" s="935"/>
      <c r="IY61" s="935"/>
      <c r="IZ61" s="936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12"/>
      <c r="L62" s="937"/>
      <c r="M62" s="937"/>
      <c r="N62" s="938"/>
      <c r="O62" s="217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39"/>
      <c r="AS62" s="939"/>
      <c r="AT62" s="939"/>
      <c r="AU62" s="939"/>
      <c r="AV62" s="939"/>
      <c r="AW62" s="939"/>
      <c r="AX62" s="939"/>
      <c r="AY62" s="939"/>
      <c r="AZ62" s="939"/>
      <c r="BA62" s="939"/>
      <c r="BB62" s="939"/>
      <c r="BC62" s="939"/>
      <c r="BD62" s="940"/>
      <c r="BE62" s="941"/>
      <c r="BF62" s="941"/>
      <c r="BG62" s="941"/>
      <c r="BH62" s="941"/>
      <c r="BI62" s="941"/>
      <c r="BJ62" s="941"/>
      <c r="BK62" s="941"/>
      <c r="BL62" s="941"/>
      <c r="BM62" s="941"/>
      <c r="BN62" s="941"/>
      <c r="BO62" s="941"/>
      <c r="BP62" s="941"/>
      <c r="BQ62" s="941"/>
      <c r="BR62" s="941"/>
      <c r="BS62" s="941"/>
      <c r="BT62" s="941"/>
      <c r="BU62" s="941"/>
      <c r="BV62" s="941"/>
      <c r="BW62" s="941"/>
      <c r="BX62" s="941"/>
      <c r="BY62" s="941"/>
      <c r="BZ62" s="941"/>
      <c r="CA62" s="941"/>
      <c r="CB62" s="941"/>
      <c r="CC62" s="941"/>
      <c r="CD62" s="941"/>
      <c r="CE62" s="941"/>
      <c r="CF62" s="941"/>
      <c r="CG62" s="942"/>
      <c r="CH62" s="943"/>
      <c r="CI62" s="944"/>
      <c r="CJ62" s="944"/>
      <c r="CK62" s="944"/>
      <c r="CL62" s="944"/>
      <c r="CM62" s="371"/>
      <c r="CN62" s="371"/>
      <c r="CO62" s="372"/>
      <c r="CP62" s="945"/>
      <c r="CQ62" s="945"/>
      <c r="CR62" s="945"/>
      <c r="CS62" s="945"/>
      <c r="CT62" s="945"/>
      <c r="CU62" s="973"/>
      <c r="CV62" s="973"/>
      <c r="CW62" s="973"/>
      <c r="CX62" s="973"/>
      <c r="CY62" s="973"/>
      <c r="CZ62" s="973"/>
      <c r="DA62" s="973"/>
      <c r="DB62" s="973"/>
      <c r="DC62" s="973"/>
      <c r="DD62" s="973"/>
      <c r="DE62" s="947"/>
      <c r="DF62" s="947"/>
      <c r="DG62" s="947"/>
      <c r="DH62" s="947"/>
      <c r="DI62" s="947"/>
      <c r="DJ62" s="947"/>
      <c r="DK62" s="947"/>
      <c r="DL62" s="947"/>
      <c r="DM62" s="947"/>
      <c r="DN62" s="947"/>
      <c r="DO62" s="949"/>
      <c r="DP62" s="949"/>
      <c r="DQ62" s="949"/>
      <c r="DR62" s="949"/>
      <c r="DS62" s="949"/>
      <c r="DT62" s="949"/>
      <c r="DU62" s="949"/>
      <c r="DV62" s="949"/>
      <c r="DW62" s="947"/>
      <c r="DX62" s="947"/>
      <c r="DY62" s="947"/>
      <c r="DZ62" s="947"/>
      <c r="EA62" s="947"/>
      <c r="EB62" s="947"/>
      <c r="EC62" s="947"/>
      <c r="ED62" s="947"/>
      <c r="EE62" s="947"/>
      <c r="EF62" s="947"/>
      <c r="EG62" s="951"/>
      <c r="EH62" s="951"/>
      <c r="EI62" s="951"/>
      <c r="EJ62" s="951"/>
      <c r="EK62" s="951"/>
      <c r="EL62" s="951"/>
      <c r="EM62" s="951"/>
      <c r="EN62" s="951"/>
      <c r="EO62" s="951"/>
      <c r="EP62" s="951"/>
      <c r="EQ62" s="951"/>
      <c r="ER62" s="951"/>
      <c r="ES62" s="951"/>
      <c r="ET62" s="951"/>
      <c r="EU62" s="951"/>
      <c r="EV62" s="951"/>
      <c r="EW62" s="952"/>
      <c r="EX62" s="952"/>
      <c r="EY62" s="952"/>
      <c r="EZ62" s="952"/>
      <c r="FA62" s="952"/>
      <c r="FB62" s="952"/>
      <c r="FC62" s="952"/>
      <c r="FD62" s="952"/>
      <c r="FE62" s="963"/>
      <c r="FF62" s="963"/>
      <c r="FG62" s="963"/>
      <c r="FH62" s="963"/>
      <c r="FI62" s="963"/>
      <c r="FJ62" s="963"/>
      <c r="FK62" s="963"/>
      <c r="FL62" s="963"/>
      <c r="FM62" s="963"/>
      <c r="FN62" s="963"/>
      <c r="FO62" s="964"/>
      <c r="FP62" s="965"/>
      <c r="FQ62" s="965"/>
      <c r="FR62" s="965"/>
      <c r="FS62" s="965"/>
      <c r="FT62" s="965"/>
      <c r="FU62" s="965"/>
      <c r="FV62" s="965"/>
      <c r="FW62" s="965"/>
      <c r="FX62" s="966"/>
      <c r="FY62" s="991" t="s">
        <v>286</v>
      </c>
      <c r="FZ62" s="992"/>
      <c r="GA62" s="992"/>
      <c r="GB62" s="992"/>
      <c r="GC62" s="992"/>
      <c r="GD62" s="992"/>
      <c r="GE62" s="992"/>
      <c r="GF62" s="992"/>
      <c r="GG62" s="992"/>
      <c r="GH62" s="992"/>
      <c r="GI62" s="992"/>
      <c r="GJ62" s="992"/>
      <c r="GK62" s="992"/>
      <c r="GL62" s="992"/>
      <c r="GM62" s="992"/>
      <c r="GN62" s="992"/>
      <c r="GO62" s="992"/>
      <c r="GP62" s="992"/>
      <c r="GQ62" s="992"/>
      <c r="GR62" s="992"/>
      <c r="GS62" s="992"/>
      <c r="GT62" s="993"/>
      <c r="GU62" s="25"/>
      <c r="GV62" s="211"/>
      <c r="GW62" s="211"/>
      <c r="GX62" s="211"/>
      <c r="GY62" s="211"/>
      <c r="GZ62" s="211"/>
      <c r="HA62" s="211"/>
      <c r="HB62" s="211"/>
      <c r="HC62" s="211"/>
      <c r="HD62" s="211"/>
      <c r="HE62" s="211"/>
      <c r="HF62" s="211"/>
      <c r="HG62" s="211"/>
      <c r="HH62" s="211"/>
      <c r="HI62" s="211"/>
      <c r="HS62" s="928"/>
      <c r="HT62" s="929"/>
      <c r="HU62" s="929"/>
      <c r="HV62" s="929"/>
      <c r="HW62" s="929"/>
      <c r="HX62" s="929"/>
      <c r="HY62" s="929"/>
      <c r="HZ62" s="929"/>
      <c r="IA62" s="929"/>
      <c r="IB62" s="929"/>
      <c r="IC62" s="929"/>
      <c r="ID62" s="929"/>
      <c r="IE62" s="929"/>
      <c r="IF62" s="930"/>
      <c r="IQ62" s="934"/>
      <c r="IR62" s="935"/>
      <c r="IS62" s="935"/>
      <c r="IT62" s="935"/>
      <c r="IU62" s="935"/>
      <c r="IV62" s="935"/>
      <c r="IW62" s="935"/>
      <c r="IX62" s="935"/>
      <c r="IY62" s="935"/>
      <c r="IZ62" s="936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12"/>
      <c r="L63" s="937">
        <v>24</v>
      </c>
      <c r="M63" s="937"/>
      <c r="N63" s="938"/>
      <c r="O63" s="217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39"/>
      <c r="AS63" s="939"/>
      <c r="AT63" s="939"/>
      <c r="AU63" s="939"/>
      <c r="AV63" s="939"/>
      <c r="AW63" s="939"/>
      <c r="AX63" s="939"/>
      <c r="AY63" s="939"/>
      <c r="AZ63" s="939"/>
      <c r="BA63" s="939"/>
      <c r="BB63" s="939"/>
      <c r="BC63" s="939"/>
      <c r="BD63" s="940"/>
      <c r="BE63" s="941"/>
      <c r="BF63" s="941"/>
      <c r="BG63" s="941"/>
      <c r="BH63" s="941"/>
      <c r="BI63" s="941"/>
      <c r="BJ63" s="941"/>
      <c r="BK63" s="941"/>
      <c r="BL63" s="941"/>
      <c r="BM63" s="941"/>
      <c r="BN63" s="941"/>
      <c r="BO63" s="941"/>
      <c r="BP63" s="941"/>
      <c r="BQ63" s="941"/>
      <c r="BR63" s="941"/>
      <c r="BS63" s="941"/>
      <c r="BT63" s="941"/>
      <c r="BU63" s="941"/>
      <c r="BV63" s="941"/>
      <c r="BW63" s="941"/>
      <c r="BX63" s="941"/>
      <c r="BY63" s="941"/>
      <c r="BZ63" s="941"/>
      <c r="CA63" s="941"/>
      <c r="CB63" s="941"/>
      <c r="CC63" s="941"/>
      <c r="CD63" s="941"/>
      <c r="CE63" s="941"/>
      <c r="CF63" s="941"/>
      <c r="CG63" s="942"/>
      <c r="CH63" s="943"/>
      <c r="CI63" s="944"/>
      <c r="CJ63" s="944"/>
      <c r="CK63" s="944"/>
      <c r="CL63" s="944"/>
      <c r="CM63" s="371"/>
      <c r="CN63" s="371"/>
      <c r="CO63" s="372"/>
      <c r="CP63" s="945"/>
      <c r="CQ63" s="945"/>
      <c r="CR63" s="945"/>
      <c r="CS63" s="945"/>
      <c r="CT63" s="945"/>
      <c r="CU63" s="973"/>
      <c r="CV63" s="973"/>
      <c r="CW63" s="973"/>
      <c r="CX63" s="973"/>
      <c r="CY63" s="973"/>
      <c r="CZ63" s="973"/>
      <c r="DA63" s="973"/>
      <c r="DB63" s="973"/>
      <c r="DC63" s="973"/>
      <c r="DD63" s="973"/>
      <c r="DE63" s="947"/>
      <c r="DF63" s="947"/>
      <c r="DG63" s="947"/>
      <c r="DH63" s="947"/>
      <c r="DI63" s="947"/>
      <c r="DJ63" s="947"/>
      <c r="DK63" s="947"/>
      <c r="DL63" s="947"/>
      <c r="DM63" s="947"/>
      <c r="DN63" s="947"/>
      <c r="DO63" s="949">
        <f>BEZ_Lohn_24_Ges_Zeit/60</f>
        <v>0</v>
      </c>
      <c r="DP63" s="949"/>
      <c r="DQ63" s="949"/>
      <c r="DR63" s="949"/>
      <c r="DS63" s="949"/>
      <c r="DT63" s="949"/>
      <c r="DU63" s="949"/>
      <c r="DV63" s="949"/>
      <c r="DW63" s="947"/>
      <c r="DX63" s="947"/>
      <c r="DY63" s="947"/>
      <c r="DZ63" s="947"/>
      <c r="EA63" s="947"/>
      <c r="EB63" s="947"/>
      <c r="EC63" s="947"/>
      <c r="ED63" s="947"/>
      <c r="EE63" s="947"/>
      <c r="EF63" s="947"/>
      <c r="EG63" s="951"/>
      <c r="EH63" s="951"/>
      <c r="EI63" s="951"/>
      <c r="EJ63" s="951"/>
      <c r="EK63" s="951"/>
      <c r="EL63" s="951"/>
      <c r="EM63" s="951"/>
      <c r="EN63" s="951"/>
      <c r="EO63" s="951"/>
      <c r="EP63" s="951"/>
      <c r="EQ63" s="951"/>
      <c r="ER63" s="951"/>
      <c r="ES63" s="951"/>
      <c r="ET63" s="951"/>
      <c r="EU63" s="951"/>
      <c r="EV63" s="951"/>
      <c r="EW63" s="952" t="str">
        <f>IF(BEZ_Lohn_24_Ges_Zeit="","",((BEZ_Lohn_24_Ges_Zeit*((BEZ_Lohn_24_Zuschl_auf_Zeit/100)+1))/BEZ_Lohn_24_Leist_je_Art)*BEZ_Lohn_24_Bedarf_je_Art*BEZ_Lohn_24_MA_Anz)</f>
        <v/>
      </c>
      <c r="EX63" s="952"/>
      <c r="EY63" s="952"/>
      <c r="EZ63" s="952"/>
      <c r="FA63" s="952"/>
      <c r="FB63" s="952"/>
      <c r="FC63" s="952"/>
      <c r="FD63" s="952"/>
      <c r="FE63" s="963" t="str">
        <f>IF(BEZ_Lohn_24_Ges_Min_je_Art="","",(BEZ_Lohn_24_Ges_Min_je_Art / 60)*BEZ_Lohn_24_St_Satz_excl)</f>
        <v/>
      </c>
      <c r="FF63" s="963"/>
      <c r="FG63" s="963"/>
      <c r="FH63" s="963"/>
      <c r="FI63" s="963"/>
      <c r="FJ63" s="963"/>
      <c r="FK63" s="963"/>
      <c r="FL63" s="963"/>
      <c r="FM63" s="963"/>
      <c r="FN63" s="963"/>
      <c r="FO63" s="964" t="str">
        <f>IF(BEZ_Lohn_24_Ges_Min_je_Art="","",(BEZ_Lohn_24_Ges_Min_je_Art / 60)*BEZ_Lohn_24_St_Satz_excl*KI_N)</f>
        <v/>
      </c>
      <c r="FP63" s="965"/>
      <c r="FQ63" s="965"/>
      <c r="FR63" s="965"/>
      <c r="FS63" s="965"/>
      <c r="FT63" s="965"/>
      <c r="FU63" s="965"/>
      <c r="FV63" s="965"/>
      <c r="FW63" s="965"/>
      <c r="FX63" s="966"/>
      <c r="FY63" s="994"/>
      <c r="FZ63" s="995"/>
      <c r="GA63" s="995"/>
      <c r="GB63" s="995"/>
      <c r="GC63" s="995"/>
      <c r="GD63" s="995"/>
      <c r="GE63" s="995"/>
      <c r="GF63" s="995"/>
      <c r="GG63" s="995"/>
      <c r="GH63" s="995"/>
      <c r="GI63" s="995"/>
      <c r="GJ63" s="995"/>
      <c r="GK63" s="995"/>
      <c r="GL63" s="995"/>
      <c r="GM63" s="995"/>
      <c r="GN63" s="995"/>
      <c r="GO63" s="995"/>
      <c r="GP63" s="995"/>
      <c r="GQ63" s="995"/>
      <c r="GR63" s="995"/>
      <c r="GS63" s="995"/>
      <c r="GT63" s="996"/>
      <c r="GU63" s="25"/>
      <c r="GV63" s="211"/>
      <c r="GW63" s="211"/>
      <c r="GX63" s="211"/>
      <c r="GY63" s="211"/>
      <c r="GZ63" s="211"/>
      <c r="HA63" s="211"/>
      <c r="HB63" s="211"/>
      <c r="HC63" s="211"/>
      <c r="HD63" s="211"/>
      <c r="HE63" s="211"/>
      <c r="HF63" s="211"/>
      <c r="HG63" s="211"/>
      <c r="HH63" s="211"/>
      <c r="HI63" s="211"/>
      <c r="HS63" s="928"/>
      <c r="HT63" s="929"/>
      <c r="HU63" s="929"/>
      <c r="HV63" s="929"/>
      <c r="HW63" s="929"/>
      <c r="HX63" s="929"/>
      <c r="HY63" s="929"/>
      <c r="HZ63" s="929"/>
      <c r="IA63" s="929"/>
      <c r="IB63" s="929"/>
      <c r="IC63" s="929"/>
      <c r="ID63" s="929"/>
      <c r="IE63" s="929"/>
      <c r="IF63" s="930"/>
      <c r="IQ63" s="934"/>
      <c r="IR63" s="935"/>
      <c r="IS63" s="935"/>
      <c r="IT63" s="935"/>
      <c r="IU63" s="935"/>
      <c r="IV63" s="935"/>
      <c r="IW63" s="935"/>
      <c r="IX63" s="935"/>
      <c r="IY63" s="935"/>
      <c r="IZ63" s="936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12"/>
      <c r="L64" s="937"/>
      <c r="M64" s="937"/>
      <c r="N64" s="938"/>
      <c r="O64" s="217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39"/>
      <c r="AS64" s="939"/>
      <c r="AT64" s="939"/>
      <c r="AU64" s="939"/>
      <c r="AV64" s="939"/>
      <c r="AW64" s="939"/>
      <c r="AX64" s="939"/>
      <c r="AY64" s="939"/>
      <c r="AZ64" s="939"/>
      <c r="BA64" s="939"/>
      <c r="BB64" s="939"/>
      <c r="BC64" s="939"/>
      <c r="BD64" s="940"/>
      <c r="BE64" s="941"/>
      <c r="BF64" s="941"/>
      <c r="BG64" s="941"/>
      <c r="BH64" s="941"/>
      <c r="BI64" s="941"/>
      <c r="BJ64" s="941"/>
      <c r="BK64" s="941"/>
      <c r="BL64" s="941"/>
      <c r="BM64" s="941"/>
      <c r="BN64" s="941"/>
      <c r="BO64" s="941"/>
      <c r="BP64" s="941"/>
      <c r="BQ64" s="941"/>
      <c r="BR64" s="941"/>
      <c r="BS64" s="941"/>
      <c r="BT64" s="941"/>
      <c r="BU64" s="941"/>
      <c r="BV64" s="941"/>
      <c r="BW64" s="941"/>
      <c r="BX64" s="941"/>
      <c r="BY64" s="941"/>
      <c r="BZ64" s="941"/>
      <c r="CA64" s="941"/>
      <c r="CB64" s="941"/>
      <c r="CC64" s="941"/>
      <c r="CD64" s="941"/>
      <c r="CE64" s="941"/>
      <c r="CF64" s="941"/>
      <c r="CG64" s="942"/>
      <c r="CH64" s="943"/>
      <c r="CI64" s="944"/>
      <c r="CJ64" s="944"/>
      <c r="CK64" s="944"/>
      <c r="CL64" s="944"/>
      <c r="CM64" s="371"/>
      <c r="CN64" s="371"/>
      <c r="CO64" s="372"/>
      <c r="CP64" s="945"/>
      <c r="CQ64" s="945"/>
      <c r="CR64" s="945"/>
      <c r="CS64" s="945"/>
      <c r="CT64" s="945"/>
      <c r="CU64" s="973"/>
      <c r="CV64" s="973"/>
      <c r="CW64" s="973"/>
      <c r="CX64" s="973"/>
      <c r="CY64" s="973"/>
      <c r="CZ64" s="973"/>
      <c r="DA64" s="973"/>
      <c r="DB64" s="973"/>
      <c r="DC64" s="973"/>
      <c r="DD64" s="973"/>
      <c r="DE64" s="947"/>
      <c r="DF64" s="947"/>
      <c r="DG64" s="947"/>
      <c r="DH64" s="947"/>
      <c r="DI64" s="947"/>
      <c r="DJ64" s="947"/>
      <c r="DK64" s="947"/>
      <c r="DL64" s="947"/>
      <c r="DM64" s="947"/>
      <c r="DN64" s="947"/>
      <c r="DO64" s="949"/>
      <c r="DP64" s="949"/>
      <c r="DQ64" s="949"/>
      <c r="DR64" s="949"/>
      <c r="DS64" s="949"/>
      <c r="DT64" s="949"/>
      <c r="DU64" s="949"/>
      <c r="DV64" s="949"/>
      <c r="DW64" s="947"/>
      <c r="DX64" s="947"/>
      <c r="DY64" s="947"/>
      <c r="DZ64" s="947"/>
      <c r="EA64" s="947"/>
      <c r="EB64" s="947"/>
      <c r="EC64" s="947"/>
      <c r="ED64" s="947"/>
      <c r="EE64" s="947"/>
      <c r="EF64" s="947"/>
      <c r="EG64" s="951"/>
      <c r="EH64" s="951"/>
      <c r="EI64" s="951"/>
      <c r="EJ64" s="951"/>
      <c r="EK64" s="951"/>
      <c r="EL64" s="951"/>
      <c r="EM64" s="951"/>
      <c r="EN64" s="951"/>
      <c r="EO64" s="951"/>
      <c r="EP64" s="951"/>
      <c r="EQ64" s="951"/>
      <c r="ER64" s="951"/>
      <c r="ES64" s="951"/>
      <c r="ET64" s="951"/>
      <c r="EU64" s="951"/>
      <c r="EV64" s="951"/>
      <c r="EW64" s="952"/>
      <c r="EX64" s="952"/>
      <c r="EY64" s="952"/>
      <c r="EZ64" s="952"/>
      <c r="FA64" s="952"/>
      <c r="FB64" s="952"/>
      <c r="FC64" s="952"/>
      <c r="FD64" s="952"/>
      <c r="FE64" s="963"/>
      <c r="FF64" s="963"/>
      <c r="FG64" s="963"/>
      <c r="FH64" s="963"/>
      <c r="FI64" s="963"/>
      <c r="FJ64" s="963"/>
      <c r="FK64" s="963"/>
      <c r="FL64" s="963"/>
      <c r="FM64" s="963"/>
      <c r="FN64" s="963"/>
      <c r="FO64" s="964"/>
      <c r="FP64" s="965"/>
      <c r="FQ64" s="965"/>
      <c r="FR64" s="965"/>
      <c r="FS64" s="965"/>
      <c r="FT64" s="965"/>
      <c r="FU64" s="965"/>
      <c r="FV64" s="965"/>
      <c r="FW64" s="965"/>
      <c r="FX64" s="966"/>
      <c r="FY64" s="997"/>
      <c r="FZ64" s="998"/>
      <c r="GA64" s="998"/>
      <c r="GB64" s="998"/>
      <c r="GC64" s="998"/>
      <c r="GD64" s="998"/>
      <c r="GE64" s="998"/>
      <c r="GF64" s="998"/>
      <c r="GG64" s="998"/>
      <c r="GH64" s="998"/>
      <c r="GI64" s="998"/>
      <c r="GJ64" s="998"/>
      <c r="GK64" s="998"/>
      <c r="GL64" s="998"/>
      <c r="GM64" s="998"/>
      <c r="GN64" s="998"/>
      <c r="GO64" s="998"/>
      <c r="GP64" s="998"/>
      <c r="GQ64" s="998"/>
      <c r="GR64" s="998"/>
      <c r="GS64" s="998"/>
      <c r="GT64" s="999"/>
      <c r="GU64" s="25"/>
      <c r="GV64" s="211"/>
      <c r="GW64" s="211"/>
      <c r="GX64" s="211"/>
      <c r="GY64" s="211"/>
      <c r="GZ64" s="211"/>
      <c r="HA64" s="211"/>
      <c r="HB64" s="211"/>
      <c r="HC64" s="211"/>
      <c r="HD64" s="211"/>
      <c r="HE64" s="211"/>
      <c r="HF64" s="211"/>
      <c r="HG64" s="211"/>
      <c r="HH64" s="211"/>
      <c r="HI64" s="211"/>
      <c r="HS64" s="928"/>
      <c r="HT64" s="929"/>
      <c r="HU64" s="929"/>
      <c r="HV64" s="929"/>
      <c r="HW64" s="929"/>
      <c r="HX64" s="929"/>
      <c r="HY64" s="929"/>
      <c r="HZ64" s="929"/>
      <c r="IA64" s="929"/>
      <c r="IB64" s="929"/>
      <c r="IC64" s="929"/>
      <c r="ID64" s="929"/>
      <c r="IE64" s="929"/>
      <c r="IF64" s="930"/>
      <c r="IQ64" s="934"/>
      <c r="IR64" s="935"/>
      <c r="IS64" s="935"/>
      <c r="IT64" s="935"/>
      <c r="IU64" s="935"/>
      <c r="IV64" s="935"/>
      <c r="IW64" s="935"/>
      <c r="IX64" s="935"/>
      <c r="IY64" s="935"/>
      <c r="IZ64" s="936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12"/>
      <c r="L65" s="937">
        <v>25</v>
      </c>
      <c r="M65" s="937"/>
      <c r="N65" s="938"/>
      <c r="O65" s="217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39"/>
      <c r="AS65" s="939"/>
      <c r="AT65" s="939"/>
      <c r="AU65" s="939"/>
      <c r="AV65" s="939"/>
      <c r="AW65" s="939"/>
      <c r="AX65" s="939"/>
      <c r="AY65" s="939"/>
      <c r="AZ65" s="939"/>
      <c r="BA65" s="939"/>
      <c r="BB65" s="939"/>
      <c r="BC65" s="939"/>
      <c r="BD65" s="940"/>
      <c r="BE65" s="941"/>
      <c r="BF65" s="941"/>
      <c r="BG65" s="941"/>
      <c r="BH65" s="941"/>
      <c r="BI65" s="941"/>
      <c r="BJ65" s="941"/>
      <c r="BK65" s="941"/>
      <c r="BL65" s="941"/>
      <c r="BM65" s="941"/>
      <c r="BN65" s="941"/>
      <c r="BO65" s="941"/>
      <c r="BP65" s="941"/>
      <c r="BQ65" s="941"/>
      <c r="BR65" s="941"/>
      <c r="BS65" s="941"/>
      <c r="BT65" s="941"/>
      <c r="BU65" s="941"/>
      <c r="BV65" s="941"/>
      <c r="BW65" s="941"/>
      <c r="BX65" s="941"/>
      <c r="BY65" s="941"/>
      <c r="BZ65" s="941"/>
      <c r="CA65" s="941"/>
      <c r="CB65" s="941"/>
      <c r="CC65" s="941"/>
      <c r="CD65" s="941"/>
      <c r="CE65" s="941"/>
      <c r="CF65" s="941"/>
      <c r="CG65" s="942"/>
      <c r="CH65" s="943"/>
      <c r="CI65" s="944"/>
      <c r="CJ65" s="944"/>
      <c r="CK65" s="944"/>
      <c r="CL65" s="944"/>
      <c r="CM65" s="371"/>
      <c r="CN65" s="371"/>
      <c r="CO65" s="372"/>
      <c r="CP65" s="945"/>
      <c r="CQ65" s="945"/>
      <c r="CR65" s="945"/>
      <c r="CS65" s="945"/>
      <c r="CT65" s="945"/>
      <c r="CU65" s="973"/>
      <c r="CV65" s="973"/>
      <c r="CW65" s="973"/>
      <c r="CX65" s="973"/>
      <c r="CY65" s="973"/>
      <c r="CZ65" s="973"/>
      <c r="DA65" s="973"/>
      <c r="DB65" s="973"/>
      <c r="DC65" s="973"/>
      <c r="DD65" s="973"/>
      <c r="DE65" s="947"/>
      <c r="DF65" s="947"/>
      <c r="DG65" s="947"/>
      <c r="DH65" s="947"/>
      <c r="DI65" s="947"/>
      <c r="DJ65" s="947"/>
      <c r="DK65" s="947"/>
      <c r="DL65" s="947"/>
      <c r="DM65" s="947"/>
      <c r="DN65" s="947"/>
      <c r="DO65" s="949">
        <f>BEZ_Lohn_25_Ges_Zeit/60</f>
        <v>0</v>
      </c>
      <c r="DP65" s="949"/>
      <c r="DQ65" s="949"/>
      <c r="DR65" s="949"/>
      <c r="DS65" s="949"/>
      <c r="DT65" s="949"/>
      <c r="DU65" s="949"/>
      <c r="DV65" s="949"/>
      <c r="DW65" s="947"/>
      <c r="DX65" s="947"/>
      <c r="DY65" s="947"/>
      <c r="DZ65" s="947"/>
      <c r="EA65" s="947"/>
      <c r="EB65" s="947"/>
      <c r="EC65" s="947"/>
      <c r="ED65" s="947"/>
      <c r="EE65" s="947"/>
      <c r="EF65" s="947"/>
      <c r="EG65" s="951"/>
      <c r="EH65" s="951"/>
      <c r="EI65" s="951"/>
      <c r="EJ65" s="951"/>
      <c r="EK65" s="951"/>
      <c r="EL65" s="951"/>
      <c r="EM65" s="951"/>
      <c r="EN65" s="951"/>
      <c r="EO65" s="951"/>
      <c r="EP65" s="951"/>
      <c r="EQ65" s="951"/>
      <c r="ER65" s="951"/>
      <c r="ES65" s="951"/>
      <c r="ET65" s="951"/>
      <c r="EU65" s="951"/>
      <c r="EV65" s="951"/>
      <c r="EW65" s="952" t="str">
        <f>IF(BEZ_Lohn_25_Ges_Zeit="","",((BEZ_Lohn_25_Ges_Zeit*((BEZ_Lohn_25_Zuschl_auf_Zeit/100)+1))/BEZ_Lohn_25_Leist_je_Art)*BEZ_Lohn_25_Bedarf_je_Art*BEZ_Lohn_25_MA_Anz)</f>
        <v/>
      </c>
      <c r="EX65" s="952"/>
      <c r="EY65" s="952"/>
      <c r="EZ65" s="952"/>
      <c r="FA65" s="952"/>
      <c r="FB65" s="952"/>
      <c r="FC65" s="952"/>
      <c r="FD65" s="952"/>
      <c r="FE65" s="963" t="str">
        <f>IF(BEZ_Lohn_25_Ges_Min_je_Art="","",(BEZ_Lohn_25_Ges_Min_je_Art / 60)*BEZ_Lohn_25_St_Satz_excl)</f>
        <v/>
      </c>
      <c r="FF65" s="963"/>
      <c r="FG65" s="963"/>
      <c r="FH65" s="963"/>
      <c r="FI65" s="963"/>
      <c r="FJ65" s="963"/>
      <c r="FK65" s="963"/>
      <c r="FL65" s="963"/>
      <c r="FM65" s="963"/>
      <c r="FN65" s="963"/>
      <c r="FO65" s="964" t="str">
        <f>IF(BEZ_Lohn_25_Ges_Min_je_Art="","",(BEZ_Lohn_25_Ges_Min_je_Art / 60)*BEZ_Lohn_25_St_Satz_excl*KI_N)</f>
        <v/>
      </c>
      <c r="FP65" s="965"/>
      <c r="FQ65" s="965"/>
      <c r="FR65" s="965"/>
      <c r="FS65" s="965"/>
      <c r="FT65" s="965"/>
      <c r="FU65" s="965"/>
      <c r="FV65" s="965"/>
      <c r="FW65" s="965"/>
      <c r="FX65" s="966"/>
      <c r="FY65" s="997"/>
      <c r="FZ65" s="998"/>
      <c r="GA65" s="998"/>
      <c r="GB65" s="998"/>
      <c r="GC65" s="998"/>
      <c r="GD65" s="998"/>
      <c r="GE65" s="998"/>
      <c r="GF65" s="998"/>
      <c r="GG65" s="998"/>
      <c r="GH65" s="998"/>
      <c r="GI65" s="998"/>
      <c r="GJ65" s="998"/>
      <c r="GK65" s="998"/>
      <c r="GL65" s="998"/>
      <c r="GM65" s="998"/>
      <c r="GN65" s="998"/>
      <c r="GO65" s="998"/>
      <c r="GP65" s="998"/>
      <c r="GQ65" s="998"/>
      <c r="GR65" s="998"/>
      <c r="GS65" s="998"/>
      <c r="GT65" s="999"/>
      <c r="GU65" s="25"/>
      <c r="GV65" s="211"/>
      <c r="GW65" s="211"/>
      <c r="GX65" s="211"/>
      <c r="GY65" s="211"/>
      <c r="GZ65" s="211"/>
      <c r="HA65" s="211"/>
      <c r="HB65" s="211"/>
      <c r="HC65" s="211"/>
      <c r="HD65" s="211"/>
      <c r="HE65" s="211"/>
      <c r="HF65" s="211"/>
      <c r="HG65" s="211"/>
      <c r="HH65" s="211"/>
      <c r="HI65" s="211"/>
      <c r="HS65" s="928"/>
      <c r="HT65" s="929"/>
      <c r="HU65" s="929"/>
      <c r="HV65" s="929"/>
      <c r="HW65" s="929"/>
      <c r="HX65" s="929"/>
      <c r="HY65" s="929"/>
      <c r="HZ65" s="929"/>
      <c r="IA65" s="929"/>
      <c r="IB65" s="929"/>
      <c r="IC65" s="929"/>
      <c r="ID65" s="929"/>
      <c r="IE65" s="929"/>
      <c r="IF65" s="930"/>
      <c r="IQ65" s="934"/>
      <c r="IR65" s="935"/>
      <c r="IS65" s="935"/>
      <c r="IT65" s="935"/>
      <c r="IU65" s="935"/>
      <c r="IV65" s="935"/>
      <c r="IW65" s="935"/>
      <c r="IX65" s="935"/>
      <c r="IY65" s="935"/>
      <c r="IZ65" s="936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12"/>
      <c r="L66" s="937"/>
      <c r="M66" s="937"/>
      <c r="N66" s="938"/>
      <c r="O66" s="217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39"/>
      <c r="AS66" s="939"/>
      <c r="AT66" s="939"/>
      <c r="AU66" s="939"/>
      <c r="AV66" s="939"/>
      <c r="AW66" s="939"/>
      <c r="AX66" s="939"/>
      <c r="AY66" s="939"/>
      <c r="AZ66" s="939"/>
      <c r="BA66" s="939"/>
      <c r="BB66" s="939"/>
      <c r="BC66" s="939"/>
      <c r="BD66" s="940"/>
      <c r="BE66" s="941"/>
      <c r="BF66" s="941"/>
      <c r="BG66" s="941"/>
      <c r="BH66" s="941"/>
      <c r="BI66" s="941"/>
      <c r="BJ66" s="941"/>
      <c r="BK66" s="941"/>
      <c r="BL66" s="941"/>
      <c r="BM66" s="941"/>
      <c r="BN66" s="941"/>
      <c r="BO66" s="941"/>
      <c r="BP66" s="941"/>
      <c r="BQ66" s="941"/>
      <c r="BR66" s="941"/>
      <c r="BS66" s="941"/>
      <c r="BT66" s="941"/>
      <c r="BU66" s="941"/>
      <c r="BV66" s="941"/>
      <c r="BW66" s="941"/>
      <c r="BX66" s="941"/>
      <c r="BY66" s="941"/>
      <c r="BZ66" s="941"/>
      <c r="CA66" s="941"/>
      <c r="CB66" s="941"/>
      <c r="CC66" s="941"/>
      <c r="CD66" s="941"/>
      <c r="CE66" s="941"/>
      <c r="CF66" s="941"/>
      <c r="CG66" s="942"/>
      <c r="CH66" s="943"/>
      <c r="CI66" s="944"/>
      <c r="CJ66" s="944"/>
      <c r="CK66" s="944"/>
      <c r="CL66" s="944"/>
      <c r="CM66" s="371"/>
      <c r="CN66" s="371"/>
      <c r="CO66" s="372"/>
      <c r="CP66" s="945"/>
      <c r="CQ66" s="945"/>
      <c r="CR66" s="945"/>
      <c r="CS66" s="945"/>
      <c r="CT66" s="945"/>
      <c r="CU66" s="973"/>
      <c r="CV66" s="973"/>
      <c r="CW66" s="973"/>
      <c r="CX66" s="973"/>
      <c r="CY66" s="973"/>
      <c r="CZ66" s="973"/>
      <c r="DA66" s="973"/>
      <c r="DB66" s="973"/>
      <c r="DC66" s="973"/>
      <c r="DD66" s="973"/>
      <c r="DE66" s="947"/>
      <c r="DF66" s="947"/>
      <c r="DG66" s="947"/>
      <c r="DH66" s="947"/>
      <c r="DI66" s="947"/>
      <c r="DJ66" s="947"/>
      <c r="DK66" s="947"/>
      <c r="DL66" s="947"/>
      <c r="DM66" s="947"/>
      <c r="DN66" s="947"/>
      <c r="DO66" s="949"/>
      <c r="DP66" s="949"/>
      <c r="DQ66" s="949"/>
      <c r="DR66" s="949"/>
      <c r="DS66" s="949"/>
      <c r="DT66" s="949"/>
      <c r="DU66" s="949"/>
      <c r="DV66" s="949"/>
      <c r="DW66" s="947"/>
      <c r="DX66" s="947"/>
      <c r="DY66" s="947"/>
      <c r="DZ66" s="947"/>
      <c r="EA66" s="947"/>
      <c r="EB66" s="947"/>
      <c r="EC66" s="947"/>
      <c r="ED66" s="947"/>
      <c r="EE66" s="947"/>
      <c r="EF66" s="947"/>
      <c r="EG66" s="951"/>
      <c r="EH66" s="951"/>
      <c r="EI66" s="951"/>
      <c r="EJ66" s="951"/>
      <c r="EK66" s="951"/>
      <c r="EL66" s="951"/>
      <c r="EM66" s="951"/>
      <c r="EN66" s="951"/>
      <c r="EO66" s="951"/>
      <c r="EP66" s="951"/>
      <c r="EQ66" s="951"/>
      <c r="ER66" s="951"/>
      <c r="ES66" s="951"/>
      <c r="ET66" s="951"/>
      <c r="EU66" s="951"/>
      <c r="EV66" s="951"/>
      <c r="EW66" s="952"/>
      <c r="EX66" s="952"/>
      <c r="EY66" s="952"/>
      <c r="EZ66" s="952"/>
      <c r="FA66" s="952"/>
      <c r="FB66" s="952"/>
      <c r="FC66" s="952"/>
      <c r="FD66" s="952"/>
      <c r="FE66" s="963"/>
      <c r="FF66" s="963"/>
      <c r="FG66" s="963"/>
      <c r="FH66" s="963"/>
      <c r="FI66" s="963"/>
      <c r="FJ66" s="963"/>
      <c r="FK66" s="963"/>
      <c r="FL66" s="963"/>
      <c r="FM66" s="963"/>
      <c r="FN66" s="963"/>
      <c r="FO66" s="964"/>
      <c r="FP66" s="965"/>
      <c r="FQ66" s="965"/>
      <c r="FR66" s="965"/>
      <c r="FS66" s="965"/>
      <c r="FT66" s="965"/>
      <c r="FU66" s="965"/>
      <c r="FV66" s="965"/>
      <c r="FW66" s="965"/>
      <c r="FX66" s="966"/>
      <c r="FY66" s="997"/>
      <c r="FZ66" s="998"/>
      <c r="GA66" s="998"/>
      <c r="GB66" s="998"/>
      <c r="GC66" s="998"/>
      <c r="GD66" s="998"/>
      <c r="GE66" s="998"/>
      <c r="GF66" s="998"/>
      <c r="GG66" s="998"/>
      <c r="GH66" s="998"/>
      <c r="GI66" s="998"/>
      <c r="GJ66" s="998"/>
      <c r="GK66" s="998"/>
      <c r="GL66" s="998"/>
      <c r="GM66" s="998"/>
      <c r="GN66" s="998"/>
      <c r="GO66" s="998"/>
      <c r="GP66" s="998"/>
      <c r="GQ66" s="998"/>
      <c r="GR66" s="998"/>
      <c r="GS66" s="998"/>
      <c r="GT66" s="999"/>
      <c r="GU66" s="25"/>
      <c r="GV66" s="211"/>
      <c r="GW66" s="211"/>
      <c r="GX66" s="211"/>
      <c r="GY66" s="211"/>
      <c r="GZ66" s="211"/>
      <c r="HA66" s="211"/>
      <c r="HB66" s="211"/>
      <c r="HC66" s="211"/>
      <c r="HD66" s="211"/>
      <c r="HE66" s="211"/>
      <c r="HF66" s="211"/>
      <c r="HG66" s="211"/>
      <c r="HH66" s="211"/>
      <c r="HI66" s="211"/>
      <c r="HS66" s="928"/>
      <c r="HT66" s="929"/>
      <c r="HU66" s="929"/>
      <c r="HV66" s="929"/>
      <c r="HW66" s="929"/>
      <c r="HX66" s="929"/>
      <c r="HY66" s="929"/>
      <c r="HZ66" s="929"/>
      <c r="IA66" s="929"/>
      <c r="IB66" s="929"/>
      <c r="IC66" s="929"/>
      <c r="ID66" s="929"/>
      <c r="IE66" s="929"/>
      <c r="IF66" s="930"/>
      <c r="IQ66" s="934"/>
      <c r="IR66" s="935"/>
      <c r="IS66" s="935"/>
      <c r="IT66" s="935"/>
      <c r="IU66" s="935"/>
      <c r="IV66" s="935"/>
      <c r="IW66" s="935"/>
      <c r="IX66" s="935"/>
      <c r="IY66" s="935"/>
      <c r="IZ66" s="936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12"/>
      <c r="L67" s="937">
        <v>26</v>
      </c>
      <c r="M67" s="937"/>
      <c r="N67" s="938"/>
      <c r="O67" s="217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39"/>
      <c r="AS67" s="939"/>
      <c r="AT67" s="939"/>
      <c r="AU67" s="939"/>
      <c r="AV67" s="939"/>
      <c r="AW67" s="939"/>
      <c r="AX67" s="939"/>
      <c r="AY67" s="939"/>
      <c r="AZ67" s="939"/>
      <c r="BA67" s="939"/>
      <c r="BB67" s="939"/>
      <c r="BC67" s="939"/>
      <c r="BD67" s="940"/>
      <c r="BE67" s="941"/>
      <c r="BF67" s="941"/>
      <c r="BG67" s="941"/>
      <c r="BH67" s="941"/>
      <c r="BI67" s="941"/>
      <c r="BJ67" s="941"/>
      <c r="BK67" s="941"/>
      <c r="BL67" s="941"/>
      <c r="BM67" s="941"/>
      <c r="BN67" s="941"/>
      <c r="BO67" s="941"/>
      <c r="BP67" s="941"/>
      <c r="BQ67" s="941"/>
      <c r="BR67" s="941"/>
      <c r="BS67" s="941"/>
      <c r="BT67" s="941"/>
      <c r="BU67" s="941"/>
      <c r="BV67" s="941"/>
      <c r="BW67" s="941"/>
      <c r="BX67" s="941"/>
      <c r="BY67" s="941"/>
      <c r="BZ67" s="941"/>
      <c r="CA67" s="941"/>
      <c r="CB67" s="941"/>
      <c r="CC67" s="941"/>
      <c r="CD67" s="941"/>
      <c r="CE67" s="941"/>
      <c r="CF67" s="941"/>
      <c r="CG67" s="942"/>
      <c r="CH67" s="943"/>
      <c r="CI67" s="944"/>
      <c r="CJ67" s="944"/>
      <c r="CK67" s="944"/>
      <c r="CL67" s="944"/>
      <c r="CM67" s="371"/>
      <c r="CN67" s="371"/>
      <c r="CO67" s="372"/>
      <c r="CP67" s="945"/>
      <c r="CQ67" s="945"/>
      <c r="CR67" s="945"/>
      <c r="CS67" s="945"/>
      <c r="CT67" s="945"/>
      <c r="CU67" s="973"/>
      <c r="CV67" s="973"/>
      <c r="CW67" s="973"/>
      <c r="CX67" s="973"/>
      <c r="CY67" s="973"/>
      <c r="CZ67" s="973"/>
      <c r="DA67" s="973"/>
      <c r="DB67" s="973"/>
      <c r="DC67" s="973"/>
      <c r="DD67" s="973"/>
      <c r="DE67" s="947"/>
      <c r="DF67" s="947"/>
      <c r="DG67" s="947"/>
      <c r="DH67" s="947"/>
      <c r="DI67" s="947"/>
      <c r="DJ67" s="947"/>
      <c r="DK67" s="947"/>
      <c r="DL67" s="947"/>
      <c r="DM67" s="947"/>
      <c r="DN67" s="947"/>
      <c r="DO67" s="949">
        <f>BEZ_Lohn_26_Ges_Zeit/60</f>
        <v>0</v>
      </c>
      <c r="DP67" s="949"/>
      <c r="DQ67" s="949"/>
      <c r="DR67" s="949"/>
      <c r="DS67" s="949"/>
      <c r="DT67" s="949"/>
      <c r="DU67" s="949"/>
      <c r="DV67" s="949"/>
      <c r="DW67" s="947"/>
      <c r="DX67" s="947"/>
      <c r="DY67" s="947"/>
      <c r="DZ67" s="947"/>
      <c r="EA67" s="947"/>
      <c r="EB67" s="947"/>
      <c r="EC67" s="947"/>
      <c r="ED67" s="947"/>
      <c r="EE67" s="947"/>
      <c r="EF67" s="947"/>
      <c r="EG67" s="951"/>
      <c r="EH67" s="951"/>
      <c r="EI67" s="951"/>
      <c r="EJ67" s="951"/>
      <c r="EK67" s="951"/>
      <c r="EL67" s="951"/>
      <c r="EM67" s="951"/>
      <c r="EN67" s="951"/>
      <c r="EO67" s="951"/>
      <c r="EP67" s="951"/>
      <c r="EQ67" s="951"/>
      <c r="ER67" s="951"/>
      <c r="ES67" s="951"/>
      <c r="ET67" s="951"/>
      <c r="EU67" s="951"/>
      <c r="EV67" s="951"/>
      <c r="EW67" s="952" t="str">
        <f>IF(BEZ_Lohn_26_Ges_Zeit="","",((BEZ_Lohn_26_Ges_Zeit*((BEZ_Lohn_26_Zuschl_auf_Zeit/100)+1))/BEZ_Lohn_26_Leist_je_Art)*BEZ_Lohn_26_Bedarf_je_Art*BEZ_Lohn_26_MA_Anz)</f>
        <v/>
      </c>
      <c r="EX67" s="952"/>
      <c r="EY67" s="952"/>
      <c r="EZ67" s="952"/>
      <c r="FA67" s="952"/>
      <c r="FB67" s="952"/>
      <c r="FC67" s="952"/>
      <c r="FD67" s="952"/>
      <c r="FE67" s="963" t="str">
        <f>IF(BEZ_Lohn_26_Ges_Min_je_Art="","",(BEZ_Lohn_26_Ges_Min_je_Art / 60)*BEZ_Lohn_26_St_Satz_excl)</f>
        <v/>
      </c>
      <c r="FF67" s="963"/>
      <c r="FG67" s="963"/>
      <c r="FH67" s="963"/>
      <c r="FI67" s="963"/>
      <c r="FJ67" s="963"/>
      <c r="FK67" s="963"/>
      <c r="FL67" s="963"/>
      <c r="FM67" s="963"/>
      <c r="FN67" s="963"/>
      <c r="FO67" s="964" t="str">
        <f>IF(BEZ_Lohn_26_Ges_Min_je_Art="","",(BEZ_Lohn_26_Ges_Min_je_Art / 60)*BEZ_Lohn_26_St_Satz_excl*KI_N)</f>
        <v/>
      </c>
      <c r="FP67" s="965"/>
      <c r="FQ67" s="965"/>
      <c r="FR67" s="965"/>
      <c r="FS67" s="965"/>
      <c r="FT67" s="965"/>
      <c r="FU67" s="965"/>
      <c r="FV67" s="965"/>
      <c r="FW67" s="965"/>
      <c r="FX67" s="966"/>
      <c r="FY67" s="997"/>
      <c r="FZ67" s="998"/>
      <c r="GA67" s="998"/>
      <c r="GB67" s="998"/>
      <c r="GC67" s="998"/>
      <c r="GD67" s="998"/>
      <c r="GE67" s="998"/>
      <c r="GF67" s="998"/>
      <c r="GG67" s="998"/>
      <c r="GH67" s="998"/>
      <c r="GI67" s="998"/>
      <c r="GJ67" s="998"/>
      <c r="GK67" s="998"/>
      <c r="GL67" s="998"/>
      <c r="GM67" s="998"/>
      <c r="GN67" s="998"/>
      <c r="GO67" s="998"/>
      <c r="GP67" s="998"/>
      <c r="GQ67" s="998"/>
      <c r="GR67" s="998"/>
      <c r="GS67" s="998"/>
      <c r="GT67" s="999"/>
      <c r="GU67" s="25"/>
      <c r="GV67" s="211"/>
      <c r="GW67" s="211"/>
      <c r="GX67" s="211"/>
      <c r="GY67" s="211"/>
      <c r="GZ67" s="211"/>
      <c r="HA67" s="211"/>
      <c r="HB67" s="211"/>
      <c r="HC67" s="211"/>
      <c r="HD67" s="211"/>
      <c r="HE67" s="211"/>
      <c r="HF67" s="211"/>
      <c r="HG67" s="211"/>
      <c r="HH67" s="211"/>
      <c r="HI67" s="211"/>
      <c r="HS67" s="928"/>
      <c r="HT67" s="929"/>
      <c r="HU67" s="929"/>
      <c r="HV67" s="929"/>
      <c r="HW67" s="929"/>
      <c r="HX67" s="929"/>
      <c r="HY67" s="929"/>
      <c r="HZ67" s="929"/>
      <c r="IA67" s="929"/>
      <c r="IB67" s="929"/>
      <c r="IC67" s="929"/>
      <c r="ID67" s="929"/>
      <c r="IE67" s="929"/>
      <c r="IF67" s="930"/>
      <c r="IQ67" s="934"/>
      <c r="IR67" s="935"/>
      <c r="IS67" s="935"/>
      <c r="IT67" s="935"/>
      <c r="IU67" s="935"/>
      <c r="IV67" s="935"/>
      <c r="IW67" s="935"/>
      <c r="IX67" s="935"/>
      <c r="IY67" s="935"/>
      <c r="IZ67" s="936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12"/>
      <c r="L68" s="937"/>
      <c r="M68" s="937"/>
      <c r="N68" s="938"/>
      <c r="O68" s="217"/>
      <c r="P68" s="939"/>
      <c r="Q68" s="939"/>
      <c r="R68" s="939"/>
      <c r="S68" s="939"/>
      <c r="T68" s="939"/>
      <c r="U68" s="939"/>
      <c r="V68" s="939"/>
      <c r="W68" s="939"/>
      <c r="X68" s="939"/>
      <c r="Y68" s="939"/>
      <c r="Z68" s="939"/>
      <c r="AA68" s="939"/>
      <c r="AB68" s="939"/>
      <c r="AC68" s="939"/>
      <c r="AD68" s="939"/>
      <c r="AE68" s="939"/>
      <c r="AF68" s="939"/>
      <c r="AG68" s="939"/>
      <c r="AH68" s="939"/>
      <c r="AI68" s="939"/>
      <c r="AJ68" s="939"/>
      <c r="AK68" s="939"/>
      <c r="AL68" s="939"/>
      <c r="AM68" s="939"/>
      <c r="AN68" s="939"/>
      <c r="AO68" s="939"/>
      <c r="AP68" s="939"/>
      <c r="AQ68" s="939"/>
      <c r="AR68" s="939"/>
      <c r="AS68" s="939"/>
      <c r="AT68" s="939"/>
      <c r="AU68" s="939"/>
      <c r="AV68" s="939"/>
      <c r="AW68" s="939"/>
      <c r="AX68" s="939"/>
      <c r="AY68" s="939"/>
      <c r="AZ68" s="939"/>
      <c r="BA68" s="939"/>
      <c r="BB68" s="939"/>
      <c r="BC68" s="939"/>
      <c r="BD68" s="940"/>
      <c r="BE68" s="941"/>
      <c r="BF68" s="941"/>
      <c r="BG68" s="941"/>
      <c r="BH68" s="941"/>
      <c r="BI68" s="941"/>
      <c r="BJ68" s="941"/>
      <c r="BK68" s="941"/>
      <c r="BL68" s="941"/>
      <c r="BM68" s="941"/>
      <c r="BN68" s="941"/>
      <c r="BO68" s="941"/>
      <c r="BP68" s="941"/>
      <c r="BQ68" s="941"/>
      <c r="BR68" s="941"/>
      <c r="BS68" s="941"/>
      <c r="BT68" s="941"/>
      <c r="BU68" s="941"/>
      <c r="BV68" s="941"/>
      <c r="BW68" s="941"/>
      <c r="BX68" s="941"/>
      <c r="BY68" s="941"/>
      <c r="BZ68" s="941"/>
      <c r="CA68" s="941"/>
      <c r="CB68" s="941"/>
      <c r="CC68" s="941"/>
      <c r="CD68" s="941"/>
      <c r="CE68" s="941"/>
      <c r="CF68" s="941"/>
      <c r="CG68" s="942"/>
      <c r="CH68" s="943"/>
      <c r="CI68" s="944"/>
      <c r="CJ68" s="944"/>
      <c r="CK68" s="944"/>
      <c r="CL68" s="944"/>
      <c r="CM68" s="371"/>
      <c r="CN68" s="371"/>
      <c r="CO68" s="372"/>
      <c r="CP68" s="945"/>
      <c r="CQ68" s="945"/>
      <c r="CR68" s="945"/>
      <c r="CS68" s="945"/>
      <c r="CT68" s="945"/>
      <c r="CU68" s="973"/>
      <c r="CV68" s="973"/>
      <c r="CW68" s="973"/>
      <c r="CX68" s="973"/>
      <c r="CY68" s="973"/>
      <c r="CZ68" s="973"/>
      <c r="DA68" s="973"/>
      <c r="DB68" s="973"/>
      <c r="DC68" s="973"/>
      <c r="DD68" s="973"/>
      <c r="DE68" s="947"/>
      <c r="DF68" s="947"/>
      <c r="DG68" s="947"/>
      <c r="DH68" s="947"/>
      <c r="DI68" s="947"/>
      <c r="DJ68" s="947"/>
      <c r="DK68" s="947"/>
      <c r="DL68" s="947"/>
      <c r="DM68" s="947"/>
      <c r="DN68" s="947"/>
      <c r="DO68" s="949"/>
      <c r="DP68" s="949"/>
      <c r="DQ68" s="949"/>
      <c r="DR68" s="949"/>
      <c r="DS68" s="949"/>
      <c r="DT68" s="949"/>
      <c r="DU68" s="949"/>
      <c r="DV68" s="949"/>
      <c r="DW68" s="947"/>
      <c r="DX68" s="947"/>
      <c r="DY68" s="947"/>
      <c r="DZ68" s="947"/>
      <c r="EA68" s="947"/>
      <c r="EB68" s="947"/>
      <c r="EC68" s="947"/>
      <c r="ED68" s="947"/>
      <c r="EE68" s="947"/>
      <c r="EF68" s="947"/>
      <c r="EG68" s="951"/>
      <c r="EH68" s="951"/>
      <c r="EI68" s="951"/>
      <c r="EJ68" s="951"/>
      <c r="EK68" s="951"/>
      <c r="EL68" s="951"/>
      <c r="EM68" s="951"/>
      <c r="EN68" s="951"/>
      <c r="EO68" s="951"/>
      <c r="EP68" s="951"/>
      <c r="EQ68" s="951"/>
      <c r="ER68" s="951"/>
      <c r="ES68" s="951"/>
      <c r="ET68" s="951"/>
      <c r="EU68" s="951"/>
      <c r="EV68" s="951"/>
      <c r="EW68" s="952"/>
      <c r="EX68" s="952"/>
      <c r="EY68" s="952"/>
      <c r="EZ68" s="952"/>
      <c r="FA68" s="952"/>
      <c r="FB68" s="952"/>
      <c r="FC68" s="952"/>
      <c r="FD68" s="952"/>
      <c r="FE68" s="963"/>
      <c r="FF68" s="963"/>
      <c r="FG68" s="963"/>
      <c r="FH68" s="963"/>
      <c r="FI68" s="963"/>
      <c r="FJ68" s="963"/>
      <c r="FK68" s="963"/>
      <c r="FL68" s="963"/>
      <c r="FM68" s="963"/>
      <c r="FN68" s="963"/>
      <c r="FO68" s="964"/>
      <c r="FP68" s="965"/>
      <c r="FQ68" s="965"/>
      <c r="FR68" s="965"/>
      <c r="FS68" s="965"/>
      <c r="FT68" s="965"/>
      <c r="FU68" s="965"/>
      <c r="FV68" s="965"/>
      <c r="FW68" s="965"/>
      <c r="FX68" s="966"/>
      <c r="FY68" s="997"/>
      <c r="FZ68" s="998"/>
      <c r="GA68" s="998"/>
      <c r="GB68" s="998"/>
      <c r="GC68" s="998"/>
      <c r="GD68" s="998"/>
      <c r="GE68" s="998"/>
      <c r="GF68" s="998"/>
      <c r="GG68" s="998"/>
      <c r="GH68" s="998"/>
      <c r="GI68" s="998"/>
      <c r="GJ68" s="998"/>
      <c r="GK68" s="998"/>
      <c r="GL68" s="998"/>
      <c r="GM68" s="998"/>
      <c r="GN68" s="998"/>
      <c r="GO68" s="998"/>
      <c r="GP68" s="998"/>
      <c r="GQ68" s="998"/>
      <c r="GR68" s="998"/>
      <c r="GS68" s="998"/>
      <c r="GT68" s="999"/>
      <c r="GU68" s="25"/>
      <c r="GV68" s="211"/>
      <c r="GW68" s="211"/>
      <c r="GX68" s="211"/>
      <c r="GY68" s="211"/>
      <c r="GZ68" s="211"/>
      <c r="HA68" s="211"/>
      <c r="HB68" s="211"/>
      <c r="HC68" s="211"/>
      <c r="HD68" s="211"/>
      <c r="HE68" s="211"/>
      <c r="HF68" s="211"/>
      <c r="HG68" s="211"/>
      <c r="HH68" s="211"/>
      <c r="HI68" s="211"/>
      <c r="HS68" s="928"/>
      <c r="HT68" s="929"/>
      <c r="HU68" s="929"/>
      <c r="HV68" s="929"/>
      <c r="HW68" s="929"/>
      <c r="HX68" s="929"/>
      <c r="HY68" s="929"/>
      <c r="HZ68" s="929"/>
      <c r="IA68" s="929"/>
      <c r="IB68" s="929"/>
      <c r="IC68" s="929"/>
      <c r="ID68" s="929"/>
      <c r="IE68" s="929"/>
      <c r="IF68" s="930"/>
      <c r="IQ68" s="934"/>
      <c r="IR68" s="935"/>
      <c r="IS68" s="935"/>
      <c r="IT68" s="935"/>
      <c r="IU68" s="935"/>
      <c r="IV68" s="935"/>
      <c r="IW68" s="935"/>
      <c r="IX68" s="935"/>
      <c r="IY68" s="935"/>
      <c r="IZ68" s="936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12"/>
      <c r="L69" s="937">
        <v>27</v>
      </c>
      <c r="M69" s="937"/>
      <c r="N69" s="938"/>
      <c r="O69" s="217"/>
      <c r="P69" s="939"/>
      <c r="Q69" s="939"/>
      <c r="R69" s="939"/>
      <c r="S69" s="939"/>
      <c r="T69" s="939"/>
      <c r="U69" s="939"/>
      <c r="V69" s="939"/>
      <c r="W69" s="939"/>
      <c r="X69" s="939"/>
      <c r="Y69" s="939"/>
      <c r="Z69" s="939"/>
      <c r="AA69" s="939"/>
      <c r="AB69" s="939"/>
      <c r="AC69" s="939"/>
      <c r="AD69" s="939"/>
      <c r="AE69" s="939"/>
      <c r="AF69" s="939"/>
      <c r="AG69" s="939"/>
      <c r="AH69" s="939"/>
      <c r="AI69" s="939"/>
      <c r="AJ69" s="939"/>
      <c r="AK69" s="939"/>
      <c r="AL69" s="939"/>
      <c r="AM69" s="939"/>
      <c r="AN69" s="939"/>
      <c r="AO69" s="939"/>
      <c r="AP69" s="939"/>
      <c r="AQ69" s="939"/>
      <c r="AR69" s="939"/>
      <c r="AS69" s="939"/>
      <c r="AT69" s="939"/>
      <c r="AU69" s="939"/>
      <c r="AV69" s="939"/>
      <c r="AW69" s="939"/>
      <c r="AX69" s="939"/>
      <c r="AY69" s="939"/>
      <c r="AZ69" s="939"/>
      <c r="BA69" s="939"/>
      <c r="BB69" s="939"/>
      <c r="BC69" s="939"/>
      <c r="BD69" s="940"/>
      <c r="BE69" s="941"/>
      <c r="BF69" s="941"/>
      <c r="BG69" s="941"/>
      <c r="BH69" s="941"/>
      <c r="BI69" s="941"/>
      <c r="BJ69" s="941"/>
      <c r="BK69" s="941"/>
      <c r="BL69" s="941"/>
      <c r="BM69" s="941"/>
      <c r="BN69" s="941"/>
      <c r="BO69" s="941"/>
      <c r="BP69" s="941"/>
      <c r="BQ69" s="941"/>
      <c r="BR69" s="941"/>
      <c r="BS69" s="941"/>
      <c r="BT69" s="941"/>
      <c r="BU69" s="941"/>
      <c r="BV69" s="941"/>
      <c r="BW69" s="941"/>
      <c r="BX69" s="941"/>
      <c r="BY69" s="941"/>
      <c r="BZ69" s="941"/>
      <c r="CA69" s="941"/>
      <c r="CB69" s="941"/>
      <c r="CC69" s="941"/>
      <c r="CD69" s="941"/>
      <c r="CE69" s="941"/>
      <c r="CF69" s="941"/>
      <c r="CG69" s="942"/>
      <c r="CH69" s="943"/>
      <c r="CI69" s="944"/>
      <c r="CJ69" s="944"/>
      <c r="CK69" s="944"/>
      <c r="CL69" s="944"/>
      <c r="CM69" s="371"/>
      <c r="CN69" s="371"/>
      <c r="CO69" s="372"/>
      <c r="CP69" s="945"/>
      <c r="CQ69" s="945"/>
      <c r="CR69" s="945"/>
      <c r="CS69" s="945"/>
      <c r="CT69" s="945"/>
      <c r="CU69" s="973"/>
      <c r="CV69" s="973"/>
      <c r="CW69" s="973"/>
      <c r="CX69" s="973"/>
      <c r="CY69" s="973"/>
      <c r="CZ69" s="973"/>
      <c r="DA69" s="973"/>
      <c r="DB69" s="973"/>
      <c r="DC69" s="973"/>
      <c r="DD69" s="973"/>
      <c r="DE69" s="947"/>
      <c r="DF69" s="947"/>
      <c r="DG69" s="947"/>
      <c r="DH69" s="947"/>
      <c r="DI69" s="947"/>
      <c r="DJ69" s="947"/>
      <c r="DK69" s="947"/>
      <c r="DL69" s="947"/>
      <c r="DM69" s="947"/>
      <c r="DN69" s="947"/>
      <c r="DO69" s="949">
        <f>BEZ_Lohn_27_Ges_Zeit/60</f>
        <v>0</v>
      </c>
      <c r="DP69" s="949"/>
      <c r="DQ69" s="949"/>
      <c r="DR69" s="949"/>
      <c r="DS69" s="949"/>
      <c r="DT69" s="949"/>
      <c r="DU69" s="949"/>
      <c r="DV69" s="949"/>
      <c r="DW69" s="947"/>
      <c r="DX69" s="947"/>
      <c r="DY69" s="947"/>
      <c r="DZ69" s="947"/>
      <c r="EA69" s="947"/>
      <c r="EB69" s="947"/>
      <c r="EC69" s="947"/>
      <c r="ED69" s="947"/>
      <c r="EE69" s="947"/>
      <c r="EF69" s="947"/>
      <c r="EG69" s="951"/>
      <c r="EH69" s="951"/>
      <c r="EI69" s="951"/>
      <c r="EJ69" s="951"/>
      <c r="EK69" s="951"/>
      <c r="EL69" s="951"/>
      <c r="EM69" s="951"/>
      <c r="EN69" s="951"/>
      <c r="EO69" s="951"/>
      <c r="EP69" s="951"/>
      <c r="EQ69" s="951"/>
      <c r="ER69" s="951"/>
      <c r="ES69" s="951"/>
      <c r="ET69" s="951"/>
      <c r="EU69" s="951"/>
      <c r="EV69" s="951"/>
      <c r="EW69" s="952" t="str">
        <f>IF(BEZ_Lohn_27_Ges_Zeit="","",((BEZ_Lohn_27_Ges_Zeit*((BEZ_Lohn_27_Zuschl_auf_Zeit/100)+1))/BEZ_Lohn_27_Leist_je_Art)*BEZ_Lohn_27_Bedarf_je_Art*BEZ_Lohn_27_MA_Anz)</f>
        <v/>
      </c>
      <c r="EX69" s="952"/>
      <c r="EY69" s="952"/>
      <c r="EZ69" s="952"/>
      <c r="FA69" s="952"/>
      <c r="FB69" s="952"/>
      <c r="FC69" s="952"/>
      <c r="FD69" s="952"/>
      <c r="FE69" s="963" t="str">
        <f>IF(BEZ_Lohn_27_Ges_Min_je_Art="","",(BEZ_Lohn_27_Ges_Min_je_Art / 60)*BEZ_Lohn_27_St_Satz_excl)</f>
        <v/>
      </c>
      <c r="FF69" s="963"/>
      <c r="FG69" s="963"/>
      <c r="FH69" s="963"/>
      <c r="FI69" s="963"/>
      <c r="FJ69" s="963"/>
      <c r="FK69" s="963"/>
      <c r="FL69" s="963"/>
      <c r="FM69" s="963"/>
      <c r="FN69" s="963"/>
      <c r="FO69" s="964" t="str">
        <f>IF(BEZ_Lohn_27_Ges_Min_je_Art="","",(BEZ_Lohn_27_Ges_Min_je_Art / 60)*BEZ_Lohn_27_St_Satz_excl*KI_N)</f>
        <v/>
      </c>
      <c r="FP69" s="965"/>
      <c r="FQ69" s="965"/>
      <c r="FR69" s="965"/>
      <c r="FS69" s="965"/>
      <c r="FT69" s="965"/>
      <c r="FU69" s="965"/>
      <c r="FV69" s="965"/>
      <c r="FW69" s="965"/>
      <c r="FX69" s="966"/>
      <c r="FY69" s="997"/>
      <c r="FZ69" s="998"/>
      <c r="GA69" s="998"/>
      <c r="GB69" s="998"/>
      <c r="GC69" s="998"/>
      <c r="GD69" s="998"/>
      <c r="GE69" s="998"/>
      <c r="GF69" s="998"/>
      <c r="GG69" s="998"/>
      <c r="GH69" s="998"/>
      <c r="GI69" s="998"/>
      <c r="GJ69" s="998"/>
      <c r="GK69" s="998"/>
      <c r="GL69" s="998"/>
      <c r="GM69" s="998"/>
      <c r="GN69" s="998"/>
      <c r="GO69" s="998"/>
      <c r="GP69" s="998"/>
      <c r="GQ69" s="998"/>
      <c r="GR69" s="998"/>
      <c r="GS69" s="998"/>
      <c r="GT69" s="999"/>
      <c r="GU69" s="25"/>
      <c r="GV69" s="211"/>
      <c r="GW69" s="211"/>
      <c r="GX69" s="211"/>
      <c r="GY69" s="211"/>
      <c r="GZ69" s="211"/>
      <c r="HA69" s="211"/>
      <c r="HB69" s="211"/>
      <c r="HC69" s="211"/>
      <c r="HD69" s="211"/>
      <c r="HE69" s="211"/>
      <c r="HF69" s="211"/>
      <c r="HG69" s="211"/>
      <c r="HH69" s="211"/>
      <c r="HI69" s="211"/>
      <c r="HS69" s="928"/>
      <c r="HT69" s="929"/>
      <c r="HU69" s="929"/>
      <c r="HV69" s="929"/>
      <c r="HW69" s="929"/>
      <c r="HX69" s="929"/>
      <c r="HY69" s="929"/>
      <c r="HZ69" s="929"/>
      <c r="IA69" s="929"/>
      <c r="IB69" s="929"/>
      <c r="IC69" s="929"/>
      <c r="ID69" s="929"/>
      <c r="IE69" s="929"/>
      <c r="IF69" s="930"/>
      <c r="IQ69" s="934"/>
      <c r="IR69" s="935"/>
      <c r="IS69" s="935"/>
      <c r="IT69" s="935"/>
      <c r="IU69" s="935"/>
      <c r="IV69" s="935"/>
      <c r="IW69" s="935"/>
      <c r="IX69" s="935"/>
      <c r="IY69" s="935"/>
      <c r="IZ69" s="936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12"/>
      <c r="L70" s="937"/>
      <c r="M70" s="937"/>
      <c r="N70" s="938"/>
      <c r="O70" s="217"/>
      <c r="P70" s="939"/>
      <c r="Q70" s="939"/>
      <c r="R70" s="939"/>
      <c r="S70" s="939"/>
      <c r="T70" s="939"/>
      <c r="U70" s="939"/>
      <c r="V70" s="939"/>
      <c r="W70" s="939"/>
      <c r="X70" s="939"/>
      <c r="Y70" s="939"/>
      <c r="Z70" s="939"/>
      <c r="AA70" s="939"/>
      <c r="AB70" s="939"/>
      <c r="AC70" s="939"/>
      <c r="AD70" s="939"/>
      <c r="AE70" s="939"/>
      <c r="AF70" s="939"/>
      <c r="AG70" s="939"/>
      <c r="AH70" s="939"/>
      <c r="AI70" s="939"/>
      <c r="AJ70" s="939"/>
      <c r="AK70" s="939"/>
      <c r="AL70" s="939"/>
      <c r="AM70" s="939"/>
      <c r="AN70" s="939"/>
      <c r="AO70" s="939"/>
      <c r="AP70" s="939"/>
      <c r="AQ70" s="939"/>
      <c r="AR70" s="939"/>
      <c r="AS70" s="939"/>
      <c r="AT70" s="939"/>
      <c r="AU70" s="939"/>
      <c r="AV70" s="939"/>
      <c r="AW70" s="939"/>
      <c r="AX70" s="939"/>
      <c r="AY70" s="939"/>
      <c r="AZ70" s="939"/>
      <c r="BA70" s="939"/>
      <c r="BB70" s="939"/>
      <c r="BC70" s="939"/>
      <c r="BD70" s="940"/>
      <c r="BE70" s="941"/>
      <c r="BF70" s="941"/>
      <c r="BG70" s="941"/>
      <c r="BH70" s="941"/>
      <c r="BI70" s="941"/>
      <c r="BJ70" s="941"/>
      <c r="BK70" s="941"/>
      <c r="BL70" s="941"/>
      <c r="BM70" s="941"/>
      <c r="BN70" s="941"/>
      <c r="BO70" s="941"/>
      <c r="BP70" s="941"/>
      <c r="BQ70" s="941"/>
      <c r="BR70" s="941"/>
      <c r="BS70" s="941"/>
      <c r="BT70" s="941"/>
      <c r="BU70" s="941"/>
      <c r="BV70" s="941"/>
      <c r="BW70" s="941"/>
      <c r="BX70" s="941"/>
      <c r="BY70" s="941"/>
      <c r="BZ70" s="941"/>
      <c r="CA70" s="941"/>
      <c r="CB70" s="941"/>
      <c r="CC70" s="941"/>
      <c r="CD70" s="941"/>
      <c r="CE70" s="941"/>
      <c r="CF70" s="941"/>
      <c r="CG70" s="942"/>
      <c r="CH70" s="943"/>
      <c r="CI70" s="944"/>
      <c r="CJ70" s="944"/>
      <c r="CK70" s="944"/>
      <c r="CL70" s="944"/>
      <c r="CM70" s="371"/>
      <c r="CN70" s="371"/>
      <c r="CO70" s="372"/>
      <c r="CP70" s="945"/>
      <c r="CQ70" s="945"/>
      <c r="CR70" s="945"/>
      <c r="CS70" s="945"/>
      <c r="CT70" s="945"/>
      <c r="CU70" s="973"/>
      <c r="CV70" s="973"/>
      <c r="CW70" s="973"/>
      <c r="CX70" s="973"/>
      <c r="CY70" s="973"/>
      <c r="CZ70" s="973"/>
      <c r="DA70" s="973"/>
      <c r="DB70" s="973"/>
      <c r="DC70" s="973"/>
      <c r="DD70" s="973"/>
      <c r="DE70" s="947"/>
      <c r="DF70" s="947"/>
      <c r="DG70" s="947"/>
      <c r="DH70" s="947"/>
      <c r="DI70" s="947"/>
      <c r="DJ70" s="947"/>
      <c r="DK70" s="947"/>
      <c r="DL70" s="947"/>
      <c r="DM70" s="947"/>
      <c r="DN70" s="947"/>
      <c r="DO70" s="949"/>
      <c r="DP70" s="949"/>
      <c r="DQ70" s="949"/>
      <c r="DR70" s="949"/>
      <c r="DS70" s="949"/>
      <c r="DT70" s="949"/>
      <c r="DU70" s="949"/>
      <c r="DV70" s="949"/>
      <c r="DW70" s="947"/>
      <c r="DX70" s="947"/>
      <c r="DY70" s="947"/>
      <c r="DZ70" s="947"/>
      <c r="EA70" s="947"/>
      <c r="EB70" s="947"/>
      <c r="EC70" s="947"/>
      <c r="ED70" s="947"/>
      <c r="EE70" s="947"/>
      <c r="EF70" s="947"/>
      <c r="EG70" s="951"/>
      <c r="EH70" s="951"/>
      <c r="EI70" s="951"/>
      <c r="EJ70" s="951"/>
      <c r="EK70" s="951"/>
      <c r="EL70" s="951"/>
      <c r="EM70" s="951"/>
      <c r="EN70" s="951"/>
      <c r="EO70" s="951"/>
      <c r="EP70" s="951"/>
      <c r="EQ70" s="951"/>
      <c r="ER70" s="951"/>
      <c r="ES70" s="951"/>
      <c r="ET70" s="951"/>
      <c r="EU70" s="951"/>
      <c r="EV70" s="951"/>
      <c r="EW70" s="952"/>
      <c r="EX70" s="952"/>
      <c r="EY70" s="952"/>
      <c r="EZ70" s="952"/>
      <c r="FA70" s="952"/>
      <c r="FB70" s="952"/>
      <c r="FC70" s="952"/>
      <c r="FD70" s="952"/>
      <c r="FE70" s="963"/>
      <c r="FF70" s="963"/>
      <c r="FG70" s="963"/>
      <c r="FH70" s="963"/>
      <c r="FI70" s="963"/>
      <c r="FJ70" s="963"/>
      <c r="FK70" s="963"/>
      <c r="FL70" s="963"/>
      <c r="FM70" s="963"/>
      <c r="FN70" s="963"/>
      <c r="FO70" s="964"/>
      <c r="FP70" s="965"/>
      <c r="FQ70" s="965"/>
      <c r="FR70" s="965"/>
      <c r="FS70" s="965"/>
      <c r="FT70" s="965"/>
      <c r="FU70" s="965"/>
      <c r="FV70" s="965"/>
      <c r="FW70" s="965"/>
      <c r="FX70" s="966"/>
      <c r="FY70" s="997"/>
      <c r="FZ70" s="998"/>
      <c r="GA70" s="998"/>
      <c r="GB70" s="998"/>
      <c r="GC70" s="998"/>
      <c r="GD70" s="998"/>
      <c r="GE70" s="998"/>
      <c r="GF70" s="998"/>
      <c r="GG70" s="998"/>
      <c r="GH70" s="998"/>
      <c r="GI70" s="998"/>
      <c r="GJ70" s="998"/>
      <c r="GK70" s="998"/>
      <c r="GL70" s="998"/>
      <c r="GM70" s="998"/>
      <c r="GN70" s="998"/>
      <c r="GO70" s="998"/>
      <c r="GP70" s="998"/>
      <c r="GQ70" s="998"/>
      <c r="GR70" s="998"/>
      <c r="GS70" s="998"/>
      <c r="GT70" s="999"/>
      <c r="GU70" s="25"/>
      <c r="GV70" s="211"/>
      <c r="GW70" s="211"/>
      <c r="GX70" s="211"/>
      <c r="GY70" s="211"/>
      <c r="GZ70" s="211"/>
      <c r="HA70" s="211"/>
      <c r="HB70" s="211"/>
      <c r="HC70" s="211"/>
      <c r="HD70" s="211"/>
      <c r="HE70" s="211"/>
      <c r="HF70" s="211"/>
      <c r="HG70" s="211"/>
      <c r="HH70" s="211"/>
      <c r="HI70" s="211"/>
      <c r="HS70" s="928"/>
      <c r="HT70" s="929"/>
      <c r="HU70" s="929"/>
      <c r="HV70" s="929"/>
      <c r="HW70" s="929"/>
      <c r="HX70" s="929"/>
      <c r="HY70" s="929"/>
      <c r="HZ70" s="929"/>
      <c r="IA70" s="929"/>
      <c r="IB70" s="929"/>
      <c r="IC70" s="929"/>
      <c r="ID70" s="929"/>
      <c r="IE70" s="929"/>
      <c r="IF70" s="930"/>
      <c r="IQ70" s="934"/>
      <c r="IR70" s="935"/>
      <c r="IS70" s="935"/>
      <c r="IT70" s="935"/>
      <c r="IU70" s="935"/>
      <c r="IV70" s="935"/>
      <c r="IW70" s="935"/>
      <c r="IX70" s="935"/>
      <c r="IY70" s="935"/>
      <c r="IZ70" s="936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12"/>
      <c r="L71" s="937">
        <v>28</v>
      </c>
      <c r="M71" s="937"/>
      <c r="N71" s="938"/>
      <c r="O71" s="217"/>
      <c r="P71" s="939"/>
      <c r="Q71" s="939"/>
      <c r="R71" s="939"/>
      <c r="S71" s="939"/>
      <c r="T71" s="939"/>
      <c r="U71" s="939"/>
      <c r="V71" s="939"/>
      <c r="W71" s="939"/>
      <c r="X71" s="939"/>
      <c r="Y71" s="939"/>
      <c r="Z71" s="939"/>
      <c r="AA71" s="939"/>
      <c r="AB71" s="939"/>
      <c r="AC71" s="939"/>
      <c r="AD71" s="939"/>
      <c r="AE71" s="939"/>
      <c r="AF71" s="939"/>
      <c r="AG71" s="939"/>
      <c r="AH71" s="939"/>
      <c r="AI71" s="939"/>
      <c r="AJ71" s="939"/>
      <c r="AK71" s="939"/>
      <c r="AL71" s="939"/>
      <c r="AM71" s="939"/>
      <c r="AN71" s="939"/>
      <c r="AO71" s="939"/>
      <c r="AP71" s="939"/>
      <c r="AQ71" s="939"/>
      <c r="AR71" s="939"/>
      <c r="AS71" s="939"/>
      <c r="AT71" s="939"/>
      <c r="AU71" s="939"/>
      <c r="AV71" s="939"/>
      <c r="AW71" s="939"/>
      <c r="AX71" s="939"/>
      <c r="AY71" s="939"/>
      <c r="AZ71" s="939"/>
      <c r="BA71" s="939"/>
      <c r="BB71" s="939"/>
      <c r="BC71" s="939"/>
      <c r="BD71" s="940"/>
      <c r="BE71" s="941"/>
      <c r="BF71" s="941"/>
      <c r="BG71" s="941"/>
      <c r="BH71" s="941"/>
      <c r="BI71" s="941"/>
      <c r="BJ71" s="941"/>
      <c r="BK71" s="941"/>
      <c r="BL71" s="941"/>
      <c r="BM71" s="941"/>
      <c r="BN71" s="941"/>
      <c r="BO71" s="941"/>
      <c r="BP71" s="941"/>
      <c r="BQ71" s="941"/>
      <c r="BR71" s="941"/>
      <c r="BS71" s="941"/>
      <c r="BT71" s="941"/>
      <c r="BU71" s="941"/>
      <c r="BV71" s="941"/>
      <c r="BW71" s="941"/>
      <c r="BX71" s="941"/>
      <c r="BY71" s="941"/>
      <c r="BZ71" s="941"/>
      <c r="CA71" s="941"/>
      <c r="CB71" s="941"/>
      <c r="CC71" s="941"/>
      <c r="CD71" s="941"/>
      <c r="CE71" s="941"/>
      <c r="CF71" s="941"/>
      <c r="CG71" s="942"/>
      <c r="CH71" s="943"/>
      <c r="CI71" s="944"/>
      <c r="CJ71" s="944"/>
      <c r="CK71" s="944"/>
      <c r="CL71" s="944"/>
      <c r="CM71" s="371"/>
      <c r="CN71" s="371"/>
      <c r="CO71" s="372"/>
      <c r="CP71" s="945"/>
      <c r="CQ71" s="945"/>
      <c r="CR71" s="945"/>
      <c r="CS71" s="945"/>
      <c r="CT71" s="945"/>
      <c r="CU71" s="973"/>
      <c r="CV71" s="973"/>
      <c r="CW71" s="973"/>
      <c r="CX71" s="973"/>
      <c r="CY71" s="973"/>
      <c r="CZ71" s="973"/>
      <c r="DA71" s="973"/>
      <c r="DB71" s="973"/>
      <c r="DC71" s="973"/>
      <c r="DD71" s="973"/>
      <c r="DE71" s="947"/>
      <c r="DF71" s="947"/>
      <c r="DG71" s="947"/>
      <c r="DH71" s="947"/>
      <c r="DI71" s="947"/>
      <c r="DJ71" s="947"/>
      <c r="DK71" s="947"/>
      <c r="DL71" s="947"/>
      <c r="DM71" s="947"/>
      <c r="DN71" s="947"/>
      <c r="DO71" s="949">
        <f>BEZ_Lohn_28_Ges_Zeit/60</f>
        <v>0</v>
      </c>
      <c r="DP71" s="949"/>
      <c r="DQ71" s="949"/>
      <c r="DR71" s="949"/>
      <c r="DS71" s="949"/>
      <c r="DT71" s="949"/>
      <c r="DU71" s="949"/>
      <c r="DV71" s="949"/>
      <c r="DW71" s="947"/>
      <c r="DX71" s="947"/>
      <c r="DY71" s="947"/>
      <c r="DZ71" s="947"/>
      <c r="EA71" s="947"/>
      <c r="EB71" s="947"/>
      <c r="EC71" s="947"/>
      <c r="ED71" s="947"/>
      <c r="EE71" s="947"/>
      <c r="EF71" s="947"/>
      <c r="EG71" s="951"/>
      <c r="EH71" s="951"/>
      <c r="EI71" s="951"/>
      <c r="EJ71" s="951"/>
      <c r="EK71" s="951"/>
      <c r="EL71" s="951"/>
      <c r="EM71" s="951"/>
      <c r="EN71" s="951"/>
      <c r="EO71" s="951"/>
      <c r="EP71" s="951"/>
      <c r="EQ71" s="951"/>
      <c r="ER71" s="951"/>
      <c r="ES71" s="951"/>
      <c r="ET71" s="951"/>
      <c r="EU71" s="951"/>
      <c r="EV71" s="951"/>
      <c r="EW71" s="952" t="str">
        <f>IF(BEZ_Lohn_28_Ges_Zeit="","",((BEZ_Lohn_28_Ges_Zeit*((BEZ_Lohn_28_Zuschl_auf_Zeit/100)+1))/BEZ_Lohn_28_Leist_je_Art)*BEZ_Lohn_28_Bedarf_je_Art*BEZ_Lohn_28_MA_Anz)</f>
        <v/>
      </c>
      <c r="EX71" s="952"/>
      <c r="EY71" s="952"/>
      <c r="EZ71" s="952"/>
      <c r="FA71" s="952"/>
      <c r="FB71" s="952"/>
      <c r="FC71" s="952"/>
      <c r="FD71" s="952"/>
      <c r="FE71" s="963" t="str">
        <f>IF(BEZ_Lohn_28_Ges_Min_je_Art="","",(BEZ_Lohn_28_Ges_Min_je_Art / 60)*BEZ_Lohn_28_St_Satz_excl)</f>
        <v/>
      </c>
      <c r="FF71" s="963"/>
      <c r="FG71" s="963"/>
      <c r="FH71" s="963"/>
      <c r="FI71" s="963"/>
      <c r="FJ71" s="963"/>
      <c r="FK71" s="963"/>
      <c r="FL71" s="963"/>
      <c r="FM71" s="963"/>
      <c r="FN71" s="963"/>
      <c r="FO71" s="964" t="str">
        <f>IF(BEZ_Lohn_28_Ges_Min_je_Art="","",(BEZ_Lohn_28_Ges_Min_je_Art / 60)*BEZ_Lohn_28_St_Satz_excl*KI_N)</f>
        <v/>
      </c>
      <c r="FP71" s="965"/>
      <c r="FQ71" s="965"/>
      <c r="FR71" s="965"/>
      <c r="FS71" s="965"/>
      <c r="FT71" s="965"/>
      <c r="FU71" s="965"/>
      <c r="FV71" s="965"/>
      <c r="FW71" s="965"/>
      <c r="FX71" s="966"/>
      <c r="FY71" s="997"/>
      <c r="FZ71" s="998"/>
      <c r="GA71" s="998"/>
      <c r="GB71" s="998"/>
      <c r="GC71" s="998"/>
      <c r="GD71" s="998"/>
      <c r="GE71" s="998"/>
      <c r="GF71" s="998"/>
      <c r="GG71" s="998"/>
      <c r="GH71" s="998"/>
      <c r="GI71" s="998"/>
      <c r="GJ71" s="998"/>
      <c r="GK71" s="998"/>
      <c r="GL71" s="998"/>
      <c r="GM71" s="998"/>
      <c r="GN71" s="998"/>
      <c r="GO71" s="998"/>
      <c r="GP71" s="998"/>
      <c r="GQ71" s="998"/>
      <c r="GR71" s="998"/>
      <c r="GS71" s="998"/>
      <c r="GT71" s="999"/>
      <c r="GU71" s="25"/>
      <c r="GV71" s="211"/>
      <c r="GW71" s="211"/>
      <c r="GX71" s="211"/>
      <c r="GY71" s="211"/>
      <c r="GZ71" s="211"/>
      <c r="HA71" s="211"/>
      <c r="HB71" s="211"/>
      <c r="HC71" s="211"/>
      <c r="HD71" s="211"/>
      <c r="HE71" s="211"/>
      <c r="HF71" s="211"/>
      <c r="HG71" s="211"/>
      <c r="HH71" s="211"/>
      <c r="HI71" s="211"/>
      <c r="HS71" s="928"/>
      <c r="HT71" s="929"/>
      <c r="HU71" s="929"/>
      <c r="HV71" s="929"/>
      <c r="HW71" s="929"/>
      <c r="HX71" s="929"/>
      <c r="HY71" s="929"/>
      <c r="HZ71" s="929"/>
      <c r="IA71" s="929"/>
      <c r="IB71" s="929"/>
      <c r="IC71" s="929"/>
      <c r="ID71" s="929"/>
      <c r="IE71" s="929"/>
      <c r="IF71" s="930"/>
      <c r="IQ71" s="934"/>
      <c r="IR71" s="935"/>
      <c r="IS71" s="935"/>
      <c r="IT71" s="935"/>
      <c r="IU71" s="935"/>
      <c r="IV71" s="935"/>
      <c r="IW71" s="935"/>
      <c r="IX71" s="935"/>
      <c r="IY71" s="935"/>
      <c r="IZ71" s="936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12"/>
      <c r="L72" s="1025"/>
      <c r="M72" s="1025"/>
      <c r="N72" s="1026"/>
      <c r="O72" s="222"/>
      <c r="P72" s="1027"/>
      <c r="Q72" s="1027"/>
      <c r="R72" s="1027"/>
      <c r="S72" s="1027"/>
      <c r="T72" s="1027"/>
      <c r="U72" s="1027"/>
      <c r="V72" s="1027"/>
      <c r="W72" s="1027"/>
      <c r="X72" s="1027"/>
      <c r="Y72" s="1027"/>
      <c r="Z72" s="1027"/>
      <c r="AA72" s="1027"/>
      <c r="AB72" s="1027"/>
      <c r="AC72" s="1027"/>
      <c r="AD72" s="1027"/>
      <c r="AE72" s="1027"/>
      <c r="AF72" s="1027"/>
      <c r="AG72" s="1027"/>
      <c r="AH72" s="1027"/>
      <c r="AI72" s="1027"/>
      <c r="AJ72" s="1027"/>
      <c r="AK72" s="1027"/>
      <c r="AL72" s="1027"/>
      <c r="AM72" s="1027"/>
      <c r="AN72" s="1027"/>
      <c r="AO72" s="1027"/>
      <c r="AP72" s="1027"/>
      <c r="AQ72" s="1027"/>
      <c r="AR72" s="1027"/>
      <c r="AS72" s="1027"/>
      <c r="AT72" s="1027"/>
      <c r="AU72" s="1027"/>
      <c r="AV72" s="1027"/>
      <c r="AW72" s="1027"/>
      <c r="AX72" s="1027"/>
      <c r="AY72" s="1027"/>
      <c r="AZ72" s="1027"/>
      <c r="BA72" s="1027"/>
      <c r="BB72" s="1027"/>
      <c r="BC72" s="1027"/>
      <c r="BD72" s="1014"/>
      <c r="BE72" s="1015"/>
      <c r="BF72" s="1015"/>
      <c r="BG72" s="1015"/>
      <c r="BH72" s="1015"/>
      <c r="BI72" s="1015"/>
      <c r="BJ72" s="1015"/>
      <c r="BK72" s="1015"/>
      <c r="BL72" s="1015"/>
      <c r="BM72" s="1015"/>
      <c r="BN72" s="1015"/>
      <c r="BO72" s="1015"/>
      <c r="BP72" s="1015"/>
      <c r="BQ72" s="1015"/>
      <c r="BR72" s="1015"/>
      <c r="BS72" s="1015"/>
      <c r="BT72" s="1015"/>
      <c r="BU72" s="1015"/>
      <c r="BV72" s="1015"/>
      <c r="BW72" s="1015"/>
      <c r="BX72" s="1015"/>
      <c r="BY72" s="1015"/>
      <c r="BZ72" s="1015"/>
      <c r="CA72" s="1015"/>
      <c r="CB72" s="1015"/>
      <c r="CC72" s="1015"/>
      <c r="CD72" s="1015"/>
      <c r="CE72" s="1015"/>
      <c r="CF72" s="1015"/>
      <c r="CG72" s="1016"/>
      <c r="CH72" s="1017"/>
      <c r="CI72" s="1018"/>
      <c r="CJ72" s="1018"/>
      <c r="CK72" s="1018"/>
      <c r="CL72" s="1018"/>
      <c r="CM72" s="373"/>
      <c r="CN72" s="373"/>
      <c r="CO72" s="374"/>
      <c r="CP72" s="1019"/>
      <c r="CQ72" s="1019"/>
      <c r="CR72" s="1019"/>
      <c r="CS72" s="1019"/>
      <c r="CT72" s="1019"/>
      <c r="CU72" s="1021"/>
      <c r="CV72" s="1021"/>
      <c r="CW72" s="1021"/>
      <c r="CX72" s="1021"/>
      <c r="CY72" s="1021"/>
      <c r="CZ72" s="1021"/>
      <c r="DA72" s="1021"/>
      <c r="DB72" s="1021"/>
      <c r="DC72" s="1021"/>
      <c r="DD72" s="1021"/>
      <c r="DE72" s="1022"/>
      <c r="DF72" s="1022"/>
      <c r="DG72" s="1022"/>
      <c r="DH72" s="1022"/>
      <c r="DI72" s="1022"/>
      <c r="DJ72" s="1022"/>
      <c r="DK72" s="1022"/>
      <c r="DL72" s="1022"/>
      <c r="DM72" s="1022"/>
      <c r="DN72" s="1022"/>
      <c r="DO72" s="1023"/>
      <c r="DP72" s="1023"/>
      <c r="DQ72" s="1023"/>
      <c r="DR72" s="1023"/>
      <c r="DS72" s="1023"/>
      <c r="DT72" s="1023"/>
      <c r="DU72" s="1023"/>
      <c r="DV72" s="1023"/>
      <c r="DW72" s="1022"/>
      <c r="DX72" s="1022"/>
      <c r="DY72" s="1022"/>
      <c r="DZ72" s="1022"/>
      <c r="EA72" s="1022"/>
      <c r="EB72" s="1022"/>
      <c r="EC72" s="1022"/>
      <c r="ED72" s="1022"/>
      <c r="EE72" s="1022"/>
      <c r="EF72" s="1022"/>
      <c r="EG72" s="1024"/>
      <c r="EH72" s="1024"/>
      <c r="EI72" s="1024"/>
      <c r="EJ72" s="1024"/>
      <c r="EK72" s="1024"/>
      <c r="EL72" s="1024"/>
      <c r="EM72" s="1024"/>
      <c r="EN72" s="1024"/>
      <c r="EO72" s="1024"/>
      <c r="EP72" s="1024"/>
      <c r="EQ72" s="1024"/>
      <c r="ER72" s="1024"/>
      <c r="ES72" s="1024"/>
      <c r="ET72" s="1024"/>
      <c r="EU72" s="1024"/>
      <c r="EV72" s="1024"/>
      <c r="EW72" s="1003"/>
      <c r="EX72" s="1003"/>
      <c r="EY72" s="1003"/>
      <c r="EZ72" s="1003"/>
      <c r="FA72" s="1003"/>
      <c r="FB72" s="1003"/>
      <c r="FC72" s="1003"/>
      <c r="FD72" s="1003"/>
      <c r="FE72" s="1004"/>
      <c r="FF72" s="1004"/>
      <c r="FG72" s="1004"/>
      <c r="FH72" s="1004"/>
      <c r="FI72" s="1004"/>
      <c r="FJ72" s="1004"/>
      <c r="FK72" s="1004"/>
      <c r="FL72" s="1004"/>
      <c r="FM72" s="1004"/>
      <c r="FN72" s="1004"/>
      <c r="FO72" s="1005"/>
      <c r="FP72" s="1006"/>
      <c r="FQ72" s="1006"/>
      <c r="FR72" s="1006"/>
      <c r="FS72" s="1006"/>
      <c r="FT72" s="1006"/>
      <c r="FU72" s="1006"/>
      <c r="FV72" s="1006"/>
      <c r="FW72" s="1006"/>
      <c r="FX72" s="1007"/>
      <c r="FY72" s="1000"/>
      <c r="FZ72" s="1001"/>
      <c r="GA72" s="1001"/>
      <c r="GB72" s="1001"/>
      <c r="GC72" s="1001"/>
      <c r="GD72" s="1001"/>
      <c r="GE72" s="1001"/>
      <c r="GF72" s="1001"/>
      <c r="GG72" s="1001"/>
      <c r="GH72" s="1001"/>
      <c r="GI72" s="1001"/>
      <c r="GJ72" s="1001"/>
      <c r="GK72" s="1001"/>
      <c r="GL72" s="1001"/>
      <c r="GM72" s="1001"/>
      <c r="GN72" s="1001"/>
      <c r="GO72" s="1001"/>
      <c r="GP72" s="1001"/>
      <c r="GQ72" s="1001"/>
      <c r="GR72" s="1001"/>
      <c r="GS72" s="1001"/>
      <c r="GT72" s="1002"/>
      <c r="GU72" s="25"/>
      <c r="GV72" s="211"/>
      <c r="GW72" s="211"/>
      <c r="GX72" s="211"/>
      <c r="GY72" s="211"/>
      <c r="GZ72" s="211"/>
      <c r="HA72" s="211"/>
      <c r="HB72" s="211"/>
      <c r="HC72" s="211"/>
      <c r="HD72" s="211"/>
      <c r="HE72" s="211"/>
      <c r="HF72" s="211"/>
      <c r="HG72" s="211"/>
      <c r="HH72" s="211"/>
      <c r="HI72" s="211"/>
      <c r="HS72" s="928"/>
      <c r="HT72" s="929"/>
      <c r="HU72" s="929"/>
      <c r="HV72" s="929"/>
      <c r="HW72" s="929"/>
      <c r="HX72" s="929"/>
      <c r="HY72" s="929"/>
      <c r="HZ72" s="929"/>
      <c r="IA72" s="929"/>
      <c r="IB72" s="929"/>
      <c r="IC72" s="929"/>
      <c r="ID72" s="929"/>
      <c r="IE72" s="929"/>
      <c r="IF72" s="930"/>
      <c r="IQ72" s="934"/>
      <c r="IR72" s="935"/>
      <c r="IS72" s="935"/>
      <c r="IT72" s="935"/>
      <c r="IU72" s="935"/>
      <c r="IV72" s="935"/>
      <c r="IW72" s="935"/>
      <c r="IX72" s="935"/>
      <c r="IY72" s="935"/>
      <c r="IZ72" s="936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223"/>
      <c r="L73" s="224"/>
      <c r="M73" s="224"/>
      <c r="N73" s="224"/>
      <c r="O73" s="225"/>
      <c r="P73" s="226"/>
      <c r="Q73" s="226"/>
      <c r="R73" s="226"/>
      <c r="S73" s="226"/>
      <c r="T73" s="226"/>
      <c r="U73" s="226"/>
      <c r="V73" s="226"/>
      <c r="W73" s="226"/>
      <c r="X73" s="226"/>
      <c r="Y73" s="226"/>
      <c r="Z73" s="226"/>
      <c r="AA73" s="226"/>
      <c r="AB73" s="226"/>
      <c r="AC73" s="226"/>
      <c r="AD73" s="226"/>
      <c r="AE73" s="226"/>
      <c r="AF73" s="226"/>
      <c r="AG73" s="226"/>
      <c r="AH73" s="226"/>
      <c r="AI73" s="226"/>
      <c r="AJ73" s="226"/>
      <c r="AK73" s="226"/>
      <c r="AL73" s="226"/>
      <c r="AM73" s="226"/>
      <c r="AN73" s="226"/>
      <c r="AO73" s="226"/>
      <c r="AP73" s="226"/>
      <c r="AQ73" s="226"/>
      <c r="AR73" s="226"/>
      <c r="AS73" s="226"/>
      <c r="AT73" s="226"/>
      <c r="AU73" s="226"/>
      <c r="AV73" s="226"/>
      <c r="AW73" s="226"/>
      <c r="AX73" s="226"/>
      <c r="AY73" s="226"/>
      <c r="AZ73" s="226"/>
      <c r="BA73" s="226"/>
      <c r="BB73" s="226"/>
      <c r="BC73" s="226"/>
      <c r="BD73" s="226"/>
      <c r="BE73" s="226"/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26"/>
      <c r="CB73" s="226"/>
      <c r="CC73" s="226"/>
      <c r="CD73" s="226"/>
      <c r="CE73" s="226"/>
      <c r="CF73" s="226"/>
      <c r="CG73" s="226"/>
      <c r="CH73" s="225"/>
      <c r="CI73" s="225"/>
      <c r="CJ73" s="225"/>
      <c r="CK73" s="225"/>
      <c r="CL73" s="225"/>
      <c r="CM73" s="225"/>
      <c r="CN73" s="225"/>
      <c r="CO73" s="225"/>
      <c r="CP73" s="225"/>
      <c r="CQ73" s="225"/>
      <c r="CR73" s="225"/>
      <c r="CS73" s="225"/>
      <c r="CT73" s="225"/>
      <c r="CU73" s="225"/>
      <c r="CV73" s="225"/>
      <c r="CW73" s="225"/>
      <c r="CX73" s="225"/>
      <c r="CY73" s="225"/>
      <c r="CZ73" s="225"/>
      <c r="DA73" s="225"/>
      <c r="DB73" s="225"/>
      <c r="DC73" s="225"/>
      <c r="DD73" s="225"/>
      <c r="DE73" s="225"/>
      <c r="DF73" s="225"/>
      <c r="DG73" s="225"/>
      <c r="DH73" s="225"/>
      <c r="DI73" s="225"/>
      <c r="DJ73" s="225"/>
      <c r="DK73" s="225"/>
      <c r="DL73" s="225"/>
      <c r="DM73" s="225"/>
      <c r="DN73" s="225"/>
      <c r="DO73" s="225"/>
      <c r="DP73" s="225"/>
      <c r="DQ73" s="225"/>
      <c r="DR73" s="225"/>
      <c r="DS73" s="225"/>
      <c r="DT73" s="225"/>
      <c r="DU73" s="225"/>
      <c r="DV73" s="225"/>
      <c r="DW73" s="225"/>
      <c r="DX73" s="225"/>
      <c r="DY73" s="225"/>
      <c r="DZ73" s="225"/>
      <c r="EA73" s="225"/>
      <c r="EB73" s="225"/>
      <c r="EC73" s="225"/>
      <c r="ED73" s="225"/>
      <c r="EE73" s="225"/>
      <c r="EF73" s="225"/>
      <c r="EG73" s="225"/>
      <c r="EH73" s="225"/>
      <c r="EI73" s="225"/>
      <c r="EJ73" s="225"/>
      <c r="EK73" s="225"/>
      <c r="EL73" s="225"/>
      <c r="EM73" s="225"/>
      <c r="EN73" s="225"/>
      <c r="EO73" s="227"/>
      <c r="EP73" s="227"/>
      <c r="EQ73" s="228"/>
      <c r="ER73" s="227"/>
      <c r="ES73" s="227"/>
      <c r="ET73" s="227"/>
      <c r="EU73" s="227"/>
      <c r="EV73" s="227"/>
      <c r="EW73" s="227"/>
      <c r="EX73" s="227"/>
      <c r="EY73" s="227"/>
      <c r="EZ73" s="227"/>
      <c r="FA73" s="227"/>
      <c r="FB73" s="227"/>
      <c r="FC73" s="227"/>
      <c r="FD73" s="227"/>
      <c r="FE73" s="227"/>
      <c r="FF73" s="227"/>
      <c r="FG73" s="227"/>
      <c r="FH73" s="227"/>
      <c r="FI73" s="227"/>
      <c r="FJ73" s="227"/>
      <c r="FK73" s="227"/>
      <c r="FL73" s="227"/>
      <c r="FM73" s="227"/>
      <c r="FN73" s="227"/>
      <c r="FO73" s="227"/>
      <c r="FP73" s="227"/>
      <c r="FQ73" s="227"/>
      <c r="FR73" s="227"/>
      <c r="FS73" s="227"/>
      <c r="FT73" s="227"/>
      <c r="FU73" s="227"/>
      <c r="FV73" s="227"/>
      <c r="FW73" s="227"/>
      <c r="FX73" s="59"/>
      <c r="FY73" s="59"/>
      <c r="FZ73" s="59"/>
      <c r="GA73" s="225"/>
      <c r="GB73" s="225"/>
      <c r="GC73" s="225"/>
      <c r="GD73" s="59"/>
      <c r="GE73" s="59"/>
      <c r="GF73" s="59"/>
      <c r="GG73" s="59"/>
      <c r="GH73" s="59"/>
      <c r="GI73" s="59"/>
      <c r="GJ73" s="59"/>
      <c r="GK73" s="59"/>
      <c r="GL73" s="59"/>
      <c r="GM73" s="59"/>
      <c r="GN73" s="225"/>
      <c r="GO73" s="225"/>
      <c r="GP73" s="225"/>
      <c r="GQ73" s="225"/>
      <c r="GR73" s="225"/>
      <c r="GS73" s="225"/>
      <c r="GT73" s="225"/>
      <c r="GU73" s="61"/>
      <c r="GV73" s="12"/>
      <c r="GW73" s="211"/>
      <c r="GX73" s="211"/>
      <c r="GY73" s="211"/>
      <c r="GZ73" s="211"/>
      <c r="HA73" s="211"/>
      <c r="HB73" s="211"/>
      <c r="HC73" s="211"/>
      <c r="HD73" s="211"/>
      <c r="HE73" s="211"/>
      <c r="HF73" s="211"/>
      <c r="HG73" s="211"/>
      <c r="HH73" s="211"/>
      <c r="HI73" s="211"/>
      <c r="HS73" s="1008"/>
      <c r="HT73" s="1009"/>
      <c r="HU73" s="1009"/>
      <c r="HV73" s="1009"/>
      <c r="HW73" s="1009"/>
      <c r="HX73" s="1009"/>
      <c r="HY73" s="1009"/>
      <c r="HZ73" s="1009"/>
      <c r="IA73" s="1009"/>
      <c r="IB73" s="1009"/>
      <c r="IC73" s="1009"/>
      <c r="ID73" s="1009"/>
      <c r="IE73" s="1009"/>
      <c r="IF73" s="1010"/>
      <c r="IQ73" s="1011"/>
      <c r="IR73" s="1012"/>
      <c r="IS73" s="1012"/>
      <c r="IT73" s="1012"/>
      <c r="IU73" s="1012"/>
      <c r="IV73" s="1012"/>
      <c r="IW73" s="1012"/>
      <c r="IX73" s="1012"/>
      <c r="IY73" s="1012"/>
      <c r="IZ73" s="1013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229"/>
      <c r="M74" s="230"/>
      <c r="N74" s="23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1"/>
      <c r="AP74" s="211"/>
      <c r="AQ74" s="211"/>
      <c r="AR74" s="211"/>
      <c r="AS74" s="211"/>
      <c r="AT74" s="211"/>
      <c r="AU74" s="211"/>
      <c r="AV74" s="211"/>
      <c r="AW74" s="211"/>
      <c r="AX74" s="211"/>
      <c r="AY74" s="211"/>
      <c r="AZ74" s="211"/>
      <c r="BA74" s="211"/>
      <c r="BB74" s="211"/>
      <c r="BC74" s="211"/>
      <c r="BD74" s="211"/>
      <c r="BE74" s="211"/>
      <c r="BF74" s="211"/>
      <c r="BG74" s="211"/>
      <c r="BH74" s="211"/>
      <c r="BI74" s="211"/>
      <c r="BJ74" s="211"/>
      <c r="BK74" s="211"/>
      <c r="BL74" s="211"/>
      <c r="BM74" s="211"/>
      <c r="BN74" s="211"/>
      <c r="BO74" s="211"/>
      <c r="BP74" s="211"/>
      <c r="BQ74" s="211"/>
      <c r="BR74" s="211"/>
      <c r="BS74" s="211"/>
      <c r="BT74" s="211"/>
      <c r="BU74" s="211"/>
      <c r="BV74" s="211"/>
      <c r="BW74" s="211"/>
      <c r="BX74" s="211"/>
      <c r="BY74" s="211"/>
      <c r="BZ74" s="211"/>
      <c r="CA74" s="211"/>
      <c r="CB74" s="211"/>
      <c r="CC74" s="211"/>
      <c r="CD74" s="211"/>
      <c r="CE74" s="211"/>
      <c r="CF74" s="211"/>
      <c r="CG74" s="211"/>
      <c r="CH74" s="211"/>
      <c r="CI74" s="211"/>
      <c r="CJ74" s="211"/>
      <c r="CK74" s="211"/>
      <c r="CL74" s="211"/>
      <c r="CM74" s="211"/>
      <c r="CN74" s="211"/>
      <c r="CO74" s="211"/>
      <c r="CP74" s="211"/>
      <c r="CQ74" s="211"/>
      <c r="CR74" s="211"/>
      <c r="CS74" s="211"/>
      <c r="CT74" s="211"/>
      <c r="CU74" s="211"/>
      <c r="CV74" s="211"/>
      <c r="CW74" s="211"/>
      <c r="CX74" s="211"/>
      <c r="CY74" s="211"/>
      <c r="CZ74" s="211"/>
      <c r="DA74" s="211"/>
      <c r="DB74" s="211"/>
      <c r="DC74" s="211"/>
      <c r="DD74" s="211"/>
      <c r="DE74" s="211"/>
      <c r="DF74" s="211"/>
      <c r="DG74" s="211"/>
      <c r="DH74" s="211"/>
      <c r="DI74" s="211"/>
      <c r="DJ74" s="211"/>
      <c r="DK74" s="211"/>
      <c r="DL74" s="211"/>
      <c r="DM74" s="211"/>
      <c r="DN74" s="211"/>
      <c r="DO74" s="211"/>
      <c r="DP74" s="211"/>
      <c r="DQ74" s="211"/>
      <c r="DR74" s="211"/>
      <c r="DS74" s="211"/>
      <c r="DT74" s="211"/>
      <c r="DU74" s="211"/>
      <c r="DV74" s="211"/>
      <c r="DW74" s="211"/>
      <c r="DX74" s="211"/>
      <c r="DY74" s="211"/>
      <c r="DZ74" s="211"/>
      <c r="EA74" s="211"/>
      <c r="EB74" s="211"/>
      <c r="EC74" s="211"/>
      <c r="ED74" s="211"/>
      <c r="EE74" s="211"/>
      <c r="EF74" s="211"/>
      <c r="EG74" s="211"/>
      <c r="EH74" s="211"/>
      <c r="EI74" s="211"/>
      <c r="EJ74" s="211"/>
      <c r="EK74" s="211"/>
      <c r="EL74" s="211"/>
      <c r="EM74" s="211"/>
      <c r="EN74" s="211"/>
      <c r="EO74" s="211"/>
      <c r="EP74" s="211"/>
      <c r="EQ74" s="232"/>
      <c r="ER74" s="211"/>
      <c r="ES74" s="211"/>
      <c r="ET74" s="211"/>
      <c r="EU74" s="211"/>
      <c r="EV74" s="211"/>
      <c r="EW74" s="211"/>
      <c r="EX74" s="211"/>
      <c r="EY74" s="211"/>
      <c r="EZ74" s="211"/>
      <c r="FA74" s="211"/>
      <c r="FB74" s="211"/>
      <c r="FC74" s="211"/>
      <c r="FD74" s="211"/>
      <c r="FE74" s="211"/>
      <c r="FF74" s="211"/>
      <c r="FG74" s="211"/>
      <c r="FH74" s="211"/>
      <c r="FI74" s="211"/>
      <c r="FJ74" s="211"/>
      <c r="FK74" s="211"/>
      <c r="FL74" s="211"/>
      <c r="FM74" s="211"/>
      <c r="FN74" s="211"/>
      <c r="FO74" s="211"/>
      <c r="FP74" s="211"/>
      <c r="FQ74" s="211"/>
      <c r="FR74" s="211"/>
      <c r="FS74" s="211"/>
      <c r="FT74" s="211"/>
      <c r="FU74" s="211"/>
      <c r="FV74" s="211"/>
      <c r="FW74" s="211"/>
      <c r="FX74" s="211"/>
      <c r="FY74" s="211"/>
      <c r="FZ74" s="211"/>
      <c r="GA74" s="211"/>
      <c r="GB74" s="211"/>
      <c r="GC74" s="211"/>
      <c r="GD74" s="211"/>
      <c r="GE74" s="211"/>
      <c r="GF74" s="211"/>
      <c r="GG74" s="211"/>
      <c r="GH74" s="211"/>
      <c r="GI74" s="211"/>
      <c r="GJ74" s="211"/>
      <c r="GK74" s="211"/>
      <c r="GL74" s="211"/>
      <c r="GM74" s="211"/>
      <c r="GN74" s="211"/>
      <c r="GO74" s="211"/>
      <c r="GP74" s="211"/>
      <c r="GQ74" s="211"/>
      <c r="GR74" s="211"/>
      <c r="GS74" s="211"/>
      <c r="GT74" s="211"/>
      <c r="GU74" s="233"/>
      <c r="GV74" s="12"/>
      <c r="GW74" s="211"/>
      <c r="GX74" s="211"/>
      <c r="GY74" s="211"/>
      <c r="GZ74" s="211"/>
      <c r="HA74" s="211"/>
      <c r="HB74" s="211"/>
      <c r="HC74" s="211"/>
      <c r="HD74" s="211"/>
      <c r="HE74" s="211"/>
      <c r="HF74" s="211"/>
      <c r="HG74" s="211"/>
      <c r="HH74" s="211"/>
      <c r="HI74" s="211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6"/>
      <c r="M75" s="66"/>
      <c r="N75" s="66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6"/>
      <c r="M76" s="1020" t="s">
        <v>287</v>
      </c>
      <c r="N76" s="1020"/>
      <c r="O76" s="1020"/>
      <c r="P76" s="1020"/>
      <c r="Q76" s="1020"/>
      <c r="R76" s="1020"/>
      <c r="S76" s="1020"/>
      <c r="T76" s="1020"/>
      <c r="U76" s="1020"/>
      <c r="V76" s="1020"/>
      <c r="W76" s="1020"/>
      <c r="X76" s="1020"/>
      <c r="Y76" s="1020"/>
      <c r="Z76" s="1020"/>
      <c r="AA76" s="1020"/>
      <c r="AB76" s="1020"/>
      <c r="AC76" s="1020"/>
      <c r="AD76" s="1020"/>
      <c r="AE76" s="1020"/>
      <c r="AF76" s="1020"/>
      <c r="AG76" s="1020"/>
      <c r="AH76" s="1020"/>
      <c r="AI76" s="1020"/>
      <c r="AJ76" s="1020"/>
      <c r="AK76" s="1020"/>
      <c r="AL76" s="1020"/>
      <c r="AM76" s="1020"/>
      <c r="AN76" s="1020"/>
      <c r="AO76" s="1020"/>
      <c r="AP76" s="1020"/>
      <c r="AQ76" s="1020"/>
      <c r="AR76" s="1020"/>
      <c r="AS76" s="1020"/>
      <c r="AT76" s="1020"/>
      <c r="AU76" s="1020"/>
      <c r="AV76" s="1020"/>
      <c r="AW76" s="1020"/>
      <c r="AX76" s="1020"/>
      <c r="AY76" s="1020"/>
      <c r="AZ76" s="1020"/>
      <c r="BA76" s="1020"/>
      <c r="BB76" s="1020"/>
      <c r="BC76" s="1020"/>
      <c r="BD76" s="1020"/>
      <c r="BE76" s="1020"/>
      <c r="BF76" s="1020"/>
      <c r="BG76" s="1020"/>
      <c r="BH76" s="1020"/>
      <c r="BI76" s="1020"/>
      <c r="BJ76" s="1020"/>
      <c r="BK76" s="1020"/>
      <c r="BL76" s="1020"/>
      <c r="BM76" s="1020"/>
      <c r="BN76" s="1020"/>
      <c r="BO76" s="1020"/>
      <c r="BP76" s="1020"/>
      <c r="BQ76" s="1020"/>
      <c r="BR76" s="1020"/>
      <c r="BS76" s="1020"/>
      <c r="BT76" s="1020"/>
      <c r="BU76" s="1020"/>
      <c r="BV76" s="1020"/>
      <c r="BW76" s="1020"/>
      <c r="BX76" s="1020"/>
      <c r="BY76" s="1020"/>
      <c r="BZ76" s="1020"/>
      <c r="CA76" s="1020"/>
      <c r="CB76" s="1020"/>
      <c r="CC76" s="1020"/>
      <c r="CD76" s="1020"/>
      <c r="CE76" s="1020"/>
      <c r="CF76" s="1020"/>
      <c r="CG76" s="1020"/>
      <c r="CH76" s="1020"/>
      <c r="CI76" s="1020"/>
      <c r="CJ76" s="1020"/>
      <c r="CK76" s="1020"/>
      <c r="CL76" s="1020"/>
      <c r="CM76" s="1020"/>
      <c r="CN76" s="1020"/>
      <c r="CO76" s="1020"/>
      <c r="CP76" s="1020"/>
      <c r="CQ76" s="1020"/>
      <c r="CR76" s="1020"/>
      <c r="CS76" s="1020"/>
      <c r="CT76" s="1020"/>
      <c r="CU76" s="1020"/>
      <c r="CV76" s="1020"/>
      <c r="CW76" s="1020"/>
      <c r="CX76" s="1020"/>
      <c r="CY76" s="1020"/>
      <c r="CZ76" s="1020"/>
      <c r="DA76" s="1020"/>
      <c r="DB76" s="1020"/>
      <c r="DC76" s="1020"/>
      <c r="DD76" s="1020"/>
      <c r="DE76" s="1020"/>
      <c r="DF76" s="1020"/>
      <c r="DG76" s="1020"/>
      <c r="DH76" s="1020"/>
      <c r="DI76" s="1020"/>
      <c r="DJ76" s="1020"/>
      <c r="DK76" s="1020"/>
      <c r="DL76" s="1020"/>
      <c r="DM76" s="1020"/>
      <c r="DN76" s="1020"/>
      <c r="DO76" s="1020"/>
      <c r="DP76" s="1020"/>
      <c r="DQ76" s="1020"/>
      <c r="DR76" s="73"/>
      <c r="DS76" s="73"/>
      <c r="DT76" s="71"/>
      <c r="DU76" s="71"/>
      <c r="DV76" s="71"/>
      <c r="DW76" s="71"/>
      <c r="DX76" s="71"/>
      <c r="DY76" s="71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6"/>
      <c r="M77" s="1020"/>
      <c r="N77" s="1020"/>
      <c r="O77" s="1020"/>
      <c r="P77" s="1020"/>
      <c r="Q77" s="1020"/>
      <c r="R77" s="1020"/>
      <c r="S77" s="1020"/>
      <c r="T77" s="1020"/>
      <c r="U77" s="1020"/>
      <c r="V77" s="1020"/>
      <c r="W77" s="1020"/>
      <c r="X77" s="1020"/>
      <c r="Y77" s="1020"/>
      <c r="Z77" s="1020"/>
      <c r="AA77" s="1020"/>
      <c r="AB77" s="1020"/>
      <c r="AC77" s="1020"/>
      <c r="AD77" s="1020"/>
      <c r="AE77" s="1020"/>
      <c r="AF77" s="1020"/>
      <c r="AG77" s="1020"/>
      <c r="AH77" s="1020"/>
      <c r="AI77" s="1020"/>
      <c r="AJ77" s="1020"/>
      <c r="AK77" s="1020"/>
      <c r="AL77" s="1020"/>
      <c r="AM77" s="1020"/>
      <c r="AN77" s="1020"/>
      <c r="AO77" s="1020"/>
      <c r="AP77" s="1020"/>
      <c r="AQ77" s="1020"/>
      <c r="AR77" s="1020"/>
      <c r="AS77" s="1020"/>
      <c r="AT77" s="1020"/>
      <c r="AU77" s="1020"/>
      <c r="AV77" s="1020"/>
      <c r="AW77" s="1020"/>
      <c r="AX77" s="1020"/>
      <c r="AY77" s="1020"/>
      <c r="AZ77" s="1020"/>
      <c r="BA77" s="1020"/>
      <c r="BB77" s="1020"/>
      <c r="BC77" s="1020"/>
      <c r="BD77" s="1020"/>
      <c r="BE77" s="1020"/>
      <c r="BF77" s="1020"/>
      <c r="BG77" s="1020"/>
      <c r="BH77" s="1020"/>
      <c r="BI77" s="1020"/>
      <c r="BJ77" s="1020"/>
      <c r="BK77" s="1020"/>
      <c r="BL77" s="1020"/>
      <c r="BM77" s="1020"/>
      <c r="BN77" s="1020"/>
      <c r="BO77" s="1020"/>
      <c r="BP77" s="1020"/>
      <c r="BQ77" s="1020"/>
      <c r="BR77" s="1020"/>
      <c r="BS77" s="1020"/>
      <c r="BT77" s="1020"/>
      <c r="BU77" s="1020"/>
      <c r="BV77" s="1020"/>
      <c r="BW77" s="1020"/>
      <c r="BX77" s="1020"/>
      <c r="BY77" s="1020"/>
      <c r="BZ77" s="1020"/>
      <c r="CA77" s="1020"/>
      <c r="CB77" s="1020"/>
      <c r="CC77" s="1020"/>
      <c r="CD77" s="1020"/>
      <c r="CE77" s="1020"/>
      <c r="CF77" s="1020"/>
      <c r="CG77" s="1020"/>
      <c r="CH77" s="1020"/>
      <c r="CI77" s="1020"/>
      <c r="CJ77" s="1020"/>
      <c r="CK77" s="1020"/>
      <c r="CL77" s="1020"/>
      <c r="CM77" s="1020"/>
      <c r="CN77" s="1020"/>
      <c r="CO77" s="1020"/>
      <c r="CP77" s="1020"/>
      <c r="CQ77" s="1020"/>
      <c r="CR77" s="1020"/>
      <c r="CS77" s="1020"/>
      <c r="CT77" s="1020"/>
      <c r="CU77" s="1020"/>
      <c r="CV77" s="1020"/>
      <c r="CW77" s="1020"/>
      <c r="CX77" s="1020"/>
      <c r="CY77" s="1020"/>
      <c r="CZ77" s="1020"/>
      <c r="DA77" s="1020"/>
      <c r="DB77" s="1020"/>
      <c r="DC77" s="1020"/>
      <c r="DD77" s="1020"/>
      <c r="DE77" s="1020"/>
      <c r="DF77" s="1020"/>
      <c r="DG77" s="1020"/>
      <c r="DH77" s="1020"/>
      <c r="DI77" s="1020"/>
      <c r="DJ77" s="1020"/>
      <c r="DK77" s="1020"/>
      <c r="DL77" s="1020"/>
      <c r="DM77" s="1020"/>
      <c r="DN77" s="1020"/>
      <c r="DO77" s="1020"/>
      <c r="DP77" s="1020"/>
      <c r="DQ77" s="1020"/>
      <c r="DR77" s="73"/>
      <c r="DS77" s="73"/>
      <c r="DT77" s="71"/>
      <c r="DU77" s="71"/>
      <c r="DV77" s="71"/>
      <c r="DW77" s="71"/>
      <c r="DX77" s="71"/>
      <c r="DY77" s="71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6"/>
      <c r="M78" s="1020"/>
      <c r="N78" s="1020"/>
      <c r="O78" s="1020"/>
      <c r="P78" s="1020"/>
      <c r="Q78" s="1020"/>
      <c r="R78" s="1020"/>
      <c r="S78" s="1020"/>
      <c r="T78" s="1020"/>
      <c r="U78" s="1020"/>
      <c r="V78" s="1020"/>
      <c r="W78" s="1020"/>
      <c r="X78" s="1020"/>
      <c r="Y78" s="1020"/>
      <c r="Z78" s="1020"/>
      <c r="AA78" s="1020"/>
      <c r="AB78" s="1020"/>
      <c r="AC78" s="1020"/>
      <c r="AD78" s="1020"/>
      <c r="AE78" s="1020"/>
      <c r="AF78" s="1020"/>
      <c r="AG78" s="1020"/>
      <c r="AH78" s="1020"/>
      <c r="AI78" s="1020"/>
      <c r="AJ78" s="1020"/>
      <c r="AK78" s="1020"/>
      <c r="AL78" s="1020"/>
      <c r="AM78" s="1020"/>
      <c r="AN78" s="1020"/>
      <c r="AO78" s="1020"/>
      <c r="AP78" s="1020"/>
      <c r="AQ78" s="1020"/>
      <c r="AR78" s="1020"/>
      <c r="AS78" s="1020"/>
      <c r="AT78" s="1020"/>
      <c r="AU78" s="1020"/>
      <c r="AV78" s="1020"/>
      <c r="AW78" s="1020"/>
      <c r="AX78" s="1020"/>
      <c r="AY78" s="1020"/>
      <c r="AZ78" s="1020"/>
      <c r="BA78" s="1020"/>
      <c r="BB78" s="1020"/>
      <c r="BC78" s="1020"/>
      <c r="BD78" s="1020"/>
      <c r="BE78" s="1020"/>
      <c r="BF78" s="1020"/>
      <c r="BG78" s="1020"/>
      <c r="BH78" s="1020"/>
      <c r="BI78" s="1020"/>
      <c r="BJ78" s="1020"/>
      <c r="BK78" s="1020"/>
      <c r="BL78" s="1020"/>
      <c r="BM78" s="1020"/>
      <c r="BN78" s="1020"/>
      <c r="BO78" s="1020"/>
      <c r="BP78" s="1020"/>
      <c r="BQ78" s="1020"/>
      <c r="BR78" s="1020"/>
      <c r="BS78" s="1020"/>
      <c r="BT78" s="1020"/>
      <c r="BU78" s="1020"/>
      <c r="BV78" s="1020"/>
      <c r="BW78" s="1020"/>
      <c r="BX78" s="1020"/>
      <c r="BY78" s="1020"/>
      <c r="BZ78" s="1020"/>
      <c r="CA78" s="1020"/>
      <c r="CB78" s="1020"/>
      <c r="CC78" s="1020"/>
      <c r="CD78" s="1020"/>
      <c r="CE78" s="1020"/>
      <c r="CF78" s="1020"/>
      <c r="CG78" s="1020"/>
      <c r="CH78" s="1020"/>
      <c r="CI78" s="1020"/>
      <c r="CJ78" s="1020"/>
      <c r="CK78" s="1020"/>
      <c r="CL78" s="1020"/>
      <c r="CM78" s="1020"/>
      <c r="CN78" s="1020"/>
      <c r="CO78" s="1020"/>
      <c r="CP78" s="1020"/>
      <c r="CQ78" s="1020"/>
      <c r="CR78" s="1020"/>
      <c r="CS78" s="1020"/>
      <c r="CT78" s="1020"/>
      <c r="CU78" s="1020"/>
      <c r="CV78" s="1020"/>
      <c r="CW78" s="1020"/>
      <c r="CX78" s="1020"/>
      <c r="CY78" s="1020"/>
      <c r="CZ78" s="1020"/>
      <c r="DA78" s="1020"/>
      <c r="DB78" s="1020"/>
      <c r="DC78" s="1020"/>
      <c r="DD78" s="1020"/>
      <c r="DE78" s="1020"/>
      <c r="DF78" s="1020"/>
      <c r="DG78" s="1020"/>
      <c r="DH78" s="1020"/>
      <c r="DI78" s="1020"/>
      <c r="DJ78" s="1020"/>
      <c r="DK78" s="1020"/>
      <c r="DL78" s="1020"/>
      <c r="DM78" s="1020"/>
      <c r="DN78" s="1020"/>
      <c r="DO78" s="1020"/>
      <c r="DP78" s="1020"/>
      <c r="DQ78" s="1020"/>
      <c r="DR78" s="73"/>
      <c r="DS78" s="73"/>
      <c r="DT78" s="71"/>
      <c r="DU78" s="71"/>
      <c r="DV78" s="71"/>
      <c r="DW78" s="71"/>
      <c r="DX78" s="71"/>
      <c r="DY78" s="71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6"/>
      <c r="M79" s="1020"/>
      <c r="N79" s="1020"/>
      <c r="O79" s="1020"/>
      <c r="P79" s="1020"/>
      <c r="Q79" s="1020"/>
      <c r="R79" s="1020"/>
      <c r="S79" s="1020"/>
      <c r="T79" s="1020"/>
      <c r="U79" s="1020"/>
      <c r="V79" s="1020"/>
      <c r="W79" s="1020"/>
      <c r="X79" s="1020"/>
      <c r="Y79" s="1020"/>
      <c r="Z79" s="1020"/>
      <c r="AA79" s="1020"/>
      <c r="AB79" s="1020"/>
      <c r="AC79" s="1020"/>
      <c r="AD79" s="1020"/>
      <c r="AE79" s="1020"/>
      <c r="AF79" s="1020"/>
      <c r="AG79" s="1020"/>
      <c r="AH79" s="1020"/>
      <c r="AI79" s="1020"/>
      <c r="AJ79" s="1020"/>
      <c r="AK79" s="1020"/>
      <c r="AL79" s="1020"/>
      <c r="AM79" s="1020"/>
      <c r="AN79" s="1020"/>
      <c r="AO79" s="1020"/>
      <c r="AP79" s="1020"/>
      <c r="AQ79" s="1020"/>
      <c r="AR79" s="1020"/>
      <c r="AS79" s="1020"/>
      <c r="AT79" s="1020"/>
      <c r="AU79" s="1020"/>
      <c r="AV79" s="1020"/>
      <c r="AW79" s="1020"/>
      <c r="AX79" s="1020"/>
      <c r="AY79" s="1020"/>
      <c r="AZ79" s="1020"/>
      <c r="BA79" s="1020"/>
      <c r="BB79" s="1020"/>
      <c r="BC79" s="1020"/>
      <c r="BD79" s="1020"/>
      <c r="BE79" s="1020"/>
      <c r="BF79" s="1020"/>
      <c r="BG79" s="1020"/>
      <c r="BH79" s="1020"/>
      <c r="BI79" s="1020"/>
      <c r="BJ79" s="1020"/>
      <c r="BK79" s="1020"/>
      <c r="BL79" s="1020"/>
      <c r="BM79" s="1020"/>
      <c r="BN79" s="1020"/>
      <c r="BO79" s="1020"/>
      <c r="BP79" s="1020"/>
      <c r="BQ79" s="1020"/>
      <c r="BR79" s="1020"/>
      <c r="BS79" s="1020"/>
      <c r="BT79" s="1020"/>
      <c r="BU79" s="1020"/>
      <c r="BV79" s="1020"/>
      <c r="BW79" s="1020"/>
      <c r="BX79" s="1020"/>
      <c r="BY79" s="1020"/>
      <c r="BZ79" s="1020"/>
      <c r="CA79" s="1020"/>
      <c r="CB79" s="1020"/>
      <c r="CC79" s="1020"/>
      <c r="CD79" s="1020"/>
      <c r="CE79" s="1020"/>
      <c r="CF79" s="1020"/>
      <c r="CG79" s="1020"/>
      <c r="CH79" s="1020"/>
      <c r="CI79" s="1020"/>
      <c r="CJ79" s="1020"/>
      <c r="CK79" s="1020"/>
      <c r="CL79" s="1020"/>
      <c r="CM79" s="1020"/>
      <c r="CN79" s="1020"/>
      <c r="CO79" s="1020"/>
      <c r="CP79" s="1020"/>
      <c r="CQ79" s="1020"/>
      <c r="CR79" s="1020"/>
      <c r="CS79" s="1020"/>
      <c r="CT79" s="1020"/>
      <c r="CU79" s="1020"/>
      <c r="CV79" s="1020"/>
      <c r="CW79" s="1020"/>
      <c r="CX79" s="1020"/>
      <c r="CY79" s="1020"/>
      <c r="CZ79" s="1020"/>
      <c r="DA79" s="1020"/>
      <c r="DB79" s="1020"/>
      <c r="DC79" s="1020"/>
      <c r="DD79" s="1020"/>
      <c r="DE79" s="1020"/>
      <c r="DF79" s="1020"/>
      <c r="DG79" s="1020"/>
      <c r="DH79" s="1020"/>
      <c r="DI79" s="1020"/>
      <c r="DJ79" s="1020"/>
      <c r="DK79" s="1020"/>
      <c r="DL79" s="1020"/>
      <c r="DM79" s="1020"/>
      <c r="DN79" s="1020"/>
      <c r="DO79" s="1020"/>
      <c r="DP79" s="1020"/>
      <c r="DQ79" s="1020"/>
      <c r="DR79" s="73"/>
      <c r="DS79" s="73"/>
      <c r="DT79" s="71"/>
      <c r="DU79" s="71"/>
      <c r="DV79" s="71"/>
      <c r="DW79" s="71"/>
      <c r="DX79" s="71"/>
      <c r="DY79" s="71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6"/>
      <c r="M80" s="1020"/>
      <c r="N80" s="1020"/>
      <c r="O80" s="1020"/>
      <c r="P80" s="1020"/>
      <c r="Q80" s="1020"/>
      <c r="R80" s="1020"/>
      <c r="S80" s="1020"/>
      <c r="T80" s="1020"/>
      <c r="U80" s="1020"/>
      <c r="V80" s="1020"/>
      <c r="W80" s="1020"/>
      <c r="X80" s="1020"/>
      <c r="Y80" s="1020"/>
      <c r="Z80" s="1020"/>
      <c r="AA80" s="1020"/>
      <c r="AB80" s="1020"/>
      <c r="AC80" s="1020"/>
      <c r="AD80" s="1020"/>
      <c r="AE80" s="1020"/>
      <c r="AF80" s="1020"/>
      <c r="AG80" s="1020"/>
      <c r="AH80" s="1020"/>
      <c r="AI80" s="1020"/>
      <c r="AJ80" s="1020"/>
      <c r="AK80" s="1020"/>
      <c r="AL80" s="1020"/>
      <c r="AM80" s="1020"/>
      <c r="AN80" s="1020"/>
      <c r="AO80" s="1020"/>
      <c r="AP80" s="1020"/>
      <c r="AQ80" s="1020"/>
      <c r="AR80" s="1020"/>
      <c r="AS80" s="1020"/>
      <c r="AT80" s="1020"/>
      <c r="AU80" s="1020"/>
      <c r="AV80" s="1020"/>
      <c r="AW80" s="1020"/>
      <c r="AX80" s="1020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0"/>
      <c r="BP80" s="1020"/>
      <c r="BQ80" s="1020"/>
      <c r="BR80" s="1020"/>
      <c r="BS80" s="1020"/>
      <c r="BT80" s="1020"/>
      <c r="BU80" s="1020"/>
      <c r="BV80" s="1020"/>
      <c r="BW80" s="1020"/>
      <c r="BX80" s="1020"/>
      <c r="BY80" s="1020"/>
      <c r="BZ80" s="1020"/>
      <c r="CA80" s="1020"/>
      <c r="CB80" s="1020"/>
      <c r="CC80" s="1020"/>
      <c r="CD80" s="1020"/>
      <c r="CE80" s="1020"/>
      <c r="CF80" s="1020"/>
      <c r="CG80" s="1020"/>
      <c r="CH80" s="1020"/>
      <c r="CI80" s="1020"/>
      <c r="CJ80" s="1020"/>
      <c r="CK80" s="1020"/>
      <c r="CL80" s="1020"/>
      <c r="CM80" s="1020"/>
      <c r="CN80" s="1020"/>
      <c r="CO80" s="1020"/>
      <c r="CP80" s="1020"/>
      <c r="CQ80" s="1020"/>
      <c r="CR80" s="1020"/>
      <c r="CS80" s="1020"/>
      <c r="CT80" s="1020"/>
      <c r="CU80" s="1020"/>
      <c r="CV80" s="1020"/>
      <c r="CW80" s="1020"/>
      <c r="CX80" s="1020"/>
      <c r="CY80" s="1020"/>
      <c r="CZ80" s="1020"/>
      <c r="DA80" s="1020"/>
      <c r="DB80" s="1020"/>
      <c r="DC80" s="1020"/>
      <c r="DD80" s="1020"/>
      <c r="DE80" s="1020"/>
      <c r="DF80" s="1020"/>
      <c r="DG80" s="1020"/>
      <c r="DH80" s="1020"/>
      <c r="DI80" s="1020"/>
      <c r="DJ80" s="1020"/>
      <c r="DK80" s="1020"/>
      <c r="DL80" s="1020"/>
      <c r="DM80" s="1020"/>
      <c r="DN80" s="1020"/>
      <c r="DO80" s="1020"/>
      <c r="DP80" s="1020"/>
      <c r="DQ80" s="1020"/>
      <c r="DR80" s="73"/>
      <c r="DS80" s="73"/>
      <c r="DT80" s="71"/>
      <c r="DU80" s="71"/>
      <c r="DV80" s="71"/>
      <c r="DW80" s="71"/>
      <c r="DX80" s="71"/>
      <c r="DY80" s="71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6"/>
      <c r="M81" s="1020"/>
      <c r="N81" s="1020"/>
      <c r="O81" s="1020"/>
      <c r="P81" s="1020"/>
      <c r="Q81" s="1020"/>
      <c r="R81" s="1020"/>
      <c r="S81" s="1020"/>
      <c r="T81" s="1020"/>
      <c r="U81" s="1020"/>
      <c r="V81" s="1020"/>
      <c r="W81" s="1020"/>
      <c r="X81" s="1020"/>
      <c r="Y81" s="1020"/>
      <c r="Z81" s="1020"/>
      <c r="AA81" s="1020"/>
      <c r="AB81" s="1020"/>
      <c r="AC81" s="1020"/>
      <c r="AD81" s="1020"/>
      <c r="AE81" s="1020"/>
      <c r="AF81" s="1020"/>
      <c r="AG81" s="1020"/>
      <c r="AH81" s="1020"/>
      <c r="AI81" s="1020"/>
      <c r="AJ81" s="1020"/>
      <c r="AK81" s="1020"/>
      <c r="AL81" s="1020"/>
      <c r="AM81" s="1020"/>
      <c r="AN81" s="1020"/>
      <c r="AO81" s="1020"/>
      <c r="AP81" s="1020"/>
      <c r="AQ81" s="1020"/>
      <c r="AR81" s="1020"/>
      <c r="AS81" s="1020"/>
      <c r="AT81" s="1020"/>
      <c r="AU81" s="1020"/>
      <c r="AV81" s="1020"/>
      <c r="AW81" s="1020"/>
      <c r="AX81" s="1020"/>
      <c r="AY81" s="1020"/>
      <c r="AZ81" s="1020"/>
      <c r="BA81" s="1020"/>
      <c r="BB81" s="1020"/>
      <c r="BC81" s="1020"/>
      <c r="BD81" s="1020"/>
      <c r="BE81" s="1020"/>
      <c r="BF81" s="1020"/>
      <c r="BG81" s="1020"/>
      <c r="BH81" s="1020"/>
      <c r="BI81" s="1020"/>
      <c r="BJ81" s="1020"/>
      <c r="BK81" s="1020"/>
      <c r="BL81" s="1020"/>
      <c r="BM81" s="1020"/>
      <c r="BN81" s="1020"/>
      <c r="BO81" s="1020"/>
      <c r="BP81" s="1020"/>
      <c r="BQ81" s="1020"/>
      <c r="BR81" s="1020"/>
      <c r="BS81" s="1020"/>
      <c r="BT81" s="1020"/>
      <c r="BU81" s="1020"/>
      <c r="BV81" s="1020"/>
      <c r="BW81" s="1020"/>
      <c r="BX81" s="1020"/>
      <c r="BY81" s="1020"/>
      <c r="BZ81" s="1020"/>
      <c r="CA81" s="1020"/>
      <c r="CB81" s="1020"/>
      <c r="CC81" s="1020"/>
      <c r="CD81" s="1020"/>
      <c r="CE81" s="1020"/>
      <c r="CF81" s="1020"/>
      <c r="CG81" s="1020"/>
      <c r="CH81" s="1020"/>
      <c r="CI81" s="1020"/>
      <c r="CJ81" s="1020"/>
      <c r="CK81" s="1020"/>
      <c r="CL81" s="1020"/>
      <c r="CM81" s="1020"/>
      <c r="CN81" s="1020"/>
      <c r="CO81" s="1020"/>
      <c r="CP81" s="1020"/>
      <c r="CQ81" s="1020"/>
      <c r="CR81" s="1020"/>
      <c r="CS81" s="1020"/>
      <c r="CT81" s="1020"/>
      <c r="CU81" s="1020"/>
      <c r="CV81" s="1020"/>
      <c r="CW81" s="1020"/>
      <c r="CX81" s="1020"/>
      <c r="CY81" s="1020"/>
      <c r="CZ81" s="1020"/>
      <c r="DA81" s="1020"/>
      <c r="DB81" s="1020"/>
      <c r="DC81" s="1020"/>
      <c r="DD81" s="1020"/>
      <c r="DE81" s="1020"/>
      <c r="DF81" s="1020"/>
      <c r="DG81" s="1020"/>
      <c r="DH81" s="1020"/>
      <c r="DI81" s="1020"/>
      <c r="DJ81" s="1020"/>
      <c r="DK81" s="1020"/>
      <c r="DL81" s="1020"/>
      <c r="DM81" s="1020"/>
      <c r="DN81" s="1020"/>
      <c r="DO81" s="1020"/>
      <c r="DP81" s="1020"/>
      <c r="DQ81" s="1020"/>
      <c r="DR81" s="73"/>
      <c r="DS81" s="73"/>
      <c r="DT81" s="71"/>
      <c r="DU81" s="71"/>
      <c r="DV81" s="71"/>
      <c r="DW81" s="71"/>
      <c r="DX81" s="71"/>
      <c r="DY81" s="71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6"/>
      <c r="M82" s="1020"/>
      <c r="N82" s="1020"/>
      <c r="O82" s="1020"/>
      <c r="P82" s="1020"/>
      <c r="Q82" s="1020"/>
      <c r="R82" s="1020"/>
      <c r="S82" s="1020"/>
      <c r="T82" s="1020"/>
      <c r="U82" s="1020"/>
      <c r="V82" s="1020"/>
      <c r="W82" s="1020"/>
      <c r="X82" s="1020"/>
      <c r="Y82" s="1020"/>
      <c r="Z82" s="1020"/>
      <c r="AA82" s="1020"/>
      <c r="AB82" s="1020"/>
      <c r="AC82" s="1020"/>
      <c r="AD82" s="1020"/>
      <c r="AE82" s="1020"/>
      <c r="AF82" s="1020"/>
      <c r="AG82" s="1020"/>
      <c r="AH82" s="1020"/>
      <c r="AI82" s="1020"/>
      <c r="AJ82" s="1020"/>
      <c r="AK82" s="1020"/>
      <c r="AL82" s="1020"/>
      <c r="AM82" s="1020"/>
      <c r="AN82" s="1020"/>
      <c r="AO82" s="1020"/>
      <c r="AP82" s="1020"/>
      <c r="AQ82" s="1020"/>
      <c r="AR82" s="1020"/>
      <c r="AS82" s="1020"/>
      <c r="AT82" s="1020"/>
      <c r="AU82" s="1020"/>
      <c r="AV82" s="1020"/>
      <c r="AW82" s="1020"/>
      <c r="AX82" s="1020"/>
      <c r="AY82" s="1020"/>
      <c r="AZ82" s="1020"/>
      <c r="BA82" s="1020"/>
      <c r="BB82" s="1020"/>
      <c r="BC82" s="1020"/>
      <c r="BD82" s="1020"/>
      <c r="BE82" s="1020"/>
      <c r="BF82" s="1020"/>
      <c r="BG82" s="1020"/>
      <c r="BH82" s="1020"/>
      <c r="BI82" s="1020"/>
      <c r="BJ82" s="1020"/>
      <c r="BK82" s="1020"/>
      <c r="BL82" s="1020"/>
      <c r="BM82" s="1020"/>
      <c r="BN82" s="1020"/>
      <c r="BO82" s="1020"/>
      <c r="BP82" s="1020"/>
      <c r="BQ82" s="1020"/>
      <c r="BR82" s="1020"/>
      <c r="BS82" s="1020"/>
      <c r="BT82" s="1020"/>
      <c r="BU82" s="1020"/>
      <c r="BV82" s="1020"/>
      <c r="BW82" s="1020"/>
      <c r="BX82" s="1020"/>
      <c r="BY82" s="1020"/>
      <c r="BZ82" s="1020"/>
      <c r="CA82" s="1020"/>
      <c r="CB82" s="1020"/>
      <c r="CC82" s="1020"/>
      <c r="CD82" s="1020"/>
      <c r="CE82" s="1020"/>
      <c r="CF82" s="1020"/>
      <c r="CG82" s="1020"/>
      <c r="CH82" s="1020"/>
      <c r="CI82" s="1020"/>
      <c r="CJ82" s="1020"/>
      <c r="CK82" s="1020"/>
      <c r="CL82" s="1020"/>
      <c r="CM82" s="1020"/>
      <c r="CN82" s="1020"/>
      <c r="CO82" s="1020"/>
      <c r="CP82" s="1020"/>
      <c r="CQ82" s="1020"/>
      <c r="CR82" s="1020"/>
      <c r="CS82" s="1020"/>
      <c r="CT82" s="1020"/>
      <c r="CU82" s="1020"/>
      <c r="CV82" s="1020"/>
      <c r="CW82" s="1020"/>
      <c r="CX82" s="1020"/>
      <c r="CY82" s="1020"/>
      <c r="CZ82" s="1020"/>
      <c r="DA82" s="1020"/>
      <c r="DB82" s="1020"/>
      <c r="DC82" s="1020"/>
      <c r="DD82" s="1020"/>
      <c r="DE82" s="1020"/>
      <c r="DF82" s="1020"/>
      <c r="DG82" s="1020"/>
      <c r="DH82" s="1020"/>
      <c r="DI82" s="1020"/>
      <c r="DJ82" s="1020"/>
      <c r="DK82" s="1020"/>
      <c r="DL82" s="1020"/>
      <c r="DM82" s="1020"/>
      <c r="DN82" s="1020"/>
      <c r="DO82" s="1020"/>
      <c r="DP82" s="1020"/>
      <c r="DQ82" s="1020"/>
      <c r="DR82" s="73"/>
      <c r="DS82" s="73"/>
      <c r="DT82" s="71"/>
      <c r="DU82" s="71"/>
      <c r="DV82" s="71"/>
      <c r="DW82" s="71"/>
      <c r="DX82" s="71"/>
      <c r="DY82" s="71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6"/>
      <c r="M83" s="66"/>
      <c r="N83" s="66"/>
      <c r="O83" s="66"/>
      <c r="P83" s="67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8"/>
      <c r="AH83" s="66"/>
      <c r="AI83" s="66"/>
      <c r="AJ83" s="66"/>
      <c r="AK83" s="67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66"/>
      <c r="BE83" s="66"/>
      <c r="BF83" s="66"/>
      <c r="BG83" s="66"/>
      <c r="BH83" s="66"/>
      <c r="BI83" s="66"/>
      <c r="BJ83" s="66"/>
      <c r="BK83" s="66"/>
      <c r="BL83" s="66"/>
      <c r="BM83" s="66"/>
      <c r="BN83" s="66"/>
      <c r="BO83" s="66"/>
      <c r="BP83" s="66"/>
      <c r="BQ83" s="66"/>
      <c r="BR83" s="66"/>
      <c r="BS83" s="66"/>
      <c r="BT83" s="66"/>
      <c r="BU83" s="66"/>
      <c r="BV83" s="66"/>
      <c r="BW83" s="66"/>
      <c r="BX83" s="66"/>
      <c r="BY83" s="66"/>
      <c r="BZ83" s="66"/>
      <c r="CA83" s="66"/>
      <c r="CB83" s="66"/>
      <c r="CC83" s="66"/>
      <c r="CD83" s="66"/>
      <c r="CE83" s="66"/>
      <c r="CF83" s="66"/>
      <c r="CG83" s="66"/>
      <c r="CH83" s="68"/>
      <c r="CI83" s="69"/>
      <c r="CJ83" s="69"/>
      <c r="CK83" s="69"/>
      <c r="CL83" s="69"/>
      <c r="CM83" s="67"/>
      <c r="CN83" s="69"/>
      <c r="CO83" s="69"/>
      <c r="CP83" s="69"/>
      <c r="CQ83" s="69"/>
      <c r="CR83" s="69"/>
      <c r="CS83" s="69"/>
      <c r="CT83" s="67"/>
      <c r="CU83" s="69"/>
      <c r="CV83" s="69"/>
      <c r="CW83" s="69"/>
      <c r="CX83" s="69"/>
      <c r="CY83" s="69"/>
      <c r="CZ83" s="67"/>
      <c r="DA83" s="70"/>
      <c r="DB83" s="70"/>
      <c r="DC83" s="70"/>
      <c r="DD83" s="70"/>
      <c r="DE83" s="70"/>
      <c r="DF83" s="68"/>
      <c r="DG83" s="71"/>
      <c r="DH83" s="71"/>
      <c r="DI83" s="71"/>
      <c r="DJ83" s="71"/>
      <c r="DK83" s="71"/>
      <c r="DL83" s="71"/>
      <c r="DM83" s="71"/>
      <c r="DN83" s="72"/>
      <c r="DO83" s="73"/>
      <c r="DP83" s="73"/>
      <c r="DQ83" s="73"/>
      <c r="DR83" s="73"/>
      <c r="DS83" s="73"/>
      <c r="DT83" s="71"/>
      <c r="DU83" s="71"/>
      <c r="DV83" s="71"/>
      <c r="DW83" s="71"/>
      <c r="DX83" s="71"/>
      <c r="DY83" s="71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6"/>
      <c r="M84" s="66"/>
      <c r="N84" s="66"/>
      <c r="O84" s="66"/>
      <c r="P84" s="67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8"/>
      <c r="AH84" s="66"/>
      <c r="AI84" s="66"/>
      <c r="AJ84" s="66"/>
      <c r="AK84" s="67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66"/>
      <c r="BE84" s="66"/>
      <c r="BF84" s="66"/>
      <c r="BG84" s="66"/>
      <c r="BH84" s="66"/>
      <c r="BI84" s="66"/>
      <c r="BJ84" s="66"/>
      <c r="BK84" s="66"/>
      <c r="BL84" s="66"/>
      <c r="BM84" s="66"/>
      <c r="BN84" s="66"/>
      <c r="BO84" s="66"/>
      <c r="BP84" s="66"/>
      <c r="BQ84" s="66"/>
      <c r="BR84" s="66"/>
      <c r="BS84" s="66"/>
      <c r="BT84" s="66"/>
      <c r="BU84" s="66"/>
      <c r="BV84" s="66"/>
      <c r="BW84" s="66"/>
      <c r="BX84" s="66"/>
      <c r="BY84" s="66"/>
      <c r="BZ84" s="66"/>
      <c r="CA84" s="66"/>
      <c r="CB84" s="66"/>
      <c r="CC84" s="66"/>
      <c r="CD84" s="66"/>
      <c r="CE84" s="66"/>
      <c r="CF84" s="66"/>
      <c r="CG84" s="66"/>
      <c r="CH84" s="68"/>
      <c r="CI84" s="69"/>
      <c r="CJ84" s="69"/>
      <c r="CK84" s="69"/>
      <c r="CL84" s="69"/>
      <c r="CM84" s="67"/>
      <c r="CN84" s="69"/>
      <c r="CO84" s="69"/>
      <c r="CP84" s="69"/>
      <c r="CQ84" s="69"/>
      <c r="CR84" s="69"/>
      <c r="CS84" s="69"/>
      <c r="CT84" s="67"/>
      <c r="CU84" s="69"/>
      <c r="CV84" s="69"/>
      <c r="CW84" s="69"/>
      <c r="CX84" s="69"/>
      <c r="CY84" s="69"/>
      <c r="CZ84" s="67"/>
      <c r="DA84" s="70"/>
      <c r="DB84" s="70"/>
      <c r="DC84" s="70"/>
      <c r="DD84" s="70"/>
      <c r="DE84" s="70"/>
      <c r="DF84" s="68"/>
      <c r="DG84" s="71"/>
      <c r="DH84" s="71"/>
      <c r="DI84" s="71"/>
      <c r="DJ84" s="71"/>
      <c r="DK84" s="71"/>
      <c r="DL84" s="71"/>
      <c r="DM84" s="71"/>
      <c r="DN84" s="72"/>
      <c r="DO84" s="73"/>
      <c r="DP84" s="73"/>
      <c r="DQ84" s="73"/>
      <c r="DR84" s="73"/>
      <c r="DS84" s="73"/>
      <c r="DT84" s="71"/>
      <c r="DU84" s="71"/>
      <c r="DV84" s="71"/>
      <c r="DW84" s="71"/>
      <c r="DX84" s="71"/>
      <c r="DY84" s="71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5"/>
      <c r="M85" s="55"/>
      <c r="N85" s="55"/>
      <c r="O85" s="55"/>
      <c r="P85" s="74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55"/>
      <c r="AE85" s="55"/>
      <c r="AF85" s="55"/>
      <c r="AG85" s="75"/>
      <c r="AH85" s="55"/>
      <c r="AI85" s="55"/>
      <c r="AJ85" s="55"/>
      <c r="AK85" s="74"/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55"/>
      <c r="BA85" s="55"/>
      <c r="BB85" s="55"/>
      <c r="BC85" s="55"/>
      <c r="BD85" s="55"/>
      <c r="BE85" s="55"/>
      <c r="BF85" s="55"/>
      <c r="BG85" s="55"/>
      <c r="BH85" s="55"/>
      <c r="BI85" s="55"/>
      <c r="BJ85" s="55"/>
      <c r="BK85" s="55"/>
      <c r="BL85" s="55"/>
      <c r="BM85" s="55"/>
      <c r="BN85" s="55"/>
      <c r="BO85" s="55"/>
      <c r="BP85" s="55"/>
      <c r="BQ85" s="55"/>
      <c r="BR85" s="55"/>
      <c r="BS85" s="55"/>
      <c r="BT85" s="55"/>
      <c r="BU85" s="55"/>
      <c r="BV85" s="55"/>
      <c r="BW85" s="55"/>
      <c r="BX85" s="55"/>
      <c r="BY85" s="55"/>
      <c r="BZ85" s="55"/>
      <c r="CA85" s="55"/>
      <c r="CB85" s="55"/>
      <c r="CC85" s="55"/>
      <c r="CD85" s="55"/>
      <c r="CE85" s="55"/>
      <c r="CF85" s="55"/>
      <c r="CG85" s="55"/>
      <c r="CH85" s="75"/>
      <c r="CI85" s="76"/>
      <c r="CJ85" s="76"/>
      <c r="CK85" s="76"/>
      <c r="CL85" s="76"/>
      <c r="CM85" s="74"/>
      <c r="CN85" s="76"/>
      <c r="CO85" s="76"/>
      <c r="CP85" s="76"/>
      <c r="CQ85" s="76"/>
      <c r="CR85" s="76"/>
      <c r="CS85" s="76"/>
      <c r="CT85" s="74"/>
      <c r="CU85" s="76"/>
      <c r="CV85" s="76"/>
      <c r="CW85" s="76"/>
      <c r="CX85" s="76"/>
      <c r="CY85" s="76"/>
      <c r="CZ85" s="74"/>
      <c r="DA85" s="77"/>
      <c r="DB85" s="77"/>
      <c r="DC85" s="77"/>
      <c r="DD85" s="77"/>
      <c r="DE85" s="77"/>
      <c r="DF85" s="75"/>
      <c r="DG85" s="78"/>
      <c r="DH85" s="78"/>
      <c r="DI85" s="78"/>
      <c r="DJ85" s="78"/>
      <c r="DK85" s="78"/>
      <c r="DL85" s="78"/>
      <c r="DM85" s="78"/>
      <c r="DN85" s="79"/>
      <c r="DO85" s="80"/>
      <c r="DP85" s="80"/>
      <c r="DQ85" s="80"/>
      <c r="DR85" s="80"/>
      <c r="DS85" s="80"/>
      <c r="DT85" s="78"/>
      <c r="DU85" s="78"/>
      <c r="DV85" s="78"/>
      <c r="DW85" s="78"/>
      <c r="DX85" s="78"/>
      <c r="DY85" s="78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5"/>
      <c r="M86" s="55"/>
      <c r="N86" s="55"/>
      <c r="O86" s="55"/>
      <c r="P86" s="74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55"/>
      <c r="AE86" s="55"/>
      <c r="AF86" s="55"/>
      <c r="AG86" s="75"/>
      <c r="AH86" s="55"/>
      <c r="AI86" s="55"/>
      <c r="AJ86" s="55"/>
      <c r="AK86" s="74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/>
      <c r="BB86" s="55"/>
      <c r="BC86" s="55"/>
      <c r="BD86" s="55"/>
      <c r="BE86" s="55"/>
      <c r="BF86" s="55"/>
      <c r="BG86" s="55"/>
      <c r="BH86" s="55"/>
      <c r="BI86" s="55"/>
      <c r="BJ86" s="55"/>
      <c r="BK86" s="55"/>
      <c r="BL86" s="55"/>
      <c r="BM86" s="55"/>
      <c r="BN86" s="55"/>
      <c r="BO86" s="55"/>
      <c r="BP86" s="55"/>
      <c r="BQ86" s="55"/>
      <c r="BR86" s="55"/>
      <c r="BS86" s="55"/>
      <c r="BT86" s="55"/>
      <c r="BU86" s="55"/>
      <c r="BV86" s="55"/>
      <c r="BW86" s="55"/>
      <c r="BX86" s="55"/>
      <c r="BY86" s="55"/>
      <c r="BZ86" s="55"/>
      <c r="CA86" s="55"/>
      <c r="CB86" s="55"/>
      <c r="CC86" s="55"/>
      <c r="CD86" s="55"/>
      <c r="CE86" s="55"/>
      <c r="CF86" s="55"/>
      <c r="CG86" s="55"/>
      <c r="CH86" s="75"/>
      <c r="CI86" s="76"/>
      <c r="CJ86" s="76"/>
      <c r="CK86" s="76"/>
      <c r="CL86" s="76"/>
      <c r="CM86" s="74"/>
      <c r="CN86" s="76"/>
      <c r="CO86" s="76"/>
      <c r="CP86" s="76"/>
      <c r="CQ86" s="76"/>
      <c r="CR86" s="76"/>
      <c r="CS86" s="76"/>
      <c r="CT86" s="74"/>
      <c r="CU86" s="76"/>
      <c r="CV86" s="76"/>
      <c r="CW86" s="76"/>
      <c r="CX86" s="76"/>
      <c r="CY86" s="76"/>
      <c r="CZ86" s="74"/>
      <c r="DA86" s="77"/>
      <c r="DB86" s="77"/>
      <c r="DC86" s="77"/>
      <c r="DD86" s="77"/>
      <c r="DE86" s="77"/>
      <c r="DF86" s="75"/>
      <c r="DG86" s="78"/>
      <c r="DH86" s="78"/>
      <c r="DI86" s="78"/>
      <c r="DJ86" s="78"/>
      <c r="DK86" s="78"/>
      <c r="DL86" s="78"/>
      <c r="DM86" s="78"/>
      <c r="DN86" s="79"/>
      <c r="DO86" s="80"/>
      <c r="DP86" s="80"/>
      <c r="DQ86" s="80"/>
      <c r="DR86" s="80"/>
      <c r="DS86" s="80"/>
      <c r="DT86" s="78"/>
      <c r="DU86" s="78"/>
      <c r="DV86" s="78"/>
      <c r="DW86" s="78"/>
      <c r="DX86" s="78"/>
      <c r="DY86" s="78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5"/>
      <c r="M87" s="55"/>
      <c r="N87" s="55"/>
      <c r="O87" s="55"/>
      <c r="P87" s="74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55"/>
      <c r="AE87" s="55"/>
      <c r="AF87" s="55"/>
      <c r="AG87" s="75"/>
      <c r="AH87" s="55"/>
      <c r="AI87" s="55"/>
      <c r="AJ87" s="55"/>
      <c r="AK87" s="74"/>
      <c r="AL87" s="55"/>
      <c r="AM87" s="55"/>
      <c r="AN87" s="55"/>
      <c r="AO87" s="55"/>
      <c r="AP87" s="55"/>
      <c r="AQ87" s="55"/>
      <c r="AR87" s="55"/>
      <c r="AS87" s="55"/>
      <c r="AT87" s="55"/>
      <c r="AU87" s="55"/>
      <c r="AV87" s="55"/>
      <c r="AW87" s="55"/>
      <c r="AX87" s="55"/>
      <c r="AY87" s="55"/>
      <c r="AZ87" s="55"/>
      <c r="BA87" s="55"/>
      <c r="BB87" s="55"/>
      <c r="BC87" s="55"/>
      <c r="BD87" s="55"/>
      <c r="BE87" s="55"/>
      <c r="BF87" s="55"/>
      <c r="BG87" s="55"/>
      <c r="BH87" s="55"/>
      <c r="BI87" s="55"/>
      <c r="BJ87" s="55"/>
      <c r="BK87" s="55"/>
      <c r="BL87" s="55"/>
      <c r="BM87" s="55"/>
      <c r="BN87" s="55"/>
      <c r="BO87" s="55"/>
      <c r="BP87" s="55"/>
      <c r="BQ87" s="55"/>
      <c r="BR87" s="55"/>
      <c r="BS87" s="55"/>
      <c r="BT87" s="55"/>
      <c r="BU87" s="55"/>
      <c r="BV87" s="55"/>
      <c r="BW87" s="55"/>
      <c r="BX87" s="55"/>
      <c r="BY87" s="55"/>
      <c r="BZ87" s="55"/>
      <c r="CA87" s="55"/>
      <c r="CB87" s="55"/>
      <c r="CC87" s="55"/>
      <c r="CD87" s="55"/>
      <c r="CE87" s="55"/>
      <c r="CF87" s="55"/>
      <c r="CG87" s="55"/>
      <c r="CH87" s="75"/>
      <c r="CI87" s="76"/>
      <c r="CJ87" s="76"/>
      <c r="CK87" s="76"/>
      <c r="CL87" s="76"/>
      <c r="CM87" s="74"/>
      <c r="CN87" s="76"/>
      <c r="CO87" s="76"/>
      <c r="CP87" s="76"/>
      <c r="CQ87" s="76"/>
      <c r="CR87" s="76"/>
      <c r="CS87" s="76"/>
      <c r="CT87" s="74"/>
      <c r="CU87" s="76"/>
      <c r="CV87" s="76"/>
      <c r="CW87" s="76"/>
      <c r="CX87" s="76"/>
      <c r="CY87" s="76"/>
      <c r="CZ87" s="74"/>
      <c r="DA87" s="77"/>
      <c r="DB87" s="77"/>
      <c r="DC87" s="77"/>
      <c r="DD87" s="77"/>
      <c r="DE87" s="77"/>
      <c r="DF87" s="75"/>
      <c r="DG87" s="78"/>
      <c r="DH87" s="78"/>
      <c r="DI87" s="78"/>
      <c r="DJ87" s="78"/>
      <c r="DK87" s="78"/>
      <c r="DL87" s="78"/>
      <c r="DM87" s="78"/>
      <c r="DN87" s="79"/>
      <c r="DO87" s="80"/>
      <c r="DP87" s="80"/>
      <c r="DQ87" s="80"/>
      <c r="DR87" s="80"/>
      <c r="DS87" s="80"/>
      <c r="DT87" s="78"/>
      <c r="DU87" s="78"/>
      <c r="DV87" s="78"/>
      <c r="DW87" s="78"/>
      <c r="DX87" s="78"/>
      <c r="DY87" s="78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/>
      <c r="BB88" s="55"/>
      <c r="BC88" s="55"/>
      <c r="BD88" s="55"/>
      <c r="BE88" s="55"/>
      <c r="BF88" s="55"/>
      <c r="BG88" s="55"/>
      <c r="BH88" s="55"/>
      <c r="BI88" s="55"/>
      <c r="BJ88" s="55"/>
      <c r="BK88" s="55"/>
      <c r="BL88" s="55"/>
      <c r="BM88" s="55"/>
      <c r="BN88" s="55"/>
      <c r="BO88" s="55"/>
      <c r="BP88" s="55"/>
      <c r="BQ88" s="55"/>
      <c r="BR88" s="55"/>
      <c r="BS88" s="55"/>
      <c r="BT88" s="55"/>
      <c r="BU88" s="55"/>
      <c r="BV88" s="55"/>
      <c r="BW88" s="55"/>
      <c r="BX88" s="55"/>
      <c r="BY88" s="55"/>
      <c r="BZ88" s="55"/>
      <c r="CA88" s="55"/>
      <c r="CB88" s="55"/>
      <c r="CC88" s="55"/>
      <c r="CD88" s="55"/>
      <c r="CE88" s="55"/>
      <c r="CF88" s="55"/>
      <c r="CG88" s="55"/>
      <c r="CH88" s="75"/>
      <c r="CI88" s="76"/>
      <c r="CJ88" s="76"/>
      <c r="CK88" s="76"/>
      <c r="CL88" s="76"/>
      <c r="CM88" s="74"/>
      <c r="CN88" s="76"/>
      <c r="CO88" s="76"/>
      <c r="CP88" s="76"/>
      <c r="CQ88" s="76"/>
      <c r="CR88" s="76"/>
      <c r="CS88" s="76"/>
      <c r="CT88" s="74"/>
      <c r="CU88" s="76"/>
      <c r="CV88" s="76"/>
      <c r="CW88" s="76"/>
      <c r="CX88" s="76"/>
      <c r="CY88" s="76"/>
      <c r="CZ88" s="74"/>
      <c r="DA88" s="77"/>
      <c r="DB88" s="77"/>
      <c r="DC88" s="77"/>
      <c r="DD88" s="77"/>
      <c r="DE88" s="77"/>
      <c r="DF88" s="75"/>
      <c r="DG88" s="78"/>
      <c r="DH88" s="78"/>
      <c r="DI88" s="78"/>
      <c r="DJ88" s="78"/>
      <c r="DK88" s="78"/>
      <c r="DL88" s="78"/>
      <c r="DM88" s="78"/>
      <c r="DN88" s="79"/>
      <c r="DO88" s="80"/>
      <c r="DP88" s="80"/>
      <c r="DQ88" s="80"/>
      <c r="DR88" s="80"/>
      <c r="DS88" s="80"/>
      <c r="DT88" s="78"/>
      <c r="DU88" s="78"/>
      <c r="DV88" s="78"/>
      <c r="DW88" s="78"/>
      <c r="DX88" s="78"/>
      <c r="DY88" s="78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191"/>
      <c r="AR89" s="191"/>
      <c r="AS89" s="191"/>
      <c r="AT89" s="191"/>
      <c r="AU89" s="191"/>
      <c r="AV89" s="191"/>
      <c r="AW89" s="191"/>
      <c r="AX89" s="191"/>
      <c r="AY89" s="191"/>
      <c r="AZ89" s="191"/>
      <c r="BA89" s="191"/>
      <c r="BB89" s="191"/>
      <c r="BC89" s="191"/>
      <c r="BD89" s="191"/>
      <c r="BE89" s="191"/>
      <c r="BF89" s="191"/>
      <c r="BG89" s="191"/>
      <c r="BH89" s="191"/>
      <c r="BI89" s="191"/>
      <c r="BJ89" s="191"/>
      <c r="BK89" s="191"/>
      <c r="BL89" s="191"/>
      <c r="BM89" s="191"/>
      <c r="BN89" s="191"/>
      <c r="BO89" s="191"/>
      <c r="BP89" s="191"/>
      <c r="BQ89" s="191"/>
      <c r="BR89" s="191"/>
      <c r="BS89" s="191"/>
      <c r="BT89" s="191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27"/>
      <c r="CI89" s="81"/>
      <c r="CJ89" s="81"/>
      <c r="CK89" s="81"/>
      <c r="CL89" s="81"/>
      <c r="CM89" s="191"/>
      <c r="CN89" s="81"/>
      <c r="CO89" s="81"/>
      <c r="CP89" s="81"/>
      <c r="CQ89" s="81"/>
      <c r="CR89" s="81"/>
      <c r="CS89" s="81"/>
      <c r="CT89" s="191"/>
      <c r="CU89" s="81"/>
      <c r="CV89" s="81"/>
      <c r="CW89" s="81"/>
      <c r="CX89" s="81"/>
      <c r="CY89" s="81"/>
      <c r="CZ89" s="191"/>
      <c r="DA89" s="82"/>
      <c r="DB89" s="82"/>
      <c r="DC89" s="82"/>
      <c r="DD89" s="82"/>
      <c r="DE89" s="82"/>
      <c r="DF89" s="27"/>
      <c r="DG89" s="88"/>
      <c r="DH89" s="88"/>
      <c r="DI89" s="88"/>
      <c r="DJ89" s="88"/>
      <c r="DK89" s="88"/>
      <c r="DL89" s="88"/>
      <c r="DM89" s="88"/>
      <c r="DO89" s="83"/>
      <c r="DP89" s="83"/>
      <c r="DQ89" s="83"/>
      <c r="DR89" s="83"/>
      <c r="DT89" s="88"/>
      <c r="DU89" s="88"/>
      <c r="DV89" s="88"/>
      <c r="DW89" s="88"/>
      <c r="DX89" s="88"/>
      <c r="DY89" s="88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191"/>
      <c r="AR90" s="191"/>
      <c r="AS90" s="191"/>
      <c r="AT90" s="191"/>
      <c r="AU90" s="191"/>
      <c r="AV90" s="191"/>
      <c r="AW90" s="191"/>
      <c r="AX90" s="191"/>
      <c r="AY90" s="191"/>
      <c r="AZ90" s="191"/>
      <c r="BA90" s="191"/>
      <c r="BB90" s="191"/>
      <c r="BC90" s="191"/>
      <c r="BD90" s="191"/>
      <c r="BE90" s="191"/>
      <c r="BF90" s="191"/>
      <c r="BG90" s="191"/>
      <c r="BH90" s="191"/>
      <c r="BI90" s="191"/>
      <c r="BJ90" s="191"/>
      <c r="BK90" s="191"/>
      <c r="BL90" s="191"/>
      <c r="BM90" s="191"/>
      <c r="BN90" s="191"/>
      <c r="BO90" s="191"/>
      <c r="BP90" s="191"/>
      <c r="BQ90" s="191"/>
      <c r="BR90" s="191"/>
      <c r="BS90" s="191"/>
      <c r="BT90" s="191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27"/>
      <c r="CI90" s="81"/>
      <c r="CJ90" s="81"/>
      <c r="CK90" s="81"/>
      <c r="CL90" s="81"/>
      <c r="CM90" s="191"/>
      <c r="CN90" s="81"/>
      <c r="CO90" s="81"/>
      <c r="CP90" s="81"/>
      <c r="CQ90" s="81"/>
      <c r="CR90" s="81"/>
      <c r="CS90" s="81"/>
      <c r="CT90" s="191"/>
      <c r="CU90" s="81"/>
      <c r="CV90" s="81"/>
      <c r="CW90" s="81"/>
      <c r="CX90" s="81"/>
      <c r="CY90" s="81"/>
      <c r="CZ90" s="191"/>
      <c r="DA90" s="82"/>
      <c r="DB90" s="82"/>
      <c r="DC90" s="82"/>
      <c r="DD90" s="82"/>
      <c r="DE90" s="82"/>
      <c r="DF90" s="27"/>
      <c r="DG90" s="88"/>
      <c r="DH90" s="88"/>
      <c r="DI90" s="88"/>
      <c r="DJ90" s="88"/>
      <c r="DK90" s="88"/>
      <c r="DL90" s="88"/>
      <c r="DM90" s="88"/>
      <c r="DO90" s="83"/>
      <c r="DP90" s="83"/>
      <c r="DQ90" s="83"/>
      <c r="DR90" s="83"/>
      <c r="DT90" s="88"/>
      <c r="DU90" s="88"/>
      <c r="DV90" s="88"/>
      <c r="DW90" s="88"/>
      <c r="DX90" s="88"/>
      <c r="DY90" s="88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191"/>
      <c r="AR91" s="191"/>
      <c r="AS91" s="191"/>
      <c r="AT91" s="191"/>
      <c r="AU91" s="191"/>
      <c r="AV91" s="191"/>
      <c r="AW91" s="191"/>
      <c r="AX91" s="191"/>
      <c r="AY91" s="191"/>
      <c r="AZ91" s="191"/>
      <c r="BA91" s="191"/>
      <c r="BB91" s="191"/>
      <c r="BC91" s="191"/>
      <c r="BD91" s="191"/>
      <c r="BE91" s="191"/>
      <c r="BF91" s="191"/>
      <c r="BG91" s="191"/>
      <c r="BH91" s="191"/>
      <c r="BI91" s="191"/>
      <c r="BJ91" s="191"/>
      <c r="BK91" s="191"/>
      <c r="BL91" s="191"/>
      <c r="BM91" s="191"/>
      <c r="BN91" s="191"/>
      <c r="BO91" s="191"/>
      <c r="BP91" s="191"/>
      <c r="BQ91" s="191"/>
      <c r="BR91" s="191"/>
      <c r="BS91" s="191"/>
      <c r="BT91" s="191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27"/>
      <c r="CI91" s="81"/>
      <c r="CJ91" s="81"/>
      <c r="CK91" s="81"/>
      <c r="CL91" s="81"/>
      <c r="CM91" s="191"/>
      <c r="CN91" s="81"/>
      <c r="CO91" s="81"/>
      <c r="CP91" s="81"/>
      <c r="CQ91" s="81"/>
      <c r="CR91" s="81"/>
      <c r="CS91" s="81"/>
      <c r="CT91" s="191"/>
      <c r="CU91" s="81"/>
      <c r="CV91" s="81"/>
      <c r="CW91" s="81"/>
      <c r="CX91" s="81"/>
      <c r="CY91" s="81"/>
      <c r="CZ91" s="191"/>
      <c r="DA91" s="82"/>
      <c r="DB91" s="82"/>
      <c r="DC91" s="82"/>
      <c r="DD91" s="82"/>
      <c r="DE91" s="82"/>
      <c r="DF91" s="27"/>
      <c r="DG91" s="88"/>
      <c r="DH91" s="88"/>
      <c r="DI91" s="88"/>
      <c r="DJ91" s="88"/>
      <c r="DK91" s="88"/>
      <c r="DL91" s="88"/>
      <c r="DM91" s="88"/>
      <c r="DO91" s="83"/>
      <c r="DP91" s="83"/>
      <c r="DQ91" s="83"/>
      <c r="DR91" s="83"/>
      <c r="DT91" s="88"/>
      <c r="DU91" s="88"/>
      <c r="DV91" s="88"/>
      <c r="DW91" s="88"/>
      <c r="DX91" s="88"/>
      <c r="DY91" s="88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88"/>
      <c r="DJ92" s="88"/>
      <c r="DK92" s="88"/>
      <c r="DL92" s="88"/>
      <c r="DM92" s="88"/>
      <c r="DO92" s="83"/>
      <c r="DP92" s="83"/>
      <c r="DQ92" s="83"/>
      <c r="DR92" s="83"/>
      <c r="DT92" s="88"/>
      <c r="DU92" s="88"/>
      <c r="DV92" s="88"/>
      <c r="DW92" s="88"/>
      <c r="DX92" s="88"/>
      <c r="DY92" s="88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88"/>
      <c r="DJ93" s="88"/>
      <c r="DK93" s="88"/>
      <c r="DL93" s="88"/>
      <c r="DM93" s="88"/>
      <c r="DO93" s="83"/>
      <c r="DP93" s="83"/>
      <c r="DQ93" s="83"/>
      <c r="DR93" s="83"/>
      <c r="DT93" s="88"/>
      <c r="DU93" s="88"/>
      <c r="DV93" s="88"/>
      <c r="DW93" s="88"/>
      <c r="DX93" s="88"/>
      <c r="DY93" s="88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88"/>
      <c r="DJ94" s="88"/>
      <c r="DK94" s="88"/>
      <c r="DL94" s="88"/>
      <c r="DM94" s="88"/>
      <c r="DN94" s="51"/>
      <c r="DO94" s="83"/>
      <c r="DP94" s="83"/>
      <c r="DQ94" s="83"/>
      <c r="DR94" s="83"/>
      <c r="DT94" s="88"/>
      <c r="DU94" s="88"/>
      <c r="DV94" s="88"/>
      <c r="DW94" s="88"/>
      <c r="DX94" s="88"/>
      <c r="DY94" s="88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88"/>
      <c r="DJ95" s="88"/>
      <c r="DK95" s="88"/>
      <c r="DL95" s="88"/>
      <c r="DM95" s="88"/>
      <c r="DN95" s="51"/>
      <c r="DO95" s="83"/>
      <c r="DP95" s="83"/>
      <c r="DQ95" s="83"/>
      <c r="DR95" s="83"/>
      <c r="DT95" s="88"/>
      <c r="DU95" s="88"/>
      <c r="DV95" s="88"/>
      <c r="DW95" s="88"/>
      <c r="DX95" s="88"/>
      <c r="DY95" s="88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88"/>
      <c r="DJ96" s="88"/>
      <c r="DK96" s="88"/>
      <c r="DL96" s="88"/>
      <c r="DM96" s="88"/>
      <c r="DN96" s="51"/>
      <c r="DO96" s="83"/>
      <c r="DP96" s="83"/>
      <c r="DQ96" s="83"/>
      <c r="DR96" s="83"/>
      <c r="DT96" s="88"/>
      <c r="DU96" s="88"/>
      <c r="DV96" s="88"/>
      <c r="DW96" s="88"/>
      <c r="DX96" s="88"/>
      <c r="DY96" s="88"/>
      <c r="EQ96" s="23"/>
      <c r="FK96" s="191"/>
      <c r="FL96" s="191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88"/>
      <c r="DJ97" s="88"/>
      <c r="DK97" s="88"/>
      <c r="DL97" s="88"/>
      <c r="DM97" s="88"/>
      <c r="DN97" s="51"/>
      <c r="DO97" s="83"/>
      <c r="DP97" s="83"/>
      <c r="DQ97" s="83"/>
      <c r="DR97" s="83"/>
      <c r="DT97" s="88"/>
      <c r="DU97" s="88"/>
      <c r="DV97" s="88"/>
      <c r="DW97" s="88"/>
      <c r="DX97" s="88"/>
      <c r="DY97" s="88"/>
      <c r="EQ97" s="23"/>
      <c r="FK97" s="191"/>
      <c r="FL97" s="191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88"/>
      <c r="DJ98" s="88"/>
      <c r="DK98" s="88"/>
      <c r="DL98" s="88"/>
      <c r="DM98" s="88"/>
      <c r="DN98" s="51"/>
      <c r="DO98" s="83"/>
      <c r="DP98" s="83"/>
      <c r="DQ98" s="83"/>
      <c r="DR98" s="83"/>
      <c r="DT98" s="88"/>
      <c r="DU98" s="88"/>
      <c r="DV98" s="88"/>
      <c r="DW98" s="88"/>
      <c r="DX98" s="88"/>
      <c r="DY98" s="88"/>
      <c r="EP98" s="21"/>
      <c r="EQ98" s="23"/>
      <c r="FK98" s="191"/>
      <c r="FL98" s="50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88"/>
      <c r="DJ99" s="88"/>
      <c r="DK99" s="88"/>
      <c r="DL99" s="88"/>
      <c r="DM99" s="88"/>
      <c r="DN99" s="51"/>
      <c r="DO99" s="83"/>
      <c r="DP99" s="83"/>
      <c r="DQ99" s="83"/>
      <c r="DR99" s="83"/>
      <c r="DT99" s="88"/>
      <c r="DU99" s="88"/>
      <c r="DV99" s="88"/>
      <c r="DW99" s="88"/>
      <c r="DX99" s="88"/>
      <c r="DY99" s="88"/>
      <c r="EP99" s="21"/>
      <c r="EQ99" s="23"/>
      <c r="FK99" s="191"/>
      <c r="FL99" s="50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88"/>
      <c r="DJ100" s="88"/>
      <c r="DK100" s="88"/>
      <c r="DL100" s="88"/>
      <c r="DM100" s="88"/>
      <c r="DO100" s="83"/>
      <c r="DP100" s="83"/>
      <c r="DQ100" s="83"/>
      <c r="DR100" s="83"/>
      <c r="DT100" s="88"/>
      <c r="DU100" s="88"/>
      <c r="DV100" s="88"/>
      <c r="DW100" s="88"/>
      <c r="DX100" s="88"/>
      <c r="DY100" s="88"/>
      <c r="EP100" s="21"/>
      <c r="EQ100" s="23"/>
      <c r="FK100" s="191"/>
      <c r="FL100" s="50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88"/>
      <c r="DJ101" s="88"/>
      <c r="DK101" s="88"/>
      <c r="DL101" s="88"/>
      <c r="DM101" s="88"/>
      <c r="DN101" s="191"/>
      <c r="DO101" s="83"/>
      <c r="DP101" s="83"/>
      <c r="DQ101" s="83"/>
      <c r="DR101" s="83"/>
      <c r="DT101" s="88"/>
      <c r="DU101" s="88"/>
      <c r="DV101" s="88"/>
      <c r="DW101" s="88"/>
      <c r="DX101" s="88"/>
      <c r="DY101" s="88"/>
      <c r="EP101" s="21"/>
      <c r="EQ101" s="23"/>
      <c r="FK101" s="191"/>
      <c r="FL101" s="50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88"/>
      <c r="DJ102" s="88"/>
      <c r="DK102" s="88"/>
      <c r="DL102" s="88"/>
      <c r="DM102" s="88"/>
      <c r="DN102" s="191"/>
      <c r="DO102" s="83"/>
      <c r="DP102" s="83"/>
      <c r="DQ102" s="83"/>
      <c r="DR102" s="83"/>
      <c r="DT102" s="88"/>
      <c r="DU102" s="88"/>
      <c r="DV102" s="88"/>
      <c r="DW102" s="88"/>
      <c r="DX102" s="88"/>
      <c r="DY102" s="88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88"/>
      <c r="DJ103" s="88"/>
      <c r="DK103" s="88"/>
      <c r="DL103" s="88"/>
      <c r="DM103" s="88"/>
      <c r="DN103" s="191"/>
      <c r="DO103" s="83"/>
      <c r="DP103" s="83"/>
      <c r="DQ103" s="83"/>
      <c r="DR103" s="83"/>
      <c r="DT103" s="88"/>
      <c r="DU103" s="88"/>
      <c r="DV103" s="88"/>
      <c r="DW103" s="88"/>
      <c r="DX103" s="88"/>
      <c r="DY103" s="88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191"/>
      <c r="FL103" s="191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88"/>
      <c r="DJ104" s="88"/>
      <c r="DK104" s="88"/>
      <c r="DL104" s="88"/>
      <c r="DM104" s="88"/>
      <c r="DN104" s="191"/>
      <c r="DO104" s="83"/>
      <c r="DP104" s="83"/>
      <c r="DQ104" s="83"/>
      <c r="DR104" s="83"/>
      <c r="DT104" s="88"/>
      <c r="DU104" s="88"/>
      <c r="DV104" s="88"/>
      <c r="DW104" s="88"/>
      <c r="DX104" s="88"/>
      <c r="DY104" s="88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191"/>
      <c r="FL104" s="191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191"/>
      <c r="M105" s="191"/>
      <c r="N105" s="191"/>
      <c r="O105" s="191"/>
      <c r="P105" s="191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27"/>
      <c r="AH105" s="191"/>
      <c r="AI105" s="191"/>
      <c r="AJ105" s="191"/>
      <c r="AK105" s="191"/>
      <c r="AL105" s="191"/>
      <c r="AM105" s="191"/>
      <c r="AN105" s="191"/>
      <c r="AO105" s="191"/>
      <c r="AP105" s="191"/>
      <c r="DI105" s="88"/>
      <c r="DJ105" s="88"/>
      <c r="DK105" s="88"/>
      <c r="DL105" s="88"/>
      <c r="DM105" s="88"/>
      <c r="DO105" s="83"/>
      <c r="DP105" s="83"/>
      <c r="DQ105" s="83"/>
      <c r="DR105" s="83"/>
      <c r="DT105" s="88"/>
      <c r="DU105" s="88"/>
      <c r="DV105" s="88"/>
      <c r="DW105" s="88"/>
      <c r="DX105" s="88"/>
      <c r="DY105" s="88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191"/>
      <c r="FL105" s="191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88"/>
      <c r="DJ106" s="88"/>
      <c r="DK106" s="88"/>
      <c r="DL106" s="88"/>
      <c r="DM106" s="88"/>
      <c r="DN106" s="51"/>
      <c r="DO106" s="83"/>
      <c r="DP106" s="83"/>
      <c r="DQ106" s="83"/>
      <c r="DR106" s="83"/>
      <c r="DT106" s="88"/>
      <c r="DU106" s="88"/>
      <c r="DV106" s="88"/>
      <c r="DW106" s="88"/>
      <c r="DX106" s="88"/>
      <c r="DY106" s="88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191"/>
      <c r="FL106" s="191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88"/>
      <c r="DJ107" s="88"/>
      <c r="DK107" s="88"/>
      <c r="DL107" s="88"/>
      <c r="DM107" s="88"/>
      <c r="DN107" s="51"/>
      <c r="DO107" s="83"/>
      <c r="DP107" s="83"/>
      <c r="DQ107" s="83"/>
      <c r="DR107" s="83"/>
      <c r="DT107" s="88"/>
      <c r="DU107" s="88"/>
      <c r="DV107" s="88"/>
      <c r="DW107" s="88"/>
      <c r="DX107" s="88"/>
      <c r="DY107" s="88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88"/>
      <c r="DJ108" s="88"/>
      <c r="DK108" s="88"/>
      <c r="DL108" s="88"/>
      <c r="DM108" s="88"/>
      <c r="DN108" s="51"/>
      <c r="DO108" s="83"/>
      <c r="DP108" s="83"/>
      <c r="DQ108" s="83"/>
      <c r="DR108" s="83"/>
      <c r="DT108" s="88"/>
      <c r="DU108" s="88"/>
      <c r="DV108" s="88"/>
      <c r="DW108" s="88"/>
      <c r="DX108" s="88"/>
      <c r="DY108" s="88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1"/>
      <c r="FL108" s="84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88"/>
      <c r="DJ109" s="88"/>
      <c r="DK109" s="88"/>
      <c r="DL109" s="88"/>
      <c r="DM109" s="88"/>
      <c r="DN109" s="51"/>
      <c r="DO109" s="83"/>
      <c r="DP109" s="83"/>
      <c r="DQ109" s="83"/>
      <c r="DR109" s="83"/>
      <c r="DT109" s="88"/>
      <c r="DU109" s="88"/>
      <c r="DV109" s="88"/>
      <c r="DW109" s="88"/>
      <c r="DX109" s="88"/>
      <c r="DY109" s="88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1"/>
      <c r="FL109" s="84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88"/>
      <c r="DJ110" s="88"/>
      <c r="DK110" s="88"/>
      <c r="DL110" s="88"/>
      <c r="DM110" s="88"/>
      <c r="DN110" s="51"/>
      <c r="DO110" s="83"/>
      <c r="DP110" s="83"/>
      <c r="DQ110" s="83"/>
      <c r="DR110" s="83"/>
      <c r="DT110" s="88"/>
      <c r="DU110" s="88"/>
      <c r="DV110" s="88"/>
      <c r="DW110" s="88"/>
      <c r="DX110" s="88"/>
      <c r="DY110" s="88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1"/>
      <c r="FL110" s="84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1"/>
      <c r="FL111" s="84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1"/>
      <c r="FL112" s="192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190"/>
      <c r="ES113" s="190"/>
      <c r="ET113" s="190"/>
      <c r="EU113" s="190"/>
      <c r="EV113" s="190"/>
      <c r="EX113" s="51"/>
      <c r="EY113" s="51"/>
      <c r="EZ113" s="51"/>
      <c r="FA113" s="51"/>
      <c r="FB113" s="51"/>
      <c r="FC113" s="51"/>
      <c r="FD113" s="51"/>
      <c r="FE113" s="51"/>
      <c r="FF113" s="51"/>
      <c r="FG113" s="51"/>
      <c r="FH113" s="51"/>
      <c r="FI113" s="51"/>
      <c r="FJ113" s="51"/>
      <c r="FK113" s="51"/>
      <c r="FL113" s="192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893"/>
      <c r="O114" s="893"/>
      <c r="P114" s="893"/>
      <c r="Q114" s="893"/>
      <c r="R114" s="893"/>
      <c r="S114" s="893"/>
      <c r="T114" s="893"/>
      <c r="U114" s="893"/>
      <c r="V114" s="893"/>
      <c r="W114" s="893"/>
      <c r="X114" s="893"/>
      <c r="Y114" s="893"/>
      <c r="Z114" s="893"/>
      <c r="AA114" s="893"/>
      <c r="AB114" s="893"/>
      <c r="AC114" s="893"/>
      <c r="AD114" s="893"/>
      <c r="AE114" s="893"/>
      <c r="AF114" s="893"/>
      <c r="AG114" s="893"/>
      <c r="AH114" s="893"/>
      <c r="AI114" s="893"/>
      <c r="AJ114" s="893"/>
      <c r="AK114" s="893"/>
      <c r="AL114" s="893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893"/>
      <c r="O115" s="893"/>
      <c r="P115" s="893"/>
      <c r="Q115" s="893"/>
      <c r="R115" s="893"/>
      <c r="S115" s="893"/>
      <c r="T115" s="893"/>
      <c r="U115" s="893"/>
      <c r="V115" s="893"/>
      <c r="W115" s="893"/>
      <c r="X115" s="893"/>
      <c r="Y115" s="893"/>
      <c r="Z115" s="893"/>
      <c r="AA115" s="893"/>
      <c r="AB115" s="893"/>
      <c r="AC115" s="893"/>
      <c r="AD115" s="893"/>
      <c r="AE115" s="893"/>
      <c r="AF115" s="893"/>
      <c r="AG115" s="893"/>
      <c r="AH115" s="893"/>
      <c r="AI115" s="893"/>
      <c r="AJ115" s="893"/>
      <c r="AK115" s="893"/>
      <c r="AL115" s="893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190"/>
      <c r="ES115" s="190"/>
      <c r="ET115" s="190"/>
      <c r="EU115" s="190"/>
      <c r="EV115" s="190"/>
      <c r="EX115" s="191"/>
      <c r="EY115" s="191"/>
      <c r="EZ115" s="191"/>
      <c r="FA115" s="191"/>
      <c r="FB115" s="191"/>
      <c r="FC115" s="191"/>
      <c r="FD115" s="191"/>
      <c r="FE115" s="191"/>
      <c r="FF115" s="191"/>
      <c r="FG115" s="191"/>
      <c r="FH115" s="191"/>
      <c r="FI115" s="191"/>
      <c r="FJ115" s="191"/>
      <c r="FK115" s="191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895"/>
      <c r="O116" s="895"/>
      <c r="P116" s="895"/>
      <c r="Q116" s="895"/>
      <c r="R116" s="895"/>
      <c r="S116" s="895"/>
      <c r="Y116" s="895"/>
      <c r="Z116" s="895"/>
      <c r="AA116" s="895"/>
      <c r="AB116" s="895"/>
      <c r="AC116" s="895"/>
      <c r="AD116" s="895"/>
      <c r="AE116" s="896"/>
      <c r="AF116" s="896"/>
      <c r="AG116" s="896"/>
      <c r="AH116" s="896"/>
      <c r="AI116" s="896"/>
      <c r="AJ116" s="896"/>
      <c r="AK116" s="896"/>
      <c r="AL116" s="896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190"/>
      <c r="ES116" s="190"/>
      <c r="ET116" s="190"/>
      <c r="EU116" s="190"/>
      <c r="EV116" s="190"/>
      <c r="EX116" s="191"/>
      <c r="EY116" s="191"/>
      <c r="EZ116" s="191"/>
      <c r="FA116" s="191"/>
      <c r="FB116" s="191"/>
      <c r="FC116" s="191"/>
      <c r="FD116" s="191"/>
      <c r="FE116" s="191"/>
      <c r="FF116" s="191"/>
      <c r="FG116" s="191"/>
      <c r="FH116" s="191"/>
      <c r="FI116" s="191"/>
      <c r="FJ116" s="191"/>
      <c r="FK116" s="191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895"/>
      <c r="O117" s="895"/>
      <c r="P117" s="895"/>
      <c r="Q117" s="895"/>
      <c r="R117" s="895"/>
      <c r="S117" s="895"/>
      <c r="Y117" s="895"/>
      <c r="Z117" s="895"/>
      <c r="AA117" s="895"/>
      <c r="AB117" s="895"/>
      <c r="AC117" s="895"/>
      <c r="AD117" s="895"/>
      <c r="AE117" s="896"/>
      <c r="AF117" s="896"/>
      <c r="AG117" s="896"/>
      <c r="AH117" s="896"/>
      <c r="AI117" s="896"/>
      <c r="AJ117" s="896"/>
      <c r="AK117" s="896"/>
      <c r="AL117" s="896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190"/>
      <c r="ES117" s="190"/>
      <c r="ET117" s="190"/>
      <c r="EU117" s="190"/>
      <c r="EV117" s="190"/>
      <c r="EX117" s="191"/>
      <c r="EY117" s="191"/>
      <c r="EZ117" s="191"/>
      <c r="FA117" s="191"/>
      <c r="FB117" s="191"/>
      <c r="FC117" s="191"/>
      <c r="FD117" s="191"/>
      <c r="FE117" s="191"/>
      <c r="FF117" s="191"/>
      <c r="FG117" s="191"/>
      <c r="FH117" s="191"/>
      <c r="FI117" s="191"/>
      <c r="FJ117" s="191"/>
      <c r="FK117" s="191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895"/>
      <c r="O118" s="895"/>
      <c r="P118" s="895"/>
      <c r="Q118" s="895"/>
      <c r="R118" s="895"/>
      <c r="S118" s="895"/>
      <c r="Y118" s="895"/>
      <c r="Z118" s="895"/>
      <c r="AA118" s="895"/>
      <c r="AB118" s="895"/>
      <c r="AC118" s="895"/>
      <c r="AD118" s="895"/>
      <c r="AE118" s="896"/>
      <c r="AF118" s="896"/>
      <c r="AG118" s="896"/>
      <c r="AH118" s="896"/>
      <c r="AI118" s="896"/>
      <c r="AJ118" s="896"/>
      <c r="AK118" s="896"/>
      <c r="AL118" s="896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190"/>
      <c r="ES118" s="190"/>
      <c r="ET118" s="190"/>
      <c r="EU118" s="190"/>
      <c r="EV118" s="190"/>
      <c r="EX118" s="191"/>
      <c r="EY118" s="191"/>
      <c r="EZ118" s="191"/>
      <c r="FA118" s="191"/>
      <c r="FB118" s="191"/>
      <c r="FC118" s="191"/>
      <c r="FD118" s="191"/>
      <c r="FE118" s="191"/>
      <c r="FF118" s="191"/>
      <c r="FG118" s="191"/>
      <c r="FH118" s="191"/>
      <c r="FI118" s="191"/>
      <c r="FJ118" s="191"/>
      <c r="FK118" s="191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895"/>
      <c r="O119" s="895"/>
      <c r="P119" s="895"/>
      <c r="Q119" s="895"/>
      <c r="R119" s="895"/>
      <c r="S119" s="895"/>
      <c r="Y119" s="895"/>
      <c r="Z119" s="895"/>
      <c r="AA119" s="895"/>
      <c r="AB119" s="895"/>
      <c r="AC119" s="895"/>
      <c r="AD119" s="895"/>
      <c r="AE119" s="896"/>
      <c r="AF119" s="896"/>
      <c r="AG119" s="896"/>
      <c r="AH119" s="896"/>
      <c r="AI119" s="896"/>
      <c r="AJ119" s="896"/>
      <c r="AK119" s="896"/>
      <c r="AL119" s="896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895"/>
      <c r="O120" s="895"/>
      <c r="P120" s="895"/>
      <c r="Q120" s="895"/>
      <c r="R120" s="895"/>
      <c r="S120" s="895"/>
      <c r="Y120" s="895"/>
      <c r="Z120" s="895"/>
      <c r="AA120" s="895"/>
      <c r="AB120" s="895"/>
      <c r="AC120" s="895"/>
      <c r="AD120" s="895"/>
      <c r="AE120" s="896"/>
      <c r="AF120" s="896"/>
      <c r="AG120" s="896"/>
      <c r="AH120" s="896"/>
      <c r="AI120" s="896"/>
      <c r="AJ120" s="896"/>
      <c r="AK120" s="896"/>
      <c r="AL120" s="896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190"/>
      <c r="ES120" s="190"/>
      <c r="ET120" s="190"/>
      <c r="EU120" s="190"/>
      <c r="EV120" s="190"/>
      <c r="EX120" s="191"/>
      <c r="EY120" s="191"/>
      <c r="EZ120" s="191"/>
      <c r="FA120" s="191"/>
      <c r="FB120" s="191"/>
      <c r="FC120" s="191"/>
      <c r="FD120" s="191"/>
      <c r="FE120" s="191"/>
      <c r="FF120" s="191"/>
      <c r="FG120" s="191"/>
      <c r="FH120" s="191"/>
      <c r="FI120" s="191"/>
      <c r="FJ120" s="191"/>
      <c r="FK120" s="191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895"/>
      <c r="O121" s="895"/>
      <c r="P121" s="895"/>
      <c r="Q121" s="895"/>
      <c r="R121" s="895"/>
      <c r="S121" s="895"/>
      <c r="Y121" s="895"/>
      <c r="Z121" s="895"/>
      <c r="AA121" s="895"/>
      <c r="AB121" s="895"/>
      <c r="AC121" s="895"/>
      <c r="AD121" s="895"/>
      <c r="AE121" s="896"/>
      <c r="AF121" s="896"/>
      <c r="AG121" s="896"/>
      <c r="AH121" s="896"/>
      <c r="AI121" s="896"/>
      <c r="AJ121" s="896"/>
      <c r="AK121" s="896"/>
      <c r="AL121" s="896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190"/>
      <c r="ES121" s="190"/>
      <c r="ET121" s="190"/>
      <c r="EU121" s="190"/>
      <c r="EV121" s="190"/>
      <c r="EX121" s="191"/>
      <c r="EY121" s="191"/>
      <c r="EZ121" s="191"/>
      <c r="FA121" s="191"/>
      <c r="FB121" s="191"/>
      <c r="FC121" s="191"/>
      <c r="FD121" s="191"/>
      <c r="FE121" s="191"/>
      <c r="FF121" s="191"/>
      <c r="FG121" s="191"/>
      <c r="FH121" s="191"/>
      <c r="FI121" s="191"/>
      <c r="FJ121" s="191"/>
      <c r="FK121" s="191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895"/>
      <c r="O122" s="895"/>
      <c r="P122" s="895"/>
      <c r="Q122" s="895"/>
      <c r="R122" s="895"/>
      <c r="S122" s="895"/>
      <c r="Y122" s="895"/>
      <c r="Z122" s="895"/>
      <c r="AA122" s="895"/>
      <c r="AB122" s="895"/>
      <c r="AC122" s="895"/>
      <c r="AD122" s="895"/>
      <c r="AE122" s="896"/>
      <c r="AF122" s="896"/>
      <c r="AG122" s="896"/>
      <c r="AH122" s="896"/>
      <c r="AI122" s="896"/>
      <c r="AJ122" s="896"/>
      <c r="AK122" s="896"/>
      <c r="AL122" s="896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190"/>
      <c r="ES122" s="190"/>
      <c r="ET122" s="190"/>
      <c r="EU122" s="190"/>
      <c r="EV122" s="190"/>
      <c r="EX122" s="191"/>
      <c r="EY122" s="191"/>
      <c r="EZ122" s="191"/>
      <c r="FA122" s="191"/>
      <c r="FB122" s="191"/>
      <c r="FC122" s="191"/>
      <c r="FD122" s="191"/>
      <c r="FE122" s="191"/>
      <c r="FF122" s="191"/>
      <c r="FG122" s="191"/>
      <c r="FH122" s="191"/>
      <c r="FI122" s="191"/>
      <c r="FJ122" s="191"/>
      <c r="FK122" s="191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895"/>
      <c r="O123" s="895"/>
      <c r="P123" s="895"/>
      <c r="Q123" s="895"/>
      <c r="R123" s="895"/>
      <c r="S123" s="895"/>
      <c r="Y123" s="895"/>
      <c r="Z123" s="895"/>
      <c r="AA123" s="895"/>
      <c r="AB123" s="895"/>
      <c r="AC123" s="895"/>
      <c r="AD123" s="895"/>
      <c r="AE123" s="896"/>
      <c r="AF123" s="896"/>
      <c r="AG123" s="896"/>
      <c r="AH123" s="896"/>
      <c r="AI123" s="896"/>
      <c r="AJ123" s="896"/>
      <c r="AK123" s="896"/>
      <c r="AL123" s="896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190"/>
      <c r="ES123" s="190"/>
      <c r="ET123" s="190"/>
      <c r="EU123" s="190"/>
      <c r="EV123" s="190"/>
      <c r="EX123" s="191"/>
      <c r="EY123" s="191"/>
      <c r="EZ123" s="191"/>
      <c r="FA123" s="191"/>
      <c r="FB123" s="191"/>
      <c r="FC123" s="191"/>
      <c r="FD123" s="191"/>
      <c r="FE123" s="191"/>
      <c r="FF123" s="191"/>
      <c r="FG123" s="191"/>
      <c r="FH123" s="191"/>
      <c r="FI123" s="191"/>
      <c r="FJ123" s="191"/>
      <c r="FK123" s="191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895"/>
      <c r="O124" s="895"/>
      <c r="P124" s="895"/>
      <c r="Q124" s="895"/>
      <c r="R124" s="895"/>
      <c r="S124" s="895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895"/>
      <c r="O125" s="895"/>
      <c r="P125" s="895"/>
      <c r="Q125" s="895"/>
      <c r="R125" s="895"/>
      <c r="S125" s="895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6"/>
      <c r="B132" s="56"/>
      <c r="C132" s="56"/>
      <c r="D132" s="56"/>
      <c r="E132" s="56"/>
      <c r="F132" s="56"/>
      <c r="G132" s="48"/>
      <c r="H132" s="48"/>
      <c r="I132" s="48"/>
      <c r="J132" s="48"/>
      <c r="K132" s="45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6"/>
      <c r="B133" s="56"/>
      <c r="C133" s="56"/>
      <c r="D133" s="56"/>
      <c r="E133" s="56"/>
      <c r="F133" s="56"/>
      <c r="G133" s="48"/>
      <c r="H133" s="48"/>
      <c r="I133" s="48"/>
      <c r="J133" s="48"/>
      <c r="K133" s="45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mergeCells count="512">
    <mergeCell ref="M76:DQ82"/>
    <mergeCell ref="CU71:DD72"/>
    <mergeCell ref="DE71:DN72"/>
    <mergeCell ref="DO71:DV72"/>
    <mergeCell ref="DW71:EF72"/>
    <mergeCell ref="EG71:EN72"/>
    <mergeCell ref="EO71:EV72"/>
    <mergeCell ref="N124:S125"/>
    <mergeCell ref="N120:S121"/>
    <mergeCell ref="Y120:AD121"/>
    <mergeCell ref="AE120:AL121"/>
    <mergeCell ref="N122:S123"/>
    <mergeCell ref="Y122:AD123"/>
    <mergeCell ref="AE122:AL123"/>
    <mergeCell ref="N114:X115"/>
    <mergeCell ref="Y114:AL115"/>
    <mergeCell ref="N116:S117"/>
    <mergeCell ref="Y116:AD117"/>
    <mergeCell ref="AE116:AL117"/>
    <mergeCell ref="N118:S119"/>
    <mergeCell ref="Y118:AD119"/>
    <mergeCell ref="AE118:AL119"/>
    <mergeCell ref="L71:N72"/>
    <mergeCell ref="P71:BC72"/>
    <mergeCell ref="BD71:CG72"/>
    <mergeCell ref="CH71:CL72"/>
    <mergeCell ref="CP71:CT72"/>
    <mergeCell ref="CU69:DD70"/>
    <mergeCell ref="DE69:DN70"/>
    <mergeCell ref="DO69:DV70"/>
    <mergeCell ref="DW69:EF70"/>
    <mergeCell ref="L69:N70"/>
    <mergeCell ref="P69:BC70"/>
    <mergeCell ref="BD69:CG70"/>
    <mergeCell ref="CH69:CL70"/>
    <mergeCell ref="CP69:CT70"/>
    <mergeCell ref="CU67:DD68"/>
    <mergeCell ref="DE67:DN68"/>
    <mergeCell ref="DO67:DV68"/>
    <mergeCell ref="DW67:EF68"/>
    <mergeCell ref="DO65:DV66"/>
    <mergeCell ref="DW65:EF66"/>
    <mergeCell ref="EG65:EN66"/>
    <mergeCell ref="EO65:EV66"/>
    <mergeCell ref="EW67:FD68"/>
    <mergeCell ref="FE67:FN68"/>
    <mergeCell ref="FO67:FX68"/>
    <mergeCell ref="HS68:IF69"/>
    <mergeCell ref="IQ68:IZ69"/>
    <mergeCell ref="EG67:EN68"/>
    <mergeCell ref="EO67:EV68"/>
    <mergeCell ref="EW69:FD70"/>
    <mergeCell ref="FE69:FN70"/>
    <mergeCell ref="FO69:FX70"/>
    <mergeCell ref="HS70:IF71"/>
    <mergeCell ref="IQ70:IZ71"/>
    <mergeCell ref="EG69:EN70"/>
    <mergeCell ref="EO69:EV70"/>
    <mergeCell ref="EW71:FD72"/>
    <mergeCell ref="FE71:FN72"/>
    <mergeCell ref="FO71:FX72"/>
    <mergeCell ref="HS72:IF73"/>
    <mergeCell ref="IQ72:IZ73"/>
    <mergeCell ref="IQ64:IZ65"/>
    <mergeCell ref="L65:N66"/>
    <mergeCell ref="P65:BC66"/>
    <mergeCell ref="BD65:CG66"/>
    <mergeCell ref="CH65:CL66"/>
    <mergeCell ref="CP65:CT66"/>
    <mergeCell ref="DE63:DN64"/>
    <mergeCell ref="DO63:DV64"/>
    <mergeCell ref="DW63:EF64"/>
    <mergeCell ref="EG63:EN64"/>
    <mergeCell ref="EO63:EV64"/>
    <mergeCell ref="EW63:FD64"/>
    <mergeCell ref="EW65:FD66"/>
    <mergeCell ref="FE65:FN66"/>
    <mergeCell ref="FO65:FX66"/>
    <mergeCell ref="HS66:IF67"/>
    <mergeCell ref="IQ66:IZ67"/>
    <mergeCell ref="L67:N68"/>
    <mergeCell ref="P67:BC68"/>
    <mergeCell ref="BD67:CG68"/>
    <mergeCell ref="CH67:CL68"/>
    <mergeCell ref="CP67:CT68"/>
    <mergeCell ref="CU65:DD66"/>
    <mergeCell ref="DE65:DN66"/>
    <mergeCell ref="L63:N64"/>
    <mergeCell ref="P63:BC64"/>
    <mergeCell ref="BD63:CG64"/>
    <mergeCell ref="CH63:CL64"/>
    <mergeCell ref="CP63:CT64"/>
    <mergeCell ref="CU63:DD64"/>
    <mergeCell ref="IQ60:IZ61"/>
    <mergeCell ref="L61:N62"/>
    <mergeCell ref="P61:BC62"/>
    <mergeCell ref="BD61:CG62"/>
    <mergeCell ref="CH61:CL62"/>
    <mergeCell ref="CP61:CT62"/>
    <mergeCell ref="CU61:DD62"/>
    <mergeCell ref="DE61:DN62"/>
    <mergeCell ref="DO61:DV62"/>
    <mergeCell ref="DW61:EF62"/>
    <mergeCell ref="EG59:EN60"/>
    <mergeCell ref="EO59:EV60"/>
    <mergeCell ref="EW59:FD60"/>
    <mergeCell ref="FE59:FN60"/>
    <mergeCell ref="FE63:FN64"/>
    <mergeCell ref="FO63:FX64"/>
    <mergeCell ref="FY64:GT72"/>
    <mergeCell ref="HS64:IF65"/>
    <mergeCell ref="L59:N60"/>
    <mergeCell ref="P59:BC60"/>
    <mergeCell ref="BD59:CG60"/>
    <mergeCell ref="CH59:CL60"/>
    <mergeCell ref="CP59:CT60"/>
    <mergeCell ref="CU59:DD60"/>
    <mergeCell ref="DE59:DN60"/>
    <mergeCell ref="DO59:DV60"/>
    <mergeCell ref="DW59:EF60"/>
    <mergeCell ref="FE55:FN56"/>
    <mergeCell ref="FO55:FX56"/>
    <mergeCell ref="HS56:IF57"/>
    <mergeCell ref="IQ56:IZ57"/>
    <mergeCell ref="EG55:EN56"/>
    <mergeCell ref="EO55:EV56"/>
    <mergeCell ref="FO59:FX60"/>
    <mergeCell ref="HS60:IF61"/>
    <mergeCell ref="EG61:EN62"/>
    <mergeCell ref="EO61:EV62"/>
    <mergeCell ref="EW61:FD62"/>
    <mergeCell ref="FE61:FN62"/>
    <mergeCell ref="IQ58:IZ59"/>
    <mergeCell ref="EW57:FD58"/>
    <mergeCell ref="FE57:FN58"/>
    <mergeCell ref="FO57:FX58"/>
    <mergeCell ref="FY58:GH59"/>
    <mergeCell ref="GI58:GT59"/>
    <mergeCell ref="HS58:IF59"/>
    <mergeCell ref="FO61:FX62"/>
    <mergeCell ref="FY62:GT63"/>
    <mergeCell ref="HS62:IF63"/>
    <mergeCell ref="IQ62:IZ63"/>
    <mergeCell ref="DO53:DV54"/>
    <mergeCell ref="DW53:EF54"/>
    <mergeCell ref="EG53:EN54"/>
    <mergeCell ref="EO53:EV54"/>
    <mergeCell ref="EW53:FD54"/>
    <mergeCell ref="L57:N58"/>
    <mergeCell ref="P57:BC58"/>
    <mergeCell ref="BD57:CG58"/>
    <mergeCell ref="CH57:CL58"/>
    <mergeCell ref="CP57:CT58"/>
    <mergeCell ref="CU55:DD56"/>
    <mergeCell ref="DE55:DN56"/>
    <mergeCell ref="DO55:DV56"/>
    <mergeCell ref="DW55:EF56"/>
    <mergeCell ref="DO57:DV58"/>
    <mergeCell ref="DW57:EF58"/>
    <mergeCell ref="EG57:EN58"/>
    <mergeCell ref="EO57:EV58"/>
    <mergeCell ref="EW55:FD56"/>
    <mergeCell ref="CU57:DD58"/>
    <mergeCell ref="DE57:DN58"/>
    <mergeCell ref="IQ52:IZ53"/>
    <mergeCell ref="L53:N54"/>
    <mergeCell ref="P53:BC54"/>
    <mergeCell ref="BD53:CG54"/>
    <mergeCell ref="CH53:CL54"/>
    <mergeCell ref="CP53:CT54"/>
    <mergeCell ref="CU53:DD54"/>
    <mergeCell ref="DE51:DN52"/>
    <mergeCell ref="DO51:DV52"/>
    <mergeCell ref="DW51:EF52"/>
    <mergeCell ref="EG51:EN52"/>
    <mergeCell ref="EO51:EV52"/>
    <mergeCell ref="EW51:FD52"/>
    <mergeCell ref="FE53:FN54"/>
    <mergeCell ref="FO53:FX54"/>
    <mergeCell ref="FY54:GT57"/>
    <mergeCell ref="HS54:IF55"/>
    <mergeCell ref="IQ54:IZ55"/>
    <mergeCell ref="L55:N56"/>
    <mergeCell ref="P55:BC56"/>
    <mergeCell ref="BD55:CG56"/>
    <mergeCell ref="CH55:CL56"/>
    <mergeCell ref="CP55:CT56"/>
    <mergeCell ref="DE53:DN54"/>
    <mergeCell ref="IQ50:IZ51"/>
    <mergeCell ref="L51:N52"/>
    <mergeCell ref="P51:BC52"/>
    <mergeCell ref="BD51:CG52"/>
    <mergeCell ref="CH51:CL52"/>
    <mergeCell ref="CP51:CT52"/>
    <mergeCell ref="CU51:DD52"/>
    <mergeCell ref="DE49:DN50"/>
    <mergeCell ref="DO49:DV50"/>
    <mergeCell ref="DW49:EF50"/>
    <mergeCell ref="EG49:EN50"/>
    <mergeCell ref="EO49:EV50"/>
    <mergeCell ref="EW49:FD50"/>
    <mergeCell ref="FY48:GH49"/>
    <mergeCell ref="GI48:GT49"/>
    <mergeCell ref="HS48:IF49"/>
    <mergeCell ref="IQ48:IZ49"/>
    <mergeCell ref="L49:N50"/>
    <mergeCell ref="P49:BC50"/>
    <mergeCell ref="BD49:CG50"/>
    <mergeCell ref="CH49:CL50"/>
    <mergeCell ref="FE51:FN52"/>
    <mergeCell ref="FO51:FX52"/>
    <mergeCell ref="HS52:IF53"/>
    <mergeCell ref="CP49:CT50"/>
    <mergeCell ref="CU49:DD50"/>
    <mergeCell ref="DW47:EF48"/>
    <mergeCell ref="EG47:EN48"/>
    <mergeCell ref="EO47:EV48"/>
    <mergeCell ref="EW47:FD48"/>
    <mergeCell ref="FE47:FN48"/>
    <mergeCell ref="FO47:FX48"/>
    <mergeCell ref="HS46:IF47"/>
    <mergeCell ref="DE45:DN46"/>
    <mergeCell ref="FE49:FN50"/>
    <mergeCell ref="FO49:FX50"/>
    <mergeCell ref="HS50:IF51"/>
    <mergeCell ref="IQ46:IZ47"/>
    <mergeCell ref="L47:N48"/>
    <mergeCell ref="P47:BC48"/>
    <mergeCell ref="BD47:CG48"/>
    <mergeCell ref="CH47:CL48"/>
    <mergeCell ref="CP47:CT48"/>
    <mergeCell ref="CU47:DD48"/>
    <mergeCell ref="DE47:DN48"/>
    <mergeCell ref="DO47:DV48"/>
    <mergeCell ref="DO45:DV46"/>
    <mergeCell ref="DW45:EF46"/>
    <mergeCell ref="EG45:EN46"/>
    <mergeCell ref="EO45:EV46"/>
    <mergeCell ref="EW45:FD46"/>
    <mergeCell ref="FE45:FN46"/>
    <mergeCell ref="GI44:GT45"/>
    <mergeCell ref="HS44:IF45"/>
    <mergeCell ref="IQ44:IZ45"/>
    <mergeCell ref="L45:N46"/>
    <mergeCell ref="P45:BC46"/>
    <mergeCell ref="BD45:CG46"/>
    <mergeCell ref="CH45:CL46"/>
    <mergeCell ref="CP45:CT46"/>
    <mergeCell ref="CU45:DD46"/>
    <mergeCell ref="L41:N42"/>
    <mergeCell ref="P41:BC42"/>
    <mergeCell ref="BD41:CG42"/>
    <mergeCell ref="CH41:CL42"/>
    <mergeCell ref="CP41:CT42"/>
    <mergeCell ref="CU41:DD42"/>
    <mergeCell ref="L43:N44"/>
    <mergeCell ref="P43:BC44"/>
    <mergeCell ref="BD43:CG44"/>
    <mergeCell ref="CH43:CL44"/>
    <mergeCell ref="CP43:CT44"/>
    <mergeCell ref="CU43:DD44"/>
    <mergeCell ref="IQ40:IZ41"/>
    <mergeCell ref="FE41:FN42"/>
    <mergeCell ref="FO41:FX42"/>
    <mergeCell ref="GI42:GT43"/>
    <mergeCell ref="HS42:IF43"/>
    <mergeCell ref="IQ38:IZ39"/>
    <mergeCell ref="DE41:DN42"/>
    <mergeCell ref="DO41:DV42"/>
    <mergeCell ref="DW41:EF42"/>
    <mergeCell ref="EG41:EN42"/>
    <mergeCell ref="EO41:EV42"/>
    <mergeCell ref="EW41:FD42"/>
    <mergeCell ref="DE43:DN44"/>
    <mergeCell ref="DO43:DV44"/>
    <mergeCell ref="DW43:EF44"/>
    <mergeCell ref="EG43:EN44"/>
    <mergeCell ref="EO43:EV44"/>
    <mergeCell ref="EW43:FD44"/>
    <mergeCell ref="FE43:FN44"/>
    <mergeCell ref="FO43:FX44"/>
    <mergeCell ref="FY44:GH45"/>
    <mergeCell ref="FO45:FX46"/>
    <mergeCell ref="FY46:GT47"/>
    <mergeCell ref="IQ42:IZ43"/>
    <mergeCell ref="EO39:EV40"/>
    <mergeCell ref="EW39:FD40"/>
    <mergeCell ref="FO37:FX38"/>
    <mergeCell ref="FY38:GT39"/>
    <mergeCell ref="HS38:IF39"/>
    <mergeCell ref="EO37:EV38"/>
    <mergeCell ref="EW37:FD38"/>
    <mergeCell ref="FE37:FN38"/>
    <mergeCell ref="GI36:GT37"/>
    <mergeCell ref="HS36:IF37"/>
    <mergeCell ref="FE39:FN40"/>
    <mergeCell ref="FO39:FX40"/>
    <mergeCell ref="FY40:GH41"/>
    <mergeCell ref="GI40:GT41"/>
    <mergeCell ref="HS40:IF41"/>
    <mergeCell ref="L39:N40"/>
    <mergeCell ref="P39:BC40"/>
    <mergeCell ref="BD39:CG40"/>
    <mergeCell ref="CH39:CL40"/>
    <mergeCell ref="CP39:CT40"/>
    <mergeCell ref="CU39:DD40"/>
    <mergeCell ref="DO37:DV38"/>
    <mergeCell ref="DW37:EF38"/>
    <mergeCell ref="EG37:EN38"/>
    <mergeCell ref="DE39:DN40"/>
    <mergeCell ref="DO39:DV40"/>
    <mergeCell ref="DW39:EF40"/>
    <mergeCell ref="EG39:EN40"/>
    <mergeCell ref="L37:N38"/>
    <mergeCell ref="P37:BC38"/>
    <mergeCell ref="BD37:CG38"/>
    <mergeCell ref="CH37:CL38"/>
    <mergeCell ref="CP37:CT38"/>
    <mergeCell ref="CU37:DD38"/>
    <mergeCell ref="DE37:DN38"/>
    <mergeCell ref="EG35:EN36"/>
    <mergeCell ref="EO35:EV36"/>
    <mergeCell ref="EW35:FD36"/>
    <mergeCell ref="FE35:FN36"/>
    <mergeCell ref="GI34:GT35"/>
    <mergeCell ref="HS34:IF35"/>
    <mergeCell ref="IQ34:IZ35"/>
    <mergeCell ref="L35:N36"/>
    <mergeCell ref="P35:BC36"/>
    <mergeCell ref="BD35:CG36"/>
    <mergeCell ref="CH35:CL36"/>
    <mergeCell ref="CP35:CT36"/>
    <mergeCell ref="CU35:DD36"/>
    <mergeCell ref="DE35:DN36"/>
    <mergeCell ref="DO35:DV36"/>
    <mergeCell ref="DW35:EF36"/>
    <mergeCell ref="EW33:FD34"/>
    <mergeCell ref="FE33:FN34"/>
    <mergeCell ref="GI32:GT33"/>
    <mergeCell ref="HS32:IF33"/>
    <mergeCell ref="IQ32:IZ33"/>
    <mergeCell ref="EW31:FD32"/>
    <mergeCell ref="FE31:FN32"/>
    <mergeCell ref="FO31:FX32"/>
    <mergeCell ref="FY32:GH33"/>
    <mergeCell ref="FO33:FX34"/>
    <mergeCell ref="FY34:GH35"/>
    <mergeCell ref="FO35:FX36"/>
    <mergeCell ref="FY36:GH37"/>
    <mergeCell ref="IQ30:IZ31"/>
    <mergeCell ref="EW29:FD30"/>
    <mergeCell ref="FE29:FN30"/>
    <mergeCell ref="FO29:FX30"/>
    <mergeCell ref="FY29:GH30"/>
    <mergeCell ref="GI29:GT30"/>
    <mergeCell ref="HS30:IF31"/>
    <mergeCell ref="IQ36:IZ37"/>
    <mergeCell ref="HS28:IF29"/>
    <mergeCell ref="IQ28:IZ29"/>
    <mergeCell ref="EW27:FD28"/>
    <mergeCell ref="FE27:FN28"/>
    <mergeCell ref="FO27:FX28"/>
    <mergeCell ref="FY27:GH28"/>
    <mergeCell ref="GI27:GT28"/>
    <mergeCell ref="L33:N34"/>
    <mergeCell ref="P33:BC34"/>
    <mergeCell ref="BD33:CG34"/>
    <mergeCell ref="CH33:CL34"/>
    <mergeCell ref="CP33:CT34"/>
    <mergeCell ref="CU33:DD34"/>
    <mergeCell ref="DE33:DN34"/>
    <mergeCell ref="EG31:EN32"/>
    <mergeCell ref="EO31:EV32"/>
    <mergeCell ref="L31:N32"/>
    <mergeCell ref="P31:BC32"/>
    <mergeCell ref="BD31:CG32"/>
    <mergeCell ref="CH31:CL32"/>
    <mergeCell ref="CP31:CT32"/>
    <mergeCell ref="CU31:DD32"/>
    <mergeCell ref="DE31:DN32"/>
    <mergeCell ref="DO31:DV32"/>
    <mergeCell ref="DW31:EF32"/>
    <mergeCell ref="DO33:DV34"/>
    <mergeCell ref="DW33:EF34"/>
    <mergeCell ref="EG33:EN34"/>
    <mergeCell ref="EO33:EV34"/>
    <mergeCell ref="L29:N30"/>
    <mergeCell ref="P29:BC30"/>
    <mergeCell ref="BD29:CG30"/>
    <mergeCell ref="CH29:CL30"/>
    <mergeCell ref="CP29:CT30"/>
    <mergeCell ref="DO27:DV28"/>
    <mergeCell ref="DW27:EF28"/>
    <mergeCell ref="EG27:EN28"/>
    <mergeCell ref="EO27:EV28"/>
    <mergeCell ref="CU29:DD30"/>
    <mergeCell ref="DE29:DN30"/>
    <mergeCell ref="DO29:DV30"/>
    <mergeCell ref="DW29:EF30"/>
    <mergeCell ref="EG29:EN30"/>
    <mergeCell ref="EO29:EV30"/>
    <mergeCell ref="FY25:GT26"/>
    <mergeCell ref="HS26:IF27"/>
    <mergeCell ref="IQ26:IZ27"/>
    <mergeCell ref="L27:N28"/>
    <mergeCell ref="P27:BC28"/>
    <mergeCell ref="BD27:CG28"/>
    <mergeCell ref="CH27:CL28"/>
    <mergeCell ref="CP27:CT28"/>
    <mergeCell ref="CU27:DD28"/>
    <mergeCell ref="DE27:DN28"/>
    <mergeCell ref="DW25:EF26"/>
    <mergeCell ref="EG25:EN26"/>
    <mergeCell ref="EO25:EV26"/>
    <mergeCell ref="EW25:FD26"/>
    <mergeCell ref="FE25:FN26"/>
    <mergeCell ref="FO25:FX26"/>
    <mergeCell ref="HS24:IF25"/>
    <mergeCell ref="IQ24:IZ25"/>
    <mergeCell ref="L25:N26"/>
    <mergeCell ref="P25:BC26"/>
    <mergeCell ref="BD25:CG26"/>
    <mergeCell ref="CH25:CL26"/>
    <mergeCell ref="CP25:CT26"/>
    <mergeCell ref="CU25:DD26"/>
    <mergeCell ref="DE25:DN26"/>
    <mergeCell ref="DO25:DV26"/>
    <mergeCell ref="EG23:EN24"/>
    <mergeCell ref="EO23:EV24"/>
    <mergeCell ref="EW23:FD24"/>
    <mergeCell ref="FE23:FN24"/>
    <mergeCell ref="FO23:FX24"/>
    <mergeCell ref="FY23:GT24"/>
    <mergeCell ref="IQ22:IZ23"/>
    <mergeCell ref="EG21:EN22"/>
    <mergeCell ref="EO21:EV22"/>
    <mergeCell ref="EW21:FD22"/>
    <mergeCell ref="FE21:FN22"/>
    <mergeCell ref="FO21:FX22"/>
    <mergeCell ref="FY21:GH22"/>
    <mergeCell ref="IQ20:IZ21"/>
    <mergeCell ref="EW19:FD20"/>
    <mergeCell ref="FE19:FN20"/>
    <mergeCell ref="FO19:FX20"/>
    <mergeCell ref="FY19:GH20"/>
    <mergeCell ref="GI19:GT20"/>
    <mergeCell ref="HS20:IF21"/>
    <mergeCell ref="GI21:GT22"/>
    <mergeCell ref="HS22:IF23"/>
    <mergeCell ref="L23:N24"/>
    <mergeCell ref="P23:BC24"/>
    <mergeCell ref="BD23:CG24"/>
    <mergeCell ref="CH23:CL24"/>
    <mergeCell ref="CP23:CT24"/>
    <mergeCell ref="CU23:DD24"/>
    <mergeCell ref="DE23:DN24"/>
    <mergeCell ref="DO23:DV24"/>
    <mergeCell ref="DW23:EF24"/>
    <mergeCell ref="DW19:EF20"/>
    <mergeCell ref="EG19:EN20"/>
    <mergeCell ref="EO19:EV20"/>
    <mergeCell ref="FE17:FN18"/>
    <mergeCell ref="FO17:FX18"/>
    <mergeCell ref="FY17:GT18"/>
    <mergeCell ref="L21:N22"/>
    <mergeCell ref="P21:BC22"/>
    <mergeCell ref="BD21:CG22"/>
    <mergeCell ref="CH21:CL22"/>
    <mergeCell ref="CP21:CT22"/>
    <mergeCell ref="CU21:DD22"/>
    <mergeCell ref="DE21:DN22"/>
    <mergeCell ref="DO21:DV22"/>
    <mergeCell ref="DW21:EF22"/>
    <mergeCell ref="L12:CT14"/>
    <mergeCell ref="CU14:EN14"/>
    <mergeCell ref="HS18:IF19"/>
    <mergeCell ref="IQ18:IZ19"/>
    <mergeCell ref="L19:N20"/>
    <mergeCell ref="P19:BC20"/>
    <mergeCell ref="BD19:CG20"/>
    <mergeCell ref="CH19:CL20"/>
    <mergeCell ref="CP19:CT20"/>
    <mergeCell ref="DE17:DN18"/>
    <mergeCell ref="DO17:DV18"/>
    <mergeCell ref="DW17:EF18"/>
    <mergeCell ref="EG17:EN18"/>
    <mergeCell ref="EO17:EV18"/>
    <mergeCell ref="EW17:FD18"/>
    <mergeCell ref="L17:N18"/>
    <mergeCell ref="P17:BC18"/>
    <mergeCell ref="BD17:CG18"/>
    <mergeCell ref="CH17:CL18"/>
    <mergeCell ref="CP17:CT18"/>
    <mergeCell ref="CU17:DD18"/>
    <mergeCell ref="CU19:DD20"/>
    <mergeCell ref="DE19:DN20"/>
    <mergeCell ref="DO19:DV20"/>
    <mergeCell ref="EG15:EN16"/>
    <mergeCell ref="EO15:EV16"/>
    <mergeCell ref="EW15:FD16"/>
    <mergeCell ref="FE15:FN16"/>
    <mergeCell ref="FO15:FX16"/>
    <mergeCell ref="FY15:GT16"/>
    <mergeCell ref="L15:N16"/>
    <mergeCell ref="P15:BC16"/>
    <mergeCell ref="BD15:CG16"/>
    <mergeCell ref="CH15:CO16"/>
    <mergeCell ref="CP15:CT16"/>
    <mergeCell ref="CU15:DD16"/>
    <mergeCell ref="DE15:DN16"/>
    <mergeCell ref="DO15:DV16"/>
    <mergeCell ref="DW15:EF1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7" orientation="portrait" r:id="rId1"/>
  <headerFooter>
    <oddFooter>&amp;C&amp;9&amp;K00-034&amp;A
&amp;Z
&amp;F&amp;R&amp;9&amp;K00-034&amp;D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1292" r:id="rId4" name="CommandButton28">
          <controlPr defaultSize="0" autoLine="0" r:id="rId5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11292" r:id="rId4" name="CommandButton28"/>
      </mc:Fallback>
    </mc:AlternateContent>
    <mc:AlternateContent xmlns:mc="http://schemas.openxmlformats.org/markup-compatibility/2006">
      <mc:Choice Requires="x14">
        <control shapeId="11291" r:id="rId6" name="CommandButton27">
          <controlPr defaultSize="0" autoLine="0" r:id="rId7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11291" r:id="rId6" name="CommandButton27"/>
      </mc:Fallback>
    </mc:AlternateContent>
    <mc:AlternateContent xmlns:mc="http://schemas.openxmlformats.org/markup-compatibility/2006">
      <mc:Choice Requires="x14">
        <control shapeId="11290" r:id="rId8" name="CommandButton26">
          <controlPr defaultSize="0" autoLine="0" r:id="rId9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11290" r:id="rId8" name="CommandButton26"/>
      </mc:Fallback>
    </mc:AlternateContent>
    <mc:AlternateContent xmlns:mc="http://schemas.openxmlformats.org/markup-compatibility/2006">
      <mc:Choice Requires="x14">
        <control shapeId="11289" r:id="rId10" name="CommandButton25">
          <controlPr defaultSize="0" autoLine="0" r:id="rId11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11289" r:id="rId10" name="CommandButton25"/>
      </mc:Fallback>
    </mc:AlternateContent>
    <mc:AlternateContent xmlns:mc="http://schemas.openxmlformats.org/markup-compatibility/2006">
      <mc:Choice Requires="x14">
        <control shapeId="11288" r:id="rId12" name="CommandButton24">
          <controlPr defaultSize="0" autoLine="0" r:id="rId1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11288" r:id="rId12" name="CommandButton24"/>
      </mc:Fallback>
    </mc:AlternateContent>
    <mc:AlternateContent xmlns:mc="http://schemas.openxmlformats.org/markup-compatibility/2006">
      <mc:Choice Requires="x14">
        <control shapeId="11287" r:id="rId14" name="CommandButton23">
          <controlPr defaultSize="0" autoLine="0" r:id="rId15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11287" r:id="rId14" name="CommandButton23"/>
      </mc:Fallback>
    </mc:AlternateContent>
    <mc:AlternateContent xmlns:mc="http://schemas.openxmlformats.org/markup-compatibility/2006">
      <mc:Choice Requires="x14">
        <control shapeId="11286" r:id="rId16" name="CommandButton22">
          <controlPr defaultSize="0" autoLine="0" r:id="rId17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11286" r:id="rId16" name="CommandButton22"/>
      </mc:Fallback>
    </mc:AlternateContent>
    <mc:AlternateContent xmlns:mc="http://schemas.openxmlformats.org/markup-compatibility/2006">
      <mc:Choice Requires="x14">
        <control shapeId="11285" r:id="rId18" name="CommandButton21">
          <controlPr defaultSize="0" autoLine="0" r:id="rId19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11285" r:id="rId18" name="CommandButton21"/>
      </mc:Fallback>
    </mc:AlternateContent>
    <mc:AlternateContent xmlns:mc="http://schemas.openxmlformats.org/markup-compatibility/2006">
      <mc:Choice Requires="x14">
        <control shapeId="11284" r:id="rId20" name="CommandButton20">
          <controlPr defaultSize="0" autoLine="0" r:id="rId21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11284" r:id="rId20" name="CommandButton20"/>
      </mc:Fallback>
    </mc:AlternateContent>
    <mc:AlternateContent xmlns:mc="http://schemas.openxmlformats.org/markup-compatibility/2006">
      <mc:Choice Requires="x14">
        <control shapeId="11283" r:id="rId22" name="CommandButton19">
          <controlPr defaultSize="0" autoLine="0" r:id="rId2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11283" r:id="rId22" name="CommandButton19"/>
      </mc:Fallback>
    </mc:AlternateContent>
    <mc:AlternateContent xmlns:mc="http://schemas.openxmlformats.org/markup-compatibility/2006">
      <mc:Choice Requires="x14">
        <control shapeId="11282" r:id="rId24" name="CommandButton18">
          <controlPr defaultSize="0" autoLine="0" r:id="rId25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11282" r:id="rId24" name="CommandButton18"/>
      </mc:Fallback>
    </mc:AlternateContent>
    <mc:AlternateContent xmlns:mc="http://schemas.openxmlformats.org/markup-compatibility/2006">
      <mc:Choice Requires="x14">
        <control shapeId="11281" r:id="rId26" name="CommandButton17">
          <controlPr defaultSize="0" autoLine="0" r:id="rId27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11281" r:id="rId26" name="CommandButton17"/>
      </mc:Fallback>
    </mc:AlternateContent>
    <mc:AlternateContent xmlns:mc="http://schemas.openxmlformats.org/markup-compatibility/2006">
      <mc:Choice Requires="x14">
        <control shapeId="11280" r:id="rId28" name="CommandButton16">
          <controlPr defaultSize="0" autoLine="0" r:id="rId29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11280" r:id="rId28" name="CommandButton16"/>
      </mc:Fallback>
    </mc:AlternateContent>
    <mc:AlternateContent xmlns:mc="http://schemas.openxmlformats.org/markup-compatibility/2006">
      <mc:Choice Requires="x14">
        <control shapeId="11279" r:id="rId30" name="CommandButton15">
          <controlPr defaultSize="0" autoLine="0" r:id="rId31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11279" r:id="rId30" name="CommandButton15"/>
      </mc:Fallback>
    </mc:AlternateContent>
    <mc:AlternateContent xmlns:mc="http://schemas.openxmlformats.org/markup-compatibility/2006">
      <mc:Choice Requires="x14">
        <control shapeId="11278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11278" r:id="rId32" name="CommandButton14"/>
      </mc:Fallback>
    </mc:AlternateContent>
    <mc:AlternateContent xmlns:mc="http://schemas.openxmlformats.org/markup-compatibility/2006">
      <mc:Choice Requires="x14">
        <control shapeId="11277" r:id="rId34" name="CommandButton13">
          <controlPr defaultSize="0" autoLine="0" r:id="rId35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11277" r:id="rId34" name="CommandButton13"/>
      </mc:Fallback>
    </mc:AlternateContent>
    <mc:AlternateContent xmlns:mc="http://schemas.openxmlformats.org/markup-compatibility/2006">
      <mc:Choice Requires="x14">
        <control shapeId="11276" r:id="rId36" name="CommandButton12">
          <controlPr defaultSize="0" autoLine="0" r:id="rId37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11276" r:id="rId36" name="CommandButton12"/>
      </mc:Fallback>
    </mc:AlternateContent>
    <mc:AlternateContent xmlns:mc="http://schemas.openxmlformats.org/markup-compatibility/2006">
      <mc:Choice Requires="x14">
        <control shapeId="11275" r:id="rId38" name="CommandButton11">
          <controlPr defaultSize="0" autoLine="0" r:id="rId39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11275" r:id="rId38" name="CommandButton11"/>
      </mc:Fallback>
    </mc:AlternateContent>
    <mc:AlternateContent xmlns:mc="http://schemas.openxmlformats.org/markup-compatibility/2006">
      <mc:Choice Requires="x14">
        <control shapeId="11274" r:id="rId40" name="CommandButton10">
          <controlPr defaultSize="0" autoLine="0" r:id="rId41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11274" r:id="rId40" name="CommandButton10"/>
      </mc:Fallback>
    </mc:AlternateContent>
    <mc:AlternateContent xmlns:mc="http://schemas.openxmlformats.org/markup-compatibility/2006">
      <mc:Choice Requires="x14">
        <control shapeId="11273" r:id="rId42" name="CommandButton9">
          <controlPr defaultSize="0" autoLine="0" r:id="rId4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1273" r:id="rId42" name="CommandButton9"/>
      </mc:Fallback>
    </mc:AlternateContent>
    <mc:AlternateContent xmlns:mc="http://schemas.openxmlformats.org/markup-compatibility/2006">
      <mc:Choice Requires="x14">
        <control shapeId="11272" r:id="rId44" name="CommandButton8">
          <controlPr defaultSize="0" autoLine="0" r:id="rId45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11272" r:id="rId44" name="CommandButton8"/>
      </mc:Fallback>
    </mc:AlternateContent>
    <mc:AlternateContent xmlns:mc="http://schemas.openxmlformats.org/markup-compatibility/2006">
      <mc:Choice Requires="x14">
        <control shapeId="11271" r:id="rId46" name="CommandButton7">
          <controlPr defaultSize="0" autoLine="0" r:id="rId47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1271" r:id="rId46" name="CommandButton7"/>
      </mc:Fallback>
    </mc:AlternateContent>
    <mc:AlternateContent xmlns:mc="http://schemas.openxmlformats.org/markup-compatibility/2006">
      <mc:Choice Requires="x14">
        <control shapeId="11270" r:id="rId48" name="CommandButton6">
          <controlPr defaultSize="0" autoLine="0" r:id="rId49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11270" r:id="rId48" name="CommandButton6"/>
      </mc:Fallback>
    </mc:AlternateContent>
    <mc:AlternateContent xmlns:mc="http://schemas.openxmlformats.org/markup-compatibility/2006">
      <mc:Choice Requires="x14">
        <control shapeId="11269" r:id="rId50" name="CommandButton5">
          <controlPr defaultSize="0" autoLine="0" r:id="rId51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11269" r:id="rId50" name="CommandButton5"/>
      </mc:Fallback>
    </mc:AlternateContent>
    <mc:AlternateContent xmlns:mc="http://schemas.openxmlformats.org/markup-compatibility/2006">
      <mc:Choice Requires="x14">
        <control shapeId="11268" r:id="rId52" name="CommandButton4">
          <controlPr defaultSize="0" autoLine="0" r:id="rId5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11268" r:id="rId52" name="CommandButton4"/>
      </mc:Fallback>
    </mc:AlternateContent>
    <mc:AlternateContent xmlns:mc="http://schemas.openxmlformats.org/markup-compatibility/2006">
      <mc:Choice Requires="x14">
        <control shapeId="11267" r:id="rId54" name="CommandButton3">
          <controlPr defaultSize="0" autoLine="0" r:id="rId55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11267" r:id="rId54" name="CommandButton3"/>
      </mc:Fallback>
    </mc:AlternateContent>
    <mc:AlternateContent xmlns:mc="http://schemas.openxmlformats.org/markup-compatibility/2006">
      <mc:Choice Requires="x14">
        <control shapeId="11266" r:id="rId56" name="CommandButton2">
          <controlPr defaultSize="0" autoLine="0" r:id="rId57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11266" r:id="rId56" name="CommandButton2"/>
      </mc:Fallback>
    </mc:AlternateContent>
    <mc:AlternateContent xmlns:mc="http://schemas.openxmlformats.org/markup-compatibility/2006">
      <mc:Choice Requires="x14">
        <control shapeId="11265" r:id="rId58" name="CommandButton1">
          <controlPr defaultSize="0" autoLine="0" r:id="rId59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11265" r:id="rId58" name="CommandButton1"/>
      </mc:Fallback>
    </mc:AlternateContent>
    <mc:AlternateContent xmlns:mc="http://schemas.openxmlformats.org/markup-compatibility/2006">
      <mc:Choice Requires="x14">
        <control shapeId="11293" r:id="rId60" name="cmd_ArbeitsgangSet">
          <controlPr defaultSize="0" autoLine="0" r:id="rId61">
            <anchor moveWithCells="1">
              <from>
                <xdr:col>144</xdr:col>
                <xdr:colOff>0</xdr:colOff>
                <xdr:row>11</xdr:row>
                <xdr:rowOff>19050</xdr:rowOff>
              </from>
              <to>
                <xdr:col>150</xdr:col>
                <xdr:colOff>9525</xdr:colOff>
                <xdr:row>13</xdr:row>
                <xdr:rowOff>200025</xdr:rowOff>
              </to>
            </anchor>
          </controlPr>
        </control>
      </mc:Choice>
      <mc:Fallback>
        <control shapeId="11293" r:id="rId60" name="cmd_Arbeitsgang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Z483"/>
  <sheetViews>
    <sheetView showGridLines="0" showRowColHeaders="0" showZeros="0" topLeftCell="A6" zoomScale="130" zoomScaleNormal="130" workbookViewId="0">
      <selection activeCell="DV62" sqref="DV61:DV62"/>
    </sheetView>
  </sheetViews>
  <sheetFormatPr baseColWidth="10" defaultColWidth="0" defaultRowHeight="0" customHeight="1" zeroHeight="1" x14ac:dyDescent="0.15"/>
  <cols>
    <col min="1" max="13" width="0.85546875" style="14" customWidth="1"/>
    <col min="14" max="14" width="1" style="14" customWidth="1"/>
    <col min="15" max="18" width="0.85546875" style="14" customWidth="1"/>
    <col min="19" max="19" width="2.42578125" style="14" customWidth="1"/>
    <col min="20" max="30" width="0.85546875" style="14" customWidth="1"/>
    <col min="31" max="31" width="1.5703125" style="14" customWidth="1"/>
    <col min="32" max="43" width="0.85546875" style="14" customWidth="1"/>
    <col min="44" max="44" width="1.42578125" style="14" customWidth="1"/>
    <col min="45" max="60" width="0.85546875" style="14" customWidth="1"/>
    <col min="61" max="61" width="1.85546875" style="14" customWidth="1"/>
    <col min="62" max="129" width="0.85546875" style="14" customWidth="1"/>
    <col min="130" max="130" width="0.7109375" style="14" customWidth="1"/>
    <col min="131" max="16384" width="0.7109375" style="14" hidden="1"/>
  </cols>
  <sheetData>
    <row r="1" spans="1:130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30" s="2" customFormat="1" ht="4.5" hidden="1" customHeight="1" x14ac:dyDescent="0.25">
      <c r="A2" s="1">
        <v>9</v>
      </c>
      <c r="B2" s="1"/>
      <c r="C2" s="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BX2" s="2" t="s">
        <v>7</v>
      </c>
    </row>
    <row r="3" spans="1:130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30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30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30" s="2" customFormat="1" ht="4.5" customHeight="1" x14ac:dyDescent="0.15">
      <c r="A6" s="1">
        <v>1</v>
      </c>
      <c r="B6" s="1">
        <v>2</v>
      </c>
      <c r="C6" s="2">
        <v>3</v>
      </c>
      <c r="D6" s="2">
        <v>4</v>
      </c>
      <c r="E6" s="2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205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30" s="2" customFormat="1" ht="4.5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130" s="2" customFormat="1" ht="11.2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1031" t="s">
        <v>246</v>
      </c>
      <c r="P8" s="1031"/>
      <c r="Q8" s="1031"/>
      <c r="R8" s="1031"/>
      <c r="S8" s="1031"/>
      <c r="T8" s="1031"/>
      <c r="U8" s="1031"/>
      <c r="V8" s="1031"/>
      <c r="W8" s="1031"/>
      <c r="X8" s="1031"/>
      <c r="Y8" s="1031"/>
      <c r="Z8" s="1031"/>
      <c r="AA8" s="1031"/>
      <c r="AB8" s="1031"/>
      <c r="AC8" s="1031"/>
      <c r="AD8" s="1031"/>
      <c r="AE8" s="1031"/>
      <c r="AF8" s="1031"/>
      <c r="AG8" s="1031"/>
      <c r="AH8" s="1031"/>
      <c r="AI8" s="1031"/>
      <c r="AJ8" s="1031"/>
      <c r="AK8" s="1031"/>
      <c r="AL8" s="1031"/>
      <c r="AM8" s="1031"/>
      <c r="AN8" s="1031"/>
      <c r="AO8" s="1031"/>
      <c r="AP8" s="1031"/>
      <c r="AQ8" s="1031"/>
      <c r="AR8" s="1031"/>
      <c r="AS8" s="1031"/>
      <c r="AT8" s="1031"/>
      <c r="AU8" s="1031"/>
      <c r="AV8" s="1031"/>
      <c r="AW8" s="1031"/>
      <c r="AX8" s="1031"/>
      <c r="AY8" s="1031"/>
      <c r="AZ8" s="1031"/>
      <c r="BA8" s="1031"/>
      <c r="BB8" s="1031"/>
      <c r="BC8" s="1031"/>
      <c r="BD8" s="1031"/>
      <c r="BE8" s="1031"/>
      <c r="BF8" s="1031"/>
      <c r="BG8" s="1031"/>
      <c r="BH8" s="1031"/>
      <c r="BI8" s="1031"/>
      <c r="BJ8" s="1031"/>
      <c r="BK8" s="1031"/>
      <c r="BL8" s="1031"/>
      <c r="BM8" s="1031"/>
      <c r="BN8" s="1031"/>
      <c r="BO8" s="1031"/>
      <c r="BP8" s="1031"/>
      <c r="BQ8" s="1031"/>
      <c r="BR8" s="1031"/>
      <c r="BS8" s="1031"/>
      <c r="BT8" s="1031"/>
      <c r="BU8" s="1031"/>
      <c r="BV8" s="1031"/>
      <c r="BW8" s="1031"/>
      <c r="BX8" s="1031"/>
      <c r="BY8" s="1031"/>
      <c r="BZ8" s="1031"/>
      <c r="CA8" s="1031"/>
      <c r="CB8" s="1031"/>
      <c r="CC8" s="1031"/>
      <c r="CD8" s="1031"/>
      <c r="CE8" s="1031"/>
      <c r="CF8" s="1031"/>
      <c r="CG8" s="1031"/>
      <c r="CH8" s="1031"/>
      <c r="CI8" s="1031"/>
      <c r="CJ8" s="1031"/>
      <c r="CK8" s="1031"/>
      <c r="CL8" s="1031"/>
      <c r="CM8" s="1031"/>
      <c r="CN8" s="1031"/>
      <c r="CO8" s="1031"/>
      <c r="CP8" s="1031"/>
      <c r="CQ8" s="1031"/>
      <c r="CR8" s="1031"/>
      <c r="CS8" s="1031"/>
      <c r="CT8" s="1031"/>
      <c r="CU8" s="1031"/>
      <c r="CV8" s="1031"/>
      <c r="CW8" s="1031"/>
      <c r="CX8" s="1031"/>
      <c r="CY8" s="1031"/>
      <c r="CZ8" s="1031"/>
      <c r="DA8" s="1031"/>
      <c r="DB8" s="1031"/>
      <c r="DC8" s="1031"/>
      <c r="DD8" s="1031"/>
      <c r="DE8" s="1031"/>
      <c r="DF8" s="1031"/>
      <c r="DG8" s="1031"/>
      <c r="DH8" s="1031"/>
      <c r="DI8" s="1031"/>
      <c r="DJ8" s="1031"/>
      <c r="DK8" s="1031"/>
      <c r="DL8" s="1031"/>
      <c r="DM8" s="1031"/>
      <c r="DN8" s="1031"/>
      <c r="DO8" s="1031"/>
    </row>
    <row r="9" spans="1:130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130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130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2"/>
      <c r="DO11" s="12"/>
      <c r="DP11" s="12"/>
      <c r="DQ11" s="13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7"/>
      <c r="AA12" s="16"/>
      <c r="AB12" s="16"/>
      <c r="AC12" s="16"/>
      <c r="AD12" s="16"/>
      <c r="AE12" s="16"/>
      <c r="AF12" s="17"/>
      <c r="AG12" s="17"/>
      <c r="AH12" s="16"/>
      <c r="AI12" s="16"/>
      <c r="AJ12" s="1032" t="s">
        <v>145</v>
      </c>
      <c r="AK12" s="1033"/>
      <c r="AL12" s="1033"/>
      <c r="AM12" s="1033"/>
      <c r="AN12" s="1033"/>
      <c r="AO12" s="1033"/>
      <c r="AP12" s="1033"/>
      <c r="AQ12" s="1033"/>
      <c r="AR12" s="1033"/>
      <c r="AS12" s="1033"/>
      <c r="AT12" s="1033"/>
      <c r="AU12" s="1033"/>
      <c r="AV12" s="1033"/>
      <c r="AW12" s="1033"/>
      <c r="AX12" s="1033"/>
      <c r="AY12" s="1033"/>
      <c r="AZ12" s="1033"/>
      <c r="BA12" s="1033"/>
      <c r="BB12" s="1033"/>
      <c r="BC12" s="1033"/>
      <c r="BD12" s="1033"/>
      <c r="BE12" s="1033"/>
      <c r="BF12" s="1033"/>
      <c r="BG12" s="1033"/>
      <c r="BH12" s="1033"/>
      <c r="BI12" s="1033"/>
      <c r="BJ12" s="1033"/>
      <c r="BK12" s="1033"/>
      <c r="BL12" s="1033"/>
      <c r="BM12" s="1038" t="str">
        <f>Eingaben!BW13</f>
        <v>Testkalkulation</v>
      </c>
      <c r="BN12" s="1038"/>
      <c r="BO12" s="1038"/>
      <c r="BP12" s="1038"/>
      <c r="BQ12" s="1038"/>
      <c r="BR12" s="1038"/>
      <c r="BS12" s="1038"/>
      <c r="BT12" s="1038"/>
      <c r="BU12" s="1038"/>
      <c r="BV12" s="1038"/>
      <c r="BW12" s="1038"/>
      <c r="BX12" s="1038"/>
      <c r="BY12" s="1038"/>
      <c r="BZ12" s="1038"/>
      <c r="CA12" s="1038"/>
      <c r="CB12" s="1038"/>
      <c r="CC12" s="1038"/>
      <c r="CD12" s="1038"/>
      <c r="CE12" s="1038"/>
      <c r="CF12" s="1038"/>
      <c r="CG12" s="1038"/>
      <c r="CH12" s="1038"/>
      <c r="CI12" s="1038"/>
      <c r="CJ12" s="1038"/>
      <c r="CK12" s="1038"/>
      <c r="CL12" s="1038"/>
      <c r="CM12" s="1038"/>
      <c r="CN12" s="1038"/>
      <c r="CO12" s="1038"/>
      <c r="CP12" s="1039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4.5" customHeight="1" x14ac:dyDescent="0.15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034"/>
      <c r="AK13" s="1035"/>
      <c r="AL13" s="1035"/>
      <c r="AM13" s="1035"/>
      <c r="AN13" s="1035"/>
      <c r="AO13" s="1035"/>
      <c r="AP13" s="1035"/>
      <c r="AQ13" s="1035"/>
      <c r="AR13" s="1035"/>
      <c r="AS13" s="1035"/>
      <c r="AT13" s="1035"/>
      <c r="AU13" s="1035"/>
      <c r="AV13" s="1035"/>
      <c r="AW13" s="1035"/>
      <c r="AX13" s="1035"/>
      <c r="AY13" s="1035"/>
      <c r="AZ13" s="1035"/>
      <c r="BA13" s="1035"/>
      <c r="BB13" s="1035"/>
      <c r="BC13" s="1035"/>
      <c r="BD13" s="1035"/>
      <c r="BE13" s="1035"/>
      <c r="BF13" s="1035"/>
      <c r="BG13" s="1035"/>
      <c r="BH13" s="1035"/>
      <c r="BI13" s="1035"/>
      <c r="BJ13" s="1035"/>
      <c r="BK13" s="1035"/>
      <c r="BL13" s="1035"/>
      <c r="BM13" s="1040"/>
      <c r="BN13" s="1040"/>
      <c r="BO13" s="1040"/>
      <c r="BP13" s="1040"/>
      <c r="BQ13" s="1040"/>
      <c r="BR13" s="1040"/>
      <c r="BS13" s="1040"/>
      <c r="BT13" s="1040"/>
      <c r="BU13" s="1040"/>
      <c r="BV13" s="1040"/>
      <c r="BW13" s="1040"/>
      <c r="BX13" s="1040"/>
      <c r="BY13" s="1040"/>
      <c r="BZ13" s="1040"/>
      <c r="CA13" s="1040"/>
      <c r="CB13" s="1040"/>
      <c r="CC13" s="1040"/>
      <c r="CD13" s="1040"/>
      <c r="CE13" s="1040"/>
      <c r="CF13" s="1040"/>
      <c r="CG13" s="1040"/>
      <c r="CH13" s="1040"/>
      <c r="CI13" s="1040"/>
      <c r="CJ13" s="1040"/>
      <c r="CK13" s="1040"/>
      <c r="CL13" s="1040"/>
      <c r="CM13" s="1040"/>
      <c r="CN13" s="1040"/>
      <c r="CO13" s="1040"/>
      <c r="CP13" s="1041"/>
      <c r="CQ13" s="21"/>
      <c r="CR13" s="21"/>
      <c r="CS13" s="21"/>
      <c r="CU13" s="1044" t="s">
        <v>1</v>
      </c>
      <c r="CV13" s="1044"/>
      <c r="CW13" s="1044"/>
      <c r="CX13" s="1044"/>
      <c r="CY13" s="1044"/>
      <c r="CZ13" s="1044"/>
      <c r="DA13" s="1044"/>
      <c r="DB13" s="1044"/>
      <c r="DC13" s="1044"/>
      <c r="DD13" s="1044"/>
      <c r="DE13" s="1044"/>
      <c r="DF13" s="1044"/>
      <c r="DG13" s="1044"/>
      <c r="DH13" s="1044"/>
      <c r="DI13" s="1044"/>
      <c r="DJ13" s="1044"/>
      <c r="DK13" s="1044"/>
      <c r="DL13" s="1044"/>
      <c r="DM13" s="1044"/>
      <c r="DN13" s="21"/>
      <c r="DO13" s="24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4.5" customHeight="1" x14ac:dyDescent="0.1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034"/>
      <c r="AK14" s="1035"/>
      <c r="AL14" s="1035"/>
      <c r="AM14" s="1035"/>
      <c r="AN14" s="1035"/>
      <c r="AO14" s="1035"/>
      <c r="AP14" s="1035"/>
      <c r="AQ14" s="1035"/>
      <c r="AR14" s="1035"/>
      <c r="AS14" s="1035"/>
      <c r="AT14" s="1035"/>
      <c r="AU14" s="1035"/>
      <c r="AV14" s="1035"/>
      <c r="AW14" s="1035"/>
      <c r="AX14" s="1035"/>
      <c r="AY14" s="1035"/>
      <c r="AZ14" s="1035"/>
      <c r="BA14" s="1035"/>
      <c r="BB14" s="1035"/>
      <c r="BC14" s="1035"/>
      <c r="BD14" s="1035"/>
      <c r="BE14" s="1035"/>
      <c r="BF14" s="1035"/>
      <c r="BG14" s="1035"/>
      <c r="BH14" s="1035"/>
      <c r="BI14" s="1035"/>
      <c r="BJ14" s="1035"/>
      <c r="BK14" s="1035"/>
      <c r="BL14" s="1035"/>
      <c r="BM14" s="1040"/>
      <c r="BN14" s="1040"/>
      <c r="BO14" s="1040"/>
      <c r="BP14" s="1040"/>
      <c r="BQ14" s="1040"/>
      <c r="BR14" s="1040"/>
      <c r="BS14" s="1040"/>
      <c r="BT14" s="1040"/>
      <c r="BU14" s="1040"/>
      <c r="BV14" s="1040"/>
      <c r="BW14" s="1040"/>
      <c r="BX14" s="1040"/>
      <c r="BY14" s="1040"/>
      <c r="BZ14" s="1040"/>
      <c r="CA14" s="1040"/>
      <c r="CB14" s="1040"/>
      <c r="CC14" s="1040"/>
      <c r="CD14" s="1040"/>
      <c r="CE14" s="1040"/>
      <c r="CF14" s="1040"/>
      <c r="CG14" s="1040"/>
      <c r="CH14" s="1040"/>
      <c r="CI14" s="1040"/>
      <c r="CJ14" s="1040"/>
      <c r="CK14" s="1040"/>
      <c r="CL14" s="1040"/>
      <c r="CM14" s="1040"/>
      <c r="CN14" s="1040"/>
      <c r="CO14" s="1040"/>
      <c r="CP14" s="1041"/>
      <c r="CQ14" s="21"/>
      <c r="CR14" s="21"/>
      <c r="CS14" s="21"/>
      <c r="CT14" s="26"/>
      <c r="CU14" s="1044"/>
      <c r="CV14" s="1044"/>
      <c r="CW14" s="1044"/>
      <c r="CX14" s="1044"/>
      <c r="CY14" s="1044"/>
      <c r="CZ14" s="1044"/>
      <c r="DA14" s="1044"/>
      <c r="DB14" s="1044"/>
      <c r="DC14" s="1044"/>
      <c r="DD14" s="1044"/>
      <c r="DE14" s="1044"/>
      <c r="DF14" s="1044"/>
      <c r="DG14" s="1044"/>
      <c r="DH14" s="1044"/>
      <c r="DI14" s="1044"/>
      <c r="DJ14" s="1044"/>
      <c r="DK14" s="1044"/>
      <c r="DL14" s="1044"/>
      <c r="DM14" s="1044"/>
      <c r="DN14" s="21"/>
      <c r="DO14" s="24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4.5" customHeight="1" x14ac:dyDescent="0.15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034"/>
      <c r="AK15" s="1035"/>
      <c r="AL15" s="1035"/>
      <c r="AM15" s="1035"/>
      <c r="AN15" s="1035"/>
      <c r="AO15" s="1035"/>
      <c r="AP15" s="1035"/>
      <c r="AQ15" s="1035"/>
      <c r="AR15" s="1035"/>
      <c r="AS15" s="1035"/>
      <c r="AT15" s="1035"/>
      <c r="AU15" s="1035"/>
      <c r="AV15" s="1035"/>
      <c r="AW15" s="1035"/>
      <c r="AX15" s="1035"/>
      <c r="AY15" s="1035"/>
      <c r="AZ15" s="1035"/>
      <c r="BA15" s="1035"/>
      <c r="BB15" s="1035"/>
      <c r="BC15" s="1035"/>
      <c r="BD15" s="1035"/>
      <c r="BE15" s="1035"/>
      <c r="BF15" s="1035"/>
      <c r="BG15" s="1035"/>
      <c r="BH15" s="1035"/>
      <c r="BI15" s="1035"/>
      <c r="BJ15" s="1035"/>
      <c r="BK15" s="1035"/>
      <c r="BL15" s="1035"/>
      <c r="BM15" s="1040"/>
      <c r="BN15" s="1040"/>
      <c r="BO15" s="1040"/>
      <c r="BP15" s="1040"/>
      <c r="BQ15" s="1040"/>
      <c r="BR15" s="1040"/>
      <c r="BS15" s="1040"/>
      <c r="BT15" s="1040"/>
      <c r="BU15" s="1040"/>
      <c r="BV15" s="1040"/>
      <c r="BW15" s="1040"/>
      <c r="BX15" s="1040"/>
      <c r="BY15" s="1040"/>
      <c r="BZ15" s="1040"/>
      <c r="CA15" s="1040"/>
      <c r="CB15" s="1040"/>
      <c r="CC15" s="1040"/>
      <c r="CD15" s="1040"/>
      <c r="CE15" s="1040"/>
      <c r="CF15" s="1040"/>
      <c r="CG15" s="1040"/>
      <c r="CH15" s="1040"/>
      <c r="CI15" s="1040"/>
      <c r="CJ15" s="1040"/>
      <c r="CK15" s="1040"/>
      <c r="CL15" s="1040"/>
      <c r="CM15" s="1040"/>
      <c r="CN15" s="1040"/>
      <c r="CO15" s="1040"/>
      <c r="CP15" s="1041"/>
      <c r="CQ15" s="21"/>
      <c r="CR15" s="21"/>
      <c r="CS15" s="21"/>
      <c r="CT15" s="26"/>
      <c r="CU15" s="1044"/>
      <c r="CV15" s="1044"/>
      <c r="CW15" s="1044"/>
      <c r="CX15" s="1044"/>
      <c r="CY15" s="1044"/>
      <c r="CZ15" s="1044"/>
      <c r="DA15" s="1044"/>
      <c r="DB15" s="1044"/>
      <c r="DC15" s="1044"/>
      <c r="DD15" s="1044"/>
      <c r="DE15" s="1044"/>
      <c r="DF15" s="1044"/>
      <c r="DG15" s="1044"/>
      <c r="DH15" s="1044"/>
      <c r="DI15" s="1044"/>
      <c r="DJ15" s="1044"/>
      <c r="DK15" s="1044"/>
      <c r="DL15" s="1044"/>
      <c r="DM15" s="1044"/>
      <c r="DN15" s="21"/>
      <c r="DO15" s="24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4.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034"/>
      <c r="AK16" s="1035"/>
      <c r="AL16" s="1035"/>
      <c r="AM16" s="1035"/>
      <c r="AN16" s="1035"/>
      <c r="AO16" s="1035"/>
      <c r="AP16" s="1035"/>
      <c r="AQ16" s="1035"/>
      <c r="AR16" s="1035"/>
      <c r="AS16" s="1035"/>
      <c r="AT16" s="1035"/>
      <c r="AU16" s="1035"/>
      <c r="AV16" s="1035"/>
      <c r="AW16" s="1035"/>
      <c r="AX16" s="1035"/>
      <c r="AY16" s="1035"/>
      <c r="AZ16" s="1035"/>
      <c r="BA16" s="1035"/>
      <c r="BB16" s="1035"/>
      <c r="BC16" s="1035"/>
      <c r="BD16" s="1035"/>
      <c r="BE16" s="1035"/>
      <c r="BF16" s="1035"/>
      <c r="BG16" s="1035"/>
      <c r="BH16" s="1035"/>
      <c r="BI16" s="1035"/>
      <c r="BJ16" s="1035"/>
      <c r="BK16" s="1035"/>
      <c r="BL16" s="1035"/>
      <c r="BM16" s="1040"/>
      <c r="BN16" s="1040"/>
      <c r="BO16" s="1040"/>
      <c r="BP16" s="1040"/>
      <c r="BQ16" s="1040"/>
      <c r="BR16" s="1040"/>
      <c r="BS16" s="1040"/>
      <c r="BT16" s="1040"/>
      <c r="BU16" s="1040"/>
      <c r="BV16" s="1040"/>
      <c r="BW16" s="1040"/>
      <c r="BX16" s="1040"/>
      <c r="BY16" s="1040"/>
      <c r="BZ16" s="1040"/>
      <c r="CA16" s="1040"/>
      <c r="CB16" s="1040"/>
      <c r="CC16" s="1040"/>
      <c r="CD16" s="1040"/>
      <c r="CE16" s="1040"/>
      <c r="CF16" s="1040"/>
      <c r="CG16" s="1040"/>
      <c r="CH16" s="1040"/>
      <c r="CI16" s="1040"/>
      <c r="CJ16" s="1040"/>
      <c r="CK16" s="1040"/>
      <c r="CL16" s="1040"/>
      <c r="CM16" s="1040"/>
      <c r="CN16" s="1040"/>
      <c r="CO16" s="1040"/>
      <c r="CP16" s="1041"/>
      <c r="CQ16" s="21"/>
      <c r="CR16" s="21"/>
      <c r="CS16" s="21"/>
      <c r="CT16" s="21"/>
      <c r="CU16" s="1045" t="str">
        <f>+CF26</f>
        <v xml:space="preserve"> Schalung, SA-024-2-Wege</v>
      </c>
      <c r="CV16" s="1046"/>
      <c r="CW16" s="1046"/>
      <c r="CX16" s="1046"/>
      <c r="CY16" s="1046"/>
      <c r="CZ16" s="1046"/>
      <c r="DA16" s="1046"/>
      <c r="DB16" s="1046"/>
      <c r="DC16" s="1046"/>
      <c r="DD16" s="1046"/>
      <c r="DE16" s="1046"/>
      <c r="DF16" s="1046"/>
      <c r="DG16" s="1046"/>
      <c r="DH16" s="1046"/>
      <c r="DI16" s="1046"/>
      <c r="DJ16" s="1046"/>
      <c r="DK16" s="1046"/>
      <c r="DL16" s="1046"/>
      <c r="DM16" s="1046"/>
      <c r="DN16" s="21"/>
      <c r="DO16" s="24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4.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034"/>
      <c r="AK17" s="1035"/>
      <c r="AL17" s="1035"/>
      <c r="AM17" s="1035"/>
      <c r="AN17" s="1035"/>
      <c r="AO17" s="1035"/>
      <c r="AP17" s="1035"/>
      <c r="AQ17" s="1035"/>
      <c r="AR17" s="1035"/>
      <c r="AS17" s="1035"/>
      <c r="AT17" s="1035"/>
      <c r="AU17" s="1035"/>
      <c r="AV17" s="1035"/>
      <c r="AW17" s="1035"/>
      <c r="AX17" s="1035"/>
      <c r="AY17" s="1035"/>
      <c r="AZ17" s="1035"/>
      <c r="BA17" s="1035"/>
      <c r="BB17" s="1035"/>
      <c r="BC17" s="1035"/>
      <c r="BD17" s="1035"/>
      <c r="BE17" s="1035"/>
      <c r="BF17" s="1035"/>
      <c r="BG17" s="1035"/>
      <c r="BH17" s="1035"/>
      <c r="BI17" s="1035"/>
      <c r="BJ17" s="1035"/>
      <c r="BK17" s="1035"/>
      <c r="BL17" s="1035"/>
      <c r="BM17" s="1040"/>
      <c r="BN17" s="1040"/>
      <c r="BO17" s="1040"/>
      <c r="BP17" s="1040"/>
      <c r="BQ17" s="1040"/>
      <c r="BR17" s="1040"/>
      <c r="BS17" s="1040"/>
      <c r="BT17" s="1040"/>
      <c r="BU17" s="1040"/>
      <c r="BV17" s="1040"/>
      <c r="BW17" s="1040"/>
      <c r="BX17" s="1040"/>
      <c r="BY17" s="1040"/>
      <c r="BZ17" s="1040"/>
      <c r="CA17" s="1040"/>
      <c r="CB17" s="1040"/>
      <c r="CC17" s="1040"/>
      <c r="CD17" s="1040"/>
      <c r="CE17" s="1040"/>
      <c r="CF17" s="1040"/>
      <c r="CG17" s="1040"/>
      <c r="CH17" s="1040"/>
      <c r="CI17" s="1040"/>
      <c r="CJ17" s="1040"/>
      <c r="CK17" s="1040"/>
      <c r="CL17" s="1040"/>
      <c r="CM17" s="1040"/>
      <c r="CN17" s="1040"/>
      <c r="CO17" s="1040"/>
      <c r="CP17" s="1041"/>
      <c r="CQ17" s="21"/>
      <c r="CR17" s="21"/>
      <c r="CS17" s="21"/>
      <c r="CU17" s="1046"/>
      <c r="CV17" s="1046"/>
      <c r="CW17" s="1046"/>
      <c r="CX17" s="1046"/>
      <c r="CY17" s="1046"/>
      <c r="CZ17" s="1046"/>
      <c r="DA17" s="1046"/>
      <c r="DB17" s="1046"/>
      <c r="DC17" s="1046"/>
      <c r="DD17" s="1046"/>
      <c r="DE17" s="1046"/>
      <c r="DF17" s="1046"/>
      <c r="DG17" s="1046"/>
      <c r="DH17" s="1046"/>
      <c r="DI17" s="1046"/>
      <c r="DJ17" s="1046"/>
      <c r="DK17" s="1046"/>
      <c r="DL17" s="1046"/>
      <c r="DM17" s="1046"/>
      <c r="DN17" s="21"/>
      <c r="DO17" s="24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4.5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134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6"/>
      <c r="AA18" s="135"/>
      <c r="AB18" s="135"/>
      <c r="AC18" s="135"/>
      <c r="AD18" s="135"/>
      <c r="AE18" s="135"/>
      <c r="AF18" s="136"/>
      <c r="AG18" s="136"/>
      <c r="AH18" s="135"/>
      <c r="AI18" s="135"/>
      <c r="AJ18" s="1036"/>
      <c r="AK18" s="1037"/>
      <c r="AL18" s="1037"/>
      <c r="AM18" s="1037"/>
      <c r="AN18" s="1037"/>
      <c r="AO18" s="1037"/>
      <c r="AP18" s="1037"/>
      <c r="AQ18" s="1037"/>
      <c r="AR18" s="1037"/>
      <c r="AS18" s="1037"/>
      <c r="AT18" s="1037"/>
      <c r="AU18" s="1037"/>
      <c r="AV18" s="1037"/>
      <c r="AW18" s="1037"/>
      <c r="AX18" s="1037"/>
      <c r="AY18" s="1037"/>
      <c r="AZ18" s="1037"/>
      <c r="BA18" s="1037"/>
      <c r="BB18" s="1037"/>
      <c r="BC18" s="1037"/>
      <c r="BD18" s="1037"/>
      <c r="BE18" s="1037"/>
      <c r="BF18" s="1037"/>
      <c r="BG18" s="1037"/>
      <c r="BH18" s="1037"/>
      <c r="BI18" s="1037"/>
      <c r="BJ18" s="1037"/>
      <c r="BK18" s="1037"/>
      <c r="BL18" s="1037"/>
      <c r="BM18" s="1042"/>
      <c r="BN18" s="1042"/>
      <c r="BO18" s="1042"/>
      <c r="BP18" s="1042"/>
      <c r="BQ18" s="1042"/>
      <c r="BR18" s="1042"/>
      <c r="BS18" s="1042"/>
      <c r="BT18" s="1042"/>
      <c r="BU18" s="1042"/>
      <c r="BV18" s="1042"/>
      <c r="BW18" s="1042"/>
      <c r="BX18" s="1042"/>
      <c r="BY18" s="1042"/>
      <c r="BZ18" s="1042"/>
      <c r="CA18" s="1042"/>
      <c r="CB18" s="1042"/>
      <c r="CC18" s="1042"/>
      <c r="CD18" s="1042"/>
      <c r="CE18" s="1042"/>
      <c r="CF18" s="1042"/>
      <c r="CG18" s="1042"/>
      <c r="CH18" s="1042"/>
      <c r="CI18" s="1042"/>
      <c r="CJ18" s="1042"/>
      <c r="CK18" s="1042"/>
      <c r="CL18" s="1042"/>
      <c r="CM18" s="1042"/>
      <c r="CN18" s="1042"/>
      <c r="CO18" s="1042"/>
      <c r="CP18" s="1043"/>
      <c r="CQ18" s="60"/>
      <c r="CR18" s="60"/>
      <c r="CS18" s="60"/>
      <c r="CT18" s="132"/>
      <c r="CU18" s="1047"/>
      <c r="CV18" s="1047"/>
      <c r="CW18" s="1047"/>
      <c r="CX18" s="1047"/>
      <c r="CY18" s="1047"/>
      <c r="CZ18" s="1047"/>
      <c r="DA18" s="1047"/>
      <c r="DB18" s="1047"/>
      <c r="DC18" s="1047"/>
      <c r="DD18" s="1047"/>
      <c r="DE18" s="1047"/>
      <c r="DF18" s="1047"/>
      <c r="DG18" s="1047"/>
      <c r="DH18" s="1047"/>
      <c r="DI18" s="1047"/>
      <c r="DJ18" s="1047"/>
      <c r="DK18" s="1047"/>
      <c r="DL18" s="1047"/>
      <c r="DM18" s="1047"/>
      <c r="DN18" s="60"/>
      <c r="DO18" s="137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5.0999999999999996" customHeight="1" x14ac:dyDescent="0.2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1048" t="s">
        <v>9</v>
      </c>
      <c r="M19" s="1049"/>
      <c r="N19" s="1049"/>
      <c r="O19" s="1049"/>
      <c r="P19" s="1049"/>
      <c r="Q19" s="1049"/>
      <c r="R19" s="1049"/>
      <c r="S19" s="1049"/>
      <c r="T19" s="1049"/>
      <c r="U19" s="1049"/>
      <c r="V19" s="1049"/>
      <c r="W19" s="1049"/>
      <c r="X19" s="1049"/>
      <c r="Y19" s="1049"/>
      <c r="Z19" s="1049"/>
      <c r="AA19" s="1049"/>
      <c r="AB19" s="1049"/>
      <c r="AC19" s="203"/>
      <c r="AD19" s="1030">
        <f>BEZ_DATU_ERF</f>
        <v>0</v>
      </c>
      <c r="AE19" s="1030"/>
      <c r="AF19" s="1030"/>
      <c r="AG19" s="1030"/>
      <c r="AH19" s="1030"/>
      <c r="AI19" s="1030"/>
      <c r="AJ19" s="1030"/>
      <c r="AK19" s="1030"/>
      <c r="AL19" s="1030"/>
      <c r="AM19" s="1030"/>
      <c r="AN19" s="1030"/>
      <c r="AO19" s="1030"/>
      <c r="AP19" s="1030"/>
      <c r="AQ19" s="1030"/>
      <c r="AR19" s="1030"/>
      <c r="AS19" s="1030"/>
      <c r="AT19" s="1030"/>
      <c r="AU19" s="1030"/>
      <c r="AV19" s="1030"/>
      <c r="AW19" s="1030"/>
      <c r="AX19" s="1030"/>
      <c r="AY19" s="1030"/>
      <c r="AZ19" s="1030"/>
      <c r="BA19" s="1030"/>
      <c r="BB19" s="1030"/>
      <c r="BC19" s="1030"/>
      <c r="BD19" s="1030"/>
      <c r="BE19" s="1030"/>
      <c r="BF19" s="1030"/>
      <c r="BG19" s="1030"/>
      <c r="BH19" s="1030"/>
      <c r="BI19" s="1030"/>
      <c r="BJ19" s="1030"/>
      <c r="BK19" s="1030"/>
      <c r="BL19" s="201"/>
      <c r="BM19" s="145"/>
      <c r="BN19" s="1050" t="s">
        <v>10</v>
      </c>
      <c r="BO19" s="1050"/>
      <c r="BP19" s="1050"/>
      <c r="BQ19" s="1050"/>
      <c r="BR19" s="1050"/>
      <c r="BS19" s="1050"/>
      <c r="BT19" s="1050"/>
      <c r="BU19" s="1050"/>
      <c r="BV19" s="1050"/>
      <c r="BW19" s="1050"/>
      <c r="BX19" s="1050"/>
      <c r="BY19" s="1050"/>
      <c r="BZ19" s="1050"/>
      <c r="CA19" s="1050"/>
      <c r="CB19" s="1050"/>
      <c r="CC19" s="1050"/>
      <c r="CD19" s="1050"/>
      <c r="CE19" s="201"/>
      <c r="CF19" s="1030">
        <f>BEZ_LIEF_DAT</f>
        <v>0</v>
      </c>
      <c r="CG19" s="1030"/>
      <c r="CH19" s="1030"/>
      <c r="CI19" s="1030"/>
      <c r="CJ19" s="1030"/>
      <c r="CK19" s="1030"/>
      <c r="CL19" s="1030"/>
      <c r="CM19" s="1030"/>
      <c r="CN19" s="1030"/>
      <c r="CO19" s="1030"/>
      <c r="CP19" s="1030"/>
      <c r="CQ19" s="1030"/>
      <c r="CR19" s="1030"/>
      <c r="CS19" s="1030"/>
      <c r="CT19" s="1030"/>
      <c r="CU19" s="1030"/>
      <c r="CV19" s="1030"/>
      <c r="CW19" s="1030"/>
      <c r="CX19" s="1030"/>
      <c r="CY19" s="1030"/>
      <c r="CZ19" s="1030"/>
      <c r="DA19" s="1030"/>
      <c r="DB19" s="1030"/>
      <c r="DC19" s="1030"/>
      <c r="DD19" s="1030"/>
      <c r="DE19" s="1030"/>
      <c r="DF19" s="1030"/>
      <c r="DG19" s="1030"/>
      <c r="DH19" s="1030"/>
      <c r="DI19" s="1030"/>
      <c r="DJ19" s="1030"/>
      <c r="DK19" s="1030"/>
      <c r="DL19" s="1030"/>
      <c r="DM19" s="1030"/>
      <c r="DN19" s="167"/>
      <c r="DO19" s="216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5.0999999999999996" customHeight="1" x14ac:dyDescent="0.2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048"/>
      <c r="M20" s="1049"/>
      <c r="N20" s="1049"/>
      <c r="O20" s="1049"/>
      <c r="P20" s="1049"/>
      <c r="Q20" s="1049"/>
      <c r="R20" s="1049"/>
      <c r="S20" s="1049"/>
      <c r="T20" s="1049"/>
      <c r="U20" s="1049"/>
      <c r="V20" s="1049"/>
      <c r="W20" s="1049"/>
      <c r="X20" s="1049"/>
      <c r="Y20" s="1049"/>
      <c r="Z20" s="1049"/>
      <c r="AA20" s="1049"/>
      <c r="AB20" s="1049"/>
      <c r="AC20" s="203"/>
      <c r="AD20" s="1030"/>
      <c r="AE20" s="1030"/>
      <c r="AF20" s="1030"/>
      <c r="AG20" s="1030"/>
      <c r="AH20" s="1030"/>
      <c r="AI20" s="1030"/>
      <c r="AJ20" s="1030"/>
      <c r="AK20" s="1030"/>
      <c r="AL20" s="1030"/>
      <c r="AM20" s="1030"/>
      <c r="AN20" s="1030"/>
      <c r="AO20" s="1030"/>
      <c r="AP20" s="1030"/>
      <c r="AQ20" s="1030"/>
      <c r="AR20" s="1030"/>
      <c r="AS20" s="1030"/>
      <c r="AT20" s="1030"/>
      <c r="AU20" s="1030"/>
      <c r="AV20" s="1030"/>
      <c r="AW20" s="1030"/>
      <c r="AX20" s="1030"/>
      <c r="AY20" s="1030"/>
      <c r="AZ20" s="1030"/>
      <c r="BA20" s="1030"/>
      <c r="BB20" s="1030"/>
      <c r="BC20" s="1030"/>
      <c r="BD20" s="1030"/>
      <c r="BE20" s="1030"/>
      <c r="BF20" s="1030"/>
      <c r="BG20" s="1030"/>
      <c r="BH20" s="1030"/>
      <c r="BI20" s="1030"/>
      <c r="BJ20" s="1030"/>
      <c r="BK20" s="1030"/>
      <c r="BL20" s="146"/>
      <c r="BM20" s="147"/>
      <c r="BN20" s="1049"/>
      <c r="BO20" s="1049"/>
      <c r="BP20" s="1049"/>
      <c r="BQ20" s="1049"/>
      <c r="BR20" s="1049"/>
      <c r="BS20" s="1049"/>
      <c r="BT20" s="1049"/>
      <c r="BU20" s="1049"/>
      <c r="BV20" s="1049"/>
      <c r="BW20" s="1049"/>
      <c r="BX20" s="1049"/>
      <c r="BY20" s="1049"/>
      <c r="BZ20" s="1049"/>
      <c r="CA20" s="1049"/>
      <c r="CB20" s="1049"/>
      <c r="CC20" s="1049"/>
      <c r="CD20" s="1049"/>
      <c r="CE20" s="201"/>
      <c r="CF20" s="1030"/>
      <c r="CG20" s="1030"/>
      <c r="CH20" s="1030"/>
      <c r="CI20" s="1030"/>
      <c r="CJ20" s="1030"/>
      <c r="CK20" s="1030"/>
      <c r="CL20" s="1030"/>
      <c r="CM20" s="1030"/>
      <c r="CN20" s="1030"/>
      <c r="CO20" s="1030"/>
      <c r="CP20" s="1030"/>
      <c r="CQ20" s="1030"/>
      <c r="CR20" s="1030"/>
      <c r="CS20" s="1030"/>
      <c r="CT20" s="1030"/>
      <c r="CU20" s="1030"/>
      <c r="CV20" s="1030"/>
      <c r="CW20" s="1030"/>
      <c r="CX20" s="1030"/>
      <c r="CY20" s="1030"/>
      <c r="CZ20" s="1030"/>
      <c r="DA20" s="1030"/>
      <c r="DB20" s="1030"/>
      <c r="DC20" s="1030"/>
      <c r="DD20" s="1030"/>
      <c r="DE20" s="1030"/>
      <c r="DF20" s="1030"/>
      <c r="DG20" s="1030"/>
      <c r="DH20" s="1030"/>
      <c r="DI20" s="1030"/>
      <c r="DJ20" s="1030"/>
      <c r="DK20" s="1030"/>
      <c r="DL20" s="1030"/>
      <c r="DM20" s="1030"/>
      <c r="DN20" s="167"/>
      <c r="DO20" s="216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5.0999999999999996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1028" t="s">
        <v>12</v>
      </c>
      <c r="M21" s="1029"/>
      <c r="N21" s="1029"/>
      <c r="O21" s="1029"/>
      <c r="P21" s="1029"/>
      <c r="Q21" s="1029"/>
      <c r="R21" s="1029"/>
      <c r="S21" s="1029"/>
      <c r="T21" s="1029"/>
      <c r="U21" s="1029"/>
      <c r="V21" s="1029"/>
      <c r="W21" s="1029"/>
      <c r="X21" s="1029"/>
      <c r="Y21" s="1029"/>
      <c r="Z21" s="1029"/>
      <c r="AA21" s="1029"/>
      <c r="AB21" s="1029"/>
      <c r="AC21" s="201"/>
      <c r="AD21" s="1030">
        <f>BEZ_SACH_BE</f>
        <v>0</v>
      </c>
      <c r="AE21" s="1030"/>
      <c r="AF21" s="1030"/>
      <c r="AG21" s="1030"/>
      <c r="AH21" s="1030"/>
      <c r="AI21" s="1030"/>
      <c r="AJ21" s="1030"/>
      <c r="AK21" s="1030"/>
      <c r="AL21" s="1030"/>
      <c r="AM21" s="1030"/>
      <c r="AN21" s="1030"/>
      <c r="AO21" s="1030"/>
      <c r="AP21" s="1030"/>
      <c r="AQ21" s="1030"/>
      <c r="AR21" s="1030"/>
      <c r="AS21" s="1030"/>
      <c r="AT21" s="1030"/>
      <c r="AU21" s="1030"/>
      <c r="AV21" s="1030"/>
      <c r="AW21" s="1030"/>
      <c r="AX21" s="1030"/>
      <c r="AY21" s="1030"/>
      <c r="AZ21" s="1030"/>
      <c r="BA21" s="1030"/>
      <c r="BB21" s="1030"/>
      <c r="BC21" s="1030"/>
      <c r="BD21" s="1030"/>
      <c r="BE21" s="1030"/>
      <c r="BF21" s="1030"/>
      <c r="BG21" s="1030"/>
      <c r="BH21" s="1030"/>
      <c r="BI21" s="1030"/>
      <c r="BJ21" s="1030"/>
      <c r="BK21" s="1030"/>
      <c r="BL21" s="148"/>
      <c r="BM21" s="149"/>
      <c r="BN21" s="1029" t="s">
        <v>13</v>
      </c>
      <c r="BO21" s="1029"/>
      <c r="BP21" s="1029"/>
      <c r="BQ21" s="1029"/>
      <c r="BR21" s="1029"/>
      <c r="BS21" s="1029"/>
      <c r="BT21" s="1029"/>
      <c r="BU21" s="1029"/>
      <c r="BV21" s="1029"/>
      <c r="BW21" s="1029"/>
      <c r="BX21" s="1029"/>
      <c r="BY21" s="1029"/>
      <c r="BZ21" s="1029"/>
      <c r="CA21" s="1029"/>
      <c r="CB21" s="1029"/>
      <c r="CC21" s="1029"/>
      <c r="CD21" s="1029"/>
      <c r="CE21" s="201"/>
      <c r="CF21" s="1030" t="str">
        <f>BEZ_ARTI_BE1</f>
        <v>Zylindertransportkiste</v>
      </c>
      <c r="CG21" s="1030"/>
      <c r="CH21" s="1030"/>
      <c r="CI21" s="1030"/>
      <c r="CJ21" s="1030"/>
      <c r="CK21" s="1030"/>
      <c r="CL21" s="1030"/>
      <c r="CM21" s="1030"/>
      <c r="CN21" s="1030"/>
      <c r="CO21" s="1030"/>
      <c r="CP21" s="1030"/>
      <c r="CQ21" s="1030"/>
      <c r="CR21" s="1030"/>
      <c r="CS21" s="1030"/>
      <c r="CT21" s="1030"/>
      <c r="CU21" s="1030"/>
      <c r="CV21" s="1030"/>
      <c r="CW21" s="1030"/>
      <c r="CX21" s="1030"/>
      <c r="CY21" s="1030"/>
      <c r="CZ21" s="1030"/>
      <c r="DA21" s="1030"/>
      <c r="DB21" s="1030"/>
      <c r="DC21" s="1030"/>
      <c r="DD21" s="1030"/>
      <c r="DE21" s="1030"/>
      <c r="DF21" s="1030"/>
      <c r="DG21" s="1030"/>
      <c r="DH21" s="1030"/>
      <c r="DI21" s="1030"/>
      <c r="DJ21" s="1030"/>
      <c r="DK21" s="1030"/>
      <c r="DL21" s="1030"/>
      <c r="DM21" s="1030"/>
      <c r="DN21" s="167"/>
      <c r="DO21" s="216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5.0999999999999996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28"/>
      <c r="M22" s="1029"/>
      <c r="N22" s="1029"/>
      <c r="O22" s="1029"/>
      <c r="P22" s="1029"/>
      <c r="Q22" s="1029"/>
      <c r="R22" s="1029"/>
      <c r="S22" s="1029"/>
      <c r="T22" s="1029"/>
      <c r="U22" s="1029"/>
      <c r="V22" s="1029"/>
      <c r="W22" s="1029"/>
      <c r="X22" s="1029"/>
      <c r="Y22" s="1029"/>
      <c r="Z22" s="1029"/>
      <c r="AA22" s="1029"/>
      <c r="AB22" s="1029"/>
      <c r="AC22" s="201"/>
      <c r="AD22" s="1030"/>
      <c r="AE22" s="1030"/>
      <c r="AF22" s="1030"/>
      <c r="AG22" s="1030"/>
      <c r="AH22" s="1030"/>
      <c r="AI22" s="1030"/>
      <c r="AJ22" s="1030"/>
      <c r="AK22" s="1030"/>
      <c r="AL22" s="1030"/>
      <c r="AM22" s="1030"/>
      <c r="AN22" s="1030"/>
      <c r="AO22" s="1030"/>
      <c r="AP22" s="1030"/>
      <c r="AQ22" s="1030"/>
      <c r="AR22" s="1030"/>
      <c r="AS22" s="1030"/>
      <c r="AT22" s="1030"/>
      <c r="AU22" s="1030"/>
      <c r="AV22" s="1030"/>
      <c r="AW22" s="1030"/>
      <c r="AX22" s="1030"/>
      <c r="AY22" s="1030"/>
      <c r="AZ22" s="1030"/>
      <c r="BA22" s="1030"/>
      <c r="BB22" s="1030"/>
      <c r="BC22" s="1030"/>
      <c r="BD22" s="1030"/>
      <c r="BE22" s="1030"/>
      <c r="BF22" s="1030"/>
      <c r="BG22" s="1030"/>
      <c r="BH22" s="1030"/>
      <c r="BI22" s="1030"/>
      <c r="BJ22" s="1030"/>
      <c r="BK22" s="1030"/>
      <c r="BL22" s="148"/>
      <c r="BM22" s="149"/>
      <c r="BN22" s="1029"/>
      <c r="BO22" s="1029"/>
      <c r="BP22" s="1029"/>
      <c r="BQ22" s="1029"/>
      <c r="BR22" s="1029"/>
      <c r="BS22" s="1029"/>
      <c r="BT22" s="1029"/>
      <c r="BU22" s="1029"/>
      <c r="BV22" s="1029"/>
      <c r="BW22" s="1029"/>
      <c r="BX22" s="1029"/>
      <c r="BY22" s="1029"/>
      <c r="BZ22" s="1029"/>
      <c r="CA22" s="1029"/>
      <c r="CB22" s="1029"/>
      <c r="CC22" s="1029"/>
      <c r="CD22" s="1029"/>
      <c r="CE22" s="201"/>
      <c r="CF22" s="1030"/>
      <c r="CG22" s="1030"/>
      <c r="CH22" s="1030"/>
      <c r="CI22" s="1030"/>
      <c r="CJ22" s="1030"/>
      <c r="CK22" s="1030"/>
      <c r="CL22" s="1030"/>
      <c r="CM22" s="1030"/>
      <c r="CN22" s="1030"/>
      <c r="CO22" s="1030"/>
      <c r="CP22" s="1030"/>
      <c r="CQ22" s="1030"/>
      <c r="CR22" s="1030"/>
      <c r="CS22" s="1030"/>
      <c r="CT22" s="1030"/>
      <c r="CU22" s="1030"/>
      <c r="CV22" s="1030"/>
      <c r="CW22" s="1030"/>
      <c r="CX22" s="1030"/>
      <c r="CY22" s="1030"/>
      <c r="CZ22" s="1030"/>
      <c r="DA22" s="1030"/>
      <c r="DB22" s="1030"/>
      <c r="DC22" s="1030"/>
      <c r="DD22" s="1030"/>
      <c r="DE22" s="1030"/>
      <c r="DF22" s="1030"/>
      <c r="DG22" s="1030"/>
      <c r="DH22" s="1030"/>
      <c r="DI22" s="1030"/>
      <c r="DJ22" s="1030"/>
      <c r="DK22" s="1030"/>
      <c r="DL22" s="1030"/>
      <c r="DM22" s="1030"/>
      <c r="DN22" s="167"/>
      <c r="DO22" s="216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5.0999999999999996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28" t="s">
        <v>16</v>
      </c>
      <c r="M23" s="1029"/>
      <c r="N23" s="1029"/>
      <c r="O23" s="1029"/>
      <c r="P23" s="1029"/>
      <c r="Q23" s="1029"/>
      <c r="R23" s="1029"/>
      <c r="S23" s="1029"/>
      <c r="T23" s="1029"/>
      <c r="U23" s="1029"/>
      <c r="V23" s="1029"/>
      <c r="W23" s="1029"/>
      <c r="X23" s="1029"/>
      <c r="Y23" s="1029"/>
      <c r="Z23" s="1029"/>
      <c r="AA23" s="1029"/>
      <c r="AB23" s="1029"/>
      <c r="AC23" s="201"/>
      <c r="AD23" s="1030" t="str">
        <f ca="1">BEZ_BADA_NA</f>
        <v>!MASTER_SA-024-Schalung.xlsm</v>
      </c>
      <c r="AE23" s="1030"/>
      <c r="AF23" s="1030"/>
      <c r="AG23" s="1030"/>
      <c r="AH23" s="1030"/>
      <c r="AI23" s="1030"/>
      <c r="AJ23" s="1030"/>
      <c r="AK23" s="1030"/>
      <c r="AL23" s="1030"/>
      <c r="AM23" s="1030"/>
      <c r="AN23" s="1030"/>
      <c r="AO23" s="1030"/>
      <c r="AP23" s="1030"/>
      <c r="AQ23" s="1030"/>
      <c r="AR23" s="1030"/>
      <c r="AS23" s="1030"/>
      <c r="AT23" s="1030"/>
      <c r="AU23" s="1030"/>
      <c r="AV23" s="1030"/>
      <c r="AW23" s="1030"/>
      <c r="AX23" s="1030"/>
      <c r="AY23" s="1030"/>
      <c r="AZ23" s="1030"/>
      <c r="BA23" s="1030"/>
      <c r="BB23" s="1030"/>
      <c r="BC23" s="1030"/>
      <c r="BD23" s="1030"/>
      <c r="BE23" s="1030"/>
      <c r="BF23" s="1030"/>
      <c r="BG23" s="1030"/>
      <c r="BH23" s="1030"/>
      <c r="BI23" s="1030"/>
      <c r="BJ23" s="1030"/>
      <c r="BK23" s="1030"/>
      <c r="BL23" s="148"/>
      <c r="BM23" s="149"/>
      <c r="BN23" s="1029" t="s">
        <v>17</v>
      </c>
      <c r="BO23" s="1029"/>
      <c r="BP23" s="1029"/>
      <c r="BQ23" s="1029"/>
      <c r="BR23" s="1029"/>
      <c r="BS23" s="1029"/>
      <c r="BT23" s="1029"/>
      <c r="BU23" s="1029"/>
      <c r="BV23" s="1029"/>
      <c r="BW23" s="1029"/>
      <c r="BX23" s="1029"/>
      <c r="BY23" s="1029"/>
      <c r="BZ23" s="1029"/>
      <c r="CA23" s="1029"/>
      <c r="CB23" s="1029"/>
      <c r="CC23" s="1029"/>
      <c r="CD23" s="1029"/>
      <c r="CE23" s="201"/>
      <c r="CF23" s="1030" t="str">
        <f>BEZ_ARTI_BE2</f>
        <v>24 mm Schalung</v>
      </c>
      <c r="CG23" s="1030"/>
      <c r="CH23" s="1030"/>
      <c r="CI23" s="1030"/>
      <c r="CJ23" s="1030"/>
      <c r="CK23" s="1030"/>
      <c r="CL23" s="1030"/>
      <c r="CM23" s="1030"/>
      <c r="CN23" s="1030"/>
      <c r="CO23" s="1030"/>
      <c r="CP23" s="1030"/>
      <c r="CQ23" s="1030"/>
      <c r="CR23" s="1030"/>
      <c r="CS23" s="1030"/>
      <c r="CT23" s="1030"/>
      <c r="CU23" s="1030"/>
      <c r="CV23" s="1030"/>
      <c r="CW23" s="1030"/>
      <c r="CX23" s="1030"/>
      <c r="CY23" s="1030"/>
      <c r="CZ23" s="1030"/>
      <c r="DA23" s="1030"/>
      <c r="DB23" s="1030"/>
      <c r="DC23" s="1030"/>
      <c r="DD23" s="1030"/>
      <c r="DE23" s="1030"/>
      <c r="DF23" s="1030"/>
      <c r="DG23" s="1030"/>
      <c r="DH23" s="1030"/>
      <c r="DI23" s="1030"/>
      <c r="DJ23" s="1030"/>
      <c r="DK23" s="1030"/>
      <c r="DL23" s="1030"/>
      <c r="DM23" s="1030"/>
      <c r="DN23" s="167"/>
      <c r="DO23" s="216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5.0999999999999996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28"/>
      <c r="M24" s="1029"/>
      <c r="N24" s="1029"/>
      <c r="O24" s="1029"/>
      <c r="P24" s="1029"/>
      <c r="Q24" s="1029"/>
      <c r="R24" s="1029"/>
      <c r="S24" s="1029"/>
      <c r="T24" s="1029"/>
      <c r="U24" s="1029"/>
      <c r="V24" s="1029"/>
      <c r="W24" s="1029"/>
      <c r="X24" s="1029"/>
      <c r="Y24" s="1029"/>
      <c r="Z24" s="1029"/>
      <c r="AA24" s="1029"/>
      <c r="AB24" s="1029"/>
      <c r="AC24" s="201"/>
      <c r="AD24" s="1030"/>
      <c r="AE24" s="1030"/>
      <c r="AF24" s="1030"/>
      <c r="AG24" s="1030"/>
      <c r="AH24" s="1030"/>
      <c r="AI24" s="1030"/>
      <c r="AJ24" s="1030"/>
      <c r="AK24" s="1030"/>
      <c r="AL24" s="1030"/>
      <c r="AM24" s="1030"/>
      <c r="AN24" s="1030"/>
      <c r="AO24" s="1030"/>
      <c r="AP24" s="1030"/>
      <c r="AQ24" s="1030"/>
      <c r="AR24" s="1030"/>
      <c r="AS24" s="1030"/>
      <c r="AT24" s="1030"/>
      <c r="AU24" s="1030"/>
      <c r="AV24" s="1030"/>
      <c r="AW24" s="1030"/>
      <c r="AX24" s="1030"/>
      <c r="AY24" s="1030"/>
      <c r="AZ24" s="1030"/>
      <c r="BA24" s="1030"/>
      <c r="BB24" s="1030"/>
      <c r="BC24" s="1030"/>
      <c r="BD24" s="1030"/>
      <c r="BE24" s="1030"/>
      <c r="BF24" s="1030"/>
      <c r="BG24" s="1030"/>
      <c r="BH24" s="1030"/>
      <c r="BI24" s="1030"/>
      <c r="BJ24" s="1030"/>
      <c r="BK24" s="1030"/>
      <c r="BL24" s="148"/>
      <c r="BM24" s="149"/>
      <c r="BN24" s="1029"/>
      <c r="BO24" s="1029"/>
      <c r="BP24" s="1029"/>
      <c r="BQ24" s="1029"/>
      <c r="BR24" s="1029"/>
      <c r="BS24" s="1029"/>
      <c r="BT24" s="1029"/>
      <c r="BU24" s="1029"/>
      <c r="BV24" s="1029"/>
      <c r="BW24" s="1029"/>
      <c r="BX24" s="1029"/>
      <c r="BY24" s="1029"/>
      <c r="BZ24" s="1029"/>
      <c r="CA24" s="1029"/>
      <c r="CB24" s="1029"/>
      <c r="CC24" s="1029"/>
      <c r="CD24" s="1029"/>
      <c r="CE24" s="201"/>
      <c r="CF24" s="1030"/>
      <c r="CG24" s="1030"/>
      <c r="CH24" s="1030"/>
      <c r="CI24" s="1030"/>
      <c r="CJ24" s="1030"/>
      <c r="CK24" s="1030"/>
      <c r="CL24" s="1030"/>
      <c r="CM24" s="1030"/>
      <c r="CN24" s="1030"/>
      <c r="CO24" s="1030"/>
      <c r="CP24" s="1030"/>
      <c r="CQ24" s="1030"/>
      <c r="CR24" s="1030"/>
      <c r="CS24" s="1030"/>
      <c r="CT24" s="1030"/>
      <c r="CU24" s="1030"/>
      <c r="CV24" s="1030"/>
      <c r="CW24" s="1030"/>
      <c r="CX24" s="1030"/>
      <c r="CY24" s="1030"/>
      <c r="CZ24" s="1030"/>
      <c r="DA24" s="1030"/>
      <c r="DB24" s="1030"/>
      <c r="DC24" s="1030"/>
      <c r="DD24" s="1030"/>
      <c r="DE24" s="1030"/>
      <c r="DF24" s="1030"/>
      <c r="DG24" s="1030"/>
      <c r="DH24" s="1030"/>
      <c r="DI24" s="1030"/>
      <c r="DJ24" s="1030"/>
      <c r="DK24" s="1030"/>
      <c r="DL24" s="1030"/>
      <c r="DM24" s="1030"/>
      <c r="DN24" s="167"/>
      <c r="DO24" s="216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0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50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48"/>
      <c r="AD25" s="152"/>
      <c r="AE25" s="152"/>
      <c r="AF25" s="152"/>
      <c r="AG25" s="152"/>
      <c r="AH25" s="152"/>
      <c r="AI25" s="152"/>
      <c r="AJ25" s="152"/>
      <c r="AK25" s="152"/>
      <c r="AL25" s="152"/>
      <c r="AM25" s="152"/>
      <c r="AN25" s="152"/>
      <c r="AO25" s="152"/>
      <c r="AP25" s="152"/>
      <c r="AQ25" s="152"/>
      <c r="AR25" s="152"/>
      <c r="AS25" s="152"/>
      <c r="AT25" s="152"/>
      <c r="AU25" s="152"/>
      <c r="AV25" s="152"/>
      <c r="AW25" s="152"/>
      <c r="AX25" s="152"/>
      <c r="AY25" s="152"/>
      <c r="AZ25" s="152"/>
      <c r="BA25" s="152"/>
      <c r="BB25" s="152"/>
      <c r="BC25" s="152"/>
      <c r="BD25" s="152"/>
      <c r="BE25" s="152"/>
      <c r="BF25" s="152"/>
      <c r="BG25" s="152"/>
      <c r="BH25" s="152"/>
      <c r="BI25" s="152"/>
      <c r="BJ25" s="152"/>
      <c r="BK25" s="152"/>
      <c r="BL25" s="148"/>
      <c r="BM25" s="149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48"/>
      <c r="CF25" s="153"/>
      <c r="CG25" s="153"/>
      <c r="CH25" s="153"/>
      <c r="CI25" s="153"/>
      <c r="CJ25" s="153"/>
      <c r="CK25" s="153"/>
      <c r="CL25" s="153"/>
      <c r="CM25" s="153"/>
      <c r="CN25" s="153"/>
      <c r="CO25" s="153"/>
      <c r="CP25" s="153"/>
      <c r="CQ25" s="153"/>
      <c r="CR25" s="153"/>
      <c r="CS25" s="153"/>
      <c r="CT25" s="153"/>
      <c r="CU25" s="153"/>
      <c r="CV25" s="153"/>
      <c r="CW25" s="153"/>
      <c r="CX25" s="153"/>
      <c r="CY25" s="153"/>
      <c r="CZ25" s="153"/>
      <c r="DA25" s="153"/>
      <c r="DB25" s="153"/>
      <c r="DC25" s="153"/>
      <c r="DD25" s="153"/>
      <c r="DE25" s="153"/>
      <c r="DF25" s="153"/>
      <c r="DG25" s="153"/>
      <c r="DH25" s="153"/>
      <c r="DI25" s="153"/>
      <c r="DJ25" s="153"/>
      <c r="DK25" s="153"/>
      <c r="DL25" s="153"/>
      <c r="DM25" s="153"/>
      <c r="DN25" s="167"/>
      <c r="DO25" s="216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5.0999999999999996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28" t="s">
        <v>18</v>
      </c>
      <c r="M26" s="1029"/>
      <c r="N26" s="1029"/>
      <c r="O26" s="1029"/>
      <c r="P26" s="1029"/>
      <c r="Q26" s="1029"/>
      <c r="R26" s="1029"/>
      <c r="S26" s="1029"/>
      <c r="T26" s="1029"/>
      <c r="U26" s="1029"/>
      <c r="V26" s="1029"/>
      <c r="W26" s="1029"/>
      <c r="X26" s="1029"/>
      <c r="Y26" s="1029"/>
      <c r="Z26" s="1029"/>
      <c r="AA26" s="1029"/>
      <c r="AB26" s="1029"/>
      <c r="AC26" s="203"/>
      <c r="AD26" s="1030" t="str">
        <f>BEZ_AUFT_GE</f>
        <v>SAUERESSIG GmbH &amp; Co. KG</v>
      </c>
      <c r="AE26" s="1030"/>
      <c r="AF26" s="1030"/>
      <c r="AG26" s="1030"/>
      <c r="AH26" s="1030"/>
      <c r="AI26" s="1030"/>
      <c r="AJ26" s="1030"/>
      <c r="AK26" s="1030"/>
      <c r="AL26" s="1030"/>
      <c r="AM26" s="1030"/>
      <c r="AN26" s="1030"/>
      <c r="AO26" s="1030"/>
      <c r="AP26" s="1030"/>
      <c r="AQ26" s="1030"/>
      <c r="AR26" s="1030"/>
      <c r="AS26" s="1030"/>
      <c r="AT26" s="1030"/>
      <c r="AU26" s="1030"/>
      <c r="AV26" s="1030"/>
      <c r="AW26" s="1030"/>
      <c r="AX26" s="1030"/>
      <c r="AY26" s="1030"/>
      <c r="AZ26" s="1030"/>
      <c r="BA26" s="1030"/>
      <c r="BB26" s="1030"/>
      <c r="BC26" s="1030"/>
      <c r="BD26" s="1030"/>
      <c r="BE26" s="1030"/>
      <c r="BF26" s="1030"/>
      <c r="BG26" s="1030"/>
      <c r="BH26" s="1030"/>
      <c r="BI26" s="1030"/>
      <c r="BJ26" s="1030"/>
      <c r="BK26" s="1030"/>
      <c r="BL26" s="148"/>
      <c r="BM26" s="149"/>
      <c r="BN26" s="1029" t="s">
        <v>19</v>
      </c>
      <c r="BO26" s="1029"/>
      <c r="BP26" s="1029"/>
      <c r="BQ26" s="1029"/>
      <c r="BR26" s="1029"/>
      <c r="BS26" s="1029"/>
      <c r="BT26" s="1029"/>
      <c r="BU26" s="1029"/>
      <c r="BV26" s="1029"/>
      <c r="BW26" s="1029"/>
      <c r="BX26" s="1029"/>
      <c r="BY26" s="1029"/>
      <c r="BZ26" s="1029"/>
      <c r="CA26" s="1029"/>
      <c r="CB26" s="1029"/>
      <c r="CC26" s="1029"/>
      <c r="CD26" s="1029"/>
      <c r="CE26" s="201"/>
      <c r="CF26" s="1030" t="str">
        <f>BEZ_KONS_TYP</f>
        <v xml:space="preserve"> Schalung, SA-024-2-Wege</v>
      </c>
      <c r="CG26" s="1030"/>
      <c r="CH26" s="1030"/>
      <c r="CI26" s="1030"/>
      <c r="CJ26" s="1030"/>
      <c r="CK26" s="1030"/>
      <c r="CL26" s="1030"/>
      <c r="CM26" s="1030"/>
      <c r="CN26" s="1030"/>
      <c r="CO26" s="1030"/>
      <c r="CP26" s="1030"/>
      <c r="CQ26" s="1030"/>
      <c r="CR26" s="1030"/>
      <c r="CS26" s="1030"/>
      <c r="CT26" s="1030"/>
      <c r="CU26" s="1030"/>
      <c r="CV26" s="1030"/>
      <c r="CW26" s="1030"/>
      <c r="CX26" s="1030"/>
      <c r="CY26" s="1030"/>
      <c r="CZ26" s="1030"/>
      <c r="DA26" s="1030"/>
      <c r="DB26" s="1030"/>
      <c r="DC26" s="1030"/>
      <c r="DD26" s="1030"/>
      <c r="DE26" s="1030"/>
      <c r="DF26" s="1030"/>
      <c r="DG26" s="1030"/>
      <c r="DH26" s="1030"/>
      <c r="DI26" s="1030"/>
      <c r="DJ26" s="1030"/>
      <c r="DK26" s="1030"/>
      <c r="DL26" s="1030"/>
      <c r="DM26" s="1030"/>
      <c r="DN26" s="167"/>
      <c r="DO26" s="216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5.0999999999999996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28"/>
      <c r="M27" s="1029"/>
      <c r="N27" s="1029"/>
      <c r="O27" s="1029"/>
      <c r="P27" s="1029"/>
      <c r="Q27" s="1029"/>
      <c r="R27" s="1029"/>
      <c r="S27" s="1029"/>
      <c r="T27" s="1029"/>
      <c r="U27" s="1029"/>
      <c r="V27" s="1029"/>
      <c r="W27" s="1029"/>
      <c r="X27" s="1029"/>
      <c r="Y27" s="1029"/>
      <c r="Z27" s="1029"/>
      <c r="AA27" s="1029"/>
      <c r="AB27" s="1029"/>
      <c r="AC27" s="203"/>
      <c r="AD27" s="1030"/>
      <c r="AE27" s="1030"/>
      <c r="AF27" s="1030"/>
      <c r="AG27" s="1030"/>
      <c r="AH27" s="1030"/>
      <c r="AI27" s="1030"/>
      <c r="AJ27" s="1030"/>
      <c r="AK27" s="1030"/>
      <c r="AL27" s="1030"/>
      <c r="AM27" s="1030"/>
      <c r="AN27" s="1030"/>
      <c r="AO27" s="1030"/>
      <c r="AP27" s="1030"/>
      <c r="AQ27" s="1030"/>
      <c r="AR27" s="1030"/>
      <c r="AS27" s="1030"/>
      <c r="AT27" s="1030"/>
      <c r="AU27" s="1030"/>
      <c r="AV27" s="1030"/>
      <c r="AW27" s="1030"/>
      <c r="AX27" s="1030"/>
      <c r="AY27" s="1030"/>
      <c r="AZ27" s="1030"/>
      <c r="BA27" s="1030"/>
      <c r="BB27" s="1030"/>
      <c r="BC27" s="1030"/>
      <c r="BD27" s="1030"/>
      <c r="BE27" s="1030"/>
      <c r="BF27" s="1030"/>
      <c r="BG27" s="1030"/>
      <c r="BH27" s="1030"/>
      <c r="BI27" s="1030"/>
      <c r="BJ27" s="1030"/>
      <c r="BK27" s="1030"/>
      <c r="BL27" s="148"/>
      <c r="BM27" s="149"/>
      <c r="BN27" s="1029"/>
      <c r="BO27" s="1029"/>
      <c r="BP27" s="1029"/>
      <c r="BQ27" s="1029"/>
      <c r="BR27" s="1029"/>
      <c r="BS27" s="1029"/>
      <c r="BT27" s="1029"/>
      <c r="BU27" s="1029"/>
      <c r="BV27" s="1029"/>
      <c r="BW27" s="1029"/>
      <c r="BX27" s="1029"/>
      <c r="BY27" s="1029"/>
      <c r="BZ27" s="1029"/>
      <c r="CA27" s="1029"/>
      <c r="CB27" s="1029"/>
      <c r="CC27" s="1029"/>
      <c r="CD27" s="1029"/>
      <c r="CE27" s="201"/>
      <c r="CF27" s="1030"/>
      <c r="CG27" s="1030"/>
      <c r="CH27" s="1030"/>
      <c r="CI27" s="1030"/>
      <c r="CJ27" s="1030"/>
      <c r="CK27" s="1030"/>
      <c r="CL27" s="1030"/>
      <c r="CM27" s="1030"/>
      <c r="CN27" s="1030"/>
      <c r="CO27" s="1030"/>
      <c r="CP27" s="1030"/>
      <c r="CQ27" s="1030"/>
      <c r="CR27" s="1030"/>
      <c r="CS27" s="1030"/>
      <c r="CT27" s="1030"/>
      <c r="CU27" s="1030"/>
      <c r="CV27" s="1030"/>
      <c r="CW27" s="1030"/>
      <c r="CX27" s="1030"/>
      <c r="CY27" s="1030"/>
      <c r="CZ27" s="1030"/>
      <c r="DA27" s="1030"/>
      <c r="DB27" s="1030"/>
      <c r="DC27" s="1030"/>
      <c r="DD27" s="1030"/>
      <c r="DE27" s="1030"/>
      <c r="DF27" s="1030"/>
      <c r="DG27" s="1030"/>
      <c r="DH27" s="1030"/>
      <c r="DI27" s="1030"/>
      <c r="DJ27" s="1030"/>
      <c r="DK27" s="1030"/>
      <c r="DL27" s="1030"/>
      <c r="DM27" s="1030"/>
      <c r="DN27" s="167"/>
      <c r="DO27" s="216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5.0999999999999996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28" t="s">
        <v>20</v>
      </c>
      <c r="M28" s="1029"/>
      <c r="N28" s="1029"/>
      <c r="O28" s="1029"/>
      <c r="P28" s="1029"/>
      <c r="Q28" s="1029"/>
      <c r="R28" s="1029"/>
      <c r="S28" s="1029"/>
      <c r="T28" s="1029"/>
      <c r="U28" s="1029"/>
      <c r="V28" s="1029"/>
      <c r="W28" s="1029"/>
      <c r="X28" s="1029"/>
      <c r="Y28" s="1029"/>
      <c r="Z28" s="1029"/>
      <c r="AA28" s="1029"/>
      <c r="AB28" s="1029"/>
      <c r="AC28" s="203"/>
      <c r="AD28" s="1030" t="str">
        <f>BEZ_KUND_ID</f>
        <v>D28024</v>
      </c>
      <c r="AE28" s="1030"/>
      <c r="AF28" s="1030"/>
      <c r="AG28" s="1030"/>
      <c r="AH28" s="1030"/>
      <c r="AI28" s="1030"/>
      <c r="AJ28" s="1030"/>
      <c r="AK28" s="1030"/>
      <c r="AL28" s="1030"/>
      <c r="AM28" s="1030"/>
      <c r="AN28" s="1030"/>
      <c r="AO28" s="1030"/>
      <c r="AP28" s="1030"/>
      <c r="AQ28" s="1030"/>
      <c r="AR28" s="1030"/>
      <c r="AS28" s="1030"/>
      <c r="AT28" s="1030"/>
      <c r="AU28" s="1030"/>
      <c r="AV28" s="1030"/>
      <c r="AW28" s="1030"/>
      <c r="AX28" s="1030"/>
      <c r="AY28" s="1030"/>
      <c r="AZ28" s="1030"/>
      <c r="BA28" s="1030"/>
      <c r="BB28" s="1030"/>
      <c r="BC28" s="1030"/>
      <c r="BD28" s="1030"/>
      <c r="BE28" s="1030"/>
      <c r="BF28" s="1030"/>
      <c r="BG28" s="1030"/>
      <c r="BH28" s="1030"/>
      <c r="BI28" s="1030"/>
      <c r="BJ28" s="1030"/>
      <c r="BK28" s="1030"/>
      <c r="BL28" s="148"/>
      <c r="BM28" s="149"/>
      <c r="BN28" s="1029" t="s">
        <v>21</v>
      </c>
      <c r="BO28" s="1029"/>
      <c r="BP28" s="1029"/>
      <c r="BQ28" s="1029"/>
      <c r="BR28" s="1029"/>
      <c r="BS28" s="1029"/>
      <c r="BT28" s="1029"/>
      <c r="BU28" s="1029"/>
      <c r="BV28" s="1029"/>
      <c r="BW28" s="1029"/>
      <c r="BX28" s="1029"/>
      <c r="BY28" s="1029"/>
      <c r="BZ28" s="1029"/>
      <c r="CA28" s="1029"/>
      <c r="CB28" s="1029"/>
      <c r="CC28" s="1029"/>
      <c r="CD28" s="1029"/>
      <c r="CE28" s="201"/>
      <c r="CF28" s="1030">
        <f>BEZ_KONS_BES</f>
        <v>0</v>
      </c>
      <c r="CG28" s="1030"/>
      <c r="CH28" s="1030"/>
      <c r="CI28" s="1030"/>
      <c r="CJ28" s="1030"/>
      <c r="CK28" s="1030"/>
      <c r="CL28" s="1030"/>
      <c r="CM28" s="1030"/>
      <c r="CN28" s="1030"/>
      <c r="CO28" s="1030"/>
      <c r="CP28" s="1030"/>
      <c r="CQ28" s="1030"/>
      <c r="CR28" s="1030"/>
      <c r="CS28" s="1030"/>
      <c r="CT28" s="1030"/>
      <c r="CU28" s="1030"/>
      <c r="CV28" s="1030"/>
      <c r="CW28" s="1030"/>
      <c r="CX28" s="1030"/>
      <c r="CY28" s="1030"/>
      <c r="CZ28" s="1030"/>
      <c r="DA28" s="1030"/>
      <c r="DB28" s="1030"/>
      <c r="DC28" s="1030"/>
      <c r="DD28" s="1030"/>
      <c r="DE28" s="1030"/>
      <c r="DF28" s="1030"/>
      <c r="DG28" s="1030"/>
      <c r="DH28" s="1030"/>
      <c r="DI28" s="1030"/>
      <c r="DJ28" s="1030"/>
      <c r="DK28" s="1030"/>
      <c r="DL28" s="1030"/>
      <c r="DM28" s="1030"/>
      <c r="DN28" s="167"/>
      <c r="DO28" s="216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5.0999999999999996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28"/>
      <c r="M29" s="1029"/>
      <c r="N29" s="1029"/>
      <c r="O29" s="1029"/>
      <c r="P29" s="1029"/>
      <c r="Q29" s="1029"/>
      <c r="R29" s="1029"/>
      <c r="S29" s="1029"/>
      <c r="T29" s="1029"/>
      <c r="U29" s="1029"/>
      <c r="V29" s="1029"/>
      <c r="W29" s="1029"/>
      <c r="X29" s="1029"/>
      <c r="Y29" s="1029"/>
      <c r="Z29" s="1029"/>
      <c r="AA29" s="1029"/>
      <c r="AB29" s="1029"/>
      <c r="AC29" s="203"/>
      <c r="AD29" s="1030"/>
      <c r="AE29" s="1030"/>
      <c r="AF29" s="1030"/>
      <c r="AG29" s="1030"/>
      <c r="AH29" s="1030"/>
      <c r="AI29" s="1030"/>
      <c r="AJ29" s="1030"/>
      <c r="AK29" s="1030"/>
      <c r="AL29" s="1030"/>
      <c r="AM29" s="1030"/>
      <c r="AN29" s="1030"/>
      <c r="AO29" s="1030"/>
      <c r="AP29" s="1030"/>
      <c r="AQ29" s="1030"/>
      <c r="AR29" s="1030"/>
      <c r="AS29" s="1030"/>
      <c r="AT29" s="1030"/>
      <c r="AU29" s="1030"/>
      <c r="AV29" s="1030"/>
      <c r="AW29" s="1030"/>
      <c r="AX29" s="1030"/>
      <c r="AY29" s="1030"/>
      <c r="AZ29" s="1030"/>
      <c r="BA29" s="1030"/>
      <c r="BB29" s="1030"/>
      <c r="BC29" s="1030"/>
      <c r="BD29" s="1030"/>
      <c r="BE29" s="1030"/>
      <c r="BF29" s="1030"/>
      <c r="BG29" s="1030"/>
      <c r="BH29" s="1030"/>
      <c r="BI29" s="1030"/>
      <c r="BJ29" s="1030"/>
      <c r="BK29" s="1030"/>
      <c r="BL29" s="148"/>
      <c r="BM29" s="149"/>
      <c r="BN29" s="1029"/>
      <c r="BO29" s="1029"/>
      <c r="BP29" s="1029"/>
      <c r="BQ29" s="1029"/>
      <c r="BR29" s="1029"/>
      <c r="BS29" s="1029"/>
      <c r="BT29" s="1029"/>
      <c r="BU29" s="1029"/>
      <c r="BV29" s="1029"/>
      <c r="BW29" s="1029"/>
      <c r="BX29" s="1029"/>
      <c r="BY29" s="1029"/>
      <c r="BZ29" s="1029"/>
      <c r="CA29" s="1029"/>
      <c r="CB29" s="1029"/>
      <c r="CC29" s="1029"/>
      <c r="CD29" s="1029"/>
      <c r="CE29" s="201"/>
      <c r="CF29" s="1030"/>
      <c r="CG29" s="1030"/>
      <c r="CH29" s="1030"/>
      <c r="CI29" s="1030"/>
      <c r="CJ29" s="1030"/>
      <c r="CK29" s="1030"/>
      <c r="CL29" s="1030"/>
      <c r="CM29" s="1030"/>
      <c r="CN29" s="1030"/>
      <c r="CO29" s="1030"/>
      <c r="CP29" s="1030"/>
      <c r="CQ29" s="1030"/>
      <c r="CR29" s="1030"/>
      <c r="CS29" s="1030"/>
      <c r="CT29" s="1030"/>
      <c r="CU29" s="1030"/>
      <c r="CV29" s="1030"/>
      <c r="CW29" s="1030"/>
      <c r="CX29" s="1030"/>
      <c r="CY29" s="1030"/>
      <c r="CZ29" s="1030"/>
      <c r="DA29" s="1030"/>
      <c r="DB29" s="1030"/>
      <c r="DC29" s="1030"/>
      <c r="DD29" s="1030"/>
      <c r="DE29" s="1030"/>
      <c r="DF29" s="1030"/>
      <c r="DG29" s="1030"/>
      <c r="DH29" s="1030"/>
      <c r="DI29" s="1030"/>
      <c r="DJ29" s="1030"/>
      <c r="DK29" s="1030"/>
      <c r="DL29" s="1030"/>
      <c r="DM29" s="1030"/>
      <c r="DN29" s="167"/>
      <c r="DO29" s="216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12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50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48"/>
      <c r="AD30" s="152"/>
      <c r="AE30" s="152"/>
      <c r="AF30" s="152"/>
      <c r="AG30" s="152"/>
      <c r="AH30" s="152"/>
      <c r="AI30" s="152"/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2"/>
      <c r="BJ30" s="152"/>
      <c r="BK30" s="152"/>
      <c r="BL30" s="148"/>
      <c r="BM30" s="149"/>
      <c r="BN30" s="151"/>
      <c r="BO30" s="151"/>
      <c r="BP30" s="151"/>
      <c r="BQ30" s="151"/>
      <c r="BR30" s="151"/>
      <c r="BS30" s="151"/>
      <c r="BT30" s="151"/>
      <c r="BU30" s="151"/>
      <c r="BV30" s="151"/>
      <c r="BW30" s="151"/>
      <c r="BX30" s="151"/>
      <c r="BY30" s="151"/>
      <c r="BZ30" s="151"/>
      <c r="CA30" s="151"/>
      <c r="CB30" s="151"/>
      <c r="CC30" s="151"/>
      <c r="CD30" s="151"/>
      <c r="CE30" s="148"/>
      <c r="CF30" s="153"/>
      <c r="CG30" s="153"/>
      <c r="CH30" s="153"/>
      <c r="CI30" s="153"/>
      <c r="CJ30" s="153"/>
      <c r="CK30" s="153"/>
      <c r="CL30" s="153"/>
      <c r="CM30" s="153"/>
      <c r="CN30" s="153"/>
      <c r="CO30" s="153"/>
      <c r="CP30" s="153"/>
      <c r="CQ30" s="153"/>
      <c r="CR30" s="153"/>
      <c r="CS30" s="153"/>
      <c r="CT30" s="153"/>
      <c r="CU30" s="153"/>
      <c r="CV30" s="153"/>
      <c r="CW30" s="153"/>
      <c r="CX30" s="153"/>
      <c r="CY30" s="153"/>
      <c r="CZ30" s="153"/>
      <c r="DA30" s="153"/>
      <c r="DB30" s="153"/>
      <c r="DC30" s="153"/>
      <c r="DD30" s="153"/>
      <c r="DE30" s="153"/>
      <c r="DF30" s="153"/>
      <c r="DG30" s="153"/>
      <c r="DH30" s="153"/>
      <c r="DI30" s="153"/>
      <c r="DJ30" s="153"/>
      <c r="DK30" s="153"/>
      <c r="DL30" s="153"/>
      <c r="DM30" s="153"/>
      <c r="DN30" s="167"/>
      <c r="DO30" s="216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5.0999999999999996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28" t="s">
        <v>247</v>
      </c>
      <c r="M31" s="1029"/>
      <c r="N31" s="1029"/>
      <c r="O31" s="1029"/>
      <c r="P31" s="1029"/>
      <c r="Q31" s="1029"/>
      <c r="R31" s="1029"/>
      <c r="S31" s="1029"/>
      <c r="T31" s="1029"/>
      <c r="U31" s="1029"/>
      <c r="V31" s="1029"/>
      <c r="W31" s="1029"/>
      <c r="X31" s="1029"/>
      <c r="Y31" s="1029"/>
      <c r="Z31" s="1029"/>
      <c r="AA31" s="1029"/>
      <c r="AB31" s="1029"/>
      <c r="AC31" s="203"/>
      <c r="AD31" s="1030">
        <f>BEZ_AUFT_ID</f>
        <v>0</v>
      </c>
      <c r="AE31" s="1030"/>
      <c r="AF31" s="1030"/>
      <c r="AG31" s="1030"/>
      <c r="AH31" s="1030"/>
      <c r="AI31" s="1030"/>
      <c r="AJ31" s="1030"/>
      <c r="AK31" s="1030"/>
      <c r="AL31" s="1030"/>
      <c r="AM31" s="1030"/>
      <c r="AN31" s="1030"/>
      <c r="AO31" s="1030"/>
      <c r="AP31" s="1030"/>
      <c r="AQ31" s="1030"/>
      <c r="AR31" s="1030"/>
      <c r="AS31" s="1030"/>
      <c r="AT31" s="1030"/>
      <c r="AU31" s="1030"/>
      <c r="AV31" s="1030"/>
      <c r="AW31" s="1030"/>
      <c r="AX31" s="1030"/>
      <c r="AY31" s="1030"/>
      <c r="AZ31" s="1030"/>
      <c r="BA31" s="1030"/>
      <c r="BB31" s="1030"/>
      <c r="BC31" s="1030"/>
      <c r="BD31" s="1030"/>
      <c r="BE31" s="1030"/>
      <c r="BF31" s="1030"/>
      <c r="BG31" s="1030"/>
      <c r="BH31" s="1030"/>
      <c r="BI31" s="1030"/>
      <c r="BJ31" s="1030"/>
      <c r="BK31" s="1030"/>
      <c r="BL31" s="148"/>
      <c r="BM31" s="149"/>
      <c r="BN31" s="1029" t="s">
        <v>22</v>
      </c>
      <c r="BO31" s="1029"/>
      <c r="BP31" s="1029"/>
      <c r="BQ31" s="1029"/>
      <c r="BR31" s="1029"/>
      <c r="BS31" s="1029"/>
      <c r="BT31" s="1029"/>
      <c r="BU31" s="1029"/>
      <c r="BV31" s="1029"/>
      <c r="BW31" s="1029"/>
      <c r="BX31" s="1029"/>
      <c r="BY31" s="1029"/>
      <c r="BZ31" s="1029"/>
      <c r="CA31" s="1029"/>
      <c r="CB31" s="1029"/>
      <c r="CC31" s="1029"/>
      <c r="CD31" s="1029"/>
      <c r="CE31" s="201"/>
      <c r="CF31" s="1030" t="str">
        <f>BEZ_LIEF_ART</f>
        <v>Lieferung durch Robers</v>
      </c>
      <c r="CG31" s="1030"/>
      <c r="CH31" s="1030"/>
      <c r="CI31" s="1030"/>
      <c r="CJ31" s="1030"/>
      <c r="CK31" s="1030"/>
      <c r="CL31" s="1030"/>
      <c r="CM31" s="1030"/>
      <c r="CN31" s="1030"/>
      <c r="CO31" s="1030"/>
      <c r="CP31" s="1030"/>
      <c r="CQ31" s="1030"/>
      <c r="CR31" s="1030"/>
      <c r="CS31" s="1030"/>
      <c r="CT31" s="1030"/>
      <c r="CU31" s="1030"/>
      <c r="CV31" s="1030"/>
      <c r="CW31" s="1030"/>
      <c r="CX31" s="1030"/>
      <c r="CY31" s="1030"/>
      <c r="CZ31" s="1030"/>
      <c r="DA31" s="1030"/>
      <c r="DB31" s="1030"/>
      <c r="DC31" s="1030"/>
      <c r="DD31" s="1030"/>
      <c r="DE31" s="1030"/>
      <c r="DF31" s="1030"/>
      <c r="DG31" s="1030"/>
      <c r="DH31" s="1030"/>
      <c r="DI31" s="1030"/>
      <c r="DJ31" s="1030"/>
      <c r="DK31" s="1030"/>
      <c r="DL31" s="1030"/>
      <c r="DM31" s="1030"/>
      <c r="DN31" s="167"/>
      <c r="DO31" s="216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5.0999999999999996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28"/>
      <c r="M32" s="1029"/>
      <c r="N32" s="1029"/>
      <c r="O32" s="1029"/>
      <c r="P32" s="1029"/>
      <c r="Q32" s="1029"/>
      <c r="R32" s="1029"/>
      <c r="S32" s="1029"/>
      <c r="T32" s="1029"/>
      <c r="U32" s="1029"/>
      <c r="V32" s="1029"/>
      <c r="W32" s="1029"/>
      <c r="X32" s="1029"/>
      <c r="Y32" s="1029"/>
      <c r="Z32" s="1029"/>
      <c r="AA32" s="1029"/>
      <c r="AB32" s="1029"/>
      <c r="AC32" s="203"/>
      <c r="AD32" s="1030"/>
      <c r="AE32" s="1030"/>
      <c r="AF32" s="1030"/>
      <c r="AG32" s="1030"/>
      <c r="AH32" s="1030"/>
      <c r="AI32" s="1030"/>
      <c r="AJ32" s="1030"/>
      <c r="AK32" s="1030"/>
      <c r="AL32" s="1030"/>
      <c r="AM32" s="1030"/>
      <c r="AN32" s="1030"/>
      <c r="AO32" s="1030"/>
      <c r="AP32" s="1030"/>
      <c r="AQ32" s="1030"/>
      <c r="AR32" s="1030"/>
      <c r="AS32" s="1030"/>
      <c r="AT32" s="1030"/>
      <c r="AU32" s="1030"/>
      <c r="AV32" s="1030"/>
      <c r="AW32" s="1030"/>
      <c r="AX32" s="1030"/>
      <c r="AY32" s="1030"/>
      <c r="AZ32" s="1030"/>
      <c r="BA32" s="1030"/>
      <c r="BB32" s="1030"/>
      <c r="BC32" s="1030"/>
      <c r="BD32" s="1030"/>
      <c r="BE32" s="1030"/>
      <c r="BF32" s="1030"/>
      <c r="BG32" s="1030"/>
      <c r="BH32" s="1030"/>
      <c r="BI32" s="1030"/>
      <c r="BJ32" s="1030"/>
      <c r="BK32" s="1030"/>
      <c r="BL32" s="148"/>
      <c r="BM32" s="149"/>
      <c r="BN32" s="1029"/>
      <c r="BO32" s="1029"/>
      <c r="BP32" s="1029"/>
      <c r="BQ32" s="1029"/>
      <c r="BR32" s="1029"/>
      <c r="BS32" s="1029"/>
      <c r="BT32" s="1029"/>
      <c r="BU32" s="1029"/>
      <c r="BV32" s="1029"/>
      <c r="BW32" s="1029"/>
      <c r="BX32" s="1029"/>
      <c r="BY32" s="1029"/>
      <c r="BZ32" s="1029"/>
      <c r="CA32" s="1029"/>
      <c r="CB32" s="1029"/>
      <c r="CC32" s="1029"/>
      <c r="CD32" s="1029"/>
      <c r="CE32" s="201"/>
      <c r="CF32" s="1030"/>
      <c r="CG32" s="1030"/>
      <c r="CH32" s="1030"/>
      <c r="CI32" s="1030"/>
      <c r="CJ32" s="1030"/>
      <c r="CK32" s="1030"/>
      <c r="CL32" s="1030"/>
      <c r="CM32" s="1030"/>
      <c r="CN32" s="1030"/>
      <c r="CO32" s="1030"/>
      <c r="CP32" s="1030"/>
      <c r="CQ32" s="1030"/>
      <c r="CR32" s="1030"/>
      <c r="CS32" s="1030"/>
      <c r="CT32" s="1030"/>
      <c r="CU32" s="1030"/>
      <c r="CV32" s="1030"/>
      <c r="CW32" s="1030"/>
      <c r="CX32" s="1030"/>
      <c r="CY32" s="1030"/>
      <c r="CZ32" s="1030"/>
      <c r="DA32" s="1030"/>
      <c r="DB32" s="1030"/>
      <c r="DC32" s="1030"/>
      <c r="DD32" s="1030"/>
      <c r="DE32" s="1030"/>
      <c r="DF32" s="1030"/>
      <c r="DG32" s="1030"/>
      <c r="DH32" s="1030"/>
      <c r="DI32" s="1030"/>
      <c r="DJ32" s="1030"/>
      <c r="DK32" s="1030"/>
      <c r="DL32" s="1030"/>
      <c r="DM32" s="1030"/>
      <c r="DN32" s="167"/>
      <c r="DO32" s="216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5.0999999999999996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28" t="s">
        <v>23</v>
      </c>
      <c r="M33" s="1029"/>
      <c r="N33" s="1029"/>
      <c r="O33" s="1029"/>
      <c r="P33" s="1029"/>
      <c r="Q33" s="1029"/>
      <c r="R33" s="1029"/>
      <c r="S33" s="1029"/>
      <c r="T33" s="1029"/>
      <c r="U33" s="1029"/>
      <c r="V33" s="1029"/>
      <c r="W33" s="1029"/>
      <c r="X33" s="1029"/>
      <c r="Y33" s="1029"/>
      <c r="Z33" s="1029"/>
      <c r="AA33" s="1029"/>
      <c r="AB33" s="1029"/>
      <c r="AC33" s="203"/>
      <c r="AD33" s="1030">
        <f>BEZ_KOMM_NA</f>
        <v>0</v>
      </c>
      <c r="AE33" s="1030"/>
      <c r="AF33" s="1030"/>
      <c r="AG33" s="1030"/>
      <c r="AH33" s="1030"/>
      <c r="AI33" s="1030"/>
      <c r="AJ33" s="1030"/>
      <c r="AK33" s="1030"/>
      <c r="AL33" s="1030"/>
      <c r="AM33" s="1030"/>
      <c r="AN33" s="1030"/>
      <c r="AO33" s="1030"/>
      <c r="AP33" s="1030"/>
      <c r="AQ33" s="1030"/>
      <c r="AR33" s="1030"/>
      <c r="AS33" s="1030"/>
      <c r="AT33" s="1030"/>
      <c r="AU33" s="1030"/>
      <c r="AV33" s="1030"/>
      <c r="AW33" s="1030"/>
      <c r="AX33" s="1030"/>
      <c r="AY33" s="1030"/>
      <c r="AZ33" s="1030"/>
      <c r="BA33" s="1030"/>
      <c r="BB33" s="1030"/>
      <c r="BC33" s="1030"/>
      <c r="BD33" s="1030"/>
      <c r="BE33" s="1030"/>
      <c r="BF33" s="1030"/>
      <c r="BG33" s="1030"/>
      <c r="BH33" s="1030"/>
      <c r="BI33" s="1030"/>
      <c r="BJ33" s="1030"/>
      <c r="BK33" s="1030"/>
      <c r="BL33" s="148"/>
      <c r="BM33" s="149"/>
      <c r="BN33" s="1029" t="s">
        <v>24</v>
      </c>
      <c r="BO33" s="1029"/>
      <c r="BP33" s="1029"/>
      <c r="BQ33" s="1029"/>
      <c r="BR33" s="1029"/>
      <c r="BS33" s="1029"/>
      <c r="BT33" s="1029"/>
      <c r="BU33" s="1029"/>
      <c r="BV33" s="1029"/>
      <c r="BW33" s="1029"/>
      <c r="BX33" s="1029"/>
      <c r="BY33" s="1029"/>
      <c r="BZ33" s="1029"/>
      <c r="CA33" s="1029"/>
      <c r="CB33" s="1029"/>
      <c r="CC33" s="1029"/>
      <c r="CD33" s="1029"/>
      <c r="CE33" s="201"/>
      <c r="CF33" s="1030" t="str">
        <f>BEZ_LIEF_ORT</f>
        <v>Gutenbergstr. 1-3, 48691 Vreden</v>
      </c>
      <c r="CG33" s="1030"/>
      <c r="CH33" s="1030"/>
      <c r="CI33" s="1030"/>
      <c r="CJ33" s="1030"/>
      <c r="CK33" s="1030"/>
      <c r="CL33" s="1030"/>
      <c r="CM33" s="1030"/>
      <c r="CN33" s="1030"/>
      <c r="CO33" s="1030"/>
      <c r="CP33" s="1030"/>
      <c r="CQ33" s="1030"/>
      <c r="CR33" s="1030"/>
      <c r="CS33" s="1030"/>
      <c r="CT33" s="1030"/>
      <c r="CU33" s="1030"/>
      <c r="CV33" s="1030"/>
      <c r="CW33" s="1030"/>
      <c r="CX33" s="1030"/>
      <c r="CY33" s="1030"/>
      <c r="CZ33" s="1030"/>
      <c r="DA33" s="1030"/>
      <c r="DB33" s="1030"/>
      <c r="DC33" s="1030"/>
      <c r="DD33" s="1030"/>
      <c r="DE33" s="1030"/>
      <c r="DF33" s="1030"/>
      <c r="DG33" s="1030"/>
      <c r="DH33" s="1030"/>
      <c r="DI33" s="1030"/>
      <c r="DJ33" s="1030"/>
      <c r="DK33" s="1030"/>
      <c r="DL33" s="1030"/>
      <c r="DM33" s="1030"/>
      <c r="DN33" s="167"/>
      <c r="DO33" s="216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5.0999999999999996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28"/>
      <c r="M34" s="1029"/>
      <c r="N34" s="1029"/>
      <c r="O34" s="1029"/>
      <c r="P34" s="1029"/>
      <c r="Q34" s="1029"/>
      <c r="R34" s="1029"/>
      <c r="S34" s="1029"/>
      <c r="T34" s="1029"/>
      <c r="U34" s="1029"/>
      <c r="V34" s="1029"/>
      <c r="W34" s="1029"/>
      <c r="X34" s="1029"/>
      <c r="Y34" s="1029"/>
      <c r="Z34" s="1029"/>
      <c r="AA34" s="1029"/>
      <c r="AB34" s="1029"/>
      <c r="AC34" s="203"/>
      <c r="AD34" s="1030"/>
      <c r="AE34" s="1030"/>
      <c r="AF34" s="1030"/>
      <c r="AG34" s="1030"/>
      <c r="AH34" s="1030"/>
      <c r="AI34" s="1030"/>
      <c r="AJ34" s="1030"/>
      <c r="AK34" s="1030"/>
      <c r="AL34" s="1030"/>
      <c r="AM34" s="1030"/>
      <c r="AN34" s="1030"/>
      <c r="AO34" s="1030"/>
      <c r="AP34" s="1030"/>
      <c r="AQ34" s="1030"/>
      <c r="AR34" s="1030"/>
      <c r="AS34" s="1030"/>
      <c r="AT34" s="1030"/>
      <c r="AU34" s="1030"/>
      <c r="AV34" s="1030"/>
      <c r="AW34" s="1030"/>
      <c r="AX34" s="1030"/>
      <c r="AY34" s="1030"/>
      <c r="AZ34" s="1030"/>
      <c r="BA34" s="1030"/>
      <c r="BB34" s="1030"/>
      <c r="BC34" s="1030"/>
      <c r="BD34" s="1030"/>
      <c r="BE34" s="1030"/>
      <c r="BF34" s="1030"/>
      <c r="BG34" s="1030"/>
      <c r="BH34" s="1030"/>
      <c r="BI34" s="1030"/>
      <c r="BJ34" s="1030"/>
      <c r="BK34" s="1030"/>
      <c r="BL34" s="148"/>
      <c r="BM34" s="149"/>
      <c r="BN34" s="1029"/>
      <c r="BO34" s="1029"/>
      <c r="BP34" s="1029"/>
      <c r="BQ34" s="1029"/>
      <c r="BR34" s="1029"/>
      <c r="BS34" s="1029"/>
      <c r="BT34" s="1029"/>
      <c r="BU34" s="1029"/>
      <c r="BV34" s="1029"/>
      <c r="BW34" s="1029"/>
      <c r="BX34" s="1029"/>
      <c r="BY34" s="1029"/>
      <c r="BZ34" s="1029"/>
      <c r="CA34" s="1029"/>
      <c r="CB34" s="1029"/>
      <c r="CC34" s="1029"/>
      <c r="CD34" s="1029"/>
      <c r="CE34" s="201"/>
      <c r="CF34" s="1030"/>
      <c r="CG34" s="1030"/>
      <c r="CH34" s="1030"/>
      <c r="CI34" s="1030"/>
      <c r="CJ34" s="1030"/>
      <c r="CK34" s="1030"/>
      <c r="CL34" s="1030"/>
      <c r="CM34" s="1030"/>
      <c r="CN34" s="1030"/>
      <c r="CO34" s="1030"/>
      <c r="CP34" s="1030"/>
      <c r="CQ34" s="1030"/>
      <c r="CR34" s="1030"/>
      <c r="CS34" s="1030"/>
      <c r="CT34" s="1030"/>
      <c r="CU34" s="1030"/>
      <c r="CV34" s="1030"/>
      <c r="CW34" s="1030"/>
      <c r="CX34" s="1030"/>
      <c r="CY34" s="1030"/>
      <c r="CZ34" s="1030"/>
      <c r="DA34" s="1030"/>
      <c r="DB34" s="1030"/>
      <c r="DC34" s="1030"/>
      <c r="DD34" s="1030"/>
      <c r="DE34" s="1030"/>
      <c r="DF34" s="1030"/>
      <c r="DG34" s="1030"/>
      <c r="DH34" s="1030"/>
      <c r="DI34" s="1030"/>
      <c r="DJ34" s="1030"/>
      <c r="DK34" s="1030"/>
      <c r="DL34" s="1030"/>
      <c r="DM34" s="1030"/>
      <c r="DN34" s="167"/>
      <c r="DO34" s="216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5.0999999999999996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28" t="s">
        <v>25</v>
      </c>
      <c r="M35" s="1029"/>
      <c r="N35" s="1029"/>
      <c r="O35" s="1029"/>
      <c r="P35" s="1029"/>
      <c r="Q35" s="1029"/>
      <c r="R35" s="1029"/>
      <c r="S35" s="1029"/>
      <c r="T35" s="1029"/>
      <c r="U35" s="1029"/>
      <c r="V35" s="1029"/>
      <c r="W35" s="1029"/>
      <c r="X35" s="1029"/>
      <c r="Y35" s="1029"/>
      <c r="Z35" s="1029"/>
      <c r="AA35" s="1029"/>
      <c r="AB35" s="1029"/>
      <c r="AC35" s="203"/>
      <c r="AD35" s="1051">
        <f>BEZ_PACK_NR</f>
        <v>0</v>
      </c>
      <c r="AE35" s="1051"/>
      <c r="AF35" s="1051"/>
      <c r="AG35" s="1051"/>
      <c r="AH35" s="1051"/>
      <c r="AI35" s="1051"/>
      <c r="AJ35" s="1051"/>
      <c r="AK35" s="1051"/>
      <c r="AL35" s="1051"/>
      <c r="AM35" s="1051"/>
      <c r="AN35" s="1051"/>
      <c r="AO35" s="1051"/>
      <c r="AP35" s="1051"/>
      <c r="AQ35" s="1051"/>
      <c r="AR35" s="1051"/>
      <c r="AS35" s="1051"/>
      <c r="AT35" s="1051"/>
      <c r="AU35" s="1051"/>
      <c r="AV35" s="1051"/>
      <c r="AW35" s="1051"/>
      <c r="AX35" s="1051"/>
      <c r="AY35" s="1051"/>
      <c r="AZ35" s="1051"/>
      <c r="BA35" s="1051"/>
      <c r="BB35" s="1051"/>
      <c r="BC35" s="1051"/>
      <c r="BD35" s="1051"/>
      <c r="BE35" s="1051"/>
      <c r="BF35" s="1051"/>
      <c r="BG35" s="1051"/>
      <c r="BH35" s="1051"/>
      <c r="BI35" s="1051"/>
      <c r="BJ35" s="1051"/>
      <c r="BK35" s="1051"/>
      <c r="BL35" s="148"/>
      <c r="BM35" s="149"/>
      <c r="BN35" s="1029" t="s">
        <v>144</v>
      </c>
      <c r="BO35" s="1029"/>
      <c r="BP35" s="1029"/>
      <c r="BQ35" s="1029"/>
      <c r="BR35" s="1029"/>
      <c r="BS35" s="1029"/>
      <c r="BT35" s="1029"/>
      <c r="BU35" s="1029"/>
      <c r="BV35" s="1029"/>
      <c r="BW35" s="1029"/>
      <c r="BX35" s="1029"/>
      <c r="BY35" s="1029"/>
      <c r="BZ35" s="1029"/>
      <c r="CA35" s="1029"/>
      <c r="CB35" s="1029"/>
      <c r="CC35" s="1029"/>
      <c r="CD35" s="1029"/>
      <c r="CE35" s="148"/>
      <c r="CF35" s="1030" t="str">
        <f>BEZ_VERP_ART</f>
        <v>ohne Verpackungsarbeiten</v>
      </c>
      <c r="CG35" s="1030"/>
      <c r="CH35" s="1030"/>
      <c r="CI35" s="1030"/>
      <c r="CJ35" s="1030"/>
      <c r="CK35" s="1030"/>
      <c r="CL35" s="1030"/>
      <c r="CM35" s="1030"/>
      <c r="CN35" s="1030"/>
      <c r="CO35" s="1030"/>
      <c r="CP35" s="1030"/>
      <c r="CQ35" s="1030"/>
      <c r="CR35" s="1030"/>
      <c r="CS35" s="1030"/>
      <c r="CT35" s="1030"/>
      <c r="CU35" s="1030"/>
      <c r="CV35" s="1030"/>
      <c r="CW35" s="1030"/>
      <c r="CX35" s="1030"/>
      <c r="CY35" s="1030"/>
      <c r="CZ35" s="1030"/>
      <c r="DA35" s="1030"/>
      <c r="DB35" s="1030"/>
      <c r="DC35" s="1030"/>
      <c r="DD35" s="1030"/>
      <c r="DE35" s="1030"/>
      <c r="DF35" s="1030"/>
      <c r="DG35" s="1030"/>
      <c r="DH35" s="1030"/>
      <c r="DI35" s="1030"/>
      <c r="DJ35" s="1030"/>
      <c r="DK35" s="1030"/>
      <c r="DL35" s="1030"/>
      <c r="DM35" s="1030"/>
      <c r="DN35" s="167"/>
      <c r="DO35" s="216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5.0999999999999996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28"/>
      <c r="M36" s="1029"/>
      <c r="N36" s="1029"/>
      <c r="O36" s="1029"/>
      <c r="P36" s="1029"/>
      <c r="Q36" s="1029"/>
      <c r="R36" s="1029"/>
      <c r="S36" s="1029"/>
      <c r="T36" s="1029"/>
      <c r="U36" s="1029"/>
      <c r="V36" s="1029"/>
      <c r="W36" s="1029"/>
      <c r="X36" s="1029"/>
      <c r="Y36" s="1029"/>
      <c r="Z36" s="1029"/>
      <c r="AA36" s="1029"/>
      <c r="AB36" s="1029"/>
      <c r="AC36" s="203"/>
      <c r="AD36" s="1051"/>
      <c r="AE36" s="1051"/>
      <c r="AF36" s="1051"/>
      <c r="AG36" s="1051"/>
      <c r="AH36" s="1051"/>
      <c r="AI36" s="1051"/>
      <c r="AJ36" s="1051"/>
      <c r="AK36" s="1051"/>
      <c r="AL36" s="1051"/>
      <c r="AM36" s="1051"/>
      <c r="AN36" s="1051"/>
      <c r="AO36" s="1051"/>
      <c r="AP36" s="1051"/>
      <c r="AQ36" s="1051"/>
      <c r="AR36" s="1051"/>
      <c r="AS36" s="1051"/>
      <c r="AT36" s="1051"/>
      <c r="AU36" s="1051"/>
      <c r="AV36" s="1051"/>
      <c r="AW36" s="1051"/>
      <c r="AX36" s="1051"/>
      <c r="AY36" s="1051"/>
      <c r="AZ36" s="1051"/>
      <c r="BA36" s="1051"/>
      <c r="BB36" s="1051"/>
      <c r="BC36" s="1051"/>
      <c r="BD36" s="1051"/>
      <c r="BE36" s="1051"/>
      <c r="BF36" s="1051"/>
      <c r="BG36" s="1051"/>
      <c r="BH36" s="1051"/>
      <c r="BI36" s="1051"/>
      <c r="BJ36" s="1051"/>
      <c r="BK36" s="1051"/>
      <c r="BL36" s="148"/>
      <c r="BM36" s="149"/>
      <c r="BN36" s="1029"/>
      <c r="BO36" s="1029"/>
      <c r="BP36" s="1029"/>
      <c r="BQ36" s="1029"/>
      <c r="BR36" s="1029"/>
      <c r="BS36" s="1029"/>
      <c r="BT36" s="1029"/>
      <c r="BU36" s="1029"/>
      <c r="BV36" s="1029"/>
      <c r="BW36" s="1029"/>
      <c r="BX36" s="1029"/>
      <c r="BY36" s="1029"/>
      <c r="BZ36" s="1029"/>
      <c r="CA36" s="1029"/>
      <c r="CB36" s="1029"/>
      <c r="CC36" s="1029"/>
      <c r="CD36" s="1029"/>
      <c r="CE36" s="148"/>
      <c r="CF36" s="1030"/>
      <c r="CG36" s="1030"/>
      <c r="CH36" s="1030"/>
      <c r="CI36" s="1030"/>
      <c r="CJ36" s="1030"/>
      <c r="CK36" s="1030"/>
      <c r="CL36" s="1030"/>
      <c r="CM36" s="1030"/>
      <c r="CN36" s="1030"/>
      <c r="CO36" s="1030"/>
      <c r="CP36" s="1030"/>
      <c r="CQ36" s="1030"/>
      <c r="CR36" s="1030"/>
      <c r="CS36" s="1030"/>
      <c r="CT36" s="1030"/>
      <c r="CU36" s="1030"/>
      <c r="CV36" s="1030"/>
      <c r="CW36" s="1030"/>
      <c r="CX36" s="1030"/>
      <c r="CY36" s="1030"/>
      <c r="CZ36" s="1030"/>
      <c r="DA36" s="1030"/>
      <c r="DB36" s="1030"/>
      <c r="DC36" s="1030"/>
      <c r="DD36" s="1030"/>
      <c r="DE36" s="1030"/>
      <c r="DF36" s="1030"/>
      <c r="DG36" s="1030"/>
      <c r="DH36" s="1030"/>
      <c r="DI36" s="1030"/>
      <c r="DJ36" s="1030"/>
      <c r="DK36" s="1030"/>
      <c r="DL36" s="1030"/>
      <c r="DM36" s="1030"/>
      <c r="DN36" s="167"/>
      <c r="DO36" s="216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5.0999999999999996" customHeight="1" x14ac:dyDescent="0.2">
      <c r="A37" s="1"/>
      <c r="B37" s="1"/>
      <c r="C37" s="2"/>
      <c r="D37" s="2"/>
      <c r="E37" s="2"/>
      <c r="F37" s="8"/>
      <c r="G37" s="8"/>
      <c r="H37" s="7"/>
      <c r="I37" s="7"/>
      <c r="J37" s="7"/>
      <c r="K37" s="10"/>
      <c r="L37" s="1028" t="s">
        <v>26</v>
      </c>
      <c r="M37" s="1029"/>
      <c r="N37" s="1029"/>
      <c r="O37" s="1029"/>
      <c r="P37" s="1029"/>
      <c r="Q37" s="1029"/>
      <c r="R37" s="1029"/>
      <c r="S37" s="1029"/>
      <c r="T37" s="1029"/>
      <c r="U37" s="1029"/>
      <c r="V37" s="1029"/>
      <c r="W37" s="1029"/>
      <c r="X37" s="1029"/>
      <c r="Y37" s="1029"/>
      <c r="Z37" s="1029"/>
      <c r="AA37" s="1029"/>
      <c r="AB37" s="1029"/>
      <c r="AC37" s="203"/>
      <c r="AD37" s="1030">
        <f>BEZ_PACK_IN</f>
        <v>0</v>
      </c>
      <c r="AE37" s="1030"/>
      <c r="AF37" s="1030"/>
      <c r="AG37" s="1030"/>
      <c r="AH37" s="1030"/>
      <c r="AI37" s="1030"/>
      <c r="AJ37" s="1030"/>
      <c r="AK37" s="1030"/>
      <c r="AL37" s="1030"/>
      <c r="AM37" s="1030"/>
      <c r="AN37" s="1030"/>
      <c r="AO37" s="1030"/>
      <c r="AP37" s="1030"/>
      <c r="AQ37" s="1030"/>
      <c r="AR37" s="1030"/>
      <c r="AS37" s="1030"/>
      <c r="AT37" s="1030"/>
      <c r="AU37" s="1030"/>
      <c r="AV37" s="1030"/>
      <c r="AW37" s="1030"/>
      <c r="AX37" s="1030"/>
      <c r="AY37" s="1030"/>
      <c r="AZ37" s="1030"/>
      <c r="BA37" s="1030"/>
      <c r="BB37" s="1030"/>
      <c r="BC37" s="1030"/>
      <c r="BD37" s="1030"/>
      <c r="BE37" s="1030"/>
      <c r="BF37" s="1030"/>
      <c r="BG37" s="1030"/>
      <c r="BH37" s="1030"/>
      <c r="BI37" s="1030"/>
      <c r="BJ37" s="1030"/>
      <c r="BK37" s="1030"/>
      <c r="BL37" s="148"/>
      <c r="BM37" s="149"/>
      <c r="BN37" s="1029" t="s">
        <v>27</v>
      </c>
      <c r="BO37" s="1029"/>
      <c r="BP37" s="1029"/>
      <c r="BQ37" s="1029"/>
      <c r="BR37" s="1029"/>
      <c r="BS37" s="1029"/>
      <c r="BT37" s="1029"/>
      <c r="BU37" s="1029"/>
      <c r="BV37" s="1029"/>
      <c r="BW37" s="1029"/>
      <c r="BX37" s="1029"/>
      <c r="BY37" s="1029"/>
      <c r="BZ37" s="1029"/>
      <c r="CA37" s="1029"/>
      <c r="CB37" s="1029"/>
      <c r="CC37" s="1029"/>
      <c r="CD37" s="1029"/>
      <c r="CE37" s="201"/>
      <c r="CF37" s="1030" t="str">
        <f>BEZ_VERP_ORT</f>
        <v>-</v>
      </c>
      <c r="CG37" s="1030"/>
      <c r="CH37" s="1030"/>
      <c r="CI37" s="1030"/>
      <c r="CJ37" s="1030"/>
      <c r="CK37" s="1030"/>
      <c r="CL37" s="1030"/>
      <c r="CM37" s="1030"/>
      <c r="CN37" s="1030"/>
      <c r="CO37" s="1030"/>
      <c r="CP37" s="1030"/>
      <c r="CQ37" s="1030"/>
      <c r="CR37" s="1030"/>
      <c r="CS37" s="1030"/>
      <c r="CT37" s="1030"/>
      <c r="CU37" s="1030"/>
      <c r="CV37" s="1030"/>
      <c r="CW37" s="1030"/>
      <c r="CX37" s="1030"/>
      <c r="CY37" s="1030"/>
      <c r="CZ37" s="1030"/>
      <c r="DA37" s="1030"/>
      <c r="DB37" s="1030"/>
      <c r="DC37" s="1030"/>
      <c r="DD37" s="1030"/>
      <c r="DE37" s="1030"/>
      <c r="DF37" s="1030"/>
      <c r="DG37" s="1030"/>
      <c r="DH37" s="1030"/>
      <c r="DI37" s="1030"/>
      <c r="DJ37" s="1030"/>
      <c r="DK37" s="1030"/>
      <c r="DL37" s="1030"/>
      <c r="DM37" s="1030"/>
      <c r="DN37" s="167"/>
      <c r="DO37" s="216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5.0999999999999996" customHeight="1" x14ac:dyDescent="0.2">
      <c r="A38" s="1"/>
      <c r="B38" s="1"/>
      <c r="C38" s="2"/>
      <c r="D38" s="2"/>
      <c r="E38" s="2"/>
      <c r="F38" s="8"/>
      <c r="G38" s="8"/>
      <c r="H38" s="7"/>
      <c r="I38" s="7"/>
      <c r="J38" s="7"/>
      <c r="K38" s="10"/>
      <c r="L38" s="1028"/>
      <c r="M38" s="1029"/>
      <c r="N38" s="1029"/>
      <c r="O38" s="1029"/>
      <c r="P38" s="1029"/>
      <c r="Q38" s="1029"/>
      <c r="R38" s="1029"/>
      <c r="S38" s="1029"/>
      <c r="T38" s="1029"/>
      <c r="U38" s="1029"/>
      <c r="V38" s="1029"/>
      <c r="W38" s="1029"/>
      <c r="X38" s="1029"/>
      <c r="Y38" s="1029"/>
      <c r="Z38" s="1029"/>
      <c r="AA38" s="1029"/>
      <c r="AB38" s="1029"/>
      <c r="AC38" s="203"/>
      <c r="AD38" s="1030"/>
      <c r="AE38" s="1030"/>
      <c r="AF38" s="1030"/>
      <c r="AG38" s="1030"/>
      <c r="AH38" s="1030"/>
      <c r="AI38" s="1030"/>
      <c r="AJ38" s="1030"/>
      <c r="AK38" s="1030"/>
      <c r="AL38" s="1030"/>
      <c r="AM38" s="1030"/>
      <c r="AN38" s="1030"/>
      <c r="AO38" s="1030"/>
      <c r="AP38" s="1030"/>
      <c r="AQ38" s="1030"/>
      <c r="AR38" s="1030"/>
      <c r="AS38" s="1030"/>
      <c r="AT38" s="1030"/>
      <c r="AU38" s="1030"/>
      <c r="AV38" s="1030"/>
      <c r="AW38" s="1030"/>
      <c r="AX38" s="1030"/>
      <c r="AY38" s="1030"/>
      <c r="AZ38" s="1030"/>
      <c r="BA38" s="1030"/>
      <c r="BB38" s="1030"/>
      <c r="BC38" s="1030"/>
      <c r="BD38" s="1030"/>
      <c r="BE38" s="1030"/>
      <c r="BF38" s="1030"/>
      <c r="BG38" s="1030"/>
      <c r="BH38" s="1030"/>
      <c r="BI38" s="1030"/>
      <c r="BJ38" s="1030"/>
      <c r="BK38" s="1030"/>
      <c r="BL38" s="148"/>
      <c r="BM38" s="149"/>
      <c r="BN38" s="1029"/>
      <c r="BO38" s="1029"/>
      <c r="BP38" s="1029"/>
      <c r="BQ38" s="1029"/>
      <c r="BR38" s="1029"/>
      <c r="BS38" s="1029"/>
      <c r="BT38" s="1029"/>
      <c r="BU38" s="1029"/>
      <c r="BV38" s="1029"/>
      <c r="BW38" s="1029"/>
      <c r="BX38" s="1029"/>
      <c r="BY38" s="1029"/>
      <c r="BZ38" s="1029"/>
      <c r="CA38" s="1029"/>
      <c r="CB38" s="1029"/>
      <c r="CC38" s="1029"/>
      <c r="CD38" s="1029"/>
      <c r="CE38" s="201"/>
      <c r="CF38" s="1030"/>
      <c r="CG38" s="1030"/>
      <c r="CH38" s="1030"/>
      <c r="CI38" s="1030"/>
      <c r="CJ38" s="1030"/>
      <c r="CK38" s="1030"/>
      <c r="CL38" s="1030"/>
      <c r="CM38" s="1030"/>
      <c r="CN38" s="1030"/>
      <c r="CO38" s="1030"/>
      <c r="CP38" s="1030"/>
      <c r="CQ38" s="1030"/>
      <c r="CR38" s="1030"/>
      <c r="CS38" s="1030"/>
      <c r="CT38" s="1030"/>
      <c r="CU38" s="1030"/>
      <c r="CV38" s="1030"/>
      <c r="CW38" s="1030"/>
      <c r="CX38" s="1030"/>
      <c r="CY38" s="1030"/>
      <c r="CZ38" s="1030"/>
      <c r="DA38" s="1030"/>
      <c r="DB38" s="1030"/>
      <c r="DC38" s="1030"/>
      <c r="DD38" s="1030"/>
      <c r="DE38" s="1030"/>
      <c r="DF38" s="1030"/>
      <c r="DG38" s="1030"/>
      <c r="DH38" s="1030"/>
      <c r="DI38" s="1030"/>
      <c r="DJ38" s="1030"/>
      <c r="DK38" s="1030"/>
      <c r="DL38" s="1030"/>
      <c r="DM38" s="1030"/>
      <c r="DN38" s="167"/>
      <c r="DO38" s="216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5.0999999999999996" customHeight="1" x14ac:dyDescent="0.2">
      <c r="A39" s="1"/>
      <c r="B39" s="1"/>
      <c r="C39" s="2"/>
      <c r="D39" s="2"/>
      <c r="E39" s="2"/>
      <c r="F39" s="8"/>
      <c r="G39" s="8"/>
      <c r="H39" s="7"/>
      <c r="I39" s="7"/>
      <c r="J39" s="7"/>
      <c r="K39" s="10"/>
      <c r="L39" s="1028" t="s">
        <v>28</v>
      </c>
      <c r="M39" s="1029"/>
      <c r="N39" s="1029"/>
      <c r="O39" s="1029"/>
      <c r="P39" s="1029"/>
      <c r="Q39" s="1029"/>
      <c r="R39" s="1029"/>
      <c r="S39" s="1029"/>
      <c r="T39" s="1029"/>
      <c r="U39" s="1029"/>
      <c r="V39" s="1029"/>
      <c r="W39" s="1029"/>
      <c r="X39" s="1029"/>
      <c r="Y39" s="1029"/>
      <c r="Z39" s="1029"/>
      <c r="AA39" s="1029"/>
      <c r="AB39" s="1029"/>
      <c r="AC39" s="203"/>
      <c r="AD39" s="1055">
        <f>Eingaben!AD41</f>
        <v>0</v>
      </c>
      <c r="AE39" s="1055"/>
      <c r="AF39" s="1055"/>
      <c r="AG39" s="1055"/>
      <c r="AH39" s="1055"/>
      <c r="AI39" s="1055"/>
      <c r="AJ39" s="1055"/>
      <c r="AK39" s="1055"/>
      <c r="AL39" s="1055"/>
      <c r="AM39" s="1055"/>
      <c r="AN39" s="1056" t="s">
        <v>42</v>
      </c>
      <c r="AO39" s="1056"/>
      <c r="AP39" s="1056"/>
      <c r="AQ39" s="1056"/>
      <c r="AR39" s="1056"/>
      <c r="AS39" s="154"/>
      <c r="AT39" s="154"/>
      <c r="AU39" s="154"/>
      <c r="AV39" s="154"/>
      <c r="AW39" s="154"/>
      <c r="AX39" s="154"/>
      <c r="AY39" s="154"/>
      <c r="AZ39" s="154"/>
      <c r="BA39" s="154"/>
      <c r="BB39" s="154"/>
      <c r="BC39" s="154"/>
      <c r="BD39" s="154"/>
      <c r="BE39" s="154"/>
      <c r="BF39" s="154"/>
      <c r="BG39" s="154"/>
      <c r="BH39" s="154"/>
      <c r="BI39" s="154"/>
      <c r="BJ39" s="154"/>
      <c r="BK39" s="154"/>
      <c r="BL39" s="148"/>
      <c r="BM39" s="149"/>
      <c r="BN39" s="1029" t="s">
        <v>30</v>
      </c>
      <c r="BO39" s="1029"/>
      <c r="BP39" s="1029"/>
      <c r="BQ39" s="1029"/>
      <c r="BR39" s="1029"/>
      <c r="BS39" s="1029"/>
      <c r="BT39" s="1029"/>
      <c r="BU39" s="1029"/>
      <c r="BV39" s="1029"/>
      <c r="BW39" s="1029"/>
      <c r="BX39" s="1029"/>
      <c r="BY39" s="1029"/>
      <c r="BZ39" s="1029"/>
      <c r="CA39" s="1029"/>
      <c r="CB39" s="1029"/>
      <c r="CC39" s="1029"/>
      <c r="CD39" s="1029"/>
      <c r="CE39" s="201"/>
      <c r="CF39" s="1057">
        <f>BEZ_LIEF_BEM</f>
        <v>0</v>
      </c>
      <c r="CG39" s="1057"/>
      <c r="CH39" s="1057"/>
      <c r="CI39" s="1057"/>
      <c r="CJ39" s="1057"/>
      <c r="CK39" s="1057"/>
      <c r="CL39" s="1057"/>
      <c r="CM39" s="1057"/>
      <c r="CN39" s="1057"/>
      <c r="CO39" s="1057"/>
      <c r="CP39" s="1057"/>
      <c r="CQ39" s="1057"/>
      <c r="CR39" s="1057"/>
      <c r="CS39" s="1057"/>
      <c r="CT39" s="1057"/>
      <c r="CU39" s="1057"/>
      <c r="CV39" s="1057"/>
      <c r="CW39" s="1057"/>
      <c r="CX39" s="1057"/>
      <c r="CY39" s="1057"/>
      <c r="CZ39" s="1057"/>
      <c r="DA39" s="1057"/>
      <c r="DB39" s="1057"/>
      <c r="DC39" s="1057"/>
      <c r="DD39" s="1057"/>
      <c r="DE39" s="1057"/>
      <c r="DF39" s="1057"/>
      <c r="DG39" s="1057"/>
      <c r="DH39" s="1057"/>
      <c r="DI39" s="1057"/>
      <c r="DJ39" s="1057"/>
      <c r="DK39" s="1057"/>
      <c r="DL39" s="1057"/>
      <c r="DM39" s="1057"/>
      <c r="DN39" s="167"/>
      <c r="DO39" s="216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5.0999999999999996" customHeight="1" x14ac:dyDescent="0.2">
      <c r="A40" s="1"/>
      <c r="B40" s="1"/>
      <c r="C40" s="2"/>
      <c r="D40" s="2"/>
      <c r="E40" s="2"/>
      <c r="F40" s="8"/>
      <c r="G40" s="8"/>
      <c r="H40" s="7"/>
      <c r="I40" s="7"/>
      <c r="J40" s="7"/>
      <c r="K40" s="10"/>
      <c r="L40" s="1028"/>
      <c r="M40" s="1029"/>
      <c r="N40" s="1029"/>
      <c r="O40" s="1029"/>
      <c r="P40" s="1029"/>
      <c r="Q40" s="1029"/>
      <c r="R40" s="1029"/>
      <c r="S40" s="1029"/>
      <c r="T40" s="1029"/>
      <c r="U40" s="1029"/>
      <c r="V40" s="1029"/>
      <c r="W40" s="1029"/>
      <c r="X40" s="1029"/>
      <c r="Y40" s="1029"/>
      <c r="Z40" s="1029"/>
      <c r="AA40" s="1029"/>
      <c r="AB40" s="1029"/>
      <c r="AC40" s="203"/>
      <c r="AD40" s="1055"/>
      <c r="AE40" s="1055"/>
      <c r="AF40" s="1055"/>
      <c r="AG40" s="1055"/>
      <c r="AH40" s="1055"/>
      <c r="AI40" s="1055"/>
      <c r="AJ40" s="1055"/>
      <c r="AK40" s="1055"/>
      <c r="AL40" s="1055"/>
      <c r="AM40" s="1055"/>
      <c r="AN40" s="1056"/>
      <c r="AO40" s="1056"/>
      <c r="AP40" s="1056"/>
      <c r="AQ40" s="1056"/>
      <c r="AR40" s="1056"/>
      <c r="AS40" s="154"/>
      <c r="AT40" s="154"/>
      <c r="AU40" s="154"/>
      <c r="AV40" s="154"/>
      <c r="AW40" s="154"/>
      <c r="AX40" s="154"/>
      <c r="AY40" s="154"/>
      <c r="AZ40" s="154"/>
      <c r="BA40" s="154"/>
      <c r="BB40" s="154"/>
      <c r="BC40" s="154"/>
      <c r="BD40" s="154"/>
      <c r="BE40" s="154"/>
      <c r="BF40" s="154"/>
      <c r="BG40" s="154"/>
      <c r="BH40" s="154"/>
      <c r="BI40" s="154"/>
      <c r="BJ40" s="154"/>
      <c r="BK40" s="154"/>
      <c r="BL40" s="148"/>
      <c r="BM40" s="149"/>
      <c r="BN40" s="1029"/>
      <c r="BO40" s="1029"/>
      <c r="BP40" s="1029"/>
      <c r="BQ40" s="1029"/>
      <c r="BR40" s="1029"/>
      <c r="BS40" s="1029"/>
      <c r="BT40" s="1029"/>
      <c r="BU40" s="1029"/>
      <c r="BV40" s="1029"/>
      <c r="BW40" s="1029"/>
      <c r="BX40" s="1029"/>
      <c r="BY40" s="1029"/>
      <c r="BZ40" s="1029"/>
      <c r="CA40" s="1029"/>
      <c r="CB40" s="1029"/>
      <c r="CC40" s="1029"/>
      <c r="CD40" s="1029"/>
      <c r="CE40" s="201"/>
      <c r="CF40" s="1057"/>
      <c r="CG40" s="1057"/>
      <c r="CH40" s="1057"/>
      <c r="CI40" s="1057"/>
      <c r="CJ40" s="1057"/>
      <c r="CK40" s="1057"/>
      <c r="CL40" s="1057"/>
      <c r="CM40" s="1057"/>
      <c r="CN40" s="1057"/>
      <c r="CO40" s="1057"/>
      <c r="CP40" s="1057"/>
      <c r="CQ40" s="1057"/>
      <c r="CR40" s="1057"/>
      <c r="CS40" s="1057"/>
      <c r="CT40" s="1057"/>
      <c r="CU40" s="1057"/>
      <c r="CV40" s="1057"/>
      <c r="CW40" s="1057"/>
      <c r="CX40" s="1057"/>
      <c r="CY40" s="1057"/>
      <c r="CZ40" s="1057"/>
      <c r="DA40" s="1057"/>
      <c r="DB40" s="1057"/>
      <c r="DC40" s="1057"/>
      <c r="DD40" s="1057"/>
      <c r="DE40" s="1057"/>
      <c r="DF40" s="1057"/>
      <c r="DG40" s="1057"/>
      <c r="DH40" s="1057"/>
      <c r="DI40" s="1057"/>
      <c r="DJ40" s="1057"/>
      <c r="DK40" s="1057"/>
      <c r="DL40" s="1057"/>
      <c r="DM40" s="1057"/>
      <c r="DN40" s="167"/>
      <c r="DO40" s="216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3" customHeight="1" x14ac:dyDescent="0.2">
      <c r="A41" s="1"/>
      <c r="B41" s="1"/>
      <c r="C41" s="2"/>
      <c r="D41" s="2"/>
      <c r="E41" s="2"/>
      <c r="F41" s="8"/>
      <c r="G41" s="8"/>
      <c r="H41" s="7"/>
      <c r="I41" s="7"/>
      <c r="J41" s="7"/>
      <c r="K41" s="10"/>
      <c r="L41" s="155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  <c r="AV41" s="156"/>
      <c r="AW41" s="156"/>
      <c r="AX41" s="156"/>
      <c r="AY41" s="156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156"/>
      <c r="BL41" s="156"/>
      <c r="BM41" s="155"/>
      <c r="BN41" s="156"/>
      <c r="BO41" s="156"/>
      <c r="BP41" s="156"/>
      <c r="BQ41" s="156"/>
      <c r="BR41" s="156"/>
      <c r="BS41" s="156"/>
      <c r="BT41" s="156"/>
      <c r="BU41" s="156"/>
      <c r="BV41" s="156"/>
      <c r="BW41" s="156"/>
      <c r="BX41" s="156"/>
      <c r="BY41" s="156"/>
      <c r="BZ41" s="156"/>
      <c r="CA41" s="156"/>
      <c r="CB41" s="156"/>
      <c r="CC41" s="156"/>
      <c r="CD41" s="156"/>
      <c r="CE41" s="156"/>
      <c r="CF41" s="156"/>
      <c r="CG41" s="156"/>
      <c r="CH41" s="156"/>
      <c r="CI41" s="156"/>
      <c r="CJ41" s="156"/>
      <c r="CK41" s="156"/>
      <c r="CL41" s="156"/>
      <c r="CM41" s="156"/>
      <c r="CN41" s="156"/>
      <c r="CO41" s="156"/>
      <c r="CP41" s="156"/>
      <c r="CQ41" s="156"/>
      <c r="CR41" s="156"/>
      <c r="CS41" s="156"/>
      <c r="CT41" s="156"/>
      <c r="CU41" s="156"/>
      <c r="CV41" s="156"/>
      <c r="CW41" s="156"/>
      <c r="CX41" s="156"/>
      <c r="CY41" s="156"/>
      <c r="CZ41" s="156"/>
      <c r="DA41" s="156"/>
      <c r="DB41" s="156"/>
      <c r="DC41" s="156"/>
      <c r="DD41" s="156"/>
      <c r="DE41" s="156"/>
      <c r="DF41" s="156"/>
      <c r="DG41" s="156"/>
      <c r="DH41" s="156"/>
      <c r="DI41" s="156"/>
      <c r="DJ41" s="156"/>
      <c r="DK41" s="156"/>
      <c r="DL41" s="156"/>
      <c r="DM41" s="156"/>
      <c r="DN41" s="225"/>
      <c r="DO41" s="309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6" customHeight="1" x14ac:dyDescent="0.15">
      <c r="A42" s="1"/>
      <c r="B42" s="1"/>
      <c r="C42" s="2"/>
      <c r="D42" s="2"/>
      <c r="E42" s="2"/>
      <c r="F42" s="8"/>
      <c r="G42" s="8"/>
      <c r="H42" s="7"/>
      <c r="I42" s="7"/>
      <c r="J42" s="7"/>
      <c r="K42" s="10"/>
      <c r="L42" s="157"/>
      <c r="M42" s="158"/>
      <c r="N42" s="1058" t="s">
        <v>178</v>
      </c>
      <c r="O42" s="1058"/>
      <c r="P42" s="1058"/>
      <c r="Q42" s="1058"/>
      <c r="R42" s="1058"/>
      <c r="S42" s="1058"/>
      <c r="T42" s="1058"/>
      <c r="U42" s="1058"/>
      <c r="V42" s="1058"/>
      <c r="W42" s="1058"/>
      <c r="X42" s="1058"/>
      <c r="Y42" s="1058"/>
      <c r="Z42" s="1058"/>
      <c r="AA42" s="1058"/>
      <c r="AB42" s="1058"/>
      <c r="AC42" s="1058"/>
      <c r="AD42" s="1058"/>
      <c r="AE42" s="1058"/>
      <c r="AF42" s="1058"/>
      <c r="AG42" s="1058"/>
      <c r="AH42" s="1058"/>
      <c r="AI42" s="1058"/>
      <c r="AJ42" s="1058"/>
      <c r="AK42" s="1058"/>
      <c r="AL42" s="1058"/>
      <c r="AM42" s="1058"/>
      <c r="AN42" s="1058"/>
      <c r="AO42" s="1058"/>
      <c r="AP42" s="1058"/>
      <c r="AQ42" s="1058"/>
      <c r="AR42" s="1058"/>
      <c r="AS42" s="1058"/>
      <c r="AT42" s="1058"/>
      <c r="AU42" s="1058"/>
      <c r="AV42" s="1058"/>
      <c r="AW42" s="1058"/>
      <c r="AX42" s="1058"/>
      <c r="AY42" s="1058"/>
      <c r="AZ42" s="1058"/>
      <c r="BA42" s="1058"/>
      <c r="BB42" s="1058"/>
      <c r="BC42" s="1058"/>
      <c r="BD42" s="1058"/>
      <c r="BE42" s="1058"/>
      <c r="BF42" s="1058"/>
      <c r="BG42" s="1058"/>
      <c r="BH42" s="1058"/>
      <c r="BI42" s="1058"/>
      <c r="BJ42" s="1058"/>
      <c r="BK42" s="1058"/>
      <c r="BL42" s="1059"/>
      <c r="BM42" s="310"/>
      <c r="BN42" s="1058" t="s">
        <v>179</v>
      </c>
      <c r="BO42" s="1058"/>
      <c r="BP42" s="1058"/>
      <c r="BQ42" s="1058"/>
      <c r="BR42" s="1058"/>
      <c r="BS42" s="1058"/>
      <c r="BT42" s="1058"/>
      <c r="BU42" s="1058"/>
      <c r="BV42" s="1058"/>
      <c r="BW42" s="1058"/>
      <c r="BX42" s="1058"/>
      <c r="BY42" s="1058"/>
      <c r="BZ42" s="1058"/>
      <c r="CA42" s="1058"/>
      <c r="CB42" s="1058"/>
      <c r="CC42" s="1058"/>
      <c r="CD42" s="1058"/>
      <c r="CE42" s="1058"/>
      <c r="CF42" s="1058"/>
      <c r="CG42" s="1058"/>
      <c r="CH42" s="1058"/>
      <c r="CI42" s="1058"/>
      <c r="CJ42" s="1058"/>
      <c r="CK42" s="1058"/>
      <c r="CL42" s="1058"/>
      <c r="CM42" s="1058"/>
      <c r="CN42" s="1058"/>
      <c r="CO42" s="1058"/>
      <c r="CP42" s="1058"/>
      <c r="CQ42" s="1058"/>
      <c r="CR42" s="1058"/>
      <c r="CS42" s="1058"/>
      <c r="CT42" s="1058"/>
      <c r="CU42" s="1058"/>
      <c r="CV42" s="1058"/>
      <c r="CW42" s="1058"/>
      <c r="CX42" s="1058"/>
      <c r="CY42" s="1058"/>
      <c r="CZ42" s="1058"/>
      <c r="DA42" s="1058"/>
      <c r="DB42" s="1058"/>
      <c r="DC42" s="1058"/>
      <c r="DD42" s="1058"/>
      <c r="DE42" s="1058"/>
      <c r="DF42" s="1058"/>
      <c r="DG42" s="1058"/>
      <c r="DH42" s="1058"/>
      <c r="DI42" s="1058"/>
      <c r="DJ42" s="1058"/>
      <c r="DK42" s="1058"/>
      <c r="DL42" s="1058"/>
      <c r="DM42" s="1058"/>
      <c r="DN42" s="1058"/>
      <c r="DO42" s="1059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5.25" customHeight="1" x14ac:dyDescent="0.15">
      <c r="A43" s="1"/>
      <c r="B43" s="1"/>
      <c r="C43" s="2"/>
      <c r="D43" s="2"/>
      <c r="E43" s="2"/>
      <c r="F43" s="8"/>
      <c r="G43" s="8"/>
      <c r="H43" s="7"/>
      <c r="I43" s="7"/>
      <c r="J43" s="7"/>
      <c r="K43" s="10"/>
      <c r="L43" s="159"/>
      <c r="M43" s="160"/>
      <c r="N43" s="1060"/>
      <c r="O43" s="1060"/>
      <c r="P43" s="1060"/>
      <c r="Q43" s="1060"/>
      <c r="R43" s="1060"/>
      <c r="S43" s="1060"/>
      <c r="T43" s="1060"/>
      <c r="U43" s="1060"/>
      <c r="V43" s="1060"/>
      <c r="W43" s="1060"/>
      <c r="X43" s="1060"/>
      <c r="Y43" s="1060"/>
      <c r="Z43" s="1060"/>
      <c r="AA43" s="1060"/>
      <c r="AB43" s="1060"/>
      <c r="AC43" s="1060"/>
      <c r="AD43" s="1060"/>
      <c r="AE43" s="1060"/>
      <c r="AF43" s="1060"/>
      <c r="AG43" s="1060"/>
      <c r="AH43" s="1060"/>
      <c r="AI43" s="1060"/>
      <c r="AJ43" s="1060"/>
      <c r="AK43" s="1060"/>
      <c r="AL43" s="1060"/>
      <c r="AM43" s="1060"/>
      <c r="AN43" s="1060"/>
      <c r="AO43" s="1060"/>
      <c r="AP43" s="1060"/>
      <c r="AQ43" s="1060"/>
      <c r="AR43" s="1060"/>
      <c r="AS43" s="1060"/>
      <c r="AT43" s="1060"/>
      <c r="AU43" s="1060"/>
      <c r="AV43" s="1060"/>
      <c r="AW43" s="1060"/>
      <c r="AX43" s="1060"/>
      <c r="AY43" s="1060"/>
      <c r="AZ43" s="1060"/>
      <c r="BA43" s="1060"/>
      <c r="BB43" s="1060"/>
      <c r="BC43" s="1060"/>
      <c r="BD43" s="1060"/>
      <c r="BE43" s="1060"/>
      <c r="BF43" s="1060"/>
      <c r="BG43" s="1060"/>
      <c r="BH43" s="1060"/>
      <c r="BI43" s="1060"/>
      <c r="BJ43" s="1060"/>
      <c r="BK43" s="1060"/>
      <c r="BL43" s="1061"/>
      <c r="BM43" s="310"/>
      <c r="BN43" s="1060"/>
      <c r="BO43" s="1060"/>
      <c r="BP43" s="1060"/>
      <c r="BQ43" s="1060"/>
      <c r="BR43" s="1060"/>
      <c r="BS43" s="1060"/>
      <c r="BT43" s="1060"/>
      <c r="BU43" s="1060"/>
      <c r="BV43" s="1060"/>
      <c r="BW43" s="1060"/>
      <c r="BX43" s="1060"/>
      <c r="BY43" s="1060"/>
      <c r="BZ43" s="1060"/>
      <c r="CA43" s="1060"/>
      <c r="CB43" s="1060"/>
      <c r="CC43" s="1060"/>
      <c r="CD43" s="1060"/>
      <c r="CE43" s="1060"/>
      <c r="CF43" s="1060"/>
      <c r="CG43" s="1060"/>
      <c r="CH43" s="1060"/>
      <c r="CI43" s="1060"/>
      <c r="CJ43" s="1060"/>
      <c r="CK43" s="1060"/>
      <c r="CL43" s="1060"/>
      <c r="CM43" s="1060"/>
      <c r="CN43" s="1060"/>
      <c r="CO43" s="1060"/>
      <c r="CP43" s="1060"/>
      <c r="CQ43" s="1060"/>
      <c r="CR43" s="1060"/>
      <c r="CS43" s="1060"/>
      <c r="CT43" s="1060"/>
      <c r="CU43" s="1060"/>
      <c r="CV43" s="1060"/>
      <c r="CW43" s="1060"/>
      <c r="CX43" s="1060"/>
      <c r="CY43" s="1060"/>
      <c r="CZ43" s="1060"/>
      <c r="DA43" s="1060"/>
      <c r="DB43" s="1060"/>
      <c r="DC43" s="1060"/>
      <c r="DD43" s="1060"/>
      <c r="DE43" s="1060"/>
      <c r="DF43" s="1060"/>
      <c r="DG43" s="1060"/>
      <c r="DH43" s="1060"/>
      <c r="DI43" s="1060"/>
      <c r="DJ43" s="1060"/>
      <c r="DK43" s="1060"/>
      <c r="DL43" s="1060"/>
      <c r="DM43" s="1060"/>
      <c r="DN43" s="1060"/>
      <c r="DO43" s="1061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5.25" customHeight="1" x14ac:dyDescent="0.2">
      <c r="A44" s="1"/>
      <c r="B44" s="1"/>
      <c r="C44" s="2"/>
      <c r="D44" s="2"/>
      <c r="E44" s="2"/>
      <c r="F44" s="8"/>
      <c r="G44" s="8"/>
      <c r="H44" s="7"/>
      <c r="I44" s="7"/>
      <c r="J44" s="7"/>
      <c r="K44" s="10"/>
      <c r="L44" s="165"/>
      <c r="M44" s="311"/>
      <c r="N44" s="1054" t="str">
        <f>BEZ_BESCH1_1</f>
        <v>Zylindertransportkiste</v>
      </c>
      <c r="O44" s="1054"/>
      <c r="P44" s="1054"/>
      <c r="Q44" s="1054"/>
      <c r="R44" s="1054"/>
      <c r="S44" s="1054"/>
      <c r="T44" s="1054"/>
      <c r="U44" s="1054"/>
      <c r="V44" s="1054"/>
      <c r="W44" s="1054"/>
      <c r="X44" s="1054"/>
      <c r="Y44" s="1054"/>
      <c r="Z44" s="1054"/>
      <c r="AA44" s="1054"/>
      <c r="AB44" s="1054"/>
      <c r="AC44" s="1054"/>
      <c r="AD44" s="1054"/>
      <c r="AE44" s="1054"/>
      <c r="AF44" s="1054"/>
      <c r="AG44" s="1054"/>
      <c r="AH44" s="1054"/>
      <c r="AI44" s="1054"/>
      <c r="AJ44" s="1054"/>
      <c r="AK44" s="1054"/>
      <c r="AL44" s="1054"/>
      <c r="AM44" s="1054"/>
      <c r="AN44" s="1054"/>
      <c r="AO44" s="1054"/>
      <c r="AP44" s="1054"/>
      <c r="AQ44" s="1054"/>
      <c r="AR44" s="1054"/>
      <c r="AS44" s="1054"/>
      <c r="AT44" s="1054"/>
      <c r="AU44" s="1054"/>
      <c r="AV44" s="1054"/>
      <c r="AW44" s="1054"/>
      <c r="AX44" s="1054"/>
      <c r="AY44" s="1054"/>
      <c r="AZ44" s="1054"/>
      <c r="BA44" s="1054"/>
      <c r="BB44" s="1054"/>
      <c r="BC44" s="1054"/>
      <c r="BD44" s="1054"/>
      <c r="BE44" s="1054"/>
      <c r="BF44" s="1054"/>
      <c r="BG44" s="1054"/>
      <c r="BH44" s="1054"/>
      <c r="BI44" s="1054"/>
      <c r="BJ44" s="1054"/>
      <c r="BK44" s="1054"/>
      <c r="BL44" s="162"/>
      <c r="BM44" s="290"/>
      <c r="BN44" s="1054" t="str">
        <f>BEZ_BESCH2_1</f>
        <v>Besonderheiten:</v>
      </c>
      <c r="BO44" s="1054"/>
      <c r="BP44" s="1054"/>
      <c r="BQ44" s="1054"/>
      <c r="BR44" s="1054"/>
      <c r="BS44" s="1054"/>
      <c r="BT44" s="1054"/>
      <c r="BU44" s="1054"/>
      <c r="BV44" s="1054"/>
      <c r="BW44" s="1054"/>
      <c r="BX44" s="1054"/>
      <c r="BY44" s="1054"/>
      <c r="BZ44" s="1054"/>
      <c r="CA44" s="1054"/>
      <c r="CB44" s="1054"/>
      <c r="CC44" s="1054"/>
      <c r="CD44" s="1054"/>
      <c r="CE44" s="1054"/>
      <c r="CF44" s="1054"/>
      <c r="CG44" s="1054"/>
      <c r="CH44" s="1054"/>
      <c r="CI44" s="1054"/>
      <c r="CJ44" s="1054"/>
      <c r="CK44" s="1054"/>
      <c r="CL44" s="1054"/>
      <c r="CM44" s="1054"/>
      <c r="CN44" s="1054"/>
      <c r="CO44" s="1054"/>
      <c r="CP44" s="1054"/>
      <c r="CQ44" s="1054"/>
      <c r="CR44" s="1054"/>
      <c r="CS44" s="1054"/>
      <c r="CT44" s="1054"/>
      <c r="CU44" s="1054"/>
      <c r="CV44" s="1054"/>
      <c r="CW44" s="1054"/>
      <c r="CX44" s="1054"/>
      <c r="CY44" s="1054"/>
      <c r="CZ44" s="1054"/>
      <c r="DA44" s="1054"/>
      <c r="DB44" s="1054"/>
      <c r="DC44" s="1054"/>
      <c r="DD44" s="1054"/>
      <c r="DE44" s="1054"/>
      <c r="DF44" s="1054"/>
      <c r="DG44" s="1054"/>
      <c r="DH44" s="1054"/>
      <c r="DI44" s="1054"/>
      <c r="DJ44" s="1054"/>
      <c r="DK44" s="1054"/>
      <c r="DL44" s="1054"/>
      <c r="DM44" s="1054"/>
      <c r="DN44" s="167"/>
      <c r="DO44" s="216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5.25" customHeight="1" x14ac:dyDescent="0.2">
      <c r="A45" s="1"/>
      <c r="B45" s="1"/>
      <c r="C45" s="2"/>
      <c r="D45" s="2"/>
      <c r="E45" s="2"/>
      <c r="F45" s="8"/>
      <c r="G45" s="8"/>
      <c r="H45" s="7"/>
      <c r="I45" s="7"/>
      <c r="J45" s="7"/>
      <c r="K45" s="10"/>
      <c r="L45" s="165"/>
      <c r="M45" s="311"/>
      <c r="N45" s="1054"/>
      <c r="O45" s="1054"/>
      <c r="P45" s="1054"/>
      <c r="Q45" s="1054"/>
      <c r="R45" s="1054"/>
      <c r="S45" s="1054"/>
      <c r="T45" s="1054"/>
      <c r="U45" s="1054"/>
      <c r="V45" s="1054"/>
      <c r="W45" s="1054"/>
      <c r="X45" s="1054"/>
      <c r="Y45" s="1054"/>
      <c r="Z45" s="1054"/>
      <c r="AA45" s="1054"/>
      <c r="AB45" s="1054"/>
      <c r="AC45" s="1054"/>
      <c r="AD45" s="1054"/>
      <c r="AE45" s="1054"/>
      <c r="AF45" s="1054"/>
      <c r="AG45" s="1054"/>
      <c r="AH45" s="1054"/>
      <c r="AI45" s="1054"/>
      <c r="AJ45" s="1054"/>
      <c r="AK45" s="1054"/>
      <c r="AL45" s="1054"/>
      <c r="AM45" s="1054"/>
      <c r="AN45" s="1054"/>
      <c r="AO45" s="1054"/>
      <c r="AP45" s="1054"/>
      <c r="AQ45" s="1054"/>
      <c r="AR45" s="1054"/>
      <c r="AS45" s="1054"/>
      <c r="AT45" s="1054"/>
      <c r="AU45" s="1054"/>
      <c r="AV45" s="1054"/>
      <c r="AW45" s="1054"/>
      <c r="AX45" s="1054"/>
      <c r="AY45" s="1054"/>
      <c r="AZ45" s="1054"/>
      <c r="BA45" s="1054"/>
      <c r="BB45" s="1054"/>
      <c r="BC45" s="1054"/>
      <c r="BD45" s="1054"/>
      <c r="BE45" s="1054"/>
      <c r="BF45" s="1054"/>
      <c r="BG45" s="1054"/>
      <c r="BH45" s="1054"/>
      <c r="BI45" s="1054"/>
      <c r="BJ45" s="1054"/>
      <c r="BK45" s="1054"/>
      <c r="BL45" s="162"/>
      <c r="BM45" s="290"/>
      <c r="BN45" s="1054"/>
      <c r="BO45" s="1054"/>
      <c r="BP45" s="1054"/>
      <c r="BQ45" s="1054"/>
      <c r="BR45" s="1054"/>
      <c r="BS45" s="1054"/>
      <c r="BT45" s="1054"/>
      <c r="BU45" s="1054"/>
      <c r="BV45" s="1054"/>
      <c r="BW45" s="1054"/>
      <c r="BX45" s="1054"/>
      <c r="BY45" s="1054"/>
      <c r="BZ45" s="1054"/>
      <c r="CA45" s="1054"/>
      <c r="CB45" s="1054"/>
      <c r="CC45" s="1054"/>
      <c r="CD45" s="1054"/>
      <c r="CE45" s="1054"/>
      <c r="CF45" s="1054"/>
      <c r="CG45" s="1054"/>
      <c r="CH45" s="1054"/>
      <c r="CI45" s="1054"/>
      <c r="CJ45" s="1054"/>
      <c r="CK45" s="1054"/>
      <c r="CL45" s="1054"/>
      <c r="CM45" s="1054"/>
      <c r="CN45" s="1054"/>
      <c r="CO45" s="1054"/>
      <c r="CP45" s="1054"/>
      <c r="CQ45" s="1054"/>
      <c r="CR45" s="1054"/>
      <c r="CS45" s="1054"/>
      <c r="CT45" s="1054"/>
      <c r="CU45" s="1054"/>
      <c r="CV45" s="1054"/>
      <c r="CW45" s="1054"/>
      <c r="CX45" s="1054"/>
      <c r="CY45" s="1054"/>
      <c r="CZ45" s="1054"/>
      <c r="DA45" s="1054"/>
      <c r="DB45" s="1054"/>
      <c r="DC45" s="1054"/>
      <c r="DD45" s="1054"/>
      <c r="DE45" s="1054"/>
      <c r="DF45" s="1054"/>
      <c r="DG45" s="1054"/>
      <c r="DH45" s="1054"/>
      <c r="DI45" s="1054"/>
      <c r="DJ45" s="1054"/>
      <c r="DK45" s="1054"/>
      <c r="DL45" s="1054"/>
      <c r="DM45" s="1054"/>
      <c r="DN45" s="167"/>
      <c r="DO45" s="216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4.5" customHeight="1" x14ac:dyDescent="0.2">
      <c r="A46" s="1"/>
      <c r="B46" s="1"/>
      <c r="C46" s="2"/>
      <c r="D46" s="2"/>
      <c r="E46" s="2"/>
      <c r="F46" s="8"/>
      <c r="G46" s="8"/>
      <c r="H46" s="7"/>
      <c r="I46" s="7"/>
      <c r="J46" s="7"/>
      <c r="K46" s="10"/>
      <c r="L46" s="165"/>
      <c r="M46" s="311"/>
      <c r="N46" s="1052">
        <f>BEZ_BESCH1_2</f>
        <v>0</v>
      </c>
      <c r="O46" s="1052"/>
      <c r="P46" s="1052"/>
      <c r="Q46" s="1052"/>
      <c r="R46" s="1052"/>
      <c r="S46" s="1052"/>
      <c r="T46" s="1052"/>
      <c r="U46" s="1052"/>
      <c r="V46" s="1052"/>
      <c r="W46" s="1052"/>
      <c r="X46" s="1052"/>
      <c r="Y46" s="1052"/>
      <c r="Z46" s="1052"/>
      <c r="AA46" s="1052"/>
      <c r="AB46" s="1052"/>
      <c r="AC46" s="1052"/>
      <c r="AD46" s="1052"/>
      <c r="AE46" s="1052"/>
      <c r="AF46" s="1052"/>
      <c r="AG46" s="1052"/>
      <c r="AH46" s="1052"/>
      <c r="AI46" s="1052"/>
      <c r="AJ46" s="1052"/>
      <c r="AK46" s="1052"/>
      <c r="AL46" s="1052"/>
      <c r="AM46" s="1052"/>
      <c r="AN46" s="1052"/>
      <c r="AO46" s="1052"/>
      <c r="AP46" s="1052"/>
      <c r="AQ46" s="1052"/>
      <c r="AR46" s="1052"/>
      <c r="AS46" s="1052"/>
      <c r="AT46" s="1052"/>
      <c r="AU46" s="1052"/>
      <c r="AV46" s="1052"/>
      <c r="AW46" s="1052"/>
      <c r="AX46" s="1052"/>
      <c r="AY46" s="1052"/>
      <c r="AZ46" s="1052"/>
      <c r="BA46" s="1052"/>
      <c r="BB46" s="1052"/>
      <c r="BC46" s="1052"/>
      <c r="BD46" s="1052"/>
      <c r="BE46" s="1052"/>
      <c r="BF46" s="1052"/>
      <c r="BG46" s="1052"/>
      <c r="BH46" s="1052"/>
      <c r="BI46" s="1052"/>
      <c r="BJ46" s="1052"/>
      <c r="BK46" s="1052"/>
      <c r="BL46" s="203"/>
      <c r="BM46" s="312"/>
      <c r="BN46" s="1052" t="str">
        <f>BEZ_BESCH2_2</f>
        <v xml:space="preserve">-  - </v>
      </c>
      <c r="BO46" s="1052"/>
      <c r="BP46" s="1052"/>
      <c r="BQ46" s="1052"/>
      <c r="BR46" s="1052"/>
      <c r="BS46" s="1052"/>
      <c r="BT46" s="1052"/>
      <c r="BU46" s="1052"/>
      <c r="BV46" s="1052"/>
      <c r="BW46" s="1052"/>
      <c r="BX46" s="1052"/>
      <c r="BY46" s="1052"/>
      <c r="BZ46" s="1052"/>
      <c r="CA46" s="1052"/>
      <c r="CB46" s="1052"/>
      <c r="CC46" s="1052"/>
      <c r="CD46" s="1052"/>
      <c r="CE46" s="1052"/>
      <c r="CF46" s="1052"/>
      <c r="CG46" s="1052"/>
      <c r="CH46" s="1052"/>
      <c r="CI46" s="1052"/>
      <c r="CJ46" s="1052"/>
      <c r="CK46" s="1052"/>
      <c r="CL46" s="1052"/>
      <c r="CM46" s="1052"/>
      <c r="CN46" s="1052"/>
      <c r="CO46" s="1052"/>
      <c r="CP46" s="1052"/>
      <c r="CQ46" s="1052"/>
      <c r="CR46" s="1052"/>
      <c r="CS46" s="1052"/>
      <c r="CT46" s="1052"/>
      <c r="CU46" s="1052"/>
      <c r="CV46" s="1052"/>
      <c r="CW46" s="1052"/>
      <c r="CX46" s="1052"/>
      <c r="CY46" s="1052"/>
      <c r="CZ46" s="1052"/>
      <c r="DA46" s="1052"/>
      <c r="DB46" s="1052"/>
      <c r="DC46" s="1052"/>
      <c r="DD46" s="1052"/>
      <c r="DE46" s="1052"/>
      <c r="DF46" s="1052"/>
      <c r="DG46" s="1052"/>
      <c r="DH46" s="1052"/>
      <c r="DI46" s="1052"/>
      <c r="DJ46" s="1052"/>
      <c r="DK46" s="1052"/>
      <c r="DL46" s="1052"/>
      <c r="DM46" s="1052"/>
      <c r="DN46" s="167"/>
      <c r="DO46" s="216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4.5" customHeight="1" x14ac:dyDescent="0.2">
      <c r="A47" s="1"/>
      <c r="B47" s="1"/>
      <c r="C47" s="2"/>
      <c r="D47" s="2"/>
      <c r="E47" s="2"/>
      <c r="F47" s="8"/>
      <c r="G47" s="8"/>
      <c r="H47" s="7"/>
      <c r="I47" s="7"/>
      <c r="J47" s="7"/>
      <c r="K47" s="10"/>
      <c r="L47" s="165"/>
      <c r="M47" s="311"/>
      <c r="N47" s="1052"/>
      <c r="O47" s="1052"/>
      <c r="P47" s="1052"/>
      <c r="Q47" s="1052"/>
      <c r="R47" s="1052"/>
      <c r="S47" s="1052"/>
      <c r="T47" s="1052"/>
      <c r="U47" s="1052"/>
      <c r="V47" s="1052"/>
      <c r="W47" s="1052"/>
      <c r="X47" s="1052"/>
      <c r="Y47" s="1052"/>
      <c r="Z47" s="1052"/>
      <c r="AA47" s="1052"/>
      <c r="AB47" s="1052"/>
      <c r="AC47" s="1052"/>
      <c r="AD47" s="1052"/>
      <c r="AE47" s="1052"/>
      <c r="AF47" s="1052"/>
      <c r="AG47" s="1052"/>
      <c r="AH47" s="1052"/>
      <c r="AI47" s="1052"/>
      <c r="AJ47" s="1052"/>
      <c r="AK47" s="1052"/>
      <c r="AL47" s="1052"/>
      <c r="AM47" s="1052"/>
      <c r="AN47" s="1052"/>
      <c r="AO47" s="1052"/>
      <c r="AP47" s="1052"/>
      <c r="AQ47" s="1052"/>
      <c r="AR47" s="1052"/>
      <c r="AS47" s="1052"/>
      <c r="AT47" s="1052"/>
      <c r="AU47" s="1052"/>
      <c r="AV47" s="1052"/>
      <c r="AW47" s="1052"/>
      <c r="AX47" s="1052"/>
      <c r="AY47" s="1052"/>
      <c r="AZ47" s="1052"/>
      <c r="BA47" s="1052"/>
      <c r="BB47" s="1052"/>
      <c r="BC47" s="1052"/>
      <c r="BD47" s="1052"/>
      <c r="BE47" s="1052"/>
      <c r="BF47" s="1052"/>
      <c r="BG47" s="1052"/>
      <c r="BH47" s="1052"/>
      <c r="BI47" s="1052"/>
      <c r="BJ47" s="1052"/>
      <c r="BK47" s="1052"/>
      <c r="BL47" s="203"/>
      <c r="BM47" s="312"/>
      <c r="BN47" s="1052"/>
      <c r="BO47" s="1052"/>
      <c r="BP47" s="1052"/>
      <c r="BQ47" s="1052"/>
      <c r="BR47" s="1052"/>
      <c r="BS47" s="1052"/>
      <c r="BT47" s="1052"/>
      <c r="BU47" s="1052"/>
      <c r="BV47" s="1052"/>
      <c r="BW47" s="1052"/>
      <c r="BX47" s="1052"/>
      <c r="BY47" s="1052"/>
      <c r="BZ47" s="1052"/>
      <c r="CA47" s="1052"/>
      <c r="CB47" s="1052"/>
      <c r="CC47" s="1052"/>
      <c r="CD47" s="1052"/>
      <c r="CE47" s="1052"/>
      <c r="CF47" s="1052"/>
      <c r="CG47" s="1052"/>
      <c r="CH47" s="1052"/>
      <c r="CI47" s="1052"/>
      <c r="CJ47" s="1052"/>
      <c r="CK47" s="1052"/>
      <c r="CL47" s="1052"/>
      <c r="CM47" s="1052"/>
      <c r="CN47" s="1052"/>
      <c r="CO47" s="1052"/>
      <c r="CP47" s="1052"/>
      <c r="CQ47" s="1052"/>
      <c r="CR47" s="1052"/>
      <c r="CS47" s="1052"/>
      <c r="CT47" s="1052"/>
      <c r="CU47" s="1052"/>
      <c r="CV47" s="1052"/>
      <c r="CW47" s="1052"/>
      <c r="CX47" s="1052"/>
      <c r="CY47" s="1052"/>
      <c r="CZ47" s="1052"/>
      <c r="DA47" s="1052"/>
      <c r="DB47" s="1052"/>
      <c r="DC47" s="1052"/>
      <c r="DD47" s="1052"/>
      <c r="DE47" s="1052"/>
      <c r="DF47" s="1052"/>
      <c r="DG47" s="1052"/>
      <c r="DH47" s="1052"/>
      <c r="DI47" s="1052"/>
      <c r="DJ47" s="1052"/>
      <c r="DK47" s="1052"/>
      <c r="DL47" s="1052"/>
      <c r="DM47" s="1052"/>
      <c r="DN47" s="167"/>
      <c r="DO47" s="216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4.5" customHeight="1" x14ac:dyDescent="0.2">
      <c r="A48" s="1"/>
      <c r="B48" s="1"/>
      <c r="C48" s="2"/>
      <c r="D48" s="2"/>
      <c r="E48" s="2"/>
      <c r="F48" s="8"/>
      <c r="G48" s="8"/>
      <c r="H48" s="7"/>
      <c r="I48" s="7"/>
      <c r="J48" s="7"/>
      <c r="K48" s="10"/>
      <c r="L48" s="165"/>
      <c r="M48" s="311"/>
      <c r="N48" s="1052">
        <f>BEZ_BESCH1_3</f>
        <v>0</v>
      </c>
      <c r="O48" s="1052"/>
      <c r="P48" s="1052"/>
      <c r="Q48" s="1052"/>
      <c r="R48" s="1052"/>
      <c r="S48" s="1052"/>
      <c r="T48" s="1052"/>
      <c r="U48" s="1052"/>
      <c r="V48" s="1052"/>
      <c r="W48" s="1052"/>
      <c r="X48" s="1052"/>
      <c r="Y48" s="1052"/>
      <c r="Z48" s="1052"/>
      <c r="AA48" s="1052"/>
      <c r="AB48" s="1052"/>
      <c r="AC48" s="1052"/>
      <c r="AD48" s="1052"/>
      <c r="AE48" s="1052"/>
      <c r="AF48" s="1052"/>
      <c r="AG48" s="1052"/>
      <c r="AH48" s="1052"/>
      <c r="AI48" s="1052"/>
      <c r="AJ48" s="1052"/>
      <c r="AK48" s="1052"/>
      <c r="AL48" s="1052"/>
      <c r="AM48" s="1052"/>
      <c r="AN48" s="1052"/>
      <c r="AO48" s="1052"/>
      <c r="AP48" s="1052"/>
      <c r="AQ48" s="1052"/>
      <c r="AR48" s="1052"/>
      <c r="AS48" s="1052"/>
      <c r="AT48" s="1052"/>
      <c r="AU48" s="1052"/>
      <c r="AV48" s="1052"/>
      <c r="AW48" s="1052"/>
      <c r="AX48" s="1052"/>
      <c r="AY48" s="1052"/>
      <c r="AZ48" s="1052"/>
      <c r="BA48" s="1052"/>
      <c r="BB48" s="1052"/>
      <c r="BC48" s="1052"/>
      <c r="BD48" s="1052"/>
      <c r="BE48" s="1052"/>
      <c r="BF48" s="1052"/>
      <c r="BG48" s="1052"/>
      <c r="BH48" s="1052"/>
      <c r="BI48" s="1052"/>
      <c r="BJ48" s="1052"/>
      <c r="BK48" s="1052"/>
      <c r="BL48" s="203"/>
      <c r="BM48" s="312"/>
      <c r="BN48" s="1052" t="str">
        <f>BEZ_BESCH2_3</f>
        <v xml:space="preserve">Transport: Deutschland, LKW, </v>
      </c>
      <c r="BO48" s="1052"/>
      <c r="BP48" s="1052"/>
      <c r="BQ48" s="1052"/>
      <c r="BR48" s="1052"/>
      <c r="BS48" s="1052"/>
      <c r="BT48" s="1052"/>
      <c r="BU48" s="1052"/>
      <c r="BV48" s="1052"/>
      <c r="BW48" s="1052"/>
      <c r="BX48" s="1052"/>
      <c r="BY48" s="1052"/>
      <c r="BZ48" s="1052"/>
      <c r="CA48" s="1052"/>
      <c r="CB48" s="1052"/>
      <c r="CC48" s="1052"/>
      <c r="CD48" s="1052"/>
      <c r="CE48" s="1052"/>
      <c r="CF48" s="1052"/>
      <c r="CG48" s="1052"/>
      <c r="CH48" s="1052"/>
      <c r="CI48" s="1052"/>
      <c r="CJ48" s="1052"/>
      <c r="CK48" s="1052"/>
      <c r="CL48" s="1052"/>
      <c r="CM48" s="1052"/>
      <c r="CN48" s="1052"/>
      <c r="CO48" s="1052"/>
      <c r="CP48" s="1052"/>
      <c r="CQ48" s="1052"/>
      <c r="CR48" s="1052"/>
      <c r="CS48" s="1052"/>
      <c r="CT48" s="1052"/>
      <c r="CU48" s="1052"/>
      <c r="CV48" s="1052"/>
      <c r="CW48" s="1052"/>
      <c r="CX48" s="1052"/>
      <c r="CY48" s="1052"/>
      <c r="CZ48" s="1052"/>
      <c r="DA48" s="1052"/>
      <c r="DB48" s="1052"/>
      <c r="DC48" s="1052"/>
      <c r="DD48" s="1052"/>
      <c r="DE48" s="1052"/>
      <c r="DF48" s="1052"/>
      <c r="DG48" s="1052"/>
      <c r="DH48" s="1052"/>
      <c r="DI48" s="1052"/>
      <c r="DJ48" s="1052"/>
      <c r="DK48" s="1052"/>
      <c r="DL48" s="1052"/>
      <c r="DM48" s="1052"/>
      <c r="DN48" s="167"/>
      <c r="DO48" s="216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4.5" customHeight="1" x14ac:dyDescent="0.2">
      <c r="A49" s="1"/>
      <c r="B49" s="1"/>
      <c r="C49" s="2"/>
      <c r="D49" s="2"/>
      <c r="E49" s="2"/>
      <c r="F49" s="8"/>
      <c r="G49" s="8"/>
      <c r="H49" s="7"/>
      <c r="I49" s="7"/>
      <c r="J49" s="7"/>
      <c r="K49" s="10"/>
      <c r="L49" s="165"/>
      <c r="M49" s="311"/>
      <c r="N49" s="1052"/>
      <c r="O49" s="1052"/>
      <c r="P49" s="1052"/>
      <c r="Q49" s="1052"/>
      <c r="R49" s="1052"/>
      <c r="S49" s="1052"/>
      <c r="T49" s="1052"/>
      <c r="U49" s="1052"/>
      <c r="V49" s="1052"/>
      <c r="W49" s="1052"/>
      <c r="X49" s="1052"/>
      <c r="Y49" s="1052"/>
      <c r="Z49" s="1052"/>
      <c r="AA49" s="1052"/>
      <c r="AB49" s="1052"/>
      <c r="AC49" s="1052"/>
      <c r="AD49" s="1052"/>
      <c r="AE49" s="1052"/>
      <c r="AF49" s="1052"/>
      <c r="AG49" s="1052"/>
      <c r="AH49" s="1052"/>
      <c r="AI49" s="1052"/>
      <c r="AJ49" s="1052"/>
      <c r="AK49" s="1052"/>
      <c r="AL49" s="1052"/>
      <c r="AM49" s="1052"/>
      <c r="AN49" s="1052"/>
      <c r="AO49" s="1052"/>
      <c r="AP49" s="1052"/>
      <c r="AQ49" s="1052"/>
      <c r="AR49" s="1052"/>
      <c r="AS49" s="1052"/>
      <c r="AT49" s="1052"/>
      <c r="AU49" s="1052"/>
      <c r="AV49" s="1052"/>
      <c r="AW49" s="1052"/>
      <c r="AX49" s="1052"/>
      <c r="AY49" s="1052"/>
      <c r="AZ49" s="1052"/>
      <c r="BA49" s="1052"/>
      <c r="BB49" s="1052"/>
      <c r="BC49" s="1052"/>
      <c r="BD49" s="1052"/>
      <c r="BE49" s="1052"/>
      <c r="BF49" s="1052"/>
      <c r="BG49" s="1052"/>
      <c r="BH49" s="1052"/>
      <c r="BI49" s="1052"/>
      <c r="BJ49" s="1052"/>
      <c r="BK49" s="1052"/>
      <c r="BL49" s="203"/>
      <c r="BM49" s="312"/>
      <c r="BN49" s="1052"/>
      <c r="BO49" s="1052"/>
      <c r="BP49" s="1052"/>
      <c r="BQ49" s="1052"/>
      <c r="BR49" s="1052"/>
      <c r="BS49" s="1052"/>
      <c r="BT49" s="1052"/>
      <c r="BU49" s="1052"/>
      <c r="BV49" s="1052"/>
      <c r="BW49" s="1052"/>
      <c r="BX49" s="1052"/>
      <c r="BY49" s="1052"/>
      <c r="BZ49" s="1052"/>
      <c r="CA49" s="1052"/>
      <c r="CB49" s="1052"/>
      <c r="CC49" s="1052"/>
      <c r="CD49" s="1052"/>
      <c r="CE49" s="1052"/>
      <c r="CF49" s="1052"/>
      <c r="CG49" s="1052"/>
      <c r="CH49" s="1052"/>
      <c r="CI49" s="1052"/>
      <c r="CJ49" s="1052"/>
      <c r="CK49" s="1052"/>
      <c r="CL49" s="1052"/>
      <c r="CM49" s="1052"/>
      <c r="CN49" s="1052"/>
      <c r="CO49" s="1052"/>
      <c r="CP49" s="1052"/>
      <c r="CQ49" s="1052"/>
      <c r="CR49" s="1052"/>
      <c r="CS49" s="1052"/>
      <c r="CT49" s="1052"/>
      <c r="CU49" s="1052"/>
      <c r="CV49" s="1052"/>
      <c r="CW49" s="1052"/>
      <c r="CX49" s="1052"/>
      <c r="CY49" s="1052"/>
      <c r="CZ49" s="1052"/>
      <c r="DA49" s="1052"/>
      <c r="DB49" s="1052"/>
      <c r="DC49" s="1052"/>
      <c r="DD49" s="1052"/>
      <c r="DE49" s="1052"/>
      <c r="DF49" s="1052"/>
      <c r="DG49" s="1052"/>
      <c r="DH49" s="1052"/>
      <c r="DI49" s="1052"/>
      <c r="DJ49" s="1052"/>
      <c r="DK49" s="1052"/>
      <c r="DL49" s="1052"/>
      <c r="DM49" s="1052"/>
      <c r="DN49" s="167"/>
      <c r="DO49" s="216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4.5" customHeight="1" x14ac:dyDescent="0.2">
      <c r="A50" s="1"/>
      <c r="B50" s="1"/>
      <c r="C50" s="2"/>
      <c r="D50" s="2"/>
      <c r="E50" s="2"/>
      <c r="F50" s="8"/>
      <c r="G50" s="8"/>
      <c r="H50" s="7"/>
      <c r="I50" s="7"/>
      <c r="J50" s="7"/>
      <c r="K50" s="10"/>
      <c r="L50" s="165"/>
      <c r="M50" s="311"/>
      <c r="N50" s="1052">
        <f>BEZ_BESCH1_4</f>
        <v>0</v>
      </c>
      <c r="O50" s="1052"/>
      <c r="P50" s="1052"/>
      <c r="Q50" s="1052"/>
      <c r="R50" s="1052"/>
      <c r="S50" s="1052"/>
      <c r="T50" s="1052"/>
      <c r="U50" s="1052"/>
      <c r="V50" s="1052"/>
      <c r="W50" s="1052"/>
      <c r="X50" s="1052"/>
      <c r="Y50" s="1052"/>
      <c r="Z50" s="1052"/>
      <c r="AA50" s="1052"/>
      <c r="AB50" s="1052"/>
      <c r="AC50" s="1052"/>
      <c r="AD50" s="1052"/>
      <c r="AE50" s="1052"/>
      <c r="AF50" s="1052"/>
      <c r="AG50" s="1052"/>
      <c r="AH50" s="1052"/>
      <c r="AI50" s="1052"/>
      <c r="AJ50" s="1052"/>
      <c r="AK50" s="1052"/>
      <c r="AL50" s="1052"/>
      <c r="AM50" s="1052"/>
      <c r="AN50" s="1052"/>
      <c r="AO50" s="1052"/>
      <c r="AP50" s="1052"/>
      <c r="AQ50" s="1052"/>
      <c r="AR50" s="1052"/>
      <c r="AS50" s="1052"/>
      <c r="AT50" s="1052"/>
      <c r="AU50" s="1052"/>
      <c r="AV50" s="1052"/>
      <c r="AW50" s="1052"/>
      <c r="AX50" s="1052"/>
      <c r="AY50" s="1052"/>
      <c r="AZ50" s="1052"/>
      <c r="BA50" s="1052"/>
      <c r="BB50" s="1052"/>
      <c r="BC50" s="1052"/>
      <c r="BD50" s="1052"/>
      <c r="BE50" s="1052"/>
      <c r="BF50" s="1052"/>
      <c r="BG50" s="1052"/>
      <c r="BH50" s="1052"/>
      <c r="BI50" s="1052"/>
      <c r="BJ50" s="1052"/>
      <c r="BK50" s="1052"/>
      <c r="BL50" s="203"/>
      <c r="BM50" s="312"/>
      <c r="BN50" s="1052" t="str">
        <f>BEZ_BESCH2_4</f>
        <v/>
      </c>
      <c r="BO50" s="1052"/>
      <c r="BP50" s="1052"/>
      <c r="BQ50" s="1052"/>
      <c r="BR50" s="1052"/>
      <c r="BS50" s="1052"/>
      <c r="BT50" s="1052"/>
      <c r="BU50" s="1052"/>
      <c r="BV50" s="1052"/>
      <c r="BW50" s="1052"/>
      <c r="BX50" s="1052"/>
      <c r="BY50" s="1052"/>
      <c r="BZ50" s="1052"/>
      <c r="CA50" s="1052"/>
      <c r="CB50" s="1052"/>
      <c r="CC50" s="1052"/>
      <c r="CD50" s="1052"/>
      <c r="CE50" s="1052"/>
      <c r="CF50" s="1052"/>
      <c r="CG50" s="1052"/>
      <c r="CH50" s="1052"/>
      <c r="CI50" s="1052"/>
      <c r="CJ50" s="1052"/>
      <c r="CK50" s="1052"/>
      <c r="CL50" s="1052"/>
      <c r="CM50" s="1052"/>
      <c r="CN50" s="1052"/>
      <c r="CO50" s="1052"/>
      <c r="CP50" s="1052"/>
      <c r="CQ50" s="1052"/>
      <c r="CR50" s="1052"/>
      <c r="CS50" s="1052"/>
      <c r="CT50" s="1052"/>
      <c r="CU50" s="1052"/>
      <c r="CV50" s="1052"/>
      <c r="CW50" s="1052"/>
      <c r="CX50" s="1052"/>
      <c r="CY50" s="1052"/>
      <c r="CZ50" s="1052"/>
      <c r="DA50" s="1052"/>
      <c r="DB50" s="1052"/>
      <c r="DC50" s="1052"/>
      <c r="DD50" s="1052"/>
      <c r="DE50" s="1052"/>
      <c r="DF50" s="1052"/>
      <c r="DG50" s="1052"/>
      <c r="DH50" s="1052"/>
      <c r="DI50" s="1052"/>
      <c r="DJ50" s="1052"/>
      <c r="DK50" s="1052"/>
      <c r="DL50" s="1052"/>
      <c r="DM50" s="1052"/>
      <c r="DN50" s="167"/>
      <c r="DO50" s="216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4.5" customHeight="1" x14ac:dyDescent="0.2">
      <c r="A51" s="1"/>
      <c r="B51" s="1"/>
      <c r="C51" s="2"/>
      <c r="D51" s="2"/>
      <c r="E51" s="2"/>
      <c r="F51" s="8"/>
      <c r="G51" s="8"/>
      <c r="H51" s="7"/>
      <c r="I51" s="7"/>
      <c r="J51" s="7"/>
      <c r="K51" s="10"/>
      <c r="L51" s="165"/>
      <c r="M51" s="311"/>
      <c r="N51" s="1052"/>
      <c r="O51" s="1052"/>
      <c r="P51" s="1052"/>
      <c r="Q51" s="1052"/>
      <c r="R51" s="1052"/>
      <c r="S51" s="1052"/>
      <c r="T51" s="1052"/>
      <c r="U51" s="1052"/>
      <c r="V51" s="1052"/>
      <c r="W51" s="1052"/>
      <c r="X51" s="1052"/>
      <c r="Y51" s="1052"/>
      <c r="Z51" s="1052"/>
      <c r="AA51" s="1052"/>
      <c r="AB51" s="1052"/>
      <c r="AC51" s="1052"/>
      <c r="AD51" s="1052"/>
      <c r="AE51" s="1052"/>
      <c r="AF51" s="1052"/>
      <c r="AG51" s="1052"/>
      <c r="AH51" s="1052"/>
      <c r="AI51" s="1052"/>
      <c r="AJ51" s="1052"/>
      <c r="AK51" s="1052"/>
      <c r="AL51" s="1052"/>
      <c r="AM51" s="1052"/>
      <c r="AN51" s="1052"/>
      <c r="AO51" s="1052"/>
      <c r="AP51" s="1052"/>
      <c r="AQ51" s="1052"/>
      <c r="AR51" s="1052"/>
      <c r="AS51" s="1052"/>
      <c r="AT51" s="1052"/>
      <c r="AU51" s="1052"/>
      <c r="AV51" s="1052"/>
      <c r="AW51" s="1052"/>
      <c r="AX51" s="1052"/>
      <c r="AY51" s="1052"/>
      <c r="AZ51" s="1052"/>
      <c r="BA51" s="1052"/>
      <c r="BB51" s="1052"/>
      <c r="BC51" s="1052"/>
      <c r="BD51" s="1052"/>
      <c r="BE51" s="1052"/>
      <c r="BF51" s="1052"/>
      <c r="BG51" s="1052"/>
      <c r="BH51" s="1052"/>
      <c r="BI51" s="1052"/>
      <c r="BJ51" s="1052"/>
      <c r="BK51" s="1052"/>
      <c r="BL51" s="203"/>
      <c r="BM51" s="312"/>
      <c r="BN51" s="1052"/>
      <c r="BO51" s="1052"/>
      <c r="BP51" s="1052"/>
      <c r="BQ51" s="1052"/>
      <c r="BR51" s="1052"/>
      <c r="BS51" s="1052"/>
      <c r="BT51" s="1052"/>
      <c r="BU51" s="1052"/>
      <c r="BV51" s="1052"/>
      <c r="BW51" s="1052"/>
      <c r="BX51" s="1052"/>
      <c r="BY51" s="1052"/>
      <c r="BZ51" s="1052"/>
      <c r="CA51" s="1052"/>
      <c r="CB51" s="1052"/>
      <c r="CC51" s="1052"/>
      <c r="CD51" s="1052"/>
      <c r="CE51" s="1052"/>
      <c r="CF51" s="1052"/>
      <c r="CG51" s="1052"/>
      <c r="CH51" s="1052"/>
      <c r="CI51" s="1052"/>
      <c r="CJ51" s="1052"/>
      <c r="CK51" s="1052"/>
      <c r="CL51" s="1052"/>
      <c r="CM51" s="1052"/>
      <c r="CN51" s="1052"/>
      <c r="CO51" s="1052"/>
      <c r="CP51" s="1052"/>
      <c r="CQ51" s="1052"/>
      <c r="CR51" s="1052"/>
      <c r="CS51" s="1052"/>
      <c r="CT51" s="1052"/>
      <c r="CU51" s="1052"/>
      <c r="CV51" s="1052"/>
      <c r="CW51" s="1052"/>
      <c r="CX51" s="1052"/>
      <c r="CY51" s="1052"/>
      <c r="CZ51" s="1052"/>
      <c r="DA51" s="1052"/>
      <c r="DB51" s="1052"/>
      <c r="DC51" s="1052"/>
      <c r="DD51" s="1052"/>
      <c r="DE51" s="1052"/>
      <c r="DF51" s="1052"/>
      <c r="DG51" s="1052"/>
      <c r="DH51" s="1052"/>
      <c r="DI51" s="1052"/>
      <c r="DJ51" s="1052"/>
      <c r="DK51" s="1052"/>
      <c r="DL51" s="1052"/>
      <c r="DM51" s="1052"/>
      <c r="DN51" s="167"/>
      <c r="DO51" s="216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4.5" customHeight="1" x14ac:dyDescent="0.2">
      <c r="A52" s="1"/>
      <c r="B52" s="1"/>
      <c r="C52" s="2"/>
      <c r="D52" s="2"/>
      <c r="E52" s="2"/>
      <c r="F52" s="8"/>
      <c r="G52" s="8"/>
      <c r="H52" s="7"/>
      <c r="I52" s="7"/>
      <c r="J52" s="7"/>
      <c r="K52" s="10"/>
      <c r="L52" s="165"/>
      <c r="M52" s="311"/>
      <c r="N52" s="1052">
        <f>BEZ_BESCH1_5</f>
        <v>0</v>
      </c>
      <c r="O52" s="1052"/>
      <c r="P52" s="1052"/>
      <c r="Q52" s="1052"/>
      <c r="R52" s="1052"/>
      <c r="S52" s="1052"/>
      <c r="T52" s="1052"/>
      <c r="U52" s="1052"/>
      <c r="V52" s="1052"/>
      <c r="W52" s="1052"/>
      <c r="X52" s="1052"/>
      <c r="Y52" s="1052"/>
      <c r="Z52" s="1052"/>
      <c r="AA52" s="1052"/>
      <c r="AB52" s="1052"/>
      <c r="AC52" s="1052"/>
      <c r="AD52" s="1052"/>
      <c r="AE52" s="1052"/>
      <c r="AF52" s="1052"/>
      <c r="AG52" s="1052"/>
      <c r="AH52" s="1052"/>
      <c r="AI52" s="1052"/>
      <c r="AJ52" s="1052"/>
      <c r="AK52" s="1052"/>
      <c r="AL52" s="1052"/>
      <c r="AM52" s="1052"/>
      <c r="AN52" s="1052"/>
      <c r="AO52" s="1052"/>
      <c r="AP52" s="1052"/>
      <c r="AQ52" s="1052"/>
      <c r="AR52" s="1052"/>
      <c r="AS52" s="1052"/>
      <c r="AT52" s="1052"/>
      <c r="AU52" s="1052"/>
      <c r="AV52" s="1052"/>
      <c r="AW52" s="1052"/>
      <c r="AX52" s="1052"/>
      <c r="AY52" s="1052"/>
      <c r="AZ52" s="1052"/>
      <c r="BA52" s="1052"/>
      <c r="BB52" s="1052"/>
      <c r="BC52" s="1052"/>
      <c r="BD52" s="1052"/>
      <c r="BE52" s="1052"/>
      <c r="BF52" s="1052"/>
      <c r="BG52" s="1052"/>
      <c r="BH52" s="1052"/>
      <c r="BI52" s="1052"/>
      <c r="BJ52" s="1052"/>
      <c r="BK52" s="1052"/>
      <c r="BL52" s="203"/>
      <c r="BM52" s="312"/>
      <c r="BN52" s="1052" t="str">
        <f>BEZ_BESCH2_5</f>
        <v>Beschriftung: IPPC Kennzeichnung, Kom.-Name, BM</v>
      </c>
      <c r="BO52" s="1052"/>
      <c r="BP52" s="1052"/>
      <c r="BQ52" s="1052"/>
      <c r="BR52" s="1052"/>
      <c r="BS52" s="1052"/>
      <c r="BT52" s="1052"/>
      <c r="BU52" s="1052"/>
      <c r="BV52" s="1052"/>
      <c r="BW52" s="1052"/>
      <c r="BX52" s="1052"/>
      <c r="BY52" s="1052"/>
      <c r="BZ52" s="1052"/>
      <c r="CA52" s="1052"/>
      <c r="CB52" s="1052"/>
      <c r="CC52" s="1052"/>
      <c r="CD52" s="1052"/>
      <c r="CE52" s="1052"/>
      <c r="CF52" s="1052"/>
      <c r="CG52" s="1052"/>
      <c r="CH52" s="1052"/>
      <c r="CI52" s="1052"/>
      <c r="CJ52" s="1052"/>
      <c r="CK52" s="1052"/>
      <c r="CL52" s="1052"/>
      <c r="CM52" s="1052"/>
      <c r="CN52" s="1052"/>
      <c r="CO52" s="1052"/>
      <c r="CP52" s="1052"/>
      <c r="CQ52" s="1052"/>
      <c r="CR52" s="1052"/>
      <c r="CS52" s="1052"/>
      <c r="CT52" s="1052"/>
      <c r="CU52" s="1052"/>
      <c r="CV52" s="1052"/>
      <c r="CW52" s="1052"/>
      <c r="CX52" s="1052"/>
      <c r="CY52" s="1052"/>
      <c r="CZ52" s="1052"/>
      <c r="DA52" s="1052"/>
      <c r="DB52" s="1052"/>
      <c r="DC52" s="1052"/>
      <c r="DD52" s="1052"/>
      <c r="DE52" s="1052"/>
      <c r="DF52" s="1052"/>
      <c r="DG52" s="1052"/>
      <c r="DH52" s="1052"/>
      <c r="DI52" s="1052"/>
      <c r="DJ52" s="1052"/>
      <c r="DK52" s="1052"/>
      <c r="DL52" s="1052"/>
      <c r="DM52" s="1052"/>
      <c r="DN52" s="167"/>
      <c r="DO52" s="216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4.5" customHeight="1" x14ac:dyDescent="0.2">
      <c r="A53" s="1"/>
      <c r="B53" s="1"/>
      <c r="C53" s="2"/>
      <c r="D53" s="2"/>
      <c r="E53" s="2"/>
      <c r="F53" s="8"/>
      <c r="G53" s="8"/>
      <c r="H53" s="7"/>
      <c r="I53" s="7"/>
      <c r="J53" s="7"/>
      <c r="K53" s="10"/>
      <c r="L53" s="165"/>
      <c r="M53" s="311"/>
      <c r="N53" s="1052"/>
      <c r="O53" s="1052"/>
      <c r="P53" s="1052"/>
      <c r="Q53" s="1052"/>
      <c r="R53" s="1052"/>
      <c r="S53" s="1052"/>
      <c r="T53" s="1052"/>
      <c r="U53" s="1052"/>
      <c r="V53" s="1052"/>
      <c r="W53" s="1052"/>
      <c r="X53" s="1052"/>
      <c r="Y53" s="1052"/>
      <c r="Z53" s="1052"/>
      <c r="AA53" s="1052"/>
      <c r="AB53" s="1052"/>
      <c r="AC53" s="1052"/>
      <c r="AD53" s="1052"/>
      <c r="AE53" s="1052"/>
      <c r="AF53" s="1052"/>
      <c r="AG53" s="1052"/>
      <c r="AH53" s="1052"/>
      <c r="AI53" s="1052"/>
      <c r="AJ53" s="1052"/>
      <c r="AK53" s="1052"/>
      <c r="AL53" s="1052"/>
      <c r="AM53" s="1052"/>
      <c r="AN53" s="1052"/>
      <c r="AO53" s="1052"/>
      <c r="AP53" s="1052"/>
      <c r="AQ53" s="1052"/>
      <c r="AR53" s="1052"/>
      <c r="AS53" s="1052"/>
      <c r="AT53" s="1052"/>
      <c r="AU53" s="1052"/>
      <c r="AV53" s="1052"/>
      <c r="AW53" s="1052"/>
      <c r="AX53" s="1052"/>
      <c r="AY53" s="1052"/>
      <c r="AZ53" s="1052"/>
      <c r="BA53" s="1052"/>
      <c r="BB53" s="1052"/>
      <c r="BC53" s="1052"/>
      <c r="BD53" s="1052"/>
      <c r="BE53" s="1052"/>
      <c r="BF53" s="1052"/>
      <c r="BG53" s="1052"/>
      <c r="BH53" s="1052"/>
      <c r="BI53" s="1052"/>
      <c r="BJ53" s="1052"/>
      <c r="BK53" s="1052"/>
      <c r="BL53" s="203"/>
      <c r="BM53" s="312"/>
      <c r="BN53" s="1052"/>
      <c r="BO53" s="1052"/>
      <c r="BP53" s="1052"/>
      <c r="BQ53" s="1052"/>
      <c r="BR53" s="1052"/>
      <c r="BS53" s="1052"/>
      <c r="BT53" s="1052"/>
      <c r="BU53" s="1052"/>
      <c r="BV53" s="1052"/>
      <c r="BW53" s="1052"/>
      <c r="BX53" s="1052"/>
      <c r="BY53" s="1052"/>
      <c r="BZ53" s="1052"/>
      <c r="CA53" s="1052"/>
      <c r="CB53" s="1052"/>
      <c r="CC53" s="1052"/>
      <c r="CD53" s="1052"/>
      <c r="CE53" s="1052"/>
      <c r="CF53" s="1052"/>
      <c r="CG53" s="1052"/>
      <c r="CH53" s="1052"/>
      <c r="CI53" s="1052"/>
      <c r="CJ53" s="1052"/>
      <c r="CK53" s="1052"/>
      <c r="CL53" s="1052"/>
      <c r="CM53" s="1052"/>
      <c r="CN53" s="1052"/>
      <c r="CO53" s="1052"/>
      <c r="CP53" s="1052"/>
      <c r="CQ53" s="1052"/>
      <c r="CR53" s="1052"/>
      <c r="CS53" s="1052"/>
      <c r="CT53" s="1052"/>
      <c r="CU53" s="1052"/>
      <c r="CV53" s="1052"/>
      <c r="CW53" s="1052"/>
      <c r="CX53" s="1052"/>
      <c r="CY53" s="1052"/>
      <c r="CZ53" s="1052"/>
      <c r="DA53" s="1052"/>
      <c r="DB53" s="1052"/>
      <c r="DC53" s="1052"/>
      <c r="DD53" s="1052"/>
      <c r="DE53" s="1052"/>
      <c r="DF53" s="1052"/>
      <c r="DG53" s="1052"/>
      <c r="DH53" s="1052"/>
      <c r="DI53" s="1052"/>
      <c r="DJ53" s="1052"/>
      <c r="DK53" s="1052"/>
      <c r="DL53" s="1052"/>
      <c r="DM53" s="1052"/>
      <c r="DN53" s="167"/>
      <c r="DO53" s="216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4.5" customHeight="1" x14ac:dyDescent="0.2">
      <c r="A54" s="1"/>
      <c r="B54" s="1"/>
      <c r="C54" s="2"/>
      <c r="D54" s="2"/>
      <c r="E54" s="2"/>
      <c r="F54" s="8"/>
      <c r="G54" s="8"/>
      <c r="H54" s="7"/>
      <c r="I54" s="7"/>
      <c r="J54" s="7"/>
      <c r="K54" s="10"/>
      <c r="L54" s="165"/>
      <c r="M54" s="311"/>
      <c r="N54" s="1053">
        <f>BEZ_BESCH1_6</f>
        <v>0</v>
      </c>
      <c r="O54" s="1052"/>
      <c r="P54" s="1052"/>
      <c r="Q54" s="1052"/>
      <c r="R54" s="1052"/>
      <c r="S54" s="1052"/>
      <c r="T54" s="1052"/>
      <c r="U54" s="1052"/>
      <c r="V54" s="1052"/>
      <c r="W54" s="1052"/>
      <c r="X54" s="1052"/>
      <c r="Y54" s="1052"/>
      <c r="Z54" s="1052"/>
      <c r="AA54" s="1052"/>
      <c r="AB54" s="1052"/>
      <c r="AC54" s="1052"/>
      <c r="AD54" s="1052"/>
      <c r="AE54" s="1052"/>
      <c r="AF54" s="1052"/>
      <c r="AG54" s="1052"/>
      <c r="AH54" s="1052"/>
      <c r="AI54" s="1052"/>
      <c r="AJ54" s="1052"/>
      <c r="AK54" s="1052"/>
      <c r="AL54" s="1052"/>
      <c r="AM54" s="1052"/>
      <c r="AN54" s="1052"/>
      <c r="AO54" s="1052"/>
      <c r="AP54" s="1052"/>
      <c r="AQ54" s="1052"/>
      <c r="AR54" s="1052"/>
      <c r="AS54" s="1052"/>
      <c r="AT54" s="1052"/>
      <c r="AU54" s="1052"/>
      <c r="AV54" s="1052"/>
      <c r="AW54" s="1052"/>
      <c r="AX54" s="1052"/>
      <c r="AY54" s="1052"/>
      <c r="AZ54" s="1052"/>
      <c r="BA54" s="1052"/>
      <c r="BB54" s="1052"/>
      <c r="BC54" s="1052"/>
      <c r="BD54" s="1052"/>
      <c r="BE54" s="1052"/>
      <c r="BF54" s="1052"/>
      <c r="BG54" s="1052"/>
      <c r="BH54" s="1052"/>
      <c r="BI54" s="1052"/>
      <c r="BJ54" s="1052"/>
      <c r="BK54" s="1052"/>
      <c r="BL54" s="203"/>
      <c r="BM54" s="312"/>
      <c r="BN54" s="1052">
        <f>BEZ_BESCH2_6</f>
        <v>0</v>
      </c>
      <c r="BO54" s="1052"/>
      <c r="BP54" s="1052"/>
      <c r="BQ54" s="1052"/>
      <c r="BR54" s="1052"/>
      <c r="BS54" s="1052"/>
      <c r="BT54" s="1052"/>
      <c r="BU54" s="1052"/>
      <c r="BV54" s="1052"/>
      <c r="BW54" s="1052"/>
      <c r="BX54" s="1052"/>
      <c r="BY54" s="1052"/>
      <c r="BZ54" s="1052"/>
      <c r="CA54" s="1052"/>
      <c r="CB54" s="1052"/>
      <c r="CC54" s="1052"/>
      <c r="CD54" s="1052"/>
      <c r="CE54" s="1052"/>
      <c r="CF54" s="1052"/>
      <c r="CG54" s="1052"/>
      <c r="CH54" s="1052"/>
      <c r="CI54" s="1052"/>
      <c r="CJ54" s="1052"/>
      <c r="CK54" s="1052"/>
      <c r="CL54" s="1052"/>
      <c r="CM54" s="1052"/>
      <c r="CN54" s="1052"/>
      <c r="CO54" s="1052"/>
      <c r="CP54" s="1052"/>
      <c r="CQ54" s="1052"/>
      <c r="CR54" s="1052"/>
      <c r="CS54" s="1052"/>
      <c r="CT54" s="1052"/>
      <c r="CU54" s="1052"/>
      <c r="CV54" s="1052"/>
      <c r="CW54" s="1052"/>
      <c r="CX54" s="1052"/>
      <c r="CY54" s="1052"/>
      <c r="CZ54" s="1052"/>
      <c r="DA54" s="1052"/>
      <c r="DB54" s="1052"/>
      <c r="DC54" s="1052"/>
      <c r="DD54" s="1052"/>
      <c r="DE54" s="1052"/>
      <c r="DF54" s="1052"/>
      <c r="DG54" s="1052"/>
      <c r="DH54" s="1052"/>
      <c r="DI54" s="1052"/>
      <c r="DJ54" s="1052"/>
      <c r="DK54" s="1052"/>
      <c r="DL54" s="1052"/>
      <c r="DM54" s="1052"/>
      <c r="DN54" s="167"/>
      <c r="DO54" s="216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4.5" customHeight="1" x14ac:dyDescent="0.2">
      <c r="A55" s="1"/>
      <c r="B55" s="1"/>
      <c r="C55" s="2"/>
      <c r="D55" s="2"/>
      <c r="E55" s="2"/>
      <c r="F55" s="8"/>
      <c r="G55" s="8"/>
      <c r="H55" s="7"/>
      <c r="I55" s="7"/>
      <c r="J55" s="7"/>
      <c r="K55" s="10"/>
      <c r="L55" s="165"/>
      <c r="M55" s="311"/>
      <c r="N55" s="1052"/>
      <c r="O55" s="1052"/>
      <c r="P55" s="1052"/>
      <c r="Q55" s="1052"/>
      <c r="R55" s="1052"/>
      <c r="S55" s="1052"/>
      <c r="T55" s="1052"/>
      <c r="U55" s="1052"/>
      <c r="V55" s="1052"/>
      <c r="W55" s="1052"/>
      <c r="X55" s="1052"/>
      <c r="Y55" s="1052"/>
      <c r="Z55" s="1052"/>
      <c r="AA55" s="1052"/>
      <c r="AB55" s="1052"/>
      <c r="AC55" s="1052"/>
      <c r="AD55" s="1052"/>
      <c r="AE55" s="1052"/>
      <c r="AF55" s="1052"/>
      <c r="AG55" s="1052"/>
      <c r="AH55" s="1052"/>
      <c r="AI55" s="1052"/>
      <c r="AJ55" s="1052"/>
      <c r="AK55" s="1052"/>
      <c r="AL55" s="1052"/>
      <c r="AM55" s="1052"/>
      <c r="AN55" s="1052"/>
      <c r="AO55" s="1052"/>
      <c r="AP55" s="1052"/>
      <c r="AQ55" s="1052"/>
      <c r="AR55" s="1052"/>
      <c r="AS55" s="1052"/>
      <c r="AT55" s="1052"/>
      <c r="AU55" s="1052"/>
      <c r="AV55" s="1052"/>
      <c r="AW55" s="1052"/>
      <c r="AX55" s="1052"/>
      <c r="AY55" s="1052"/>
      <c r="AZ55" s="1052"/>
      <c r="BA55" s="1052"/>
      <c r="BB55" s="1052"/>
      <c r="BC55" s="1052"/>
      <c r="BD55" s="1052"/>
      <c r="BE55" s="1052"/>
      <c r="BF55" s="1052"/>
      <c r="BG55" s="1052"/>
      <c r="BH55" s="1052"/>
      <c r="BI55" s="1052"/>
      <c r="BJ55" s="1052"/>
      <c r="BK55" s="1052"/>
      <c r="BL55" s="203"/>
      <c r="BM55" s="312"/>
      <c r="BN55" s="1052"/>
      <c r="BO55" s="1052"/>
      <c r="BP55" s="1052"/>
      <c r="BQ55" s="1052"/>
      <c r="BR55" s="1052"/>
      <c r="BS55" s="1052"/>
      <c r="BT55" s="1052"/>
      <c r="BU55" s="1052"/>
      <c r="BV55" s="1052"/>
      <c r="BW55" s="1052"/>
      <c r="BX55" s="1052"/>
      <c r="BY55" s="1052"/>
      <c r="BZ55" s="1052"/>
      <c r="CA55" s="1052"/>
      <c r="CB55" s="1052"/>
      <c r="CC55" s="1052"/>
      <c r="CD55" s="1052"/>
      <c r="CE55" s="1052"/>
      <c r="CF55" s="1052"/>
      <c r="CG55" s="1052"/>
      <c r="CH55" s="1052"/>
      <c r="CI55" s="1052"/>
      <c r="CJ55" s="1052"/>
      <c r="CK55" s="1052"/>
      <c r="CL55" s="1052"/>
      <c r="CM55" s="1052"/>
      <c r="CN55" s="1052"/>
      <c r="CO55" s="1052"/>
      <c r="CP55" s="1052"/>
      <c r="CQ55" s="1052"/>
      <c r="CR55" s="1052"/>
      <c r="CS55" s="1052"/>
      <c r="CT55" s="1052"/>
      <c r="CU55" s="1052"/>
      <c r="CV55" s="1052"/>
      <c r="CW55" s="1052"/>
      <c r="CX55" s="1052"/>
      <c r="CY55" s="1052"/>
      <c r="CZ55" s="1052"/>
      <c r="DA55" s="1052"/>
      <c r="DB55" s="1052"/>
      <c r="DC55" s="1052"/>
      <c r="DD55" s="1052"/>
      <c r="DE55" s="1052"/>
      <c r="DF55" s="1052"/>
      <c r="DG55" s="1052"/>
      <c r="DH55" s="1052"/>
      <c r="DI55" s="1052"/>
      <c r="DJ55" s="1052"/>
      <c r="DK55" s="1052"/>
      <c r="DL55" s="1052"/>
      <c r="DM55" s="1052"/>
      <c r="DN55" s="167"/>
      <c r="DO55" s="216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6.75" customHeight="1" x14ac:dyDescent="0.15">
      <c r="A56" s="1"/>
      <c r="B56" s="1"/>
      <c r="C56" s="2"/>
      <c r="D56" s="2"/>
      <c r="E56" s="2"/>
      <c r="F56" s="8"/>
      <c r="G56" s="8"/>
      <c r="H56" s="7"/>
      <c r="I56" s="7"/>
      <c r="J56" s="7"/>
      <c r="K56" s="10"/>
      <c r="L56" s="1065" t="s">
        <v>180</v>
      </c>
      <c r="M56" s="1066"/>
      <c r="N56" s="1066"/>
      <c r="O56" s="1066"/>
      <c r="P56" s="1066"/>
      <c r="Q56" s="1066"/>
      <c r="R56" s="1066"/>
      <c r="S56" s="1066"/>
      <c r="T56" s="1066"/>
      <c r="U56" s="1066"/>
      <c r="V56" s="1066"/>
      <c r="W56" s="1066"/>
      <c r="X56" s="1066"/>
      <c r="Y56" s="1066"/>
      <c r="Z56" s="1066"/>
      <c r="AA56" s="1066"/>
      <c r="AB56" s="1066"/>
      <c r="AC56" s="1066"/>
      <c r="AD56" s="1066"/>
      <c r="AE56" s="1066"/>
      <c r="AF56" s="1066"/>
      <c r="AG56" s="1066"/>
      <c r="AH56" s="1069" t="s">
        <v>181</v>
      </c>
      <c r="AI56" s="1070"/>
      <c r="AJ56" s="1070"/>
      <c r="AK56" s="1070"/>
      <c r="AL56" s="1070"/>
      <c r="AM56" s="1070"/>
      <c r="AN56" s="1070"/>
      <c r="AO56" s="1070"/>
      <c r="AP56" s="1070"/>
      <c r="AQ56" s="1070"/>
      <c r="AR56" s="1070"/>
      <c r="AS56" s="1070"/>
      <c r="AT56" s="1070"/>
      <c r="AU56" s="1070"/>
      <c r="AV56" s="1070"/>
      <c r="AW56" s="1070"/>
      <c r="AX56" s="1070"/>
      <c r="AY56" s="1070"/>
      <c r="AZ56" s="1070"/>
      <c r="BA56" s="1070"/>
      <c r="BB56" s="1070"/>
      <c r="BC56" s="1070"/>
      <c r="BD56" s="1070"/>
      <c r="BE56" s="1070"/>
      <c r="BF56" s="1070"/>
      <c r="BG56" s="1070"/>
      <c r="BH56" s="1070"/>
      <c r="BI56" s="1070"/>
      <c r="BJ56" s="1070"/>
      <c r="BK56" s="1070"/>
      <c r="BL56" s="1070"/>
      <c r="BM56" s="1070"/>
      <c r="BN56" s="1070"/>
      <c r="BO56" s="1070"/>
      <c r="BP56" s="1070"/>
      <c r="BQ56" s="1070"/>
      <c r="BR56" s="1070"/>
      <c r="BS56" s="1070"/>
      <c r="BT56" s="1070"/>
      <c r="BU56" s="1070"/>
      <c r="BV56" s="1071"/>
      <c r="BW56" s="1069" t="s">
        <v>41</v>
      </c>
      <c r="BX56" s="1070"/>
      <c r="BY56" s="1070"/>
      <c r="BZ56" s="1070"/>
      <c r="CA56" s="1070"/>
      <c r="CB56" s="1070"/>
      <c r="CC56" s="1070"/>
      <c r="CD56" s="1070"/>
      <c r="CE56" s="1070"/>
      <c r="CF56" s="1070"/>
      <c r="CG56" s="1070"/>
      <c r="CH56" s="1070"/>
      <c r="CI56" s="1070"/>
      <c r="CJ56" s="1070"/>
      <c r="CK56" s="1070"/>
      <c r="CL56" s="1070"/>
      <c r="CM56" s="1070"/>
      <c r="CN56" s="1070"/>
      <c r="CO56" s="1070"/>
      <c r="CP56" s="1070"/>
      <c r="CQ56" s="1071"/>
      <c r="CR56" s="1070" t="s">
        <v>182</v>
      </c>
      <c r="CS56" s="1070"/>
      <c r="CT56" s="1070"/>
      <c r="CU56" s="1070"/>
      <c r="CV56" s="1070"/>
      <c r="CW56" s="1070"/>
      <c r="CX56" s="1070"/>
      <c r="CY56" s="1070"/>
      <c r="CZ56" s="1070"/>
      <c r="DA56" s="1070"/>
      <c r="DB56" s="1070"/>
      <c r="DC56" s="1070"/>
      <c r="DD56" s="1070"/>
      <c r="DE56" s="1070"/>
      <c r="DF56" s="1070"/>
      <c r="DG56" s="1070"/>
      <c r="DH56" s="1070"/>
      <c r="DI56" s="1070"/>
      <c r="DJ56" s="1070"/>
      <c r="DK56" s="1070"/>
      <c r="DL56" s="1070"/>
      <c r="DM56" s="1070"/>
      <c r="DN56" s="1070"/>
      <c r="DO56" s="1071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4.5" customHeight="1" x14ac:dyDescent="0.15">
      <c r="A57" s="1"/>
      <c r="B57" s="1"/>
      <c r="C57" s="2"/>
      <c r="D57" s="2"/>
      <c r="E57" s="2"/>
      <c r="F57" s="8"/>
      <c r="G57" s="8"/>
      <c r="H57" s="7"/>
      <c r="I57" s="7"/>
      <c r="J57" s="7"/>
      <c r="K57" s="10"/>
      <c r="L57" s="1067"/>
      <c r="M57" s="1068"/>
      <c r="N57" s="1068"/>
      <c r="O57" s="1068"/>
      <c r="P57" s="1068"/>
      <c r="Q57" s="1068"/>
      <c r="R57" s="1068"/>
      <c r="S57" s="1068"/>
      <c r="T57" s="1068"/>
      <c r="U57" s="1068"/>
      <c r="V57" s="1068"/>
      <c r="W57" s="1068"/>
      <c r="X57" s="1068"/>
      <c r="Y57" s="1068"/>
      <c r="Z57" s="1068"/>
      <c r="AA57" s="1068"/>
      <c r="AB57" s="1068"/>
      <c r="AC57" s="1068"/>
      <c r="AD57" s="1068"/>
      <c r="AE57" s="1068"/>
      <c r="AF57" s="1068"/>
      <c r="AG57" s="1068"/>
      <c r="AH57" s="1072"/>
      <c r="AI57" s="1073"/>
      <c r="AJ57" s="1073"/>
      <c r="AK57" s="1073"/>
      <c r="AL57" s="1073"/>
      <c r="AM57" s="1073"/>
      <c r="AN57" s="1073"/>
      <c r="AO57" s="1073"/>
      <c r="AP57" s="1073"/>
      <c r="AQ57" s="1073"/>
      <c r="AR57" s="1073"/>
      <c r="AS57" s="1073"/>
      <c r="AT57" s="1073"/>
      <c r="AU57" s="1073"/>
      <c r="AV57" s="1073"/>
      <c r="AW57" s="1073"/>
      <c r="AX57" s="1073"/>
      <c r="AY57" s="1073"/>
      <c r="AZ57" s="1073"/>
      <c r="BA57" s="1073"/>
      <c r="BB57" s="1073"/>
      <c r="BC57" s="1073"/>
      <c r="BD57" s="1073"/>
      <c r="BE57" s="1073"/>
      <c r="BF57" s="1073"/>
      <c r="BG57" s="1073"/>
      <c r="BH57" s="1073"/>
      <c r="BI57" s="1073"/>
      <c r="BJ57" s="1073"/>
      <c r="BK57" s="1073"/>
      <c r="BL57" s="1073"/>
      <c r="BM57" s="1073"/>
      <c r="BN57" s="1073"/>
      <c r="BO57" s="1073"/>
      <c r="BP57" s="1073"/>
      <c r="BQ57" s="1073"/>
      <c r="BR57" s="1073"/>
      <c r="BS57" s="1073"/>
      <c r="BT57" s="1073"/>
      <c r="BU57" s="1073"/>
      <c r="BV57" s="1074"/>
      <c r="BW57" s="1072"/>
      <c r="BX57" s="1073"/>
      <c r="BY57" s="1073"/>
      <c r="BZ57" s="1073"/>
      <c r="CA57" s="1073"/>
      <c r="CB57" s="1073"/>
      <c r="CC57" s="1073"/>
      <c r="CD57" s="1073"/>
      <c r="CE57" s="1073"/>
      <c r="CF57" s="1073"/>
      <c r="CG57" s="1073"/>
      <c r="CH57" s="1073"/>
      <c r="CI57" s="1073"/>
      <c r="CJ57" s="1073"/>
      <c r="CK57" s="1073"/>
      <c r="CL57" s="1073"/>
      <c r="CM57" s="1073"/>
      <c r="CN57" s="1073"/>
      <c r="CO57" s="1073"/>
      <c r="CP57" s="1073"/>
      <c r="CQ57" s="1074"/>
      <c r="CR57" s="1073"/>
      <c r="CS57" s="1073"/>
      <c r="CT57" s="1073"/>
      <c r="CU57" s="1073"/>
      <c r="CV57" s="1073"/>
      <c r="CW57" s="1073"/>
      <c r="CX57" s="1073"/>
      <c r="CY57" s="1073"/>
      <c r="CZ57" s="1073"/>
      <c r="DA57" s="1073"/>
      <c r="DB57" s="1073"/>
      <c r="DC57" s="1073"/>
      <c r="DD57" s="1073"/>
      <c r="DE57" s="1073"/>
      <c r="DF57" s="1073"/>
      <c r="DG57" s="1073"/>
      <c r="DH57" s="1073"/>
      <c r="DI57" s="1073"/>
      <c r="DJ57" s="1073"/>
      <c r="DK57" s="1073"/>
      <c r="DL57" s="1073"/>
      <c r="DM57" s="1073"/>
      <c r="DN57" s="1073"/>
      <c r="DO57" s="1074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4.5" customHeight="1" x14ac:dyDescent="0.2">
      <c r="A58" s="1"/>
      <c r="B58" s="1"/>
      <c r="C58" s="2"/>
      <c r="D58" s="2"/>
      <c r="E58" s="2"/>
      <c r="F58" s="8"/>
      <c r="G58" s="8"/>
      <c r="H58" s="7"/>
      <c r="I58" s="7"/>
      <c r="J58" s="7"/>
      <c r="K58" s="10"/>
      <c r="L58" s="171"/>
      <c r="M58" s="53"/>
      <c r="N58" s="167"/>
      <c r="O58" s="167"/>
      <c r="P58" s="167"/>
      <c r="Q58" s="167"/>
      <c r="R58" s="167"/>
      <c r="S58" s="167"/>
      <c r="T58" s="167"/>
      <c r="U58" s="167"/>
      <c r="V58" s="167"/>
      <c r="W58" s="167"/>
      <c r="X58" s="167"/>
      <c r="Y58" s="167"/>
      <c r="Z58" s="167"/>
      <c r="AA58" s="167"/>
      <c r="AB58" s="167"/>
      <c r="AC58" s="167"/>
      <c r="AD58" s="167"/>
      <c r="AE58" s="167"/>
      <c r="AF58" s="167"/>
      <c r="AG58" s="167"/>
      <c r="AH58" s="161"/>
      <c r="AI58" s="167"/>
      <c r="AJ58" s="167"/>
      <c r="AK58" s="167"/>
      <c r="AL58" s="167"/>
      <c r="AM58" s="167"/>
      <c r="AN58" s="167"/>
      <c r="AO58" s="167"/>
      <c r="AP58" s="167"/>
      <c r="AQ58" s="167"/>
      <c r="AR58" s="167"/>
      <c r="AS58" s="167"/>
      <c r="AT58" s="167"/>
      <c r="AU58" s="167"/>
      <c r="AV58" s="167"/>
      <c r="AW58" s="167"/>
      <c r="AX58" s="167"/>
      <c r="AY58" s="167"/>
      <c r="AZ58" s="167"/>
      <c r="BA58" s="167"/>
      <c r="BB58" s="167"/>
      <c r="BC58" s="167"/>
      <c r="BD58" s="167"/>
      <c r="BE58" s="167"/>
      <c r="BF58" s="167"/>
      <c r="BG58" s="167"/>
      <c r="BH58" s="167"/>
      <c r="BI58" s="167"/>
      <c r="BJ58" s="167"/>
      <c r="BK58" s="167"/>
      <c r="BL58" s="248"/>
      <c r="BM58" s="248"/>
      <c r="BN58" s="248"/>
      <c r="BO58" s="248"/>
      <c r="BP58" s="167"/>
      <c r="BQ58" s="167"/>
      <c r="BR58" s="167"/>
      <c r="BS58" s="167"/>
      <c r="BT58" s="167"/>
      <c r="BU58" s="167"/>
      <c r="BV58" s="216"/>
      <c r="BW58" s="161"/>
      <c r="BX58" s="167"/>
      <c r="BY58" s="167"/>
      <c r="BZ58" s="167"/>
      <c r="CA58" s="167"/>
      <c r="CB58" s="167"/>
      <c r="CC58" s="167"/>
      <c r="CD58" s="167"/>
      <c r="CE58" s="167"/>
      <c r="CF58" s="167"/>
      <c r="CG58" s="167"/>
      <c r="CH58" s="167"/>
      <c r="CI58" s="167"/>
      <c r="CJ58" s="167"/>
      <c r="CK58" s="167"/>
      <c r="CL58" s="167"/>
      <c r="CM58" s="167"/>
      <c r="CN58" s="167"/>
      <c r="CO58" s="167"/>
      <c r="CP58" s="167"/>
      <c r="CQ58" s="216"/>
      <c r="CR58" s="167"/>
      <c r="CS58" s="167"/>
      <c r="CT58" s="167"/>
      <c r="CU58" s="167"/>
      <c r="CV58" s="167"/>
      <c r="CW58" s="167"/>
      <c r="CX58" s="167"/>
      <c r="CY58" s="167"/>
      <c r="CZ58" s="167"/>
      <c r="DA58" s="167"/>
      <c r="DB58" s="167"/>
      <c r="DC58" s="167"/>
      <c r="DD58" s="167"/>
      <c r="DE58" s="167"/>
      <c r="DF58" s="167"/>
      <c r="DG58" s="167"/>
      <c r="DH58" s="167"/>
      <c r="DI58" s="167"/>
      <c r="DJ58" s="167"/>
      <c r="DK58" s="167"/>
      <c r="DL58" s="167"/>
      <c r="DM58" s="167"/>
      <c r="DN58" s="167"/>
      <c r="DO58" s="216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4.5" customHeight="1" x14ac:dyDescent="0.2">
      <c r="A59" s="1"/>
      <c r="B59" s="1"/>
      <c r="C59" s="2"/>
      <c r="D59" s="2"/>
      <c r="E59" s="2"/>
      <c r="F59" s="8"/>
      <c r="G59" s="8"/>
      <c r="H59" s="7"/>
      <c r="I59" s="7"/>
      <c r="J59" s="7"/>
      <c r="K59" s="10"/>
      <c r="L59" s="171"/>
      <c r="M59" s="53"/>
      <c r="N59" s="1062"/>
      <c r="O59" s="1062"/>
      <c r="P59" s="1062"/>
      <c r="Q59" s="1062"/>
      <c r="R59" s="1062"/>
      <c r="S59" s="1062"/>
      <c r="T59" s="1062"/>
      <c r="U59" s="1062"/>
      <c r="V59" s="1062"/>
      <c r="W59" s="1062"/>
      <c r="X59" s="1062"/>
      <c r="Y59" s="1062"/>
      <c r="Z59" s="1062"/>
      <c r="AA59" s="1062"/>
      <c r="AB59" s="1062"/>
      <c r="AC59" s="1062"/>
      <c r="AD59" s="1062"/>
      <c r="AE59" s="1062"/>
      <c r="AF59" s="1062"/>
      <c r="AG59" s="1075"/>
      <c r="AH59" s="161"/>
      <c r="AI59" s="162"/>
      <c r="AJ59" s="1076"/>
      <c r="AK59" s="1076"/>
      <c r="AL59" s="1076"/>
      <c r="AM59" s="1076"/>
      <c r="AN59" s="1076"/>
      <c r="AO59" s="1076"/>
      <c r="AP59" s="1076"/>
      <c r="AQ59" s="1076"/>
      <c r="AR59" s="1076"/>
      <c r="AS59" s="1076"/>
      <c r="AT59" s="203"/>
      <c r="AU59" s="1064" t="s">
        <v>38</v>
      </c>
      <c r="AV59" s="1064"/>
      <c r="AW59" s="1064"/>
      <c r="AX59" s="1064"/>
      <c r="AY59" s="1064"/>
      <c r="AZ59" s="1064"/>
      <c r="BA59" s="199"/>
      <c r="BB59" s="199"/>
      <c r="BC59" s="1062" t="s">
        <v>39</v>
      </c>
      <c r="BD59" s="1062"/>
      <c r="BE59" s="1062"/>
      <c r="BF59" s="1062"/>
      <c r="BG59" s="1062"/>
      <c r="BH59" s="1062"/>
      <c r="BI59" s="1062"/>
      <c r="BJ59" s="199"/>
      <c r="BK59" s="199"/>
      <c r="BL59" s="163"/>
      <c r="BM59" s="1046" t="s">
        <v>183</v>
      </c>
      <c r="BN59" s="1046"/>
      <c r="BO59" s="1046"/>
      <c r="BP59" s="1046"/>
      <c r="BQ59" s="1046"/>
      <c r="BR59" s="163"/>
      <c r="BS59" s="203"/>
      <c r="BT59" s="203"/>
      <c r="BU59" s="203"/>
      <c r="BV59" s="164"/>
      <c r="BW59" s="165"/>
      <c r="BX59" s="489"/>
      <c r="BY59" s="489"/>
      <c r="BZ59" s="489"/>
      <c r="CA59" s="489"/>
      <c r="CB59" s="489"/>
      <c r="CC59" s="489"/>
      <c r="CD59" s="489"/>
      <c r="CE59" s="489"/>
      <c r="CF59" s="489"/>
      <c r="CG59" s="489"/>
      <c r="CH59" s="489"/>
      <c r="CI59" s="489"/>
      <c r="CJ59" s="489"/>
      <c r="CK59" s="489"/>
      <c r="CL59" s="489"/>
      <c r="CM59" s="489"/>
      <c r="CN59" s="489"/>
      <c r="CO59" s="489"/>
      <c r="CP59" s="489"/>
      <c r="CQ59" s="164"/>
      <c r="CR59" s="166"/>
      <c r="CS59" s="496"/>
      <c r="CT59" s="496"/>
      <c r="CU59" s="496"/>
      <c r="CV59" s="496"/>
      <c r="CW59" s="496"/>
      <c r="CX59" s="496"/>
      <c r="CY59" s="496"/>
      <c r="CZ59" s="496"/>
      <c r="DA59" s="496"/>
      <c r="DB59" s="496"/>
      <c r="DC59" s="553"/>
      <c r="DD59" s="553"/>
      <c r="DE59" s="553"/>
      <c r="DF59" s="553"/>
      <c r="DG59" s="553"/>
      <c r="DH59" s="553"/>
      <c r="DI59" s="553"/>
      <c r="DJ59" s="553"/>
      <c r="DK59" s="1062"/>
      <c r="DL59" s="1062"/>
      <c r="DM59" s="1062"/>
      <c r="DN59" s="167"/>
      <c r="DO59" s="216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  <row r="60" spans="1:130" ht="4.5" customHeight="1" x14ac:dyDescent="0.2">
      <c r="A60" s="1"/>
      <c r="B60" s="1"/>
      <c r="C60" s="2"/>
      <c r="D60" s="2"/>
      <c r="E60" s="2"/>
      <c r="F60" s="8"/>
      <c r="G60" s="8"/>
      <c r="H60" s="7"/>
      <c r="I60" s="7"/>
      <c r="J60" s="7"/>
      <c r="K60" s="10"/>
      <c r="L60" s="171"/>
      <c r="M60" s="53"/>
      <c r="N60" s="1062"/>
      <c r="O60" s="1062"/>
      <c r="P60" s="1062"/>
      <c r="Q60" s="1062"/>
      <c r="R60" s="1062"/>
      <c r="S60" s="1062"/>
      <c r="T60" s="1062"/>
      <c r="U60" s="1062"/>
      <c r="V60" s="1062"/>
      <c r="W60" s="1062"/>
      <c r="X60" s="1062"/>
      <c r="Y60" s="1062"/>
      <c r="Z60" s="1062"/>
      <c r="AA60" s="1062"/>
      <c r="AB60" s="1062"/>
      <c r="AC60" s="1062"/>
      <c r="AD60" s="1062"/>
      <c r="AE60" s="1062"/>
      <c r="AF60" s="1062"/>
      <c r="AG60" s="1075"/>
      <c r="AH60" s="161"/>
      <c r="AI60" s="162"/>
      <c r="AJ60" s="1076"/>
      <c r="AK60" s="1076"/>
      <c r="AL60" s="1076"/>
      <c r="AM60" s="1076"/>
      <c r="AN60" s="1076"/>
      <c r="AO60" s="1076"/>
      <c r="AP60" s="1076"/>
      <c r="AQ60" s="1076"/>
      <c r="AR60" s="1076"/>
      <c r="AS60" s="1076"/>
      <c r="AT60" s="203"/>
      <c r="AU60" s="1064"/>
      <c r="AV60" s="1064"/>
      <c r="AW60" s="1064"/>
      <c r="AX60" s="1064"/>
      <c r="AY60" s="1064"/>
      <c r="AZ60" s="1064"/>
      <c r="BA60" s="199"/>
      <c r="BB60" s="199"/>
      <c r="BC60" s="1062"/>
      <c r="BD60" s="1062"/>
      <c r="BE60" s="1062"/>
      <c r="BF60" s="1062"/>
      <c r="BG60" s="1062"/>
      <c r="BH60" s="1062"/>
      <c r="BI60" s="1062"/>
      <c r="BJ60" s="199"/>
      <c r="BK60" s="199"/>
      <c r="BL60" s="163"/>
      <c r="BM60" s="1046"/>
      <c r="BN60" s="1046"/>
      <c r="BO60" s="1046"/>
      <c r="BP60" s="1046"/>
      <c r="BQ60" s="1046"/>
      <c r="BR60" s="163"/>
      <c r="BS60" s="203"/>
      <c r="BT60" s="203"/>
      <c r="BU60" s="203"/>
      <c r="BV60" s="164"/>
      <c r="BW60" s="165"/>
      <c r="BX60" s="489"/>
      <c r="BY60" s="489"/>
      <c r="BZ60" s="489"/>
      <c r="CA60" s="489"/>
      <c r="CB60" s="489"/>
      <c r="CC60" s="489"/>
      <c r="CD60" s="489"/>
      <c r="CE60" s="489"/>
      <c r="CF60" s="489"/>
      <c r="CG60" s="489"/>
      <c r="CH60" s="489"/>
      <c r="CI60" s="489"/>
      <c r="CJ60" s="489"/>
      <c r="CK60" s="489"/>
      <c r="CL60" s="489"/>
      <c r="CM60" s="489"/>
      <c r="CN60" s="489"/>
      <c r="CO60" s="489"/>
      <c r="CP60" s="489"/>
      <c r="CQ60" s="164"/>
      <c r="CR60" s="166"/>
      <c r="CS60" s="496"/>
      <c r="CT60" s="496"/>
      <c r="CU60" s="496"/>
      <c r="CV60" s="496"/>
      <c r="CW60" s="496"/>
      <c r="CX60" s="496"/>
      <c r="CY60" s="496"/>
      <c r="CZ60" s="496"/>
      <c r="DA60" s="496"/>
      <c r="DB60" s="496"/>
      <c r="DC60" s="553"/>
      <c r="DD60" s="553"/>
      <c r="DE60" s="553"/>
      <c r="DF60" s="553"/>
      <c r="DG60" s="553"/>
      <c r="DH60" s="553"/>
      <c r="DI60" s="553"/>
      <c r="DJ60" s="553"/>
      <c r="DK60" s="1062"/>
      <c r="DL60" s="1062"/>
      <c r="DM60" s="1062"/>
      <c r="DN60" s="167"/>
      <c r="DO60" s="216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</row>
    <row r="61" spans="1:130" ht="4.5" customHeight="1" x14ac:dyDescent="0.2">
      <c r="A61" s="1"/>
      <c r="B61" s="1"/>
      <c r="C61" s="2"/>
      <c r="D61" s="2"/>
      <c r="E61" s="2"/>
      <c r="F61" s="8"/>
      <c r="G61" s="8"/>
      <c r="H61" s="7"/>
      <c r="I61" s="7"/>
      <c r="J61" s="7"/>
      <c r="K61" s="10"/>
      <c r="L61" s="171"/>
      <c r="M61" s="53"/>
      <c r="N61" s="496" t="s">
        <v>35</v>
      </c>
      <c r="O61" s="496"/>
      <c r="P61" s="496"/>
      <c r="Q61" s="496"/>
      <c r="R61" s="496"/>
      <c r="S61" s="496"/>
      <c r="T61" s="496"/>
      <c r="U61" s="1063">
        <f>KI_N</f>
        <v>1</v>
      </c>
      <c r="V61" s="1063"/>
      <c r="W61" s="1063"/>
      <c r="X61" s="1063"/>
      <c r="Y61" s="1063"/>
      <c r="Z61" s="1063"/>
      <c r="AA61" s="1063"/>
      <c r="AB61" s="1063"/>
      <c r="AC61" s="1064" t="s">
        <v>36</v>
      </c>
      <c r="AD61" s="1064"/>
      <c r="AE61" s="1064"/>
      <c r="AF61" s="1064"/>
      <c r="AG61" s="1064"/>
      <c r="AH61" s="165"/>
      <c r="AI61" s="166"/>
      <c r="AJ61" s="496" t="s">
        <v>43</v>
      </c>
      <c r="AK61" s="496"/>
      <c r="AL61" s="496"/>
      <c r="AM61" s="496"/>
      <c r="AN61" s="496"/>
      <c r="AO61" s="496"/>
      <c r="AP61" s="496"/>
      <c r="AQ61" s="496"/>
      <c r="AR61" s="496"/>
      <c r="AS61" s="496"/>
      <c r="AT61" s="1063">
        <f>INNEN_L</f>
        <v>1540</v>
      </c>
      <c r="AU61" s="1063"/>
      <c r="AV61" s="1063"/>
      <c r="AW61" s="1063"/>
      <c r="AX61" s="1063"/>
      <c r="AY61" s="1063"/>
      <c r="AZ61" s="1063"/>
      <c r="BA61" s="517" t="s">
        <v>7</v>
      </c>
      <c r="BB61" s="517"/>
      <c r="BC61" s="518">
        <f>AUSSEN_RECH_L</f>
        <v>1632</v>
      </c>
      <c r="BD61" s="518"/>
      <c r="BE61" s="518"/>
      <c r="BF61" s="518"/>
      <c r="BG61" s="518"/>
      <c r="BH61" s="518"/>
      <c r="BI61" s="518"/>
      <c r="BJ61" s="517" t="s">
        <v>7</v>
      </c>
      <c r="BK61" s="517"/>
      <c r="BL61" s="1079">
        <f>AUSSEN_RECH_L_GR</f>
        <v>1640</v>
      </c>
      <c r="BM61" s="1079"/>
      <c r="BN61" s="1079"/>
      <c r="BO61" s="1079"/>
      <c r="BP61" s="1079"/>
      <c r="BQ61" s="1079"/>
      <c r="BR61" s="1079"/>
      <c r="BS61" s="1064" t="s">
        <v>44</v>
      </c>
      <c r="BT61" s="1064"/>
      <c r="BU61" s="1064"/>
      <c r="BV61" s="164"/>
      <c r="BW61" s="165"/>
      <c r="BX61" s="496" t="s">
        <v>184</v>
      </c>
      <c r="BY61" s="496"/>
      <c r="BZ61" s="496"/>
      <c r="CA61" s="496"/>
      <c r="CB61" s="496"/>
      <c r="CC61" s="496"/>
      <c r="CD61" s="496"/>
      <c r="CE61" s="496"/>
      <c r="CF61" s="1063">
        <f>KS_HAU_ALU_N</f>
        <v>0</v>
      </c>
      <c r="CG61" s="1063"/>
      <c r="CH61" s="1063"/>
      <c r="CI61" s="1063"/>
      <c r="CJ61" s="1063"/>
      <c r="CK61" s="1076" t="s">
        <v>36</v>
      </c>
      <c r="CL61" s="1076"/>
      <c r="CM61" s="1076"/>
      <c r="CN61" s="1076"/>
      <c r="CO61" s="1076"/>
      <c r="CP61" s="1076"/>
      <c r="CQ61" s="164"/>
      <c r="CR61" s="166"/>
      <c r="CS61" s="1078" t="s">
        <v>185</v>
      </c>
      <c r="CT61" s="1078"/>
      <c r="CU61" s="1078"/>
      <c r="CV61" s="1078"/>
      <c r="CW61" s="1078"/>
      <c r="CX61" s="1078"/>
      <c r="CY61" s="1078"/>
      <c r="CZ61" s="1078"/>
      <c r="DA61" s="1078"/>
      <c r="DB61" s="1078"/>
      <c r="DC61" s="1080">
        <f>KG_Netto</f>
        <v>0</v>
      </c>
      <c r="DD61" s="1080"/>
      <c r="DE61" s="1080"/>
      <c r="DF61" s="1080"/>
      <c r="DG61" s="1080"/>
      <c r="DH61" s="1080"/>
      <c r="DI61" s="1080"/>
      <c r="DJ61" s="1080"/>
      <c r="DK61" s="1062" t="s">
        <v>42</v>
      </c>
      <c r="DL61" s="1062"/>
      <c r="DM61" s="1062"/>
      <c r="DN61" s="167"/>
      <c r="DO61" s="216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</row>
    <row r="62" spans="1:130" ht="4.5" customHeight="1" x14ac:dyDescent="0.2">
      <c r="A62" s="1"/>
      <c r="B62" s="1"/>
      <c r="C62" s="2"/>
      <c r="D62" s="2"/>
      <c r="E62" s="2"/>
      <c r="F62" s="8"/>
      <c r="G62" s="8"/>
      <c r="H62" s="7"/>
      <c r="I62" s="7"/>
      <c r="J62" s="7"/>
      <c r="K62" s="10"/>
      <c r="L62" s="171"/>
      <c r="M62" s="53"/>
      <c r="N62" s="496"/>
      <c r="O62" s="496"/>
      <c r="P62" s="496"/>
      <c r="Q62" s="496"/>
      <c r="R62" s="496"/>
      <c r="S62" s="496"/>
      <c r="T62" s="496"/>
      <c r="U62" s="1063"/>
      <c r="V62" s="1063"/>
      <c r="W62" s="1063"/>
      <c r="X62" s="1063"/>
      <c r="Y62" s="1063"/>
      <c r="Z62" s="1063"/>
      <c r="AA62" s="1063"/>
      <c r="AB62" s="1063"/>
      <c r="AC62" s="1064"/>
      <c r="AD62" s="1064"/>
      <c r="AE62" s="1064"/>
      <c r="AF62" s="1064"/>
      <c r="AG62" s="1064"/>
      <c r="AH62" s="161"/>
      <c r="AI62" s="167"/>
      <c r="AJ62" s="496"/>
      <c r="AK62" s="496"/>
      <c r="AL62" s="496"/>
      <c r="AM62" s="496"/>
      <c r="AN62" s="496"/>
      <c r="AO62" s="496"/>
      <c r="AP62" s="496"/>
      <c r="AQ62" s="496"/>
      <c r="AR62" s="496"/>
      <c r="AS62" s="496"/>
      <c r="AT62" s="1063"/>
      <c r="AU62" s="1063"/>
      <c r="AV62" s="1063"/>
      <c r="AW62" s="1063"/>
      <c r="AX62" s="1063"/>
      <c r="AY62" s="1063"/>
      <c r="AZ62" s="1063"/>
      <c r="BA62" s="517"/>
      <c r="BB62" s="517"/>
      <c r="BC62" s="518"/>
      <c r="BD62" s="518"/>
      <c r="BE62" s="518"/>
      <c r="BF62" s="518"/>
      <c r="BG62" s="518"/>
      <c r="BH62" s="518"/>
      <c r="BI62" s="518"/>
      <c r="BJ62" s="517"/>
      <c r="BK62" s="517"/>
      <c r="BL62" s="1079"/>
      <c r="BM62" s="1079"/>
      <c r="BN62" s="1079"/>
      <c r="BO62" s="1079"/>
      <c r="BP62" s="1079"/>
      <c r="BQ62" s="1079"/>
      <c r="BR62" s="1079"/>
      <c r="BS62" s="1064"/>
      <c r="BT62" s="1064"/>
      <c r="BU62" s="1064"/>
      <c r="BV62" s="164"/>
      <c r="BW62" s="165"/>
      <c r="BX62" s="496"/>
      <c r="BY62" s="496"/>
      <c r="BZ62" s="496"/>
      <c r="CA62" s="496"/>
      <c r="CB62" s="496"/>
      <c r="CC62" s="496"/>
      <c r="CD62" s="496"/>
      <c r="CE62" s="496"/>
      <c r="CF62" s="1063"/>
      <c r="CG62" s="1063"/>
      <c r="CH62" s="1063"/>
      <c r="CI62" s="1063"/>
      <c r="CJ62" s="1063"/>
      <c r="CK62" s="1076"/>
      <c r="CL62" s="1076"/>
      <c r="CM62" s="1076"/>
      <c r="CN62" s="1076"/>
      <c r="CO62" s="1076"/>
      <c r="CP62" s="1076"/>
      <c r="CQ62" s="164"/>
      <c r="CR62" s="166"/>
      <c r="CS62" s="1078"/>
      <c r="CT62" s="1078"/>
      <c r="CU62" s="1078"/>
      <c r="CV62" s="1078"/>
      <c r="CW62" s="1078"/>
      <c r="CX62" s="1078"/>
      <c r="CY62" s="1078"/>
      <c r="CZ62" s="1078"/>
      <c r="DA62" s="1078"/>
      <c r="DB62" s="1078"/>
      <c r="DC62" s="1080"/>
      <c r="DD62" s="1080"/>
      <c r="DE62" s="1080"/>
      <c r="DF62" s="1080"/>
      <c r="DG62" s="1080"/>
      <c r="DH62" s="1080"/>
      <c r="DI62" s="1080"/>
      <c r="DJ62" s="1080"/>
      <c r="DK62" s="1062"/>
      <c r="DL62" s="1062"/>
      <c r="DM62" s="1062"/>
      <c r="DN62" s="167"/>
      <c r="DO62" s="216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</row>
    <row r="63" spans="1:130" ht="4.5" customHeight="1" x14ac:dyDescent="0.2">
      <c r="A63" s="1"/>
      <c r="B63" s="1"/>
      <c r="C63" s="2"/>
      <c r="D63" s="2"/>
      <c r="E63" s="2"/>
      <c r="F63" s="8"/>
      <c r="G63" s="8"/>
      <c r="H63" s="7"/>
      <c r="I63" s="7"/>
      <c r="J63" s="7"/>
      <c r="K63" s="10"/>
      <c r="L63" s="161"/>
      <c r="M63" s="167"/>
      <c r="N63" s="167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1"/>
      <c r="AI63" s="167"/>
      <c r="AJ63" s="203"/>
      <c r="AK63" s="203"/>
      <c r="AL63" s="203"/>
      <c r="AM63" s="203"/>
      <c r="AN63" s="203"/>
      <c r="AO63" s="203"/>
      <c r="AP63" s="203"/>
      <c r="AQ63" s="203"/>
      <c r="AR63" s="203"/>
      <c r="AS63" s="203"/>
      <c r="AT63" s="169"/>
      <c r="AU63" s="169"/>
      <c r="AV63" s="169"/>
      <c r="AW63" s="169"/>
      <c r="AX63" s="169"/>
      <c r="AY63" s="169"/>
      <c r="AZ63" s="169"/>
      <c r="BA63" s="166"/>
      <c r="BB63" s="166"/>
      <c r="BC63" s="46"/>
      <c r="BD63" s="46"/>
      <c r="BE63" s="46"/>
      <c r="BF63" s="46"/>
      <c r="BG63" s="46"/>
      <c r="BH63" s="46"/>
      <c r="BI63" s="46"/>
      <c r="BJ63" s="166"/>
      <c r="BK63" s="166"/>
      <c r="BL63" s="170"/>
      <c r="BM63" s="170"/>
      <c r="BN63" s="170"/>
      <c r="BO63" s="170"/>
      <c r="BP63" s="170"/>
      <c r="BQ63" s="170"/>
      <c r="BR63" s="170"/>
      <c r="BS63" s="196"/>
      <c r="BT63" s="196"/>
      <c r="BU63" s="196"/>
      <c r="BV63" s="164"/>
      <c r="BW63" s="165"/>
      <c r="BX63" s="496" t="s">
        <v>46</v>
      </c>
      <c r="BY63" s="496"/>
      <c r="BZ63" s="496"/>
      <c r="CA63" s="496"/>
      <c r="CB63" s="496"/>
      <c r="CC63" s="496"/>
      <c r="CD63" s="496"/>
      <c r="CE63" s="496"/>
      <c r="CF63" s="1063">
        <f>KS_HAU_PE_N</f>
        <v>0</v>
      </c>
      <c r="CG63" s="1063"/>
      <c r="CH63" s="1063"/>
      <c r="CI63" s="1063"/>
      <c r="CJ63" s="1063"/>
      <c r="CK63" s="1076" t="s">
        <v>36</v>
      </c>
      <c r="CL63" s="1076"/>
      <c r="CM63" s="1076"/>
      <c r="CN63" s="1076"/>
      <c r="CO63" s="1076"/>
      <c r="CP63" s="1076"/>
      <c r="CQ63" s="164"/>
      <c r="CR63" s="166"/>
      <c r="CS63" s="496" t="s">
        <v>186</v>
      </c>
      <c r="CT63" s="496"/>
      <c r="CU63" s="496"/>
      <c r="CV63" s="496"/>
      <c r="CW63" s="496"/>
      <c r="CX63" s="496"/>
      <c r="CY63" s="496"/>
      <c r="CZ63" s="496"/>
      <c r="DA63" s="496"/>
      <c r="DB63" s="496"/>
      <c r="DC63" s="1081">
        <f>KG_Tara_Konst</f>
        <v>69</v>
      </c>
      <c r="DD63" s="1081"/>
      <c r="DE63" s="1081"/>
      <c r="DF63" s="1081"/>
      <c r="DG63" s="1081"/>
      <c r="DH63" s="1081"/>
      <c r="DI63" s="1081"/>
      <c r="DJ63" s="1081"/>
      <c r="DK63" s="1062" t="s">
        <v>42</v>
      </c>
      <c r="DL63" s="1062"/>
      <c r="DM63" s="1062"/>
      <c r="DN63" s="167"/>
      <c r="DO63" s="216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</row>
    <row r="64" spans="1:130" ht="4.5" customHeight="1" x14ac:dyDescent="0.2">
      <c r="A64" s="1"/>
      <c r="B64" s="1"/>
      <c r="C64" s="2"/>
      <c r="D64" s="2"/>
      <c r="E64" s="2"/>
      <c r="F64" s="8"/>
      <c r="G64" s="8"/>
      <c r="H64" s="7"/>
      <c r="I64" s="7"/>
      <c r="J64" s="7"/>
      <c r="K64" s="10"/>
      <c r="L64" s="161"/>
      <c r="M64" s="167"/>
      <c r="N64" s="167"/>
      <c r="O64" s="168"/>
      <c r="P64" s="168"/>
      <c r="Q64" s="168"/>
      <c r="R64" s="168"/>
      <c r="S64" s="168"/>
      <c r="T64" s="168"/>
      <c r="U64" s="168"/>
      <c r="V64" s="168"/>
      <c r="W64" s="168"/>
      <c r="X64" s="168"/>
      <c r="Y64" s="168"/>
      <c r="Z64" s="168"/>
      <c r="AA64" s="168"/>
      <c r="AB64" s="168"/>
      <c r="AC64" s="168"/>
      <c r="AD64" s="168"/>
      <c r="AE64" s="168"/>
      <c r="AF64" s="168"/>
      <c r="AG64" s="168"/>
      <c r="AH64" s="161"/>
      <c r="AI64" s="167"/>
      <c r="AJ64" s="496" t="s">
        <v>47</v>
      </c>
      <c r="AK64" s="496"/>
      <c r="AL64" s="496"/>
      <c r="AM64" s="496"/>
      <c r="AN64" s="496"/>
      <c r="AO64" s="496"/>
      <c r="AP64" s="496"/>
      <c r="AQ64" s="496"/>
      <c r="AR64" s="496"/>
      <c r="AS64" s="496"/>
      <c r="AT64" s="1063">
        <f>INNEN_B</f>
        <v>500</v>
      </c>
      <c r="AU64" s="1063"/>
      <c r="AV64" s="1063"/>
      <c r="AW64" s="1063"/>
      <c r="AX64" s="1063"/>
      <c r="AY64" s="1063"/>
      <c r="AZ64" s="1063"/>
      <c r="BA64" s="517" t="s">
        <v>7</v>
      </c>
      <c r="BB64" s="517"/>
      <c r="BC64" s="518">
        <f>AUSSEN_RECH_B</f>
        <v>592</v>
      </c>
      <c r="BD64" s="518"/>
      <c r="BE64" s="518"/>
      <c r="BF64" s="518"/>
      <c r="BG64" s="518"/>
      <c r="BH64" s="518"/>
      <c r="BI64" s="518"/>
      <c r="BJ64" s="517" t="s">
        <v>7</v>
      </c>
      <c r="BK64" s="517"/>
      <c r="BL64" s="1079">
        <f>AUSSEN_RECH_B_GR</f>
        <v>600</v>
      </c>
      <c r="BM64" s="1079"/>
      <c r="BN64" s="1079"/>
      <c r="BO64" s="1079"/>
      <c r="BP64" s="1079"/>
      <c r="BQ64" s="1079"/>
      <c r="BR64" s="1079"/>
      <c r="BS64" s="1064" t="s">
        <v>44</v>
      </c>
      <c r="BT64" s="1064"/>
      <c r="BU64" s="1064"/>
      <c r="BV64" s="164"/>
      <c r="BW64" s="165"/>
      <c r="BX64" s="496"/>
      <c r="BY64" s="496"/>
      <c r="BZ64" s="496"/>
      <c r="CA64" s="496"/>
      <c r="CB64" s="496"/>
      <c r="CC64" s="496"/>
      <c r="CD64" s="496"/>
      <c r="CE64" s="496"/>
      <c r="CF64" s="1063"/>
      <c r="CG64" s="1063"/>
      <c r="CH64" s="1063"/>
      <c r="CI64" s="1063"/>
      <c r="CJ64" s="1063"/>
      <c r="CK64" s="1076"/>
      <c r="CL64" s="1076"/>
      <c r="CM64" s="1076"/>
      <c r="CN64" s="1076"/>
      <c r="CO64" s="1076"/>
      <c r="CP64" s="1076"/>
      <c r="CQ64" s="164"/>
      <c r="CR64" s="166"/>
      <c r="CS64" s="496"/>
      <c r="CT64" s="496"/>
      <c r="CU64" s="496"/>
      <c r="CV64" s="496"/>
      <c r="CW64" s="496"/>
      <c r="CX64" s="496"/>
      <c r="CY64" s="496"/>
      <c r="CZ64" s="496"/>
      <c r="DA64" s="496"/>
      <c r="DB64" s="496"/>
      <c r="DC64" s="1081"/>
      <c r="DD64" s="1081"/>
      <c r="DE64" s="1081"/>
      <c r="DF64" s="1081"/>
      <c r="DG64" s="1081"/>
      <c r="DH64" s="1081"/>
      <c r="DI64" s="1081"/>
      <c r="DJ64" s="1081"/>
      <c r="DK64" s="1062"/>
      <c r="DL64" s="1062"/>
      <c r="DM64" s="1062"/>
      <c r="DN64" s="167"/>
      <c r="DO64" s="216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</row>
    <row r="65" spans="1:130" ht="4.5" customHeight="1" x14ac:dyDescent="0.2">
      <c r="A65" s="1"/>
      <c r="B65" s="1"/>
      <c r="C65" s="2"/>
      <c r="D65" s="2"/>
      <c r="E65" s="2"/>
      <c r="F65" s="8"/>
      <c r="G65" s="8"/>
      <c r="H65" s="7"/>
      <c r="I65" s="7"/>
      <c r="J65" s="7"/>
      <c r="K65" s="10"/>
      <c r="L65" s="161"/>
      <c r="M65" s="167"/>
      <c r="N65" s="167"/>
      <c r="O65" s="1077" t="str">
        <f>IF(KI_UEBERBREITE=TRUE,"ACHTUNG Überbreite!","")</f>
        <v/>
      </c>
      <c r="P65" s="1077"/>
      <c r="Q65" s="1077"/>
      <c r="R65" s="1077"/>
      <c r="S65" s="1077"/>
      <c r="T65" s="1077"/>
      <c r="U65" s="1077"/>
      <c r="V65" s="1077"/>
      <c r="W65" s="1077"/>
      <c r="X65" s="1077"/>
      <c r="Y65" s="1077"/>
      <c r="Z65" s="1077"/>
      <c r="AA65" s="1077"/>
      <c r="AB65" s="1077"/>
      <c r="AC65" s="1077"/>
      <c r="AD65" s="1077"/>
      <c r="AE65" s="1077"/>
      <c r="AF65" s="1077"/>
      <c r="AG65" s="1077"/>
      <c r="AH65" s="161"/>
      <c r="AI65" s="167"/>
      <c r="AJ65" s="496"/>
      <c r="AK65" s="496"/>
      <c r="AL65" s="496"/>
      <c r="AM65" s="496"/>
      <c r="AN65" s="496"/>
      <c r="AO65" s="496"/>
      <c r="AP65" s="496"/>
      <c r="AQ65" s="496"/>
      <c r="AR65" s="496"/>
      <c r="AS65" s="496"/>
      <c r="AT65" s="1063"/>
      <c r="AU65" s="1063"/>
      <c r="AV65" s="1063"/>
      <c r="AW65" s="1063"/>
      <c r="AX65" s="1063"/>
      <c r="AY65" s="1063"/>
      <c r="AZ65" s="1063"/>
      <c r="BA65" s="517"/>
      <c r="BB65" s="517"/>
      <c r="BC65" s="518"/>
      <c r="BD65" s="518"/>
      <c r="BE65" s="518"/>
      <c r="BF65" s="518"/>
      <c r="BG65" s="518"/>
      <c r="BH65" s="518"/>
      <c r="BI65" s="518"/>
      <c r="BJ65" s="517"/>
      <c r="BK65" s="517"/>
      <c r="BL65" s="1079"/>
      <c r="BM65" s="1079"/>
      <c r="BN65" s="1079"/>
      <c r="BO65" s="1079"/>
      <c r="BP65" s="1079"/>
      <c r="BQ65" s="1079"/>
      <c r="BR65" s="1079"/>
      <c r="BS65" s="1064"/>
      <c r="BT65" s="1064"/>
      <c r="BU65" s="1064"/>
      <c r="BV65" s="164"/>
      <c r="BW65" s="165"/>
      <c r="BX65" s="496" t="s">
        <v>187</v>
      </c>
      <c r="BY65" s="496"/>
      <c r="BZ65" s="496"/>
      <c r="CA65" s="496"/>
      <c r="CB65" s="496"/>
      <c r="CC65" s="496"/>
      <c r="CD65" s="496"/>
      <c r="CE65" s="496"/>
      <c r="CF65" s="1063">
        <f>KS_DAUER_M</f>
        <v>0</v>
      </c>
      <c r="CG65" s="1063"/>
      <c r="CH65" s="1063"/>
      <c r="CI65" s="1063"/>
      <c r="CJ65" s="1063"/>
      <c r="CK65" s="1076" t="s">
        <v>49</v>
      </c>
      <c r="CL65" s="1076"/>
      <c r="CM65" s="1076"/>
      <c r="CN65" s="1076"/>
      <c r="CO65" s="1076"/>
      <c r="CP65" s="1076"/>
      <c r="CQ65" s="164"/>
      <c r="CR65" s="166"/>
      <c r="CS65" s="496" t="s">
        <v>188</v>
      </c>
      <c r="CT65" s="496"/>
      <c r="CU65" s="496"/>
      <c r="CV65" s="496"/>
      <c r="CW65" s="496"/>
      <c r="CX65" s="496"/>
      <c r="CY65" s="496"/>
      <c r="CZ65" s="496"/>
      <c r="DA65" s="496"/>
      <c r="DB65" s="496"/>
      <c r="DC65" s="1081">
        <f>KG_Tara_Hilfs</f>
        <v>1</v>
      </c>
      <c r="DD65" s="1081"/>
      <c r="DE65" s="1081"/>
      <c r="DF65" s="1081"/>
      <c r="DG65" s="1081"/>
      <c r="DH65" s="1081"/>
      <c r="DI65" s="1081"/>
      <c r="DJ65" s="1081"/>
      <c r="DK65" s="1062" t="s">
        <v>42</v>
      </c>
      <c r="DL65" s="1062"/>
      <c r="DM65" s="1062"/>
      <c r="DN65" s="167"/>
      <c r="DO65" s="216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</row>
    <row r="66" spans="1:130" ht="4.5" customHeight="1" x14ac:dyDescent="0.2">
      <c r="A66" s="1"/>
      <c r="B66" s="1"/>
      <c r="C66" s="2"/>
      <c r="D66" s="2"/>
      <c r="E66" s="2"/>
      <c r="F66" s="8"/>
      <c r="G66" s="8"/>
      <c r="H66" s="7"/>
      <c r="I66" s="7"/>
      <c r="J66" s="7"/>
      <c r="K66" s="10"/>
      <c r="L66" s="161"/>
      <c r="M66" s="167"/>
      <c r="N66" s="167"/>
      <c r="O66" s="1077"/>
      <c r="P66" s="1077"/>
      <c r="Q66" s="1077"/>
      <c r="R66" s="1077"/>
      <c r="S66" s="1077"/>
      <c r="T66" s="1077"/>
      <c r="U66" s="1077"/>
      <c r="V66" s="1077"/>
      <c r="W66" s="1077"/>
      <c r="X66" s="1077"/>
      <c r="Y66" s="1077"/>
      <c r="Z66" s="1077"/>
      <c r="AA66" s="1077"/>
      <c r="AB66" s="1077"/>
      <c r="AC66" s="1077"/>
      <c r="AD66" s="1077"/>
      <c r="AE66" s="1077"/>
      <c r="AF66" s="1077"/>
      <c r="AG66" s="1077"/>
      <c r="AH66" s="161"/>
      <c r="AI66" s="167"/>
      <c r="AJ66" s="203"/>
      <c r="AK66" s="203"/>
      <c r="AL66" s="203"/>
      <c r="AM66" s="203"/>
      <c r="AN66" s="203"/>
      <c r="AO66" s="203"/>
      <c r="AP66" s="203"/>
      <c r="AQ66" s="203"/>
      <c r="AR66" s="203"/>
      <c r="AS66" s="203"/>
      <c r="AT66" s="169"/>
      <c r="AU66" s="169"/>
      <c r="AV66" s="169"/>
      <c r="AW66" s="169"/>
      <c r="AX66" s="169"/>
      <c r="AY66" s="169"/>
      <c r="AZ66" s="169"/>
      <c r="BA66" s="166"/>
      <c r="BB66" s="166"/>
      <c r="BC66" s="46"/>
      <c r="BD66" s="46"/>
      <c r="BE66" s="46"/>
      <c r="BF66" s="46"/>
      <c r="BG66" s="46"/>
      <c r="BH66" s="46"/>
      <c r="BI66" s="46"/>
      <c r="BJ66" s="166"/>
      <c r="BK66" s="166"/>
      <c r="BL66" s="170"/>
      <c r="BM66" s="170"/>
      <c r="BN66" s="170"/>
      <c r="BO66" s="170"/>
      <c r="BP66" s="170"/>
      <c r="BQ66" s="170"/>
      <c r="BR66" s="170"/>
      <c r="BS66" s="196"/>
      <c r="BT66" s="196"/>
      <c r="BU66" s="196"/>
      <c r="BV66" s="164"/>
      <c r="BW66" s="165"/>
      <c r="BX66" s="496"/>
      <c r="BY66" s="496"/>
      <c r="BZ66" s="496"/>
      <c r="CA66" s="496"/>
      <c r="CB66" s="496"/>
      <c r="CC66" s="496"/>
      <c r="CD66" s="496"/>
      <c r="CE66" s="496"/>
      <c r="CF66" s="1063"/>
      <c r="CG66" s="1063"/>
      <c r="CH66" s="1063"/>
      <c r="CI66" s="1063"/>
      <c r="CJ66" s="1063"/>
      <c r="CK66" s="1076"/>
      <c r="CL66" s="1076"/>
      <c r="CM66" s="1076"/>
      <c r="CN66" s="1076"/>
      <c r="CO66" s="1076"/>
      <c r="CP66" s="1076"/>
      <c r="CQ66" s="164"/>
      <c r="CR66" s="166"/>
      <c r="CS66" s="496"/>
      <c r="CT66" s="496"/>
      <c r="CU66" s="496"/>
      <c r="CV66" s="496"/>
      <c r="CW66" s="496"/>
      <c r="CX66" s="496"/>
      <c r="CY66" s="496"/>
      <c r="CZ66" s="496"/>
      <c r="DA66" s="496"/>
      <c r="DB66" s="496"/>
      <c r="DC66" s="1081"/>
      <c r="DD66" s="1081"/>
      <c r="DE66" s="1081"/>
      <c r="DF66" s="1081"/>
      <c r="DG66" s="1081"/>
      <c r="DH66" s="1081"/>
      <c r="DI66" s="1081"/>
      <c r="DJ66" s="1081"/>
      <c r="DK66" s="1062"/>
      <c r="DL66" s="1062"/>
      <c r="DM66" s="1062"/>
      <c r="DN66" s="167"/>
      <c r="DO66" s="216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</row>
    <row r="67" spans="1:130" ht="4.5" customHeight="1" x14ac:dyDescent="0.2">
      <c r="A67" s="1"/>
      <c r="B67" s="1"/>
      <c r="C67" s="2"/>
      <c r="D67" s="2"/>
      <c r="E67" s="2"/>
      <c r="F67" s="8"/>
      <c r="G67" s="8"/>
      <c r="H67" s="7"/>
      <c r="I67" s="7"/>
      <c r="J67" s="7"/>
      <c r="K67" s="10"/>
      <c r="L67" s="161"/>
      <c r="M67" s="167"/>
      <c r="N67" s="167"/>
      <c r="O67" s="1077"/>
      <c r="P67" s="1077"/>
      <c r="Q67" s="1077"/>
      <c r="R67" s="1077"/>
      <c r="S67" s="1077"/>
      <c r="T67" s="1077"/>
      <c r="U67" s="1077"/>
      <c r="V67" s="1077"/>
      <c r="W67" s="1077"/>
      <c r="X67" s="1077"/>
      <c r="Y67" s="1077"/>
      <c r="Z67" s="1077"/>
      <c r="AA67" s="1077"/>
      <c r="AB67" s="1077"/>
      <c r="AC67" s="1077"/>
      <c r="AD67" s="1077"/>
      <c r="AE67" s="1077"/>
      <c r="AF67" s="1077"/>
      <c r="AG67" s="1077"/>
      <c r="AH67" s="161"/>
      <c r="AI67" s="167"/>
      <c r="AJ67" s="496" t="s">
        <v>51</v>
      </c>
      <c r="AK67" s="496"/>
      <c r="AL67" s="496"/>
      <c r="AM67" s="496"/>
      <c r="AN67" s="496"/>
      <c r="AO67" s="496"/>
      <c r="AP67" s="496"/>
      <c r="AQ67" s="496"/>
      <c r="AR67" s="496"/>
      <c r="AS67" s="496"/>
      <c r="AT67" s="1063">
        <f>INNEN_H</f>
        <v>500</v>
      </c>
      <c r="AU67" s="1063"/>
      <c r="AV67" s="1063"/>
      <c r="AW67" s="1063"/>
      <c r="AX67" s="1063"/>
      <c r="AY67" s="1063"/>
      <c r="AZ67" s="1063"/>
      <c r="BA67" s="517" t="s">
        <v>7</v>
      </c>
      <c r="BB67" s="517"/>
      <c r="BC67" s="518">
        <f>AUSSEN_RECH_H</f>
        <v>689</v>
      </c>
      <c r="BD67" s="518"/>
      <c r="BE67" s="518"/>
      <c r="BF67" s="518"/>
      <c r="BG67" s="518"/>
      <c r="BH67" s="518"/>
      <c r="BI67" s="518"/>
      <c r="BJ67" s="517" t="s">
        <v>7</v>
      </c>
      <c r="BK67" s="517"/>
      <c r="BL67" s="1079">
        <f>AUSSEN_RECH_H_GR</f>
        <v>690</v>
      </c>
      <c r="BM67" s="1079"/>
      <c r="BN67" s="1079"/>
      <c r="BO67" s="1079"/>
      <c r="BP67" s="1079"/>
      <c r="BQ67" s="1079"/>
      <c r="BR67" s="1079"/>
      <c r="BS67" s="1064" t="s">
        <v>44</v>
      </c>
      <c r="BT67" s="1064"/>
      <c r="BU67" s="1064"/>
      <c r="BV67" s="164"/>
      <c r="BW67" s="165"/>
      <c r="BX67" s="496" t="s">
        <v>52</v>
      </c>
      <c r="BY67" s="496"/>
      <c r="BZ67" s="496"/>
      <c r="CA67" s="496"/>
      <c r="CB67" s="496"/>
      <c r="CC67" s="496"/>
      <c r="CD67" s="496"/>
      <c r="CE67" s="496"/>
      <c r="CF67" s="1063">
        <f>KS_KZONE</f>
        <v>0</v>
      </c>
      <c r="CG67" s="1063"/>
      <c r="CH67" s="1063"/>
      <c r="CI67" s="1063"/>
      <c r="CJ67" s="1063"/>
      <c r="CK67" s="1076" t="s">
        <v>0</v>
      </c>
      <c r="CL67" s="1076"/>
      <c r="CM67" s="1076"/>
      <c r="CN67" s="1076"/>
      <c r="CO67" s="1076"/>
      <c r="CP67" s="1076"/>
      <c r="CQ67" s="164"/>
      <c r="CR67" s="166"/>
      <c r="CS67" s="1078" t="s">
        <v>189</v>
      </c>
      <c r="CT67" s="1078"/>
      <c r="CU67" s="1078"/>
      <c r="CV67" s="1078"/>
      <c r="CW67" s="1078"/>
      <c r="CX67" s="1078"/>
      <c r="CY67" s="1078"/>
      <c r="CZ67" s="1078"/>
      <c r="DA67" s="1078"/>
      <c r="DB67" s="1078"/>
      <c r="DC67" s="1080">
        <f>KG_Tara_Gesamt</f>
        <v>70</v>
      </c>
      <c r="DD67" s="1080"/>
      <c r="DE67" s="1080"/>
      <c r="DF67" s="1080"/>
      <c r="DG67" s="1080"/>
      <c r="DH67" s="1080"/>
      <c r="DI67" s="1080"/>
      <c r="DJ67" s="1080"/>
      <c r="DK67" s="1062" t="s">
        <v>42</v>
      </c>
      <c r="DL67" s="1062"/>
      <c r="DM67" s="1062"/>
      <c r="DN67" s="167"/>
      <c r="DO67" s="216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</row>
    <row r="68" spans="1:130" ht="4.5" customHeight="1" x14ac:dyDescent="0.2">
      <c r="A68" s="1"/>
      <c r="B68" s="1"/>
      <c r="C68" s="2"/>
      <c r="D68" s="2"/>
      <c r="E68" s="2"/>
      <c r="F68" s="8"/>
      <c r="G68" s="8"/>
      <c r="H68" s="7"/>
      <c r="I68" s="7"/>
      <c r="J68" s="7"/>
      <c r="K68" s="10"/>
      <c r="L68" s="161"/>
      <c r="M68" s="167"/>
      <c r="N68" s="167"/>
      <c r="O68" s="46"/>
      <c r="P68" s="46"/>
      <c r="Q68" s="190"/>
      <c r="R68" s="167"/>
      <c r="S68" s="46"/>
      <c r="T68" s="46"/>
      <c r="U68" s="167"/>
      <c r="V68" s="167"/>
      <c r="W68" s="46"/>
      <c r="X68" s="46"/>
      <c r="Y68" s="167"/>
      <c r="Z68" s="190"/>
      <c r="AA68" s="46"/>
      <c r="AB68" s="46"/>
      <c r="AC68" s="167"/>
      <c r="AD68" s="190"/>
      <c r="AE68" s="46"/>
      <c r="AF68" s="46"/>
      <c r="AG68" s="167"/>
      <c r="AH68" s="129"/>
      <c r="AI68" s="190"/>
      <c r="AJ68" s="496"/>
      <c r="AK68" s="496"/>
      <c r="AL68" s="496"/>
      <c r="AM68" s="496"/>
      <c r="AN68" s="496"/>
      <c r="AO68" s="496"/>
      <c r="AP68" s="496"/>
      <c r="AQ68" s="496"/>
      <c r="AR68" s="496"/>
      <c r="AS68" s="496"/>
      <c r="AT68" s="1063"/>
      <c r="AU68" s="1063"/>
      <c r="AV68" s="1063"/>
      <c r="AW68" s="1063"/>
      <c r="AX68" s="1063"/>
      <c r="AY68" s="1063"/>
      <c r="AZ68" s="1063"/>
      <c r="BA68" s="517"/>
      <c r="BB68" s="517"/>
      <c r="BC68" s="518"/>
      <c r="BD68" s="518"/>
      <c r="BE68" s="518"/>
      <c r="BF68" s="518"/>
      <c r="BG68" s="518"/>
      <c r="BH68" s="518"/>
      <c r="BI68" s="518"/>
      <c r="BJ68" s="517"/>
      <c r="BK68" s="517"/>
      <c r="BL68" s="1079"/>
      <c r="BM68" s="1079"/>
      <c r="BN68" s="1079"/>
      <c r="BO68" s="1079"/>
      <c r="BP68" s="1079"/>
      <c r="BQ68" s="1079"/>
      <c r="BR68" s="1079"/>
      <c r="BS68" s="1064"/>
      <c r="BT68" s="1064"/>
      <c r="BU68" s="1064"/>
      <c r="BV68" s="164"/>
      <c r="BW68" s="165"/>
      <c r="BX68" s="496"/>
      <c r="BY68" s="496"/>
      <c r="BZ68" s="496"/>
      <c r="CA68" s="496"/>
      <c r="CB68" s="496"/>
      <c r="CC68" s="496"/>
      <c r="CD68" s="496"/>
      <c r="CE68" s="496"/>
      <c r="CF68" s="1063"/>
      <c r="CG68" s="1063"/>
      <c r="CH68" s="1063"/>
      <c r="CI68" s="1063"/>
      <c r="CJ68" s="1063"/>
      <c r="CK68" s="1076"/>
      <c r="CL68" s="1076"/>
      <c r="CM68" s="1076"/>
      <c r="CN68" s="1076"/>
      <c r="CO68" s="1076"/>
      <c r="CP68" s="1076"/>
      <c r="CQ68" s="164"/>
      <c r="CR68" s="166"/>
      <c r="CS68" s="1078"/>
      <c r="CT68" s="1078"/>
      <c r="CU68" s="1078"/>
      <c r="CV68" s="1078"/>
      <c r="CW68" s="1078"/>
      <c r="CX68" s="1078"/>
      <c r="CY68" s="1078"/>
      <c r="CZ68" s="1078"/>
      <c r="DA68" s="1078"/>
      <c r="DB68" s="1078"/>
      <c r="DC68" s="1080"/>
      <c r="DD68" s="1080"/>
      <c r="DE68" s="1080"/>
      <c r="DF68" s="1080"/>
      <c r="DG68" s="1080"/>
      <c r="DH68" s="1080"/>
      <c r="DI68" s="1080"/>
      <c r="DJ68" s="1080"/>
      <c r="DK68" s="1062"/>
      <c r="DL68" s="1062"/>
      <c r="DM68" s="1062"/>
      <c r="DN68" s="167"/>
      <c r="DO68" s="216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</row>
    <row r="69" spans="1:130" ht="4.5" customHeight="1" x14ac:dyDescent="0.2">
      <c r="A69" s="1"/>
      <c r="B69" s="1"/>
      <c r="C69" s="2"/>
      <c r="D69" s="2"/>
      <c r="E69" s="2"/>
      <c r="F69" s="8"/>
      <c r="G69" s="8"/>
      <c r="H69" s="7"/>
      <c r="I69" s="7"/>
      <c r="J69" s="7"/>
      <c r="K69" s="10"/>
      <c r="L69" s="171"/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171"/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3"/>
      <c r="AW69" s="53"/>
      <c r="AX69" s="53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172"/>
      <c r="BM69" s="172"/>
      <c r="BN69" s="172"/>
      <c r="BO69" s="172"/>
      <c r="BP69" s="172"/>
      <c r="BQ69" s="172"/>
      <c r="BR69" s="172"/>
      <c r="BS69" s="53"/>
      <c r="BT69" s="53"/>
      <c r="BU69" s="53"/>
      <c r="BV69" s="173"/>
      <c r="BW69" s="161"/>
      <c r="BX69" s="1062" t="s">
        <v>190</v>
      </c>
      <c r="BY69" s="1062"/>
      <c r="BZ69" s="1062"/>
      <c r="CA69" s="1062"/>
      <c r="CB69" s="1062"/>
      <c r="CC69" s="1062"/>
      <c r="CD69" s="1062"/>
      <c r="CE69" s="1062"/>
      <c r="CF69" s="1082">
        <f>KS_TME32_N</f>
        <v>0</v>
      </c>
      <c r="CG69" s="1082"/>
      <c r="CH69" s="1082"/>
      <c r="CI69" s="1082"/>
      <c r="CJ69" s="1082"/>
      <c r="CK69" s="1076" t="s">
        <v>36</v>
      </c>
      <c r="CL69" s="1076"/>
      <c r="CM69" s="1076"/>
      <c r="CN69" s="1076"/>
      <c r="CO69" s="1076"/>
      <c r="CP69" s="1076"/>
      <c r="CQ69" s="173"/>
      <c r="CR69" s="53"/>
      <c r="CS69" s="1078" t="s">
        <v>191</v>
      </c>
      <c r="CT69" s="1078"/>
      <c r="CU69" s="1078"/>
      <c r="CV69" s="1078"/>
      <c r="CW69" s="1078"/>
      <c r="CX69" s="1078"/>
      <c r="CY69" s="1078"/>
      <c r="CZ69" s="1078"/>
      <c r="DA69" s="1078"/>
      <c r="DB69" s="1078"/>
      <c r="DC69" s="1080">
        <f>KG_Brutto</f>
        <v>70</v>
      </c>
      <c r="DD69" s="1080"/>
      <c r="DE69" s="1080"/>
      <c r="DF69" s="1080"/>
      <c r="DG69" s="1080"/>
      <c r="DH69" s="1080"/>
      <c r="DI69" s="1080"/>
      <c r="DJ69" s="1080"/>
      <c r="DK69" s="1062" t="s">
        <v>42</v>
      </c>
      <c r="DL69" s="1062"/>
      <c r="DM69" s="1062"/>
      <c r="DN69" s="201"/>
      <c r="DO69" s="216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</row>
    <row r="70" spans="1:130" ht="4.5" customHeight="1" x14ac:dyDescent="0.2">
      <c r="A70" s="1"/>
      <c r="B70" s="1"/>
      <c r="C70" s="2"/>
      <c r="D70" s="2"/>
      <c r="E70" s="2"/>
      <c r="F70" s="8"/>
      <c r="G70" s="8"/>
      <c r="H70" s="7"/>
      <c r="I70" s="7"/>
      <c r="J70" s="7"/>
      <c r="K70" s="10"/>
      <c r="L70" s="171"/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171"/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3"/>
      <c r="AW70" s="53"/>
      <c r="AX70" s="53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172"/>
      <c r="BM70" s="172"/>
      <c r="BN70" s="172"/>
      <c r="BO70" s="172"/>
      <c r="BP70" s="172"/>
      <c r="BQ70" s="172"/>
      <c r="BR70" s="172"/>
      <c r="BS70" s="53"/>
      <c r="BT70" s="53"/>
      <c r="BU70" s="53"/>
      <c r="BV70" s="173"/>
      <c r="BW70" s="161"/>
      <c r="BX70" s="1062"/>
      <c r="BY70" s="1062"/>
      <c r="BZ70" s="1062"/>
      <c r="CA70" s="1062"/>
      <c r="CB70" s="1062"/>
      <c r="CC70" s="1062"/>
      <c r="CD70" s="1062"/>
      <c r="CE70" s="1062"/>
      <c r="CF70" s="1082"/>
      <c r="CG70" s="1082"/>
      <c r="CH70" s="1082"/>
      <c r="CI70" s="1082"/>
      <c r="CJ70" s="1082"/>
      <c r="CK70" s="1076"/>
      <c r="CL70" s="1076"/>
      <c r="CM70" s="1076"/>
      <c r="CN70" s="1076"/>
      <c r="CO70" s="1076"/>
      <c r="CP70" s="1076"/>
      <c r="CQ70" s="173"/>
      <c r="CR70" s="53"/>
      <c r="CS70" s="1078"/>
      <c r="CT70" s="1078"/>
      <c r="CU70" s="1078"/>
      <c r="CV70" s="1078"/>
      <c r="CW70" s="1078"/>
      <c r="CX70" s="1078"/>
      <c r="CY70" s="1078"/>
      <c r="CZ70" s="1078"/>
      <c r="DA70" s="1078"/>
      <c r="DB70" s="1078"/>
      <c r="DC70" s="1080"/>
      <c r="DD70" s="1080"/>
      <c r="DE70" s="1080"/>
      <c r="DF70" s="1080"/>
      <c r="DG70" s="1080"/>
      <c r="DH70" s="1080"/>
      <c r="DI70" s="1080"/>
      <c r="DJ70" s="1080"/>
      <c r="DK70" s="1062"/>
      <c r="DL70" s="1062"/>
      <c r="DM70" s="1062"/>
      <c r="DN70" s="201"/>
      <c r="DO70" s="216"/>
      <c r="DP70" s="2"/>
      <c r="DQ70" s="2"/>
      <c r="DR70" s="2"/>
      <c r="DS70" s="2"/>
      <c r="DT70" s="2"/>
      <c r="DU70" s="2"/>
      <c r="DV70" s="2" t="s">
        <v>0</v>
      </c>
      <c r="DW70" s="2"/>
      <c r="DX70" s="2"/>
      <c r="DY70" s="2"/>
      <c r="DZ70" s="2"/>
    </row>
    <row r="71" spans="1:130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272"/>
      <c r="M71" s="273"/>
      <c r="N71" s="225"/>
      <c r="O71" s="313"/>
      <c r="P71" s="313"/>
      <c r="Q71" s="313"/>
      <c r="R71" s="313"/>
      <c r="S71" s="313"/>
      <c r="T71" s="313"/>
      <c r="U71" s="313"/>
      <c r="V71" s="313"/>
      <c r="W71" s="313"/>
      <c r="X71" s="313"/>
      <c r="Y71" s="313"/>
      <c r="Z71" s="313"/>
      <c r="AA71" s="313"/>
      <c r="AB71" s="313"/>
      <c r="AC71" s="313"/>
      <c r="AD71" s="313"/>
      <c r="AE71" s="313"/>
      <c r="AF71" s="313"/>
      <c r="AG71" s="313"/>
      <c r="AH71" s="314"/>
      <c r="AI71" s="313"/>
      <c r="AJ71" s="313"/>
      <c r="AK71" s="313"/>
      <c r="AL71" s="313"/>
      <c r="AM71" s="313"/>
      <c r="AN71" s="313"/>
      <c r="AO71" s="313"/>
      <c r="AP71" s="313"/>
      <c r="AQ71" s="313"/>
      <c r="AR71" s="313"/>
      <c r="AS71" s="225"/>
      <c r="AT71" s="225"/>
      <c r="AU71" s="225"/>
      <c r="AV71" s="225"/>
      <c r="AW71" s="225"/>
      <c r="AX71" s="225"/>
      <c r="AY71" s="225"/>
      <c r="AZ71" s="225"/>
      <c r="BA71" s="225"/>
      <c r="BB71" s="225"/>
      <c r="BC71" s="225"/>
      <c r="BD71" s="225"/>
      <c r="BE71" s="225"/>
      <c r="BF71" s="225"/>
      <c r="BG71" s="225"/>
      <c r="BH71" s="225"/>
      <c r="BI71" s="225"/>
      <c r="BJ71" s="225"/>
      <c r="BK71" s="225"/>
      <c r="BL71" s="225"/>
      <c r="BM71" s="225"/>
      <c r="BN71" s="225"/>
      <c r="BO71" s="225"/>
      <c r="BP71" s="225"/>
      <c r="BQ71" s="225"/>
      <c r="BR71" s="225"/>
      <c r="BS71" s="225"/>
      <c r="BT71" s="313"/>
      <c r="BU71" s="313"/>
      <c r="BV71" s="309"/>
      <c r="BW71" s="308"/>
      <c r="BX71" s="225"/>
      <c r="BY71" s="225"/>
      <c r="BZ71" s="225"/>
      <c r="CA71" s="225"/>
      <c r="CB71" s="225"/>
      <c r="CC71" s="225"/>
      <c r="CD71" s="225"/>
      <c r="CE71" s="225"/>
      <c r="CF71" s="225"/>
      <c r="CG71" s="225"/>
      <c r="CH71" s="225"/>
      <c r="CI71" s="225"/>
      <c r="CJ71" s="225"/>
      <c r="CK71" s="225"/>
      <c r="CL71" s="225"/>
      <c r="CM71" s="225"/>
      <c r="CN71" s="225"/>
      <c r="CO71" s="225"/>
      <c r="CP71" s="225"/>
      <c r="CQ71" s="309"/>
      <c r="CR71" s="225"/>
      <c r="CS71" s="225"/>
      <c r="CT71" s="225"/>
      <c r="CU71" s="315"/>
      <c r="CV71" s="315"/>
      <c r="CW71" s="315"/>
      <c r="CX71" s="315"/>
      <c r="CY71" s="315"/>
      <c r="CZ71" s="315"/>
      <c r="DA71" s="315"/>
      <c r="DB71" s="315"/>
      <c r="DC71" s="225"/>
      <c r="DD71" s="225"/>
      <c r="DE71" s="225"/>
      <c r="DF71" s="225"/>
      <c r="DG71" s="225"/>
      <c r="DH71" s="225"/>
      <c r="DI71" s="225"/>
      <c r="DJ71" s="225"/>
      <c r="DK71" s="225"/>
      <c r="DL71" s="225"/>
      <c r="DM71" s="225"/>
      <c r="DN71" s="225"/>
      <c r="DO71" s="309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</row>
    <row r="72" spans="1:130" ht="5.25" customHeight="1" x14ac:dyDescent="0.15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65" t="s">
        <v>150</v>
      </c>
      <c r="M72" s="1066"/>
      <c r="N72" s="1066"/>
      <c r="O72" s="1066"/>
      <c r="P72" s="1066"/>
      <c r="Q72" s="1066"/>
      <c r="R72" s="1066"/>
      <c r="S72" s="1066"/>
      <c r="T72" s="1066"/>
      <c r="U72" s="1066"/>
      <c r="V72" s="1066"/>
      <c r="W72" s="1066"/>
      <c r="X72" s="1066"/>
      <c r="Y72" s="1066"/>
      <c r="Z72" s="1066"/>
      <c r="AA72" s="1066"/>
      <c r="AB72" s="1066"/>
      <c r="AC72" s="1066"/>
      <c r="AD72" s="1066"/>
      <c r="AE72" s="1066"/>
      <c r="AF72" s="1066"/>
      <c r="AG72" s="1066"/>
      <c r="AH72" s="1066"/>
      <c r="AI72" s="1066"/>
      <c r="AJ72" s="1066"/>
      <c r="AK72" s="1066"/>
      <c r="AL72" s="1066"/>
      <c r="AM72" s="1066"/>
      <c r="AN72" s="1066"/>
      <c r="AO72" s="1066"/>
      <c r="AP72" s="1066"/>
      <c r="AQ72" s="1066"/>
      <c r="AR72" s="1066"/>
      <c r="AS72" s="1066"/>
      <c r="AT72" s="1066"/>
      <c r="AU72" s="1066"/>
      <c r="AV72" s="1066"/>
      <c r="AW72" s="1066"/>
      <c r="AX72" s="1066"/>
      <c r="AY72" s="1066"/>
      <c r="AZ72" s="1066"/>
      <c r="BA72" s="1066"/>
      <c r="BB72" s="1066"/>
      <c r="BC72" s="1066"/>
      <c r="BD72" s="1066"/>
      <c r="BE72" s="1066"/>
      <c r="BF72" s="1066"/>
      <c r="BG72" s="1066"/>
      <c r="BH72" s="1066"/>
      <c r="BI72" s="1066"/>
      <c r="BJ72" s="1066"/>
      <c r="BK72" s="1066"/>
      <c r="BL72" s="1066"/>
      <c r="BM72" s="1066"/>
      <c r="BN72" s="1066"/>
      <c r="BO72" s="1066"/>
      <c r="BP72" s="1066"/>
      <c r="BQ72" s="1066"/>
      <c r="BR72" s="1066"/>
      <c r="BS72" s="1066"/>
      <c r="BT72" s="1066"/>
      <c r="BU72" s="1066"/>
      <c r="BV72" s="1066"/>
      <c r="BW72" s="1066"/>
      <c r="BX72" s="1066"/>
      <c r="BY72" s="1066"/>
      <c r="BZ72" s="1066"/>
      <c r="CA72" s="1066"/>
      <c r="CB72" s="1066"/>
      <c r="CC72" s="1066"/>
      <c r="CD72" s="1066"/>
      <c r="CE72" s="1066"/>
      <c r="CF72" s="1066"/>
      <c r="CG72" s="1066"/>
      <c r="CH72" s="1066"/>
      <c r="CI72" s="1066"/>
      <c r="CJ72" s="1066"/>
      <c r="CK72" s="1066"/>
      <c r="CL72" s="1066"/>
      <c r="CM72" s="1066"/>
      <c r="CN72" s="1066"/>
      <c r="CO72" s="1066"/>
      <c r="CP72" s="1066"/>
      <c r="CQ72" s="1066"/>
      <c r="CR72" s="1066"/>
      <c r="CS72" s="1066"/>
      <c r="CT72" s="1066"/>
      <c r="CU72" s="1066"/>
      <c r="CV72" s="1066"/>
      <c r="CW72" s="1066"/>
      <c r="CX72" s="1066"/>
      <c r="CY72" s="1066"/>
      <c r="CZ72" s="1066"/>
      <c r="DA72" s="1066"/>
      <c r="DB72" s="1066"/>
      <c r="DC72" s="1066"/>
      <c r="DD72" s="1066"/>
      <c r="DE72" s="1066"/>
      <c r="DF72" s="1066"/>
      <c r="DG72" s="1066"/>
      <c r="DH72" s="1066"/>
      <c r="DI72" s="1066"/>
      <c r="DJ72" s="1066"/>
      <c r="DK72" s="1066"/>
      <c r="DL72" s="1066"/>
      <c r="DM72" s="1066"/>
      <c r="DN72" s="1066"/>
      <c r="DO72" s="1088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</row>
    <row r="73" spans="1:130" ht="7.5" customHeight="1" x14ac:dyDescent="0.15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67"/>
      <c r="M73" s="1068"/>
      <c r="N73" s="1068"/>
      <c r="O73" s="1068"/>
      <c r="P73" s="1068"/>
      <c r="Q73" s="1068"/>
      <c r="R73" s="1068"/>
      <c r="S73" s="1068"/>
      <c r="T73" s="1068"/>
      <c r="U73" s="1068"/>
      <c r="V73" s="1068"/>
      <c r="W73" s="1068"/>
      <c r="X73" s="1068"/>
      <c r="Y73" s="1068"/>
      <c r="Z73" s="1068"/>
      <c r="AA73" s="1068"/>
      <c r="AB73" s="1068"/>
      <c r="AC73" s="1068"/>
      <c r="AD73" s="1068"/>
      <c r="AE73" s="1068"/>
      <c r="AF73" s="1068"/>
      <c r="AG73" s="1068"/>
      <c r="AH73" s="1068"/>
      <c r="AI73" s="1068"/>
      <c r="AJ73" s="1068"/>
      <c r="AK73" s="1068"/>
      <c r="AL73" s="1068"/>
      <c r="AM73" s="1068"/>
      <c r="AN73" s="1068"/>
      <c r="AO73" s="1068"/>
      <c r="AP73" s="1068"/>
      <c r="AQ73" s="1068"/>
      <c r="AR73" s="1068"/>
      <c r="AS73" s="1068"/>
      <c r="AT73" s="1068"/>
      <c r="AU73" s="1068"/>
      <c r="AV73" s="1068"/>
      <c r="AW73" s="1068"/>
      <c r="AX73" s="1068"/>
      <c r="AY73" s="1068"/>
      <c r="AZ73" s="1068"/>
      <c r="BA73" s="1068"/>
      <c r="BB73" s="1068"/>
      <c r="BC73" s="1068"/>
      <c r="BD73" s="1068"/>
      <c r="BE73" s="1068"/>
      <c r="BF73" s="1068"/>
      <c r="BG73" s="1068"/>
      <c r="BH73" s="1068"/>
      <c r="BI73" s="1068"/>
      <c r="BJ73" s="1068"/>
      <c r="BK73" s="1068"/>
      <c r="BL73" s="1068"/>
      <c r="BM73" s="1068"/>
      <c r="BN73" s="1068"/>
      <c r="BO73" s="1068"/>
      <c r="BP73" s="1068"/>
      <c r="BQ73" s="1068"/>
      <c r="BR73" s="1068"/>
      <c r="BS73" s="1068"/>
      <c r="BT73" s="1068"/>
      <c r="BU73" s="1068"/>
      <c r="BV73" s="1068"/>
      <c r="BW73" s="1068"/>
      <c r="BX73" s="1068"/>
      <c r="BY73" s="1068"/>
      <c r="BZ73" s="1068"/>
      <c r="CA73" s="1068"/>
      <c r="CB73" s="1068"/>
      <c r="CC73" s="1068"/>
      <c r="CD73" s="1068"/>
      <c r="CE73" s="1068"/>
      <c r="CF73" s="1068"/>
      <c r="CG73" s="1068"/>
      <c r="CH73" s="1068"/>
      <c r="CI73" s="1068"/>
      <c r="CJ73" s="1068"/>
      <c r="CK73" s="1068"/>
      <c r="CL73" s="1068"/>
      <c r="CM73" s="1068"/>
      <c r="CN73" s="1068"/>
      <c r="CO73" s="1068"/>
      <c r="CP73" s="1068"/>
      <c r="CQ73" s="1068"/>
      <c r="CR73" s="1068"/>
      <c r="CS73" s="1068"/>
      <c r="CT73" s="1068"/>
      <c r="CU73" s="1068"/>
      <c r="CV73" s="1068"/>
      <c r="CW73" s="1068"/>
      <c r="CX73" s="1068"/>
      <c r="CY73" s="1068"/>
      <c r="CZ73" s="1068"/>
      <c r="DA73" s="1068"/>
      <c r="DB73" s="1068"/>
      <c r="DC73" s="1068"/>
      <c r="DD73" s="1068"/>
      <c r="DE73" s="1068"/>
      <c r="DF73" s="1068"/>
      <c r="DG73" s="1068"/>
      <c r="DH73" s="1068"/>
      <c r="DI73" s="1068"/>
      <c r="DJ73" s="1068"/>
      <c r="DK73" s="1068"/>
      <c r="DL73" s="1068"/>
      <c r="DM73" s="1068"/>
      <c r="DN73" s="1068"/>
      <c r="DO73" s="1089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</row>
    <row r="74" spans="1:130" ht="8.1" customHeight="1" x14ac:dyDescent="0.15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90" t="s">
        <v>3</v>
      </c>
      <c r="M74" s="1091"/>
      <c r="N74" s="1091"/>
      <c r="O74" s="1091"/>
      <c r="P74" s="1091" t="s">
        <v>152</v>
      </c>
      <c r="Q74" s="1091"/>
      <c r="R74" s="1091"/>
      <c r="S74" s="1091"/>
      <c r="T74" s="1092" t="s">
        <v>64</v>
      </c>
      <c r="U74" s="1092"/>
      <c r="V74" s="1092"/>
      <c r="W74" s="1092"/>
      <c r="X74" s="1092"/>
      <c r="Y74" s="1092"/>
      <c r="Z74" s="1092"/>
      <c r="AA74" s="1092"/>
      <c r="AB74" s="1092"/>
      <c r="AC74" s="1092"/>
      <c r="AD74" s="1092"/>
      <c r="AE74" s="1092"/>
      <c r="AF74" s="1092"/>
      <c r="AG74" s="1092"/>
      <c r="AH74" s="1092"/>
      <c r="AI74" s="1092"/>
      <c r="AJ74" s="1091" t="s">
        <v>153</v>
      </c>
      <c r="AK74" s="1091"/>
      <c r="AL74" s="1091"/>
      <c r="AM74" s="1091"/>
      <c r="AN74" s="1092" t="s">
        <v>154</v>
      </c>
      <c r="AO74" s="1092"/>
      <c r="AP74" s="1092"/>
      <c r="AQ74" s="1092"/>
      <c r="AR74" s="1092"/>
      <c r="AS74" s="1092"/>
      <c r="AT74" s="1092"/>
      <c r="AU74" s="1092"/>
      <c r="AV74" s="1092"/>
      <c r="AW74" s="1092"/>
      <c r="AX74" s="1092"/>
      <c r="AY74" s="1092"/>
      <c r="AZ74" s="1092"/>
      <c r="BA74" s="1092"/>
      <c r="BB74" s="1092"/>
      <c r="BC74" s="1092"/>
      <c r="BD74" s="1092"/>
      <c r="BE74" s="1092"/>
      <c r="BF74" s="1092"/>
      <c r="BG74" s="1092"/>
      <c r="BH74" s="1092"/>
      <c r="BI74" s="1091" t="s">
        <v>192</v>
      </c>
      <c r="BJ74" s="1091"/>
      <c r="BK74" s="1091"/>
      <c r="BL74" s="1091"/>
      <c r="BM74" s="1091"/>
      <c r="BN74" s="1091" t="s">
        <v>142</v>
      </c>
      <c r="BO74" s="1091"/>
      <c r="BP74" s="1091"/>
      <c r="BQ74" s="1091"/>
      <c r="BR74" s="1091"/>
      <c r="BS74" s="1091"/>
      <c r="BT74" s="1091"/>
      <c r="BU74" s="1091"/>
      <c r="BV74" s="1091" t="s">
        <v>113</v>
      </c>
      <c r="BW74" s="1091"/>
      <c r="BX74" s="1091"/>
      <c r="BY74" s="1091"/>
      <c r="BZ74" s="1091"/>
      <c r="CA74" s="1091"/>
      <c r="CB74" s="1091"/>
      <c r="CC74" s="1091"/>
      <c r="CD74" s="1091" t="s">
        <v>155</v>
      </c>
      <c r="CE74" s="1091"/>
      <c r="CF74" s="1091"/>
      <c r="CG74" s="1091"/>
      <c r="CH74" s="1091"/>
      <c r="CI74" s="1091"/>
      <c r="CJ74" s="1091"/>
      <c r="CK74" s="1091"/>
      <c r="CL74" s="1083" t="s">
        <v>193</v>
      </c>
      <c r="CM74" s="1083"/>
      <c r="CN74" s="1083"/>
      <c r="CO74" s="1083"/>
      <c r="CP74" s="1083"/>
      <c r="CQ74" s="1083"/>
      <c r="CR74" s="1083"/>
      <c r="CS74" s="1083"/>
      <c r="CT74" s="1083" t="s">
        <v>409</v>
      </c>
      <c r="CU74" s="1083"/>
      <c r="CV74" s="1083"/>
      <c r="CW74" s="1083"/>
      <c r="CX74" s="1083"/>
      <c r="CY74" s="1083"/>
      <c r="CZ74" s="1083"/>
      <c r="DA74" s="1083" t="s">
        <v>410</v>
      </c>
      <c r="DB74" s="1083"/>
      <c r="DC74" s="1083"/>
      <c r="DD74" s="1083"/>
      <c r="DE74" s="1083" t="s">
        <v>194</v>
      </c>
      <c r="DF74" s="1083"/>
      <c r="DG74" s="1083"/>
      <c r="DH74" s="1083"/>
      <c r="DI74" s="1083"/>
      <c r="DJ74" s="1083"/>
      <c r="DK74" s="1083"/>
      <c r="DL74" s="818" t="s">
        <v>352</v>
      </c>
      <c r="DM74" s="818"/>
      <c r="DN74" s="818"/>
      <c r="DO74" s="1084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</row>
    <row r="75" spans="1:130" ht="8.1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85">
        <f>BEZ_Dim_1_Pos</f>
        <v>1</v>
      </c>
      <c r="M75" s="1086"/>
      <c r="N75" s="1086"/>
      <c r="O75" s="1086"/>
      <c r="P75" s="1086" t="str">
        <f>BEZ_Dim_1_BG</f>
        <v>BO</v>
      </c>
      <c r="Q75" s="1086"/>
      <c r="R75" s="1086"/>
      <c r="S75" s="1086"/>
      <c r="T75" s="1087" t="str">
        <f>BEZ_Dim_1_BT</f>
        <v>Bo Fläche</v>
      </c>
      <c r="U75" s="1087"/>
      <c r="V75" s="1087"/>
      <c r="W75" s="1087"/>
      <c r="X75" s="1087"/>
      <c r="Y75" s="1087"/>
      <c r="Z75" s="1087"/>
      <c r="AA75" s="1087"/>
      <c r="AB75" s="1087"/>
      <c r="AC75" s="1087"/>
      <c r="AD75" s="1087"/>
      <c r="AE75" s="1087"/>
      <c r="AF75" s="1087"/>
      <c r="AG75" s="1087"/>
      <c r="AH75" s="1087"/>
      <c r="AI75" s="1087"/>
      <c r="AJ75" s="1086" t="str">
        <f>BEZ_Dim_1_MG</f>
        <v>HO</v>
      </c>
      <c r="AK75" s="1086"/>
      <c r="AL75" s="1086"/>
      <c r="AM75" s="354"/>
      <c r="AN75" s="354" t="str">
        <f>BEZ_Dim_1_MB</f>
        <v>Bretter, IPPC-HT-KD</v>
      </c>
      <c r="AO75" s="354"/>
      <c r="AP75" s="354"/>
      <c r="AQ75" s="354"/>
      <c r="AR75" s="354"/>
      <c r="AS75" s="354"/>
      <c r="AT75" s="354"/>
      <c r="AU75" s="354"/>
      <c r="AV75" s="354"/>
      <c r="AW75" s="354"/>
      <c r="AX75" s="354"/>
      <c r="AY75" s="354"/>
      <c r="AZ75" s="354"/>
      <c r="BA75" s="354"/>
      <c r="BB75" s="354"/>
      <c r="BC75" s="354"/>
      <c r="BD75" s="354"/>
      <c r="BE75" s="354"/>
      <c r="BF75" s="354"/>
      <c r="BG75" s="167"/>
      <c r="BH75" s="167"/>
      <c r="BI75" s="354"/>
      <c r="BJ75" s="1097">
        <f>BEZ_Dim_1_Anz</f>
        <v>1</v>
      </c>
      <c r="BK75" s="1097"/>
      <c r="BL75" s="1097"/>
      <c r="BM75" s="1097"/>
      <c r="BN75" s="355"/>
      <c r="BO75" s="1098">
        <f>BEZ_Dim_1_L</f>
        <v>1632</v>
      </c>
      <c r="BP75" s="1098"/>
      <c r="BQ75" s="1098"/>
      <c r="BR75" s="1098"/>
      <c r="BS75" s="1098"/>
      <c r="BT75" s="1098"/>
      <c r="BU75" s="356"/>
      <c r="BV75" s="357"/>
      <c r="BW75" s="1099">
        <f>BEZ_Dim_1_B</f>
        <v>544</v>
      </c>
      <c r="BX75" s="1099"/>
      <c r="BY75" s="1099"/>
      <c r="BZ75" s="1099"/>
      <c r="CA75" s="1099"/>
      <c r="CB75" s="1099"/>
      <c r="CC75" s="1099"/>
      <c r="CD75" s="357"/>
      <c r="CE75" s="1099">
        <f>BEZ_Dim_1_H</f>
        <v>23</v>
      </c>
      <c r="CF75" s="1099"/>
      <c r="CG75" s="1099"/>
      <c r="CH75" s="1099"/>
      <c r="CI75" s="1099"/>
      <c r="CJ75" s="1099"/>
      <c r="CK75" s="1099"/>
      <c r="CL75" s="1100">
        <f>BEZ_Dim_1_CBM</f>
        <v>2.0419584000000001E-2</v>
      </c>
      <c r="CM75" s="1100"/>
      <c r="CN75" s="1100"/>
      <c r="CO75" s="1100"/>
      <c r="CP75" s="1100"/>
      <c r="CQ75" s="1100"/>
      <c r="CR75" s="1100"/>
      <c r="CS75" s="1100"/>
      <c r="CT75" s="1101">
        <f>BEZ_Dim_1_EuCBM</f>
        <v>204</v>
      </c>
      <c r="CU75" s="1101"/>
      <c r="CV75" s="1101"/>
      <c r="CW75" s="1101"/>
      <c r="CX75" s="1101"/>
      <c r="CY75" s="1101"/>
      <c r="CZ75" s="1101"/>
      <c r="DA75" s="1102">
        <f>BEZ_Dim_1_VAZ</f>
        <v>15</v>
      </c>
      <c r="DB75" s="1102"/>
      <c r="DC75" s="1102"/>
      <c r="DD75" s="1102"/>
      <c r="DE75" s="1093">
        <f>BEZ_Dim_1_EURKI</f>
        <v>4.7904344064000002</v>
      </c>
      <c r="DF75" s="1093"/>
      <c r="DG75" s="1093"/>
      <c r="DH75" s="1093"/>
      <c r="DI75" s="1093"/>
      <c r="DJ75" s="1093"/>
      <c r="DK75" s="1093"/>
      <c r="DL75" s="1095" t="s">
        <v>353</v>
      </c>
      <c r="DM75" s="1095"/>
      <c r="DN75" s="1095"/>
      <c r="DO75" s="1096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</row>
    <row r="76" spans="1:130" ht="8.1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85">
        <f>BEZ_Dim_2_Pos</f>
        <v>2</v>
      </c>
      <c r="M76" s="1086"/>
      <c r="N76" s="1086"/>
      <c r="O76" s="1086"/>
      <c r="P76" s="1086" t="str">
        <f>BEZ_Dim_2_BG</f>
        <v>BO</v>
      </c>
      <c r="Q76" s="1086"/>
      <c r="R76" s="1086"/>
      <c r="S76" s="1086"/>
      <c r="T76" s="1087" t="str">
        <f>BEZ_Dim_2_BT</f>
        <v>Bo Querkantholz</v>
      </c>
      <c r="U76" s="1087"/>
      <c r="V76" s="1087"/>
      <c r="W76" s="1087"/>
      <c r="X76" s="1087"/>
      <c r="Y76" s="1087"/>
      <c r="Z76" s="1087"/>
      <c r="AA76" s="1087"/>
      <c r="AB76" s="1087"/>
      <c r="AC76" s="1087"/>
      <c r="AD76" s="1087"/>
      <c r="AE76" s="1087"/>
      <c r="AF76" s="1087"/>
      <c r="AG76" s="1087"/>
      <c r="AH76" s="1087"/>
      <c r="AI76" s="1087"/>
      <c r="AJ76" s="1086" t="str">
        <f>BEZ_Dim_2_MG</f>
        <v>HO</v>
      </c>
      <c r="AK76" s="1086"/>
      <c r="AL76" s="1086"/>
      <c r="AM76" s="354"/>
      <c r="AN76" s="354" t="str">
        <f>BEZ_Dim_2_MB</f>
        <v>Kanthölzer, IPPC-HT-KD</v>
      </c>
      <c r="AO76" s="354"/>
      <c r="AP76" s="354"/>
      <c r="AQ76" s="354"/>
      <c r="AR76" s="354"/>
      <c r="AS76" s="354"/>
      <c r="AT76" s="354"/>
      <c r="AU76" s="354"/>
      <c r="AV76" s="354"/>
      <c r="AW76" s="354"/>
      <c r="AX76" s="354"/>
      <c r="AY76" s="354"/>
      <c r="AZ76" s="354"/>
      <c r="BA76" s="354"/>
      <c r="BB76" s="354"/>
      <c r="BC76" s="354"/>
      <c r="BD76" s="354"/>
      <c r="BE76" s="354"/>
      <c r="BF76" s="354"/>
      <c r="BG76" s="167"/>
      <c r="BH76" s="167"/>
      <c r="BI76" s="354"/>
      <c r="BJ76" s="1097">
        <f>BEZ_Dim_2_Anz</f>
        <v>2</v>
      </c>
      <c r="BK76" s="1097"/>
      <c r="BL76" s="1097"/>
      <c r="BM76" s="1097"/>
      <c r="BN76" s="355"/>
      <c r="BO76" s="1098">
        <f>BEZ_Dim_2_L</f>
        <v>544</v>
      </c>
      <c r="BP76" s="1098"/>
      <c r="BQ76" s="1098"/>
      <c r="BR76" s="1098"/>
      <c r="BS76" s="1098"/>
      <c r="BT76" s="1098"/>
      <c r="BU76" s="356"/>
      <c r="BV76" s="357"/>
      <c r="BW76" s="1099">
        <f>BEZ_Dim_2_B</f>
        <v>100</v>
      </c>
      <c r="BX76" s="1099"/>
      <c r="BY76" s="1099"/>
      <c r="BZ76" s="1099"/>
      <c r="CA76" s="1099"/>
      <c r="CB76" s="1099"/>
      <c r="CC76" s="1099"/>
      <c r="CD76" s="357"/>
      <c r="CE76" s="1099">
        <f>BEZ_Dim_2_H</f>
        <v>120</v>
      </c>
      <c r="CF76" s="1099"/>
      <c r="CG76" s="1099"/>
      <c r="CH76" s="1099"/>
      <c r="CI76" s="1099"/>
      <c r="CJ76" s="1099"/>
      <c r="CK76" s="1099"/>
      <c r="CL76" s="1100">
        <f>BEZ_Dim_2_CBM</f>
        <v>1.3056E-2</v>
      </c>
      <c r="CM76" s="1100"/>
      <c r="CN76" s="1100"/>
      <c r="CO76" s="1100"/>
      <c r="CP76" s="1100"/>
      <c r="CQ76" s="1100"/>
      <c r="CR76" s="1100"/>
      <c r="CS76" s="1100"/>
      <c r="CT76" s="1101">
        <f>BEZ_Dim_2_EuCBM</f>
        <v>235</v>
      </c>
      <c r="CU76" s="1101"/>
      <c r="CV76" s="1101"/>
      <c r="CW76" s="1101"/>
      <c r="CX76" s="1101"/>
      <c r="CY76" s="1101"/>
      <c r="CZ76" s="1101"/>
      <c r="DA76" s="1102">
        <f>BEZ_Dim_2_VAZ</f>
        <v>15</v>
      </c>
      <c r="DB76" s="1102"/>
      <c r="DC76" s="1102"/>
      <c r="DD76" s="1102"/>
      <c r="DE76" s="1093">
        <f>BEZ_Dim_2_EURKI</f>
        <v>3.5283839999999995</v>
      </c>
      <c r="DF76" s="1093"/>
      <c r="DG76" s="1093"/>
      <c r="DH76" s="1093"/>
      <c r="DI76" s="1093"/>
      <c r="DJ76" s="1093"/>
      <c r="DK76" s="1093"/>
      <c r="DL76" s="1086">
        <f>Eingaben!DI74</f>
        <v>2</v>
      </c>
      <c r="DM76" s="1086"/>
      <c r="DN76" s="1086"/>
      <c r="DO76" s="1094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</row>
    <row r="77" spans="1:130" ht="8.1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85">
        <f>BEZ_Dim_3_Pos</f>
        <v>3</v>
      </c>
      <c r="M77" s="1086"/>
      <c r="N77" s="1086"/>
      <c r="O77" s="1086"/>
      <c r="P77" s="1086" t="str">
        <f>BEZ_Dim_3_BG</f>
        <v>KO</v>
      </c>
      <c r="Q77" s="1086"/>
      <c r="R77" s="1086"/>
      <c r="S77" s="1086"/>
      <c r="T77" s="1087" t="str">
        <f>BEZ_Dim_3_BT</f>
        <v>Ko Flächen</v>
      </c>
      <c r="U77" s="1087"/>
      <c r="V77" s="1087"/>
      <c r="W77" s="1087"/>
      <c r="X77" s="1087"/>
      <c r="Y77" s="1087"/>
      <c r="Z77" s="1087"/>
      <c r="AA77" s="1087"/>
      <c r="AB77" s="1087"/>
      <c r="AC77" s="1087"/>
      <c r="AD77" s="1087"/>
      <c r="AE77" s="1087"/>
      <c r="AF77" s="1087"/>
      <c r="AG77" s="1087"/>
      <c r="AH77" s="1087"/>
      <c r="AI77" s="1087"/>
      <c r="AJ77" s="1086" t="str">
        <f>BEZ_Dim_3_MG</f>
        <v>HO</v>
      </c>
      <c r="AK77" s="1086"/>
      <c r="AL77" s="1086"/>
      <c r="AM77" s="354"/>
      <c r="AN77" s="1103" t="str">
        <f>BEZ_Dim_3_MB</f>
        <v>Bretter, IPPC-HT-KD</v>
      </c>
      <c r="AO77" s="1103"/>
      <c r="AP77" s="1103"/>
      <c r="AQ77" s="1103"/>
      <c r="AR77" s="1103"/>
      <c r="AS77" s="1103"/>
      <c r="AT77" s="1103"/>
      <c r="AU77" s="1103"/>
      <c r="AV77" s="1103"/>
      <c r="AW77" s="1103"/>
      <c r="AX77" s="1103"/>
      <c r="AY77" s="1103"/>
      <c r="AZ77" s="1103"/>
      <c r="BA77" s="1103"/>
      <c r="BB77" s="1103"/>
      <c r="BC77" s="1103"/>
      <c r="BD77" s="1103"/>
      <c r="BE77" s="1103"/>
      <c r="BF77" s="1103"/>
      <c r="BG77" s="167"/>
      <c r="BH77" s="167"/>
      <c r="BI77" s="354"/>
      <c r="BJ77" s="1097">
        <f>BEZ_Dim_3_Anz</f>
        <v>2</v>
      </c>
      <c r="BK77" s="1097"/>
      <c r="BL77" s="1097"/>
      <c r="BM77" s="1097"/>
      <c r="BN77" s="355"/>
      <c r="BO77" s="1098">
        <f>BEZ_Dim_3_L</f>
        <v>500</v>
      </c>
      <c r="BP77" s="1098"/>
      <c r="BQ77" s="1098"/>
      <c r="BR77" s="1098"/>
      <c r="BS77" s="1098"/>
      <c r="BT77" s="1098"/>
      <c r="BU77" s="356"/>
      <c r="BV77" s="357"/>
      <c r="BW77" s="1099">
        <f>BEZ_Dim_3_B</f>
        <v>500</v>
      </c>
      <c r="BX77" s="1099"/>
      <c r="BY77" s="1099"/>
      <c r="BZ77" s="1099"/>
      <c r="CA77" s="1099"/>
      <c r="CB77" s="1099"/>
      <c r="CC77" s="1099"/>
      <c r="CD77" s="357"/>
      <c r="CE77" s="1099">
        <f>BEZ_Dim_3_H</f>
        <v>23</v>
      </c>
      <c r="CF77" s="1099"/>
      <c r="CG77" s="1099"/>
      <c r="CH77" s="1099"/>
      <c r="CI77" s="1099"/>
      <c r="CJ77" s="1099"/>
      <c r="CK77" s="1099"/>
      <c r="CL77" s="1100">
        <f>BEZ_Dim_3_CBM</f>
        <v>1.15E-2</v>
      </c>
      <c r="CM77" s="1100"/>
      <c r="CN77" s="1100"/>
      <c r="CO77" s="1100"/>
      <c r="CP77" s="1100"/>
      <c r="CQ77" s="1100"/>
      <c r="CR77" s="1100"/>
      <c r="CS77" s="1100"/>
      <c r="CT77" s="1101">
        <f>BEZ_Dim_3_EuCBM</f>
        <v>204</v>
      </c>
      <c r="CU77" s="1101"/>
      <c r="CV77" s="1101"/>
      <c r="CW77" s="1101"/>
      <c r="CX77" s="1101"/>
      <c r="CY77" s="1101"/>
      <c r="CZ77" s="1101"/>
      <c r="DA77" s="1102">
        <f>BEZ_Dim_3_VAZ</f>
        <v>15</v>
      </c>
      <c r="DB77" s="1102"/>
      <c r="DC77" s="1102"/>
      <c r="DD77" s="1102"/>
      <c r="DE77" s="1093">
        <f>BEZ_Dim_3_EURKI</f>
        <v>2.6978999999999997</v>
      </c>
      <c r="DF77" s="1093"/>
      <c r="DG77" s="1093"/>
      <c r="DH77" s="1093"/>
      <c r="DI77" s="1093"/>
      <c r="DJ77" s="1093"/>
      <c r="DK77" s="1093"/>
      <c r="DL77" s="1104"/>
      <c r="DM77" s="1104"/>
      <c r="DN77" s="1104"/>
      <c r="DO77" s="1105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</row>
    <row r="78" spans="1:130" ht="8.1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85">
        <f>BEZ_Dim_4_Pos</f>
        <v>4</v>
      </c>
      <c r="M78" s="1086"/>
      <c r="N78" s="1086"/>
      <c r="O78" s="1086"/>
      <c r="P78" s="1086" t="str">
        <f>BEZ_Dim_4_BG</f>
        <v>KO</v>
      </c>
      <c r="Q78" s="1086"/>
      <c r="R78" s="1086"/>
      <c r="S78" s="1086"/>
      <c r="T78" s="1087" t="str">
        <f>BEZ_Dim_4_BT</f>
        <v>KoSp !Längs</v>
      </c>
      <c r="U78" s="1087"/>
      <c r="V78" s="1087"/>
      <c r="W78" s="1087"/>
      <c r="X78" s="1087"/>
      <c r="Y78" s="1087"/>
      <c r="Z78" s="1087"/>
      <c r="AA78" s="1087"/>
      <c r="AB78" s="1087"/>
      <c r="AC78" s="1087"/>
      <c r="AD78" s="1087"/>
      <c r="AE78" s="1087"/>
      <c r="AF78" s="1087"/>
      <c r="AG78" s="1087"/>
      <c r="AH78" s="1087"/>
      <c r="AI78" s="1087"/>
      <c r="AJ78" s="1086" t="str">
        <f>BEZ_Dim_4_MG</f>
        <v>HO</v>
      </c>
      <c r="AK78" s="1086"/>
      <c r="AL78" s="1086"/>
      <c r="AM78" s="354"/>
      <c r="AN78" s="1103" t="str">
        <f>BEZ_Dim_4_MB</f>
        <v>Bretter, IPPC-HT-KD</v>
      </c>
      <c r="AO78" s="1103"/>
      <c r="AP78" s="1103"/>
      <c r="AQ78" s="1103"/>
      <c r="AR78" s="1103"/>
      <c r="AS78" s="1103"/>
      <c r="AT78" s="1103"/>
      <c r="AU78" s="1103"/>
      <c r="AV78" s="1103"/>
      <c r="AW78" s="1103"/>
      <c r="AX78" s="1103"/>
      <c r="AY78" s="1103"/>
      <c r="AZ78" s="1103"/>
      <c r="BA78" s="1103"/>
      <c r="BB78" s="1103"/>
      <c r="BC78" s="1103"/>
      <c r="BD78" s="1103"/>
      <c r="BE78" s="1103"/>
      <c r="BF78" s="1103"/>
      <c r="BG78" s="167"/>
      <c r="BH78" s="167"/>
      <c r="BI78" s="354"/>
      <c r="BJ78" s="1097">
        <f>BEZ_Dim_4_Anz</f>
        <v>4</v>
      </c>
      <c r="BK78" s="1097"/>
      <c r="BL78" s="1097"/>
      <c r="BM78" s="1097"/>
      <c r="BN78" s="355"/>
      <c r="BO78" s="1098">
        <f>BEZ_Dim_4_L</f>
        <v>500</v>
      </c>
      <c r="BP78" s="1098"/>
      <c r="BQ78" s="1098"/>
      <c r="BR78" s="1098"/>
      <c r="BS78" s="1098"/>
      <c r="BT78" s="1098"/>
      <c r="BU78" s="356"/>
      <c r="BV78" s="357"/>
      <c r="BW78" s="1099">
        <f>BEZ_Dim_4_B</f>
        <v>100</v>
      </c>
      <c r="BX78" s="1099"/>
      <c r="BY78" s="1099"/>
      <c r="BZ78" s="1099"/>
      <c r="CA78" s="1099"/>
      <c r="CB78" s="1099"/>
      <c r="CC78" s="1099"/>
      <c r="CD78" s="357"/>
      <c r="CE78" s="1099">
        <f>BEZ_Dim_4_H</f>
        <v>23</v>
      </c>
      <c r="CF78" s="1099"/>
      <c r="CG78" s="1099"/>
      <c r="CH78" s="1099"/>
      <c r="CI78" s="1099"/>
      <c r="CJ78" s="1099"/>
      <c r="CK78" s="1099"/>
      <c r="CL78" s="1100">
        <f>BEZ_Dim_4_CBM</f>
        <v>4.5999999999999999E-3</v>
      </c>
      <c r="CM78" s="1100"/>
      <c r="CN78" s="1100"/>
      <c r="CO78" s="1100"/>
      <c r="CP78" s="1100"/>
      <c r="CQ78" s="1100"/>
      <c r="CR78" s="1100"/>
      <c r="CS78" s="1100"/>
      <c r="CT78" s="1101">
        <f>BEZ_Dim_4_EuCBM</f>
        <v>204</v>
      </c>
      <c r="CU78" s="1101"/>
      <c r="CV78" s="1101"/>
      <c r="CW78" s="1101"/>
      <c r="CX78" s="1101"/>
      <c r="CY78" s="1101"/>
      <c r="CZ78" s="1101"/>
      <c r="DA78" s="1102">
        <f>BEZ_Dim_4_VAZ</f>
        <v>15</v>
      </c>
      <c r="DB78" s="1102"/>
      <c r="DC78" s="1102"/>
      <c r="DD78" s="1102"/>
      <c r="DE78" s="1093">
        <f>BEZ_Dim_4_EURKI</f>
        <v>1.0791599999999999</v>
      </c>
      <c r="DF78" s="1093"/>
      <c r="DG78" s="1093"/>
      <c r="DH78" s="1093"/>
      <c r="DI78" s="1093"/>
      <c r="DJ78" s="1093"/>
      <c r="DK78" s="1093"/>
      <c r="DL78" s="818" t="s">
        <v>336</v>
      </c>
      <c r="DM78" s="818"/>
      <c r="DN78" s="818"/>
      <c r="DO78" s="1084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</row>
    <row r="79" spans="1:130" ht="8.1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85">
        <f>BEZ_Dim_5_Pos</f>
        <v>5</v>
      </c>
      <c r="M79" s="1086"/>
      <c r="N79" s="1086"/>
      <c r="O79" s="1086"/>
      <c r="P79" s="1086" t="str">
        <f>BEZ_Dim_5_BG</f>
        <v>DE</v>
      </c>
      <c r="Q79" s="1086"/>
      <c r="R79" s="1086"/>
      <c r="S79" s="1086"/>
      <c r="T79" s="1087" t="str">
        <f>BEZ_Dim_5_BT</f>
        <v>De Fläche</v>
      </c>
      <c r="U79" s="1087"/>
      <c r="V79" s="1087"/>
      <c r="W79" s="1087"/>
      <c r="X79" s="1087"/>
      <c r="Y79" s="1087"/>
      <c r="Z79" s="1087"/>
      <c r="AA79" s="1087"/>
      <c r="AB79" s="1087"/>
      <c r="AC79" s="1087"/>
      <c r="AD79" s="1087"/>
      <c r="AE79" s="1087"/>
      <c r="AF79" s="1087"/>
      <c r="AG79" s="1087"/>
      <c r="AH79" s="1087"/>
      <c r="AI79" s="1087"/>
      <c r="AJ79" s="1086" t="str">
        <f>BEZ_Dim_5_MG</f>
        <v>HO</v>
      </c>
      <c r="AK79" s="1086"/>
      <c r="AL79" s="1086"/>
      <c r="AM79" s="354"/>
      <c r="AN79" s="1103" t="str">
        <f>BEZ_Dim_5_MB</f>
        <v>Bretter, IPPC-HT-KD</v>
      </c>
      <c r="AO79" s="1103"/>
      <c r="AP79" s="1103"/>
      <c r="AQ79" s="1103"/>
      <c r="AR79" s="1103"/>
      <c r="AS79" s="1103"/>
      <c r="AT79" s="1103"/>
      <c r="AU79" s="1103"/>
      <c r="AV79" s="1103"/>
      <c r="AW79" s="1103"/>
      <c r="AX79" s="1103"/>
      <c r="AY79" s="1103"/>
      <c r="AZ79" s="1103"/>
      <c r="BA79" s="1103"/>
      <c r="BB79" s="1103"/>
      <c r="BC79" s="1103"/>
      <c r="BD79" s="1103"/>
      <c r="BE79" s="1103"/>
      <c r="BF79" s="1103"/>
      <c r="BG79" s="167"/>
      <c r="BH79" s="167"/>
      <c r="BI79" s="354"/>
      <c r="BJ79" s="1097">
        <f>BEZ_Dim_5_Anz</f>
        <v>1</v>
      </c>
      <c r="BK79" s="1097"/>
      <c r="BL79" s="1097"/>
      <c r="BM79" s="1097"/>
      <c r="BN79" s="355"/>
      <c r="BO79" s="1098">
        <f>BEZ_Dim_5_L</f>
        <v>1632</v>
      </c>
      <c r="BP79" s="1098"/>
      <c r="BQ79" s="1098"/>
      <c r="BR79" s="1098"/>
      <c r="BS79" s="1098"/>
      <c r="BT79" s="1098"/>
      <c r="BU79" s="356"/>
      <c r="BV79" s="357"/>
      <c r="BW79" s="1099">
        <f>BEZ_Dim_5_B</f>
        <v>544</v>
      </c>
      <c r="BX79" s="1099"/>
      <c r="BY79" s="1099"/>
      <c r="BZ79" s="1099"/>
      <c r="CA79" s="1099"/>
      <c r="CB79" s="1099"/>
      <c r="CC79" s="1099"/>
      <c r="CD79" s="357"/>
      <c r="CE79" s="1099">
        <f>BEZ_Dim_5_H</f>
        <v>23</v>
      </c>
      <c r="CF79" s="1099"/>
      <c r="CG79" s="1099"/>
      <c r="CH79" s="1099"/>
      <c r="CI79" s="1099"/>
      <c r="CJ79" s="1099"/>
      <c r="CK79" s="1099"/>
      <c r="CL79" s="1100">
        <f>BEZ_Dim_5_CBM</f>
        <v>2.0419584000000001E-2</v>
      </c>
      <c r="CM79" s="1100"/>
      <c r="CN79" s="1100"/>
      <c r="CO79" s="1100"/>
      <c r="CP79" s="1100"/>
      <c r="CQ79" s="1100"/>
      <c r="CR79" s="1100"/>
      <c r="CS79" s="1100"/>
      <c r="CT79" s="1101">
        <f>BEZ_Dim_5_EuCBM</f>
        <v>204</v>
      </c>
      <c r="CU79" s="1101"/>
      <c r="CV79" s="1101"/>
      <c r="CW79" s="1101"/>
      <c r="CX79" s="1101"/>
      <c r="CY79" s="1101"/>
      <c r="CZ79" s="1101"/>
      <c r="DA79" s="1102">
        <f>BEZ_Dim_5_VAZ</f>
        <v>15</v>
      </c>
      <c r="DB79" s="1102"/>
      <c r="DC79" s="1102"/>
      <c r="DD79" s="1102"/>
      <c r="DE79" s="1093">
        <f>BEZ_Dim_5_EURKI</f>
        <v>4.7904344064000002</v>
      </c>
      <c r="DF79" s="1093"/>
      <c r="DG79" s="1093"/>
      <c r="DH79" s="1093"/>
      <c r="DI79" s="1093"/>
      <c r="DJ79" s="1093"/>
      <c r="DK79" s="1093"/>
      <c r="DL79" s="1106">
        <f>Eingaben!DI94</f>
        <v>0</v>
      </c>
      <c r="DM79" s="1106"/>
      <c r="DN79" s="1106"/>
      <c r="DO79" s="1107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</row>
    <row r="80" spans="1:130" ht="8.1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85">
        <f>BEZ_Dim_6_Pos</f>
        <v>6</v>
      </c>
      <c r="M80" s="1086"/>
      <c r="N80" s="1086"/>
      <c r="O80" s="1086"/>
      <c r="P80" s="1086" t="str">
        <f>BEZ_Dim_6_BG</f>
        <v>DE</v>
      </c>
      <c r="Q80" s="1086"/>
      <c r="R80" s="1086"/>
      <c r="S80" s="1086"/>
      <c r="T80" s="1087" t="str">
        <f>BEZ_Dim_6_BT</f>
        <v>De Spangen</v>
      </c>
      <c r="U80" s="1087"/>
      <c r="V80" s="1087"/>
      <c r="W80" s="1087"/>
      <c r="X80" s="1087"/>
      <c r="Y80" s="1087"/>
      <c r="Z80" s="1087"/>
      <c r="AA80" s="1087"/>
      <c r="AB80" s="1087"/>
      <c r="AC80" s="1087"/>
      <c r="AD80" s="1087"/>
      <c r="AE80" s="1087"/>
      <c r="AF80" s="1087"/>
      <c r="AG80" s="1087"/>
      <c r="AH80" s="1087"/>
      <c r="AI80" s="1087"/>
      <c r="AJ80" s="1086" t="str">
        <f>BEZ_Dim_6_MG</f>
        <v>HO</v>
      </c>
      <c r="AK80" s="1086"/>
      <c r="AL80" s="1086"/>
      <c r="AM80" s="354"/>
      <c r="AN80" s="354" t="str">
        <f>BEZ_Dim_6_MB</f>
        <v>Bretter, IPPC-HT-KD</v>
      </c>
      <c r="AO80" s="354"/>
      <c r="AP80" s="354"/>
      <c r="AQ80" s="354"/>
      <c r="AR80" s="354"/>
      <c r="AS80" s="354"/>
      <c r="AT80" s="354"/>
      <c r="AU80" s="354"/>
      <c r="AV80" s="354"/>
      <c r="AW80" s="354"/>
      <c r="AX80" s="354"/>
      <c r="AY80" s="354"/>
      <c r="AZ80" s="354"/>
      <c r="BA80" s="354"/>
      <c r="BB80" s="354"/>
      <c r="BC80" s="354"/>
      <c r="BD80" s="354"/>
      <c r="BE80" s="354"/>
      <c r="BF80" s="354"/>
      <c r="BG80" s="167"/>
      <c r="BH80" s="167"/>
      <c r="BI80" s="354"/>
      <c r="BJ80" s="1097">
        <f>BEZ_Dim_6_Anz</f>
        <v>2</v>
      </c>
      <c r="BK80" s="1097"/>
      <c r="BL80" s="1097"/>
      <c r="BM80" s="1097"/>
      <c r="BN80" s="355"/>
      <c r="BO80" s="1098">
        <f>ROUND(BEZ_Dim_6_L,0)</f>
        <v>544</v>
      </c>
      <c r="BP80" s="1098"/>
      <c r="BQ80" s="1098"/>
      <c r="BR80" s="1098"/>
      <c r="BS80" s="1098"/>
      <c r="BT80" s="1098"/>
      <c r="BU80" s="356"/>
      <c r="BV80" s="357"/>
      <c r="BW80" s="1099">
        <f>BEZ_Dim_6_B</f>
        <v>100</v>
      </c>
      <c r="BX80" s="1099"/>
      <c r="BY80" s="1099"/>
      <c r="BZ80" s="1099"/>
      <c r="CA80" s="1099"/>
      <c r="CB80" s="1099"/>
      <c r="CC80" s="1099"/>
      <c r="CD80" s="357"/>
      <c r="CE80" s="1099">
        <f>BEZ_Dim_6_H</f>
        <v>23</v>
      </c>
      <c r="CF80" s="1099"/>
      <c r="CG80" s="1099"/>
      <c r="CH80" s="1099"/>
      <c r="CI80" s="1099"/>
      <c r="CJ80" s="1099"/>
      <c r="CK80" s="1099"/>
      <c r="CL80" s="1100">
        <f>BEZ_Dim_6_CBM</f>
        <v>2.5024000000000001E-3</v>
      </c>
      <c r="CM80" s="1100"/>
      <c r="CN80" s="1100"/>
      <c r="CO80" s="1100"/>
      <c r="CP80" s="1100"/>
      <c r="CQ80" s="1100"/>
      <c r="CR80" s="1100"/>
      <c r="CS80" s="1100"/>
      <c r="CT80" s="1101">
        <f>BEZ_Dim_6_EuCBM</f>
        <v>204</v>
      </c>
      <c r="CU80" s="1101"/>
      <c r="CV80" s="1101"/>
      <c r="CW80" s="1101"/>
      <c r="CX80" s="1101"/>
      <c r="CY80" s="1101"/>
      <c r="CZ80" s="1101"/>
      <c r="DA80" s="1102">
        <f>BEZ_Dim_6_VAZ</f>
        <v>15</v>
      </c>
      <c r="DB80" s="1102"/>
      <c r="DC80" s="1102"/>
      <c r="DD80" s="1102"/>
      <c r="DE80" s="1093">
        <f>BEZ_Dim_6_EURKI</f>
        <v>0.58706303999999998</v>
      </c>
      <c r="DF80" s="1093"/>
      <c r="DG80" s="1093"/>
      <c r="DH80" s="1093"/>
      <c r="DI80" s="1093"/>
      <c r="DJ80" s="1093"/>
      <c r="DK80" s="1093"/>
      <c r="DL80" s="1086" t="s">
        <v>143</v>
      </c>
      <c r="DM80" s="1086"/>
      <c r="DN80" s="1086"/>
      <c r="DO80" s="1094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</row>
    <row r="81" spans="1:130" ht="8.1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85">
        <f>BEZ_Dim_7_Pos</f>
        <v>7</v>
      </c>
      <c r="M81" s="1086"/>
      <c r="N81" s="1086"/>
      <c r="O81" s="1086"/>
      <c r="P81" s="1086" t="str">
        <f>BEZ_Dim_7_BG</f>
        <v>SE</v>
      </c>
      <c r="Q81" s="1086"/>
      <c r="R81" s="1086"/>
      <c r="S81" s="1086"/>
      <c r="T81" s="1087" t="str">
        <f>BEZ_Dim_7_BT</f>
        <v>Se Flächen</v>
      </c>
      <c r="U81" s="1087"/>
      <c r="V81" s="1087"/>
      <c r="W81" s="1087"/>
      <c r="X81" s="1087"/>
      <c r="Y81" s="1087"/>
      <c r="Z81" s="1087"/>
      <c r="AA81" s="1087"/>
      <c r="AB81" s="1087"/>
      <c r="AC81" s="1087"/>
      <c r="AD81" s="1087"/>
      <c r="AE81" s="1087"/>
      <c r="AF81" s="1087"/>
      <c r="AG81" s="1087"/>
      <c r="AH81" s="1087"/>
      <c r="AI81" s="1087"/>
      <c r="AJ81" s="1086" t="str">
        <f>BEZ_Dim_7_MG</f>
        <v>HO</v>
      </c>
      <c r="AK81" s="1086"/>
      <c r="AL81" s="1086"/>
      <c r="AM81" s="354"/>
      <c r="AN81" s="354" t="str">
        <f>BEZ_Dim_7_MB</f>
        <v>Bretter, IPPC-HT-KD</v>
      </c>
      <c r="AO81" s="354"/>
      <c r="AP81" s="354"/>
      <c r="AQ81" s="354"/>
      <c r="AR81" s="354"/>
      <c r="AS81" s="354"/>
      <c r="AT81" s="354"/>
      <c r="AU81" s="354"/>
      <c r="AV81" s="354"/>
      <c r="AW81" s="354"/>
      <c r="AX81" s="354"/>
      <c r="AY81" s="354"/>
      <c r="AZ81" s="354"/>
      <c r="BA81" s="354"/>
      <c r="BB81" s="354"/>
      <c r="BC81" s="354"/>
      <c r="BD81" s="354"/>
      <c r="BE81" s="354"/>
      <c r="BF81" s="354"/>
      <c r="BG81" s="167"/>
      <c r="BH81" s="167"/>
      <c r="BI81" s="354"/>
      <c r="BJ81" s="1097">
        <f>BEZ_Dim_7_Anz</f>
        <v>2</v>
      </c>
      <c r="BK81" s="1097"/>
      <c r="BL81" s="1097"/>
      <c r="BM81" s="1097"/>
      <c r="BN81" s="355"/>
      <c r="BO81" s="1098">
        <f>BEZ_Dim_7_L</f>
        <v>1632</v>
      </c>
      <c r="BP81" s="1098"/>
      <c r="BQ81" s="1098"/>
      <c r="BR81" s="1098"/>
      <c r="BS81" s="1098"/>
      <c r="BT81" s="1098"/>
      <c r="BU81" s="356"/>
      <c r="BV81" s="357"/>
      <c r="BW81" s="1099">
        <f>BEZ_Dim_7_B</f>
        <v>500</v>
      </c>
      <c r="BX81" s="1099"/>
      <c r="BY81" s="1099"/>
      <c r="BZ81" s="1099"/>
      <c r="CA81" s="1099"/>
      <c r="CB81" s="1099"/>
      <c r="CC81" s="1099"/>
      <c r="CD81" s="357"/>
      <c r="CE81" s="1099">
        <f>BEZ_Dim_7_H</f>
        <v>23</v>
      </c>
      <c r="CF81" s="1099"/>
      <c r="CG81" s="1099"/>
      <c r="CH81" s="1099"/>
      <c r="CI81" s="1099"/>
      <c r="CJ81" s="1099"/>
      <c r="CK81" s="1099"/>
      <c r="CL81" s="1100">
        <f>BEZ_Dim_7_CBM</f>
        <v>3.7536E-2</v>
      </c>
      <c r="CM81" s="1100"/>
      <c r="CN81" s="1100"/>
      <c r="CO81" s="1100"/>
      <c r="CP81" s="1100"/>
      <c r="CQ81" s="1100"/>
      <c r="CR81" s="1100"/>
      <c r="CS81" s="1100"/>
      <c r="CT81" s="1101">
        <f>BEZ_Dim_7_EuCBM</f>
        <v>204</v>
      </c>
      <c r="CU81" s="1101"/>
      <c r="CV81" s="1101"/>
      <c r="CW81" s="1101"/>
      <c r="CX81" s="1101"/>
      <c r="CY81" s="1101"/>
      <c r="CZ81" s="1101"/>
      <c r="DA81" s="1102">
        <f>BEZ_Dim_7_VAZ</f>
        <v>15</v>
      </c>
      <c r="DB81" s="1102"/>
      <c r="DC81" s="1102"/>
      <c r="DD81" s="1102"/>
      <c r="DE81" s="1093">
        <f>BEZ_Dim_7_EURKI</f>
        <v>8.8059455999999994</v>
      </c>
      <c r="DF81" s="1093"/>
      <c r="DG81" s="1093"/>
      <c r="DH81" s="1093"/>
      <c r="DI81" s="1093"/>
      <c r="DJ81" s="1093"/>
      <c r="DK81" s="1093"/>
      <c r="DL81" s="1086">
        <f>Eingaben!DI96</f>
        <v>0</v>
      </c>
      <c r="DM81" s="1086"/>
      <c r="DN81" s="1086"/>
      <c r="DO81" s="1094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</row>
    <row r="82" spans="1:130" ht="8.1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85">
        <f>BEZ_Dim_8_Pos</f>
        <v>8</v>
      </c>
      <c r="M82" s="1086"/>
      <c r="N82" s="1086"/>
      <c r="O82" s="1086"/>
      <c r="P82" s="1086" t="str">
        <f>BEZ_Dim_8_BG</f>
        <v>SE</v>
      </c>
      <c r="Q82" s="1086"/>
      <c r="R82" s="1086"/>
      <c r="S82" s="1086"/>
      <c r="T82" s="1087" t="str">
        <f>BEZ_Dim_8_BT</f>
        <v>Se Spangen</v>
      </c>
      <c r="U82" s="1087"/>
      <c r="V82" s="1087"/>
      <c r="W82" s="1087"/>
      <c r="X82" s="1087"/>
      <c r="Y82" s="1087"/>
      <c r="Z82" s="1087"/>
      <c r="AA82" s="1087"/>
      <c r="AB82" s="1087"/>
      <c r="AC82" s="1087"/>
      <c r="AD82" s="1087"/>
      <c r="AE82" s="1087"/>
      <c r="AF82" s="1087"/>
      <c r="AG82" s="1087"/>
      <c r="AH82" s="1087"/>
      <c r="AI82" s="1087"/>
      <c r="AJ82" s="1086" t="str">
        <f>BEZ_Dim_8_MG</f>
        <v>HO</v>
      </c>
      <c r="AK82" s="1086"/>
      <c r="AL82" s="1086"/>
      <c r="AM82" s="354"/>
      <c r="AN82" s="354" t="str">
        <f>BEZ_Dim_8_MB</f>
        <v>Bretter, IPPC-HT-KD</v>
      </c>
      <c r="AO82" s="354"/>
      <c r="AP82" s="354"/>
      <c r="AQ82" s="354"/>
      <c r="AR82" s="354"/>
      <c r="AS82" s="354"/>
      <c r="AT82" s="354"/>
      <c r="AU82" s="354"/>
      <c r="AV82" s="354"/>
      <c r="AW82" s="354"/>
      <c r="AX82" s="354"/>
      <c r="AY82" s="354"/>
      <c r="AZ82" s="354"/>
      <c r="BA82" s="354"/>
      <c r="BB82" s="354"/>
      <c r="BC82" s="354"/>
      <c r="BD82" s="354"/>
      <c r="BE82" s="354"/>
      <c r="BF82" s="354"/>
      <c r="BG82" s="167"/>
      <c r="BH82" s="167"/>
      <c r="BI82" s="354"/>
      <c r="BJ82" s="1097">
        <f>BEZ_Dim_8_Anz</f>
        <v>4</v>
      </c>
      <c r="BK82" s="1097"/>
      <c r="BL82" s="1097"/>
      <c r="BM82" s="1097"/>
      <c r="BN82" s="355"/>
      <c r="BO82" s="1098">
        <f>BEZ_Dim_8_L</f>
        <v>672</v>
      </c>
      <c r="BP82" s="1098"/>
      <c r="BQ82" s="1098"/>
      <c r="BR82" s="1098"/>
      <c r="BS82" s="1098"/>
      <c r="BT82" s="1098"/>
      <c r="BU82" s="356"/>
      <c r="BV82" s="357"/>
      <c r="BW82" s="1099">
        <f>BEZ_Dim_8_B</f>
        <v>100</v>
      </c>
      <c r="BX82" s="1099"/>
      <c r="BY82" s="1099"/>
      <c r="BZ82" s="1099"/>
      <c r="CA82" s="1099"/>
      <c r="CB82" s="1099"/>
      <c r="CC82" s="1099"/>
      <c r="CD82" s="357"/>
      <c r="CE82" s="1099">
        <f>BEZ_Dim_8_H</f>
        <v>23</v>
      </c>
      <c r="CF82" s="1099"/>
      <c r="CG82" s="1099"/>
      <c r="CH82" s="1099"/>
      <c r="CI82" s="1099"/>
      <c r="CJ82" s="1099"/>
      <c r="CK82" s="1099"/>
      <c r="CL82" s="1100">
        <f>BEZ_Dim_8_CBM</f>
        <v>6.1824000000000002E-3</v>
      </c>
      <c r="CM82" s="1100"/>
      <c r="CN82" s="1100"/>
      <c r="CO82" s="1100"/>
      <c r="CP82" s="1100"/>
      <c r="CQ82" s="1100"/>
      <c r="CR82" s="1100"/>
      <c r="CS82" s="1100"/>
      <c r="CT82" s="1101">
        <f>BEZ_Dim_8_EuCBM</f>
        <v>204</v>
      </c>
      <c r="CU82" s="1101"/>
      <c r="CV82" s="1101"/>
      <c r="CW82" s="1101"/>
      <c r="CX82" s="1101"/>
      <c r="CY82" s="1101"/>
      <c r="CZ82" s="1101"/>
      <c r="DA82" s="1102">
        <f>BEZ_Dim_8_VAZ</f>
        <v>15</v>
      </c>
      <c r="DB82" s="1102"/>
      <c r="DC82" s="1102"/>
      <c r="DD82" s="1102"/>
      <c r="DE82" s="1093">
        <f>BEZ_Dim_8_EURKI</f>
        <v>1.45039104</v>
      </c>
      <c r="DF82" s="1093"/>
      <c r="DG82" s="1093"/>
      <c r="DH82" s="1093"/>
      <c r="DI82" s="1093"/>
      <c r="DJ82" s="1093"/>
      <c r="DK82" s="1093"/>
      <c r="DL82" s="818" t="s">
        <v>354</v>
      </c>
      <c r="DM82" s="818"/>
      <c r="DN82" s="818"/>
      <c r="DO82" s="1084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</row>
    <row r="83" spans="1:130" ht="8.1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85">
        <f>BEZ_Dim_9_Pos</f>
        <v>9</v>
      </c>
      <c r="M83" s="1086"/>
      <c r="N83" s="1086"/>
      <c r="O83" s="1086"/>
      <c r="P83" s="1086" t="str">
        <f>BEZ_Dim_9_BG</f>
        <v>SE</v>
      </c>
      <c r="Q83" s="1086"/>
      <c r="R83" s="1086"/>
      <c r="S83" s="1086"/>
      <c r="T83" s="1087" t="str">
        <f>BEZ_Dim_9_BT</f>
        <v xml:space="preserve">SeSp Transportsicherung </v>
      </c>
      <c r="U83" s="1087"/>
      <c r="V83" s="1087"/>
      <c r="W83" s="1087"/>
      <c r="X83" s="1087"/>
      <c r="Y83" s="1087"/>
      <c r="Z83" s="1087"/>
      <c r="AA83" s="1087"/>
      <c r="AB83" s="1087"/>
      <c r="AC83" s="1087"/>
      <c r="AD83" s="1087"/>
      <c r="AE83" s="1087"/>
      <c r="AF83" s="1087"/>
      <c r="AG83" s="1087"/>
      <c r="AH83" s="1087"/>
      <c r="AI83" s="1087"/>
      <c r="AJ83" s="1086" t="str">
        <f>BEZ_Dim_9_MG</f>
        <v>HO</v>
      </c>
      <c r="AK83" s="1086"/>
      <c r="AL83" s="1086"/>
      <c r="AM83" s="354"/>
      <c r="AN83" s="354" t="str">
        <f>BEZ_Dim_9_MB</f>
        <v>Bretter, IPPC-HT-KD</v>
      </c>
      <c r="AO83" s="354"/>
      <c r="AP83" s="354"/>
      <c r="AQ83" s="354"/>
      <c r="AR83" s="354"/>
      <c r="AS83" s="354"/>
      <c r="AT83" s="354"/>
      <c r="AU83" s="354"/>
      <c r="AV83" s="354"/>
      <c r="AW83" s="354"/>
      <c r="AX83" s="354"/>
      <c r="AY83" s="354"/>
      <c r="AZ83" s="354"/>
      <c r="BA83" s="354"/>
      <c r="BB83" s="354"/>
      <c r="BC83" s="354"/>
      <c r="BD83" s="354"/>
      <c r="BE83" s="354"/>
      <c r="BF83" s="354"/>
      <c r="BG83" s="167"/>
      <c r="BH83" s="167"/>
      <c r="BI83" s="354"/>
      <c r="BJ83" s="1097">
        <f>BEZ_Dim_9_Anz</f>
        <v>8</v>
      </c>
      <c r="BK83" s="1097"/>
      <c r="BL83" s="1097"/>
      <c r="BM83" s="1097"/>
      <c r="BN83" s="355"/>
      <c r="BO83" s="1098">
        <f>BEZ_Dim_9_L</f>
        <v>490</v>
      </c>
      <c r="BP83" s="1098"/>
      <c r="BQ83" s="1098"/>
      <c r="BR83" s="1098"/>
      <c r="BS83" s="1098"/>
      <c r="BT83" s="1098"/>
      <c r="BU83" s="356"/>
      <c r="BV83" s="357"/>
      <c r="BW83" s="1099">
        <f>BEZ_Dim_9_B</f>
        <v>100</v>
      </c>
      <c r="BX83" s="1099"/>
      <c r="BY83" s="1099"/>
      <c r="BZ83" s="1099"/>
      <c r="CA83" s="1099"/>
      <c r="CB83" s="1099"/>
      <c r="CC83" s="1099"/>
      <c r="CD83" s="357"/>
      <c r="CE83" s="1099">
        <f>BEZ_Dim_9_H</f>
        <v>23</v>
      </c>
      <c r="CF83" s="1099"/>
      <c r="CG83" s="1099"/>
      <c r="CH83" s="1099"/>
      <c r="CI83" s="1099"/>
      <c r="CJ83" s="1099"/>
      <c r="CK83" s="1099"/>
      <c r="CL83" s="1100">
        <f>BEZ_Dim_9_CBM</f>
        <v>9.0159999999999997E-3</v>
      </c>
      <c r="CM83" s="1100"/>
      <c r="CN83" s="1100"/>
      <c r="CO83" s="1100"/>
      <c r="CP83" s="1100"/>
      <c r="CQ83" s="1100"/>
      <c r="CR83" s="1100"/>
      <c r="CS83" s="1100"/>
      <c r="CT83" s="1101">
        <f>BEZ_Dim_9_EuCBM</f>
        <v>204</v>
      </c>
      <c r="CU83" s="1101"/>
      <c r="CV83" s="1101"/>
      <c r="CW83" s="1101"/>
      <c r="CX83" s="1101"/>
      <c r="CY83" s="1101"/>
      <c r="CZ83" s="1101"/>
      <c r="DA83" s="1102">
        <f>BEZ_Dim_9_VAZ</f>
        <v>15</v>
      </c>
      <c r="DB83" s="1102"/>
      <c r="DC83" s="1102"/>
      <c r="DD83" s="1102"/>
      <c r="DE83" s="1093">
        <f>BEZ_Dim_9_EURKI</f>
        <v>2.1151535999999997</v>
      </c>
      <c r="DF83" s="1093"/>
      <c r="DG83" s="1093"/>
      <c r="DH83" s="1093"/>
      <c r="DI83" s="1093"/>
      <c r="DJ83" s="1093"/>
      <c r="DK83" s="1093"/>
      <c r="DL83" s="1086" t="s">
        <v>353</v>
      </c>
      <c r="DM83" s="1086"/>
      <c r="DN83" s="1086"/>
      <c r="DO83" s="1094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</row>
    <row r="84" spans="1:130" ht="8.1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85">
        <f>BEZ_Dim_10_Pos</f>
        <v>10</v>
      </c>
      <c r="M84" s="1086"/>
      <c r="N84" s="1086"/>
      <c r="O84" s="1086"/>
      <c r="P84" s="1086" t="str">
        <f>BEZ_Dim_10_BG</f>
        <v>SE</v>
      </c>
      <c r="Q84" s="1086"/>
      <c r="R84" s="1086"/>
      <c r="S84" s="1086"/>
      <c r="T84" s="1087" t="str">
        <f>BEZ_Dim_10_BT</f>
        <v>Se Transportsicherung KH</v>
      </c>
      <c r="U84" s="1087"/>
      <c r="V84" s="1087"/>
      <c r="W84" s="1087"/>
      <c r="X84" s="1087"/>
      <c r="Y84" s="1087"/>
      <c r="Z84" s="1087"/>
      <c r="AA84" s="1087"/>
      <c r="AB84" s="1087"/>
      <c r="AC84" s="1087"/>
      <c r="AD84" s="1087"/>
      <c r="AE84" s="1087"/>
      <c r="AF84" s="1087"/>
      <c r="AG84" s="1087"/>
      <c r="AH84" s="1087"/>
      <c r="AI84" s="1087"/>
      <c r="AJ84" s="1086" t="str">
        <f>BEZ_Dim_10_MG</f>
        <v>HO</v>
      </c>
      <c r="AK84" s="1086"/>
      <c r="AL84" s="1086"/>
      <c r="AM84" s="354"/>
      <c r="AN84" s="354" t="str">
        <f>BEZ_Dim_10_MB</f>
        <v>Bohlen, IPPC-HT-KD</v>
      </c>
      <c r="AO84" s="354"/>
      <c r="AP84" s="354"/>
      <c r="AQ84" s="354"/>
      <c r="AR84" s="354"/>
      <c r="AS84" s="354"/>
      <c r="AT84" s="354"/>
      <c r="AU84" s="354"/>
      <c r="AV84" s="354"/>
      <c r="AW84" s="354"/>
      <c r="AX84" s="354"/>
      <c r="AY84" s="354"/>
      <c r="AZ84" s="354"/>
      <c r="BA84" s="354"/>
      <c r="BB84" s="354"/>
      <c r="BC84" s="354"/>
      <c r="BD84" s="354"/>
      <c r="BE84" s="354"/>
      <c r="BF84" s="354"/>
      <c r="BG84" s="167"/>
      <c r="BH84" s="167"/>
      <c r="BI84" s="354"/>
      <c r="BJ84" s="1097">
        <f>BEZ_Dim_10_Anz</f>
        <v>4</v>
      </c>
      <c r="BK84" s="1097"/>
      <c r="BL84" s="1097"/>
      <c r="BM84" s="1097"/>
      <c r="BN84" s="355"/>
      <c r="BO84" s="1098">
        <f>BEZ_Dim_10_L</f>
        <v>495</v>
      </c>
      <c r="BP84" s="1098"/>
      <c r="BQ84" s="1098"/>
      <c r="BR84" s="1098"/>
      <c r="BS84" s="1098"/>
      <c r="BT84" s="1098"/>
      <c r="BU84" s="356"/>
      <c r="BV84" s="357"/>
      <c r="BW84" s="1099">
        <f>BEZ_Dim_10_B</f>
        <v>250</v>
      </c>
      <c r="BX84" s="1099"/>
      <c r="BY84" s="1099"/>
      <c r="BZ84" s="1099"/>
      <c r="CA84" s="1099"/>
      <c r="CB84" s="1099"/>
      <c r="CC84" s="1099"/>
      <c r="CD84" s="357"/>
      <c r="CE84" s="1099">
        <f>BEZ_Dim_10_H</f>
        <v>50</v>
      </c>
      <c r="CF84" s="1099"/>
      <c r="CG84" s="1099"/>
      <c r="CH84" s="1099"/>
      <c r="CI84" s="1099"/>
      <c r="CJ84" s="1099"/>
      <c r="CK84" s="1099"/>
      <c r="CL84" s="1100">
        <f>BEZ_Dim_10_CBM</f>
        <v>2.4750000000000001E-2</v>
      </c>
      <c r="CM84" s="1100"/>
      <c r="CN84" s="1100"/>
      <c r="CO84" s="1100"/>
      <c r="CP84" s="1100"/>
      <c r="CQ84" s="1100"/>
      <c r="CR84" s="1100"/>
      <c r="CS84" s="1100"/>
      <c r="CT84" s="1101">
        <f>BEZ_Dim_10_EuCBM</f>
        <v>210</v>
      </c>
      <c r="CU84" s="1101"/>
      <c r="CV84" s="1101"/>
      <c r="CW84" s="1101"/>
      <c r="CX84" s="1101"/>
      <c r="CY84" s="1101"/>
      <c r="CZ84" s="1101"/>
      <c r="DA84" s="1102">
        <f>BEZ_Dim_10_VAZ</f>
        <v>15</v>
      </c>
      <c r="DB84" s="1102"/>
      <c r="DC84" s="1102"/>
      <c r="DD84" s="1102"/>
      <c r="DE84" s="1093">
        <f>BEZ_Dim_10_EURKI</f>
        <v>5.977125</v>
      </c>
      <c r="DF84" s="1093"/>
      <c r="DG84" s="1093"/>
      <c r="DH84" s="1093"/>
      <c r="DI84" s="1093"/>
      <c r="DJ84" s="1093"/>
      <c r="DK84" s="1093"/>
      <c r="DL84" s="1086">
        <f>Eingaben!DI101</f>
        <v>0</v>
      </c>
      <c r="DM84" s="1086"/>
      <c r="DN84" s="1086"/>
      <c r="DO84" s="1094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</row>
    <row r="85" spans="1:130" ht="8.1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85">
        <f>BEZ_Dim_11_Pos</f>
        <v>11</v>
      </c>
      <c r="M85" s="1086"/>
      <c r="N85" s="1086"/>
      <c r="O85" s="1086"/>
      <c r="P85" s="1086" t="str">
        <f>BEZ_Dim_11_BG</f>
        <v>HO</v>
      </c>
      <c r="Q85" s="1086"/>
      <c r="R85" s="1086"/>
      <c r="S85" s="1086"/>
      <c r="T85" s="1087" t="str">
        <f>BEZ_Dim_11_BT</f>
        <v>Kantholz lose</v>
      </c>
      <c r="U85" s="1087"/>
      <c r="V85" s="1087"/>
      <c r="W85" s="1087"/>
      <c r="X85" s="1087"/>
      <c r="Y85" s="1087"/>
      <c r="Z85" s="1087"/>
      <c r="AA85" s="1087"/>
      <c r="AB85" s="1087"/>
      <c r="AC85" s="1087"/>
      <c r="AD85" s="1087"/>
      <c r="AE85" s="1087"/>
      <c r="AF85" s="1087"/>
      <c r="AG85" s="1087"/>
      <c r="AH85" s="1087"/>
      <c r="AI85" s="1087"/>
      <c r="AJ85" s="1086" t="str">
        <f>BEZ_Dim_11_MG</f>
        <v>HO</v>
      </c>
      <c r="AK85" s="1086"/>
      <c r="AL85" s="1086"/>
      <c r="AM85" s="354"/>
      <c r="AN85" s="354" t="str">
        <f>BEZ_Dim_11_MB</f>
        <v>Kantholz Fi (IPPC KD)</v>
      </c>
      <c r="AO85" s="354"/>
      <c r="AP85" s="354"/>
      <c r="AQ85" s="354"/>
      <c r="AR85" s="354"/>
      <c r="AS85" s="354"/>
      <c r="AT85" s="354"/>
      <c r="AU85" s="354"/>
      <c r="AV85" s="354"/>
      <c r="AW85" s="354"/>
      <c r="AX85" s="354"/>
      <c r="AY85" s="354"/>
      <c r="AZ85" s="354"/>
      <c r="BA85" s="354"/>
      <c r="BB85" s="354"/>
      <c r="BC85" s="354"/>
      <c r="BD85" s="354"/>
      <c r="BE85" s="354"/>
      <c r="BF85" s="354"/>
      <c r="BG85" s="354"/>
      <c r="BH85" s="354"/>
      <c r="BI85" s="354"/>
      <c r="BJ85" s="1097">
        <f>BEZ_Dim_11_Anz</f>
        <v>0</v>
      </c>
      <c r="BK85" s="1097"/>
      <c r="BL85" s="1097"/>
      <c r="BM85" s="1097"/>
      <c r="BN85" s="355"/>
      <c r="BO85" s="1098">
        <f>BEZ_Dim_11_L</f>
        <v>0</v>
      </c>
      <c r="BP85" s="1098"/>
      <c r="BQ85" s="1098"/>
      <c r="BR85" s="1098"/>
      <c r="BS85" s="1098"/>
      <c r="BT85" s="1098"/>
      <c r="BU85" s="356"/>
      <c r="BV85" s="357"/>
      <c r="BW85" s="1099">
        <f>BEZ_Dim_11_B</f>
        <v>0</v>
      </c>
      <c r="BX85" s="1099"/>
      <c r="BY85" s="1099"/>
      <c r="BZ85" s="1099"/>
      <c r="CA85" s="1099"/>
      <c r="CB85" s="1099"/>
      <c r="CC85" s="1099"/>
      <c r="CD85" s="357"/>
      <c r="CE85" s="1099">
        <f>BEZ_Dim_11_H</f>
        <v>0</v>
      </c>
      <c r="CF85" s="1099"/>
      <c r="CG85" s="1099"/>
      <c r="CH85" s="1099"/>
      <c r="CI85" s="1099"/>
      <c r="CJ85" s="1099"/>
      <c r="CK85" s="1099"/>
      <c r="CL85" s="1100">
        <f>BEZ_Dim_11_CBM</f>
        <v>0</v>
      </c>
      <c r="CM85" s="1100"/>
      <c r="CN85" s="1100"/>
      <c r="CO85" s="1100"/>
      <c r="CP85" s="1100"/>
      <c r="CQ85" s="1100"/>
      <c r="CR85" s="1100"/>
      <c r="CS85" s="1100"/>
      <c r="CT85" s="1101">
        <f>BEZ_Dim_11_EuCBM</f>
        <v>270</v>
      </c>
      <c r="CU85" s="1101"/>
      <c r="CV85" s="1101"/>
      <c r="CW85" s="1101"/>
      <c r="CX85" s="1101"/>
      <c r="CY85" s="1101"/>
      <c r="CZ85" s="1101"/>
      <c r="DA85" s="1102">
        <f>BEZ_Dim_11_VAZ</f>
        <v>0</v>
      </c>
      <c r="DB85" s="1102"/>
      <c r="DC85" s="1102"/>
      <c r="DD85" s="1102"/>
      <c r="DE85" s="1093">
        <f>BEZ_Dim_11_EURKI</f>
        <v>0</v>
      </c>
      <c r="DF85" s="1093"/>
      <c r="DG85" s="1093"/>
      <c r="DH85" s="1093"/>
      <c r="DI85" s="1093"/>
      <c r="DJ85" s="1093"/>
      <c r="DK85" s="1093"/>
      <c r="DL85" s="1086" t="s">
        <v>143</v>
      </c>
      <c r="DM85" s="1086"/>
      <c r="DN85" s="1086"/>
      <c r="DO85" s="1094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</row>
    <row r="86" spans="1:130" ht="8.1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85">
        <f>BEZ_Dim_12_Pos</f>
        <v>12</v>
      </c>
      <c r="M86" s="1086"/>
      <c r="N86" s="1086"/>
      <c r="O86" s="1086"/>
      <c r="P86" s="1086" t="str">
        <f>BEZ_Dim_12_BG</f>
        <v>WKH</v>
      </c>
      <c r="Q86" s="1086"/>
      <c r="R86" s="1086"/>
      <c r="S86" s="1086"/>
      <c r="T86" s="1087" t="str">
        <f>BEZ_Dim_12_BT</f>
        <v>Wellenkantholz</v>
      </c>
      <c r="U86" s="1087"/>
      <c r="V86" s="1087"/>
      <c r="W86" s="1087"/>
      <c r="X86" s="1087"/>
      <c r="Y86" s="1087"/>
      <c r="Z86" s="1087"/>
      <c r="AA86" s="1087"/>
      <c r="AB86" s="1087"/>
      <c r="AC86" s="1087"/>
      <c r="AD86" s="1087"/>
      <c r="AE86" s="1087"/>
      <c r="AF86" s="1087"/>
      <c r="AG86" s="1087"/>
      <c r="AH86" s="1087"/>
      <c r="AI86" s="1087"/>
      <c r="AJ86" s="1086" t="str">
        <f>BEZ_Dim_12_MG</f>
        <v>HO</v>
      </c>
      <c r="AK86" s="1086"/>
      <c r="AL86" s="1086"/>
      <c r="AM86" s="354"/>
      <c r="AN86" s="354" t="str">
        <f>BEZ_Dim_12_MB</f>
        <v>Kanthölzer, IPPC-HT-KD</v>
      </c>
      <c r="AO86" s="354"/>
      <c r="AP86" s="354"/>
      <c r="AQ86" s="354"/>
      <c r="AR86" s="354"/>
      <c r="AS86" s="354"/>
      <c r="AT86" s="354"/>
      <c r="AU86" s="354"/>
      <c r="AV86" s="354"/>
      <c r="AW86" s="354"/>
      <c r="AX86" s="354"/>
      <c r="AY86" s="354"/>
      <c r="AZ86" s="354"/>
      <c r="BA86" s="354"/>
      <c r="BB86" s="354"/>
      <c r="BC86" s="354"/>
      <c r="BD86" s="354"/>
      <c r="BE86" s="354"/>
      <c r="BF86" s="354"/>
      <c r="BG86" s="167"/>
      <c r="BH86" s="167"/>
      <c r="BI86" s="354"/>
      <c r="BJ86" s="1097">
        <f>BEZ_Dim_12_Anz</f>
        <v>0</v>
      </c>
      <c r="BK86" s="1097"/>
      <c r="BL86" s="1097"/>
      <c r="BM86" s="1097"/>
      <c r="BN86" s="355"/>
      <c r="BO86" s="1098">
        <f>BEZ_Dim_12_L</f>
        <v>0</v>
      </c>
      <c r="BP86" s="1098"/>
      <c r="BQ86" s="1098"/>
      <c r="BR86" s="1098"/>
      <c r="BS86" s="1098"/>
      <c r="BT86" s="1098"/>
      <c r="BU86" s="356"/>
      <c r="BV86" s="357"/>
      <c r="BW86" s="1099">
        <f>BEZ_Dim_12_B</f>
        <v>0</v>
      </c>
      <c r="BX86" s="1099"/>
      <c r="BY86" s="1099"/>
      <c r="BZ86" s="1099"/>
      <c r="CA86" s="1099"/>
      <c r="CB86" s="1099"/>
      <c r="CC86" s="1099"/>
      <c r="CD86" s="357"/>
      <c r="CE86" s="1099">
        <f>BEZ_Dim_12_H</f>
        <v>0</v>
      </c>
      <c r="CF86" s="1099"/>
      <c r="CG86" s="1099"/>
      <c r="CH86" s="1099"/>
      <c r="CI86" s="1099"/>
      <c r="CJ86" s="1099"/>
      <c r="CK86" s="1099"/>
      <c r="CL86" s="1100">
        <f>BEZ_Dim_12_CBM</f>
        <v>0</v>
      </c>
      <c r="CM86" s="1100"/>
      <c r="CN86" s="1100"/>
      <c r="CO86" s="1100"/>
      <c r="CP86" s="1100"/>
      <c r="CQ86" s="1100"/>
      <c r="CR86" s="1100"/>
      <c r="CS86" s="1100"/>
      <c r="CT86" s="1101">
        <f>BEZ_Dim_12_EuCBM</f>
        <v>250</v>
      </c>
      <c r="CU86" s="1101"/>
      <c r="CV86" s="1101"/>
      <c r="CW86" s="1101"/>
      <c r="CX86" s="1101"/>
      <c r="CY86" s="1101"/>
      <c r="CZ86" s="1101"/>
      <c r="DA86" s="1102">
        <f>BEZ_Dim_12_VAZ</f>
        <v>15</v>
      </c>
      <c r="DB86" s="1102"/>
      <c r="DC86" s="1102"/>
      <c r="DD86" s="1102"/>
      <c r="DE86" s="1093">
        <f>BEZ_Dim_12_EURKI</f>
        <v>0</v>
      </c>
      <c r="DF86" s="1093"/>
      <c r="DG86" s="1093"/>
      <c r="DH86" s="1093"/>
      <c r="DI86" s="1093"/>
      <c r="DJ86" s="1093"/>
      <c r="DK86" s="1093"/>
      <c r="DL86" s="1086">
        <f>Eingaben!DI103</f>
        <v>0</v>
      </c>
      <c r="DM86" s="1086"/>
      <c r="DN86" s="1086"/>
      <c r="DO86" s="1094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</row>
    <row r="87" spans="1:130" ht="8.1" customHeight="1" x14ac:dyDescent="0.2">
      <c r="A87" s="2"/>
      <c r="B87" s="2"/>
      <c r="C87" s="2"/>
      <c r="D87" s="2"/>
      <c r="E87" s="2"/>
      <c r="F87" s="2"/>
      <c r="G87" s="7"/>
      <c r="H87" s="7"/>
      <c r="I87" s="7"/>
      <c r="J87" s="7"/>
      <c r="K87" s="10"/>
      <c r="L87" s="1085">
        <f>BEZ_Dim_13_Pos</f>
        <v>13</v>
      </c>
      <c r="M87" s="1086"/>
      <c r="N87" s="1086"/>
      <c r="O87" s="1086"/>
      <c r="P87" s="1086" t="str">
        <f>BEZ_Dim_13_BG</f>
        <v>WKH</v>
      </c>
      <c r="Q87" s="1086"/>
      <c r="R87" s="1086"/>
      <c r="S87" s="1086"/>
      <c r="T87" s="1087" t="str">
        <f>BEZ_Dim_13_BT</f>
        <v>Scheiben</v>
      </c>
      <c r="U87" s="1087"/>
      <c r="V87" s="1087"/>
      <c r="W87" s="1087"/>
      <c r="X87" s="1087"/>
      <c r="Y87" s="1087"/>
      <c r="Z87" s="1087"/>
      <c r="AA87" s="1087"/>
      <c r="AB87" s="1087"/>
      <c r="AC87" s="1087"/>
      <c r="AD87" s="1087"/>
      <c r="AE87" s="1087"/>
      <c r="AF87" s="1087"/>
      <c r="AG87" s="1087"/>
      <c r="AH87" s="1087"/>
      <c r="AI87" s="1087"/>
      <c r="AJ87" s="1086" t="str">
        <f>BEZ_Dim_13_MG</f>
        <v>PL</v>
      </c>
      <c r="AK87" s="1086"/>
      <c r="AL87" s="1086"/>
      <c r="AM87" s="354"/>
      <c r="AN87" s="354" t="str">
        <f>BEZ_Dim_13_MB</f>
        <v>Nadelsperrholz Elliottis 2.Wahl 18mm</v>
      </c>
      <c r="AO87" s="354"/>
      <c r="AP87" s="354"/>
      <c r="AQ87" s="354"/>
      <c r="AR87" s="354"/>
      <c r="AS87" s="354"/>
      <c r="AT87" s="354"/>
      <c r="AU87" s="354"/>
      <c r="AV87" s="354"/>
      <c r="AW87" s="354"/>
      <c r="AX87" s="354"/>
      <c r="AY87" s="354"/>
      <c r="AZ87" s="354"/>
      <c r="BA87" s="354"/>
      <c r="BB87" s="354"/>
      <c r="BC87" s="354"/>
      <c r="BD87" s="354"/>
      <c r="BE87" s="354"/>
      <c r="BF87" s="354"/>
      <c r="BG87" s="167"/>
      <c r="BH87" s="167"/>
      <c r="BI87" s="354"/>
      <c r="BJ87" s="1097">
        <f>BEZ_Dim_13_Anz</f>
        <v>0</v>
      </c>
      <c r="BK87" s="1097"/>
      <c r="BL87" s="1097"/>
      <c r="BM87" s="1097"/>
      <c r="BN87" s="355"/>
      <c r="BO87" s="1098">
        <f>BEZ_Dim_13_L</f>
        <v>0</v>
      </c>
      <c r="BP87" s="1098"/>
      <c r="BQ87" s="1098"/>
      <c r="BR87" s="1098"/>
      <c r="BS87" s="1098"/>
      <c r="BT87" s="1098"/>
      <c r="BU87" s="356"/>
      <c r="BV87" s="357"/>
      <c r="BW87" s="1099">
        <f>BEZ_Dim_13_B</f>
        <v>0</v>
      </c>
      <c r="BX87" s="1099"/>
      <c r="BY87" s="1099"/>
      <c r="BZ87" s="1099"/>
      <c r="CA87" s="1099"/>
      <c r="CB87" s="1099"/>
      <c r="CC87" s="1099"/>
      <c r="CD87" s="357"/>
      <c r="CE87" s="1099">
        <f>BEZ_Dim_13_H</f>
        <v>0</v>
      </c>
      <c r="CF87" s="1099"/>
      <c r="CG87" s="1099"/>
      <c r="CH87" s="1099"/>
      <c r="CI87" s="1099"/>
      <c r="CJ87" s="1099"/>
      <c r="CK87" s="1099"/>
      <c r="CL87" s="1100">
        <f>BEZ_Dim_13_CBM</f>
        <v>0</v>
      </c>
      <c r="CM87" s="1100"/>
      <c r="CN87" s="1100"/>
      <c r="CO87" s="1100"/>
      <c r="CP87" s="1100"/>
      <c r="CQ87" s="1100"/>
      <c r="CR87" s="1100"/>
      <c r="CS87" s="1100"/>
      <c r="CT87" s="1101">
        <f>BEZ_Dim_13_EuCBM</f>
        <v>475</v>
      </c>
      <c r="CU87" s="1101"/>
      <c r="CV87" s="1101"/>
      <c r="CW87" s="1101"/>
      <c r="CX87" s="1101"/>
      <c r="CY87" s="1101"/>
      <c r="CZ87" s="1101"/>
      <c r="DA87" s="1102">
        <f>BEZ_Dim_13_VAZ</f>
        <v>25</v>
      </c>
      <c r="DB87" s="1102"/>
      <c r="DC87" s="1102"/>
      <c r="DD87" s="1102"/>
      <c r="DE87" s="1093">
        <f>BEZ_Dim_13_EURKI</f>
        <v>0</v>
      </c>
      <c r="DF87" s="1093"/>
      <c r="DG87" s="1093"/>
      <c r="DH87" s="1093"/>
      <c r="DI87" s="1093"/>
      <c r="DJ87" s="1093"/>
      <c r="DK87" s="1093"/>
      <c r="DL87" s="1086"/>
      <c r="DM87" s="1086"/>
      <c r="DN87" s="1086"/>
      <c r="DO87" s="1094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</row>
    <row r="88" spans="1:130" ht="8.1" customHeight="1" x14ac:dyDescent="0.2">
      <c r="A88" s="2"/>
      <c r="B88" s="2"/>
      <c r="C88" s="2"/>
      <c r="D88" s="2"/>
      <c r="E88" s="2"/>
      <c r="F88" s="2"/>
      <c r="G88" s="7"/>
      <c r="H88" s="7"/>
      <c r="I88" s="7"/>
      <c r="J88" s="7"/>
      <c r="K88" s="10"/>
      <c r="L88" s="1085">
        <f>BEZ_Dim_14_Pos</f>
        <v>14</v>
      </c>
      <c r="M88" s="1086"/>
      <c r="N88" s="1086"/>
      <c r="O88" s="1086"/>
      <c r="P88" s="1086" t="str">
        <f>BEZ_Dim_14_BG</f>
        <v>BO</v>
      </c>
      <c r="Q88" s="1086"/>
      <c r="R88" s="1086"/>
      <c r="S88" s="1086"/>
      <c r="T88" s="1087" t="str">
        <f>BEZ_Dim_14_BT</f>
        <v>Längskantholz</v>
      </c>
      <c r="U88" s="1087"/>
      <c r="V88" s="1087"/>
      <c r="W88" s="1087"/>
      <c r="X88" s="1087"/>
      <c r="Y88" s="1087"/>
      <c r="Z88" s="1087"/>
      <c r="AA88" s="1087"/>
      <c r="AB88" s="1087"/>
      <c r="AC88" s="1087"/>
      <c r="AD88" s="1087"/>
      <c r="AE88" s="1087"/>
      <c r="AF88" s="1087"/>
      <c r="AG88" s="1087"/>
      <c r="AH88" s="1087"/>
      <c r="AI88" s="1087"/>
      <c r="AJ88" s="1086" t="str">
        <f>BEZ_Dim_14_MG</f>
        <v>HO</v>
      </c>
      <c r="AK88" s="1086"/>
      <c r="AL88" s="1086"/>
      <c r="AM88" s="354"/>
      <c r="AN88" s="354" t="str">
        <f>BEZ_Dim_14_MB</f>
        <v>Kanthölzer, IPPC-HT-KD</v>
      </c>
      <c r="AO88" s="354"/>
      <c r="AP88" s="354"/>
      <c r="AQ88" s="354"/>
      <c r="AR88" s="354"/>
      <c r="AS88" s="354"/>
      <c r="AT88" s="354"/>
      <c r="AU88" s="354"/>
      <c r="AV88" s="354"/>
      <c r="AW88" s="354"/>
      <c r="AX88" s="354"/>
      <c r="AY88" s="354"/>
      <c r="AZ88" s="354"/>
      <c r="BA88" s="354"/>
      <c r="BB88" s="354"/>
      <c r="BC88" s="354"/>
      <c r="BD88" s="354"/>
      <c r="BE88" s="354"/>
      <c r="BF88" s="354"/>
      <c r="BG88" s="167"/>
      <c r="BH88" s="167"/>
      <c r="BI88" s="354"/>
      <c r="BJ88" s="1097">
        <f>BEZ_Dim_14_Anz</f>
        <v>0</v>
      </c>
      <c r="BK88" s="1097"/>
      <c r="BL88" s="1097"/>
      <c r="BM88" s="1097"/>
      <c r="BN88" s="355"/>
      <c r="BO88" s="1098">
        <f>BEZ_Dim_14_L</f>
        <v>0</v>
      </c>
      <c r="BP88" s="1098"/>
      <c r="BQ88" s="1098"/>
      <c r="BR88" s="1098"/>
      <c r="BS88" s="1098"/>
      <c r="BT88" s="1098"/>
      <c r="BU88" s="356"/>
      <c r="BV88" s="357"/>
      <c r="BW88" s="1099">
        <f>BEZ_Dim_14_B</f>
        <v>0</v>
      </c>
      <c r="BX88" s="1099"/>
      <c r="BY88" s="1099"/>
      <c r="BZ88" s="1099"/>
      <c r="CA88" s="1099"/>
      <c r="CB88" s="1099"/>
      <c r="CC88" s="1099"/>
      <c r="CD88" s="357"/>
      <c r="CE88" s="1099">
        <f>BEZ_Dim_14_H</f>
        <v>0</v>
      </c>
      <c r="CF88" s="1099"/>
      <c r="CG88" s="1099"/>
      <c r="CH88" s="1099"/>
      <c r="CI88" s="1099"/>
      <c r="CJ88" s="1099"/>
      <c r="CK88" s="1099"/>
      <c r="CL88" s="1100">
        <f>BEZ_Dim_14_CBM</f>
        <v>0</v>
      </c>
      <c r="CM88" s="1100"/>
      <c r="CN88" s="1100"/>
      <c r="CO88" s="1100"/>
      <c r="CP88" s="1100"/>
      <c r="CQ88" s="1100"/>
      <c r="CR88" s="1100"/>
      <c r="CS88" s="1100"/>
      <c r="CT88" s="1101">
        <f>BEZ_Dim_14_EuCBM</f>
        <v>235</v>
      </c>
      <c r="CU88" s="1101"/>
      <c r="CV88" s="1101"/>
      <c r="CW88" s="1101"/>
      <c r="CX88" s="1101"/>
      <c r="CY88" s="1101"/>
      <c r="CZ88" s="1101"/>
      <c r="DA88" s="1102">
        <f>BEZ_Dim_14_VAZ</f>
        <v>15</v>
      </c>
      <c r="DB88" s="1102"/>
      <c r="DC88" s="1102"/>
      <c r="DD88" s="1102"/>
      <c r="DE88" s="1093">
        <f>BEZ_Dim_14_EURKI</f>
        <v>0</v>
      </c>
      <c r="DF88" s="1093"/>
      <c r="DG88" s="1093"/>
      <c r="DH88" s="1093"/>
      <c r="DI88" s="1093"/>
      <c r="DJ88" s="1093"/>
      <c r="DK88" s="1093"/>
      <c r="DL88" s="1086"/>
      <c r="DM88" s="1086"/>
      <c r="DN88" s="1086"/>
      <c r="DO88" s="1094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</row>
    <row r="89" spans="1:130" ht="8.1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85">
        <f>BEZ_Dim_15_Pos</f>
        <v>15</v>
      </c>
      <c r="M89" s="1086"/>
      <c r="N89" s="1086"/>
      <c r="O89" s="1086"/>
      <c r="P89" s="1086">
        <f>BEZ_Dim_15_BG</f>
        <v>0</v>
      </c>
      <c r="Q89" s="1086"/>
      <c r="R89" s="1086"/>
      <c r="S89" s="1086"/>
      <c r="T89" s="1087">
        <f>BEZ_Dim_15_BT</f>
        <v>0</v>
      </c>
      <c r="U89" s="1087"/>
      <c r="V89" s="1087"/>
      <c r="W89" s="1087"/>
      <c r="X89" s="1087"/>
      <c r="Y89" s="1087"/>
      <c r="Z89" s="1087"/>
      <c r="AA89" s="1087"/>
      <c r="AB89" s="1087"/>
      <c r="AC89" s="1087"/>
      <c r="AD89" s="1087"/>
      <c r="AE89" s="1087"/>
      <c r="AF89" s="1087"/>
      <c r="AG89" s="1087"/>
      <c r="AH89" s="1087"/>
      <c r="AI89" s="1087"/>
      <c r="AJ89" s="1086">
        <f>BEZ_Dim_15_MG</f>
        <v>0</v>
      </c>
      <c r="AK89" s="1086"/>
      <c r="AL89" s="1086"/>
      <c r="AM89" s="354"/>
      <c r="AN89" s="354">
        <f>BEZ_Dim_15_MB</f>
        <v>0</v>
      </c>
      <c r="AO89" s="354"/>
      <c r="AP89" s="354"/>
      <c r="AQ89" s="354"/>
      <c r="AR89" s="354"/>
      <c r="AS89" s="354"/>
      <c r="AT89" s="354"/>
      <c r="AU89" s="354"/>
      <c r="AV89" s="354"/>
      <c r="AW89" s="354"/>
      <c r="AX89" s="354"/>
      <c r="AY89" s="354"/>
      <c r="AZ89" s="354"/>
      <c r="BA89" s="354"/>
      <c r="BB89" s="354"/>
      <c r="BC89" s="354"/>
      <c r="BD89" s="354"/>
      <c r="BE89" s="354"/>
      <c r="BF89" s="354"/>
      <c r="BG89" s="167"/>
      <c r="BH89" s="167"/>
      <c r="BI89" s="354"/>
      <c r="BJ89" s="1097">
        <f>BEZ_Dim_15_Anz</f>
        <v>0</v>
      </c>
      <c r="BK89" s="1097"/>
      <c r="BL89" s="1097"/>
      <c r="BM89" s="1097"/>
      <c r="BN89" s="355"/>
      <c r="BO89" s="1098">
        <f>BEZ_Dim_15_L</f>
        <v>0</v>
      </c>
      <c r="BP89" s="1098"/>
      <c r="BQ89" s="1098"/>
      <c r="BR89" s="1098"/>
      <c r="BS89" s="1098"/>
      <c r="BT89" s="1098"/>
      <c r="BU89" s="356"/>
      <c r="BV89" s="357"/>
      <c r="BW89" s="1099">
        <f>BEZ_Dim_15_B</f>
        <v>0</v>
      </c>
      <c r="BX89" s="1099"/>
      <c r="BY89" s="1099"/>
      <c r="BZ89" s="1099"/>
      <c r="CA89" s="1099"/>
      <c r="CB89" s="1099"/>
      <c r="CC89" s="1099"/>
      <c r="CD89" s="357"/>
      <c r="CE89" s="1099">
        <f>BEZ_Dim_15_H</f>
        <v>0</v>
      </c>
      <c r="CF89" s="1099"/>
      <c r="CG89" s="1099"/>
      <c r="CH89" s="1099"/>
      <c r="CI89" s="1099"/>
      <c r="CJ89" s="1099"/>
      <c r="CK89" s="1099"/>
      <c r="CL89" s="1100">
        <f>BEZ_Dim_15_CBM</f>
        <v>0</v>
      </c>
      <c r="CM89" s="1100"/>
      <c r="CN89" s="1100"/>
      <c r="CO89" s="1100"/>
      <c r="CP89" s="1100"/>
      <c r="CQ89" s="1100"/>
      <c r="CR89" s="1100"/>
      <c r="CS89" s="1100"/>
      <c r="CT89" s="1101">
        <f>BEZ_Dim_15_EuCBM</f>
        <v>0</v>
      </c>
      <c r="CU89" s="1101"/>
      <c r="CV89" s="1101"/>
      <c r="CW89" s="1101"/>
      <c r="CX89" s="1101"/>
      <c r="CY89" s="1101"/>
      <c r="CZ89" s="1101"/>
      <c r="DA89" s="1102">
        <f>BEZ_Dim_15_VAZ</f>
        <v>0</v>
      </c>
      <c r="DB89" s="1102"/>
      <c r="DC89" s="1102"/>
      <c r="DD89" s="1102"/>
      <c r="DE89" s="1093">
        <f>BEZ_Dim_15_EURKI</f>
        <v>0</v>
      </c>
      <c r="DF89" s="1093"/>
      <c r="DG89" s="1093"/>
      <c r="DH89" s="1093"/>
      <c r="DI89" s="1093"/>
      <c r="DJ89" s="1093"/>
      <c r="DK89" s="1093"/>
      <c r="DL89" s="1086"/>
      <c r="DM89" s="1086"/>
      <c r="DN89" s="1086"/>
      <c r="DO89" s="1094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</row>
    <row r="90" spans="1:130" ht="8.1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85">
        <f>BEZ_Dim_16_Pos</f>
        <v>16</v>
      </c>
      <c r="M90" s="1086"/>
      <c r="N90" s="1086"/>
      <c r="O90" s="1086"/>
      <c r="P90" s="1086" t="str">
        <f>BEZ_Dim_16_BG</f>
        <v/>
      </c>
      <c r="Q90" s="1086"/>
      <c r="R90" s="1086"/>
      <c r="S90" s="1086"/>
      <c r="T90" s="1087" t="str">
        <f>BEZ_Dim_16_BT</f>
        <v/>
      </c>
      <c r="U90" s="1087"/>
      <c r="V90" s="1087"/>
      <c r="W90" s="1087"/>
      <c r="X90" s="1087"/>
      <c r="Y90" s="1087"/>
      <c r="Z90" s="1087"/>
      <c r="AA90" s="1087"/>
      <c r="AB90" s="1087"/>
      <c r="AC90" s="1087"/>
      <c r="AD90" s="1087"/>
      <c r="AE90" s="1087"/>
      <c r="AF90" s="1087"/>
      <c r="AG90" s="1087"/>
      <c r="AH90" s="1087"/>
      <c r="AI90" s="1087"/>
      <c r="AJ90" s="1086" t="str">
        <f>BEZ_Dim_16_MG</f>
        <v>PL</v>
      </c>
      <c r="AK90" s="1086"/>
      <c r="AL90" s="1086"/>
      <c r="AM90" s="354"/>
      <c r="AN90" s="354" t="str">
        <f>BEZ_Dim_16_MB</f>
        <v>Nadelsperrholz Radiata 1.Wahl 12mm</v>
      </c>
      <c r="AO90" s="354"/>
      <c r="AP90" s="354"/>
      <c r="AQ90" s="354"/>
      <c r="AR90" s="354"/>
      <c r="AS90" s="354"/>
      <c r="AT90" s="354"/>
      <c r="AU90" s="354"/>
      <c r="AV90" s="354"/>
      <c r="AW90" s="354"/>
      <c r="AX90" s="354"/>
      <c r="AY90" s="354"/>
      <c r="AZ90" s="354"/>
      <c r="BA90" s="354"/>
      <c r="BB90" s="354"/>
      <c r="BC90" s="354"/>
      <c r="BD90" s="354"/>
      <c r="BE90" s="354"/>
      <c r="BF90" s="354"/>
      <c r="BG90" s="167"/>
      <c r="BH90" s="167"/>
      <c r="BI90" s="354"/>
      <c r="BJ90" s="1097">
        <f>BEZ_Dim_16_Anz</f>
        <v>0</v>
      </c>
      <c r="BK90" s="1097"/>
      <c r="BL90" s="1097"/>
      <c r="BM90" s="1097"/>
      <c r="BN90" s="355"/>
      <c r="BO90" s="1098">
        <f>BEZ_Dim_16_L</f>
        <v>0</v>
      </c>
      <c r="BP90" s="1098"/>
      <c r="BQ90" s="1098"/>
      <c r="BR90" s="1098"/>
      <c r="BS90" s="1098"/>
      <c r="BT90" s="1098"/>
      <c r="BU90" s="356"/>
      <c r="BV90" s="357"/>
      <c r="BW90" s="1099">
        <f>BEZ_Dim_16_B</f>
        <v>0</v>
      </c>
      <c r="BX90" s="1099"/>
      <c r="BY90" s="1099"/>
      <c r="BZ90" s="1099"/>
      <c r="CA90" s="1099"/>
      <c r="CB90" s="1099"/>
      <c r="CC90" s="1099"/>
      <c r="CD90" s="357"/>
      <c r="CE90" s="1099">
        <f>BEZ_Dim_16_H</f>
        <v>0</v>
      </c>
      <c r="CF90" s="1099"/>
      <c r="CG90" s="1099"/>
      <c r="CH90" s="1099"/>
      <c r="CI90" s="1099"/>
      <c r="CJ90" s="1099"/>
      <c r="CK90" s="1099"/>
      <c r="CL90" s="1100">
        <f>BEZ_Dim_16_CBM</f>
        <v>0</v>
      </c>
      <c r="CM90" s="1100"/>
      <c r="CN90" s="1100"/>
      <c r="CO90" s="1100"/>
      <c r="CP90" s="1100"/>
      <c r="CQ90" s="1100"/>
      <c r="CR90" s="1100"/>
      <c r="CS90" s="1100"/>
      <c r="CT90" s="1101">
        <f>BEZ_Dim_16_EuCBM</f>
        <v>640</v>
      </c>
      <c r="CU90" s="1101"/>
      <c r="CV90" s="1101"/>
      <c r="CW90" s="1101"/>
      <c r="CX90" s="1101"/>
      <c r="CY90" s="1101"/>
      <c r="CZ90" s="1101"/>
      <c r="DA90" s="1102">
        <f>BEZ_Dim_16_VAZ</f>
        <v>25</v>
      </c>
      <c r="DB90" s="1102"/>
      <c r="DC90" s="1102"/>
      <c r="DD90" s="1102"/>
      <c r="DE90" s="1093">
        <f>BEZ_Dim_16_EURKI</f>
        <v>0</v>
      </c>
      <c r="DF90" s="1093"/>
      <c r="DG90" s="1093"/>
      <c r="DH90" s="1093"/>
      <c r="DI90" s="1093"/>
      <c r="DJ90" s="1093"/>
      <c r="DK90" s="1093"/>
      <c r="DL90" s="1086"/>
      <c r="DM90" s="1086"/>
      <c r="DN90" s="1086"/>
      <c r="DO90" s="1094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</row>
    <row r="91" spans="1:130" ht="8.1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85">
        <v>17</v>
      </c>
      <c r="M91" s="1086"/>
      <c r="N91" s="1086"/>
      <c r="O91" s="1086"/>
      <c r="P91" s="1086" t="str">
        <f>BEZ_Dim_17_BG</f>
        <v/>
      </c>
      <c r="Q91" s="1086"/>
      <c r="R91" s="1086"/>
      <c r="S91" s="1086"/>
      <c r="T91" s="1087" t="str">
        <f>BEZ_Dim_17_BT</f>
        <v/>
      </c>
      <c r="U91" s="1087"/>
      <c r="V91" s="1087"/>
      <c r="W91" s="1087"/>
      <c r="X91" s="1087"/>
      <c r="Y91" s="1087"/>
      <c r="Z91" s="1087"/>
      <c r="AA91" s="1087"/>
      <c r="AB91" s="1087"/>
      <c r="AC91" s="1087"/>
      <c r="AD91" s="1087"/>
      <c r="AE91" s="1087"/>
      <c r="AF91" s="1087"/>
      <c r="AG91" s="1087"/>
      <c r="AH91" s="1087"/>
      <c r="AI91" s="1087"/>
      <c r="AJ91" s="1086" t="str">
        <f>BEZ_Dim_17_MG</f>
        <v/>
      </c>
      <c r="AK91" s="1086"/>
      <c r="AL91" s="1086"/>
      <c r="AM91" s="354"/>
      <c r="AN91" s="354" t="str">
        <f>BEZ_Dim_17_MB</f>
        <v/>
      </c>
      <c r="AO91" s="354"/>
      <c r="AP91" s="354"/>
      <c r="AQ91" s="354"/>
      <c r="AR91" s="354"/>
      <c r="AS91" s="354"/>
      <c r="AT91" s="354"/>
      <c r="AU91" s="354"/>
      <c r="AV91" s="354"/>
      <c r="AW91" s="354"/>
      <c r="AX91" s="354"/>
      <c r="AY91" s="354"/>
      <c r="AZ91" s="354"/>
      <c r="BA91" s="354"/>
      <c r="BB91" s="354"/>
      <c r="BC91" s="354"/>
      <c r="BD91" s="354"/>
      <c r="BE91" s="354"/>
      <c r="BF91" s="354"/>
      <c r="BG91" s="167"/>
      <c r="BH91" s="167"/>
      <c r="BI91" s="354"/>
      <c r="BJ91" s="1097" t="str">
        <f>BEZ_Dim_17_Anz</f>
        <v/>
      </c>
      <c r="BK91" s="1097"/>
      <c r="BL91" s="1097"/>
      <c r="BM91" s="1097"/>
      <c r="BN91" s="355"/>
      <c r="BO91" s="1098" t="str">
        <f>BEZ_Dim_17_L</f>
        <v/>
      </c>
      <c r="BP91" s="1098"/>
      <c r="BQ91" s="1098"/>
      <c r="BR91" s="1098"/>
      <c r="BS91" s="1098"/>
      <c r="BT91" s="1098"/>
      <c r="BU91" s="356"/>
      <c r="BV91" s="357"/>
      <c r="BW91" s="1099" t="str">
        <f>BEZ_Dim_17_B</f>
        <v/>
      </c>
      <c r="BX91" s="1099"/>
      <c r="BY91" s="1099"/>
      <c r="BZ91" s="1099"/>
      <c r="CA91" s="1099"/>
      <c r="CB91" s="1099"/>
      <c r="CC91" s="1099"/>
      <c r="CD91" s="357"/>
      <c r="CE91" s="1099" t="str">
        <f>BEZ_Dim_17_H</f>
        <v/>
      </c>
      <c r="CF91" s="1099"/>
      <c r="CG91" s="1099"/>
      <c r="CH91" s="1099"/>
      <c r="CI91" s="1099"/>
      <c r="CJ91" s="1099"/>
      <c r="CK91" s="1099"/>
      <c r="CL91" s="1100" t="str">
        <f>BEZ_Dim_17_CBM</f>
        <v/>
      </c>
      <c r="CM91" s="1100"/>
      <c r="CN91" s="1100"/>
      <c r="CO91" s="1100"/>
      <c r="CP91" s="1100"/>
      <c r="CQ91" s="1100"/>
      <c r="CR91" s="1100"/>
      <c r="CS91" s="1100"/>
      <c r="CT91" s="1101" t="str">
        <f>BEZ_Dim_17_EuCBM</f>
        <v/>
      </c>
      <c r="CU91" s="1101"/>
      <c r="CV91" s="1101"/>
      <c r="CW91" s="1101"/>
      <c r="CX91" s="1101"/>
      <c r="CY91" s="1101"/>
      <c r="CZ91" s="1101"/>
      <c r="DA91" s="1102" t="str">
        <f>BEZ_Dim_17_VAZ</f>
        <v/>
      </c>
      <c r="DB91" s="1102"/>
      <c r="DC91" s="1102"/>
      <c r="DD91" s="1102"/>
      <c r="DE91" s="1093" t="str">
        <f>BEZ_Dim_17_EURKI</f>
        <v/>
      </c>
      <c r="DF91" s="1093"/>
      <c r="DG91" s="1093"/>
      <c r="DH91" s="1093"/>
      <c r="DI91" s="1093"/>
      <c r="DJ91" s="1093"/>
      <c r="DK91" s="1093"/>
      <c r="DL91" s="1103"/>
      <c r="DM91" s="1103"/>
      <c r="DN91" s="1103"/>
      <c r="DO91" s="1108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</row>
    <row r="92" spans="1:130" ht="8.1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85">
        <v>18</v>
      </c>
      <c r="M92" s="1086"/>
      <c r="N92" s="1086"/>
      <c r="O92" s="1086"/>
      <c r="P92" s="1086" t="str">
        <f>BEZ_Dim_18_BG</f>
        <v/>
      </c>
      <c r="Q92" s="1086"/>
      <c r="R92" s="1086"/>
      <c r="S92" s="1086"/>
      <c r="T92" s="1087" t="str">
        <f>BEZ_Dim_18_BT</f>
        <v/>
      </c>
      <c r="U92" s="1087"/>
      <c r="V92" s="1087"/>
      <c r="W92" s="1087"/>
      <c r="X92" s="1087"/>
      <c r="Y92" s="1087"/>
      <c r="Z92" s="1087"/>
      <c r="AA92" s="1087"/>
      <c r="AB92" s="1087"/>
      <c r="AC92" s="1087"/>
      <c r="AD92" s="1087"/>
      <c r="AE92" s="1087"/>
      <c r="AF92" s="1087"/>
      <c r="AG92" s="1087"/>
      <c r="AH92" s="1087"/>
      <c r="AI92" s="1087"/>
      <c r="AJ92" s="1086" t="str">
        <f>BEZ_Dim_18_MG</f>
        <v/>
      </c>
      <c r="AK92" s="1086"/>
      <c r="AL92" s="1086"/>
      <c r="AM92" s="354"/>
      <c r="AN92" s="354" t="str">
        <f>BEZ_Dim_18_MB</f>
        <v/>
      </c>
      <c r="AO92" s="354"/>
      <c r="AP92" s="354"/>
      <c r="AQ92" s="354"/>
      <c r="AR92" s="354"/>
      <c r="AS92" s="354"/>
      <c r="AT92" s="354"/>
      <c r="AU92" s="354"/>
      <c r="AV92" s="354"/>
      <c r="AW92" s="354"/>
      <c r="AX92" s="354"/>
      <c r="AY92" s="354"/>
      <c r="AZ92" s="354"/>
      <c r="BA92" s="354"/>
      <c r="BB92" s="354"/>
      <c r="BC92" s="354"/>
      <c r="BD92" s="354"/>
      <c r="BE92" s="354"/>
      <c r="BF92" s="354"/>
      <c r="BG92" s="167"/>
      <c r="BH92" s="167"/>
      <c r="BI92" s="354"/>
      <c r="BJ92" s="1097" t="str">
        <f>BEZ_Dim_18_Anz</f>
        <v/>
      </c>
      <c r="BK92" s="1097"/>
      <c r="BL92" s="1097"/>
      <c r="BM92" s="1097"/>
      <c r="BN92" s="355"/>
      <c r="BO92" s="1098" t="str">
        <f>BEZ_Dim_18_L</f>
        <v/>
      </c>
      <c r="BP92" s="1098"/>
      <c r="BQ92" s="1098"/>
      <c r="BR92" s="1098"/>
      <c r="BS92" s="1098"/>
      <c r="BT92" s="1098"/>
      <c r="BU92" s="356"/>
      <c r="BV92" s="357"/>
      <c r="BW92" s="1099" t="str">
        <f>BEZ_Dim_18_B</f>
        <v/>
      </c>
      <c r="BX92" s="1099"/>
      <c r="BY92" s="1099"/>
      <c r="BZ92" s="1099"/>
      <c r="CA92" s="1099"/>
      <c r="CB92" s="1099"/>
      <c r="CC92" s="1099"/>
      <c r="CD92" s="357"/>
      <c r="CE92" s="1099" t="str">
        <f>BEZ_Dim_18_H</f>
        <v/>
      </c>
      <c r="CF92" s="1099"/>
      <c r="CG92" s="1099"/>
      <c r="CH92" s="1099"/>
      <c r="CI92" s="1099"/>
      <c r="CJ92" s="1099"/>
      <c r="CK92" s="1099"/>
      <c r="CL92" s="1100" t="str">
        <f>BEZ_Dim_18_CBM</f>
        <v/>
      </c>
      <c r="CM92" s="1100"/>
      <c r="CN92" s="1100"/>
      <c r="CO92" s="1100"/>
      <c r="CP92" s="1100"/>
      <c r="CQ92" s="1100"/>
      <c r="CR92" s="1100"/>
      <c r="CS92" s="1100"/>
      <c r="CT92" s="1101" t="str">
        <f>BEZ_Dim_18_EuCBM</f>
        <v/>
      </c>
      <c r="CU92" s="1101"/>
      <c r="CV92" s="1101"/>
      <c r="CW92" s="1101"/>
      <c r="CX92" s="1101"/>
      <c r="CY92" s="1101"/>
      <c r="CZ92" s="1101"/>
      <c r="DA92" s="1102" t="str">
        <f>BEZ_Dim_18_VAZ</f>
        <v/>
      </c>
      <c r="DB92" s="1102"/>
      <c r="DC92" s="1102"/>
      <c r="DD92" s="1102"/>
      <c r="DE92" s="1093" t="str">
        <f>BEZ_Dim_18_EURKI</f>
        <v/>
      </c>
      <c r="DF92" s="1093"/>
      <c r="DG92" s="1093"/>
      <c r="DH92" s="1093"/>
      <c r="DI92" s="1093"/>
      <c r="DJ92" s="1093"/>
      <c r="DK92" s="1093"/>
      <c r="DL92" s="1103"/>
      <c r="DM92" s="1103"/>
      <c r="DN92" s="1103"/>
      <c r="DO92" s="1108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</row>
    <row r="93" spans="1:130" ht="8.25" customHeight="1" x14ac:dyDescent="0.2">
      <c r="A93" s="2"/>
      <c r="B93" s="2"/>
      <c r="C93" s="2"/>
      <c r="D93" s="2"/>
      <c r="E93" s="2"/>
      <c r="F93" s="2"/>
      <c r="G93" s="7"/>
      <c r="H93" s="7"/>
      <c r="I93" s="7"/>
      <c r="J93" s="7"/>
      <c r="K93" s="10"/>
      <c r="L93" s="1085">
        <v>19</v>
      </c>
      <c r="M93" s="1086"/>
      <c r="N93" s="1086"/>
      <c r="O93" s="1086"/>
      <c r="P93" s="1086">
        <f>BEZ_Dim_19_BG</f>
        <v>0</v>
      </c>
      <c r="Q93" s="1086"/>
      <c r="R93" s="1086"/>
      <c r="S93" s="1086"/>
      <c r="T93" s="1087">
        <f>BEZ_Dim_19_BT</f>
        <v>0</v>
      </c>
      <c r="U93" s="1087"/>
      <c r="V93" s="1087"/>
      <c r="W93" s="1087"/>
      <c r="X93" s="1087"/>
      <c r="Y93" s="1087"/>
      <c r="Z93" s="1087"/>
      <c r="AA93" s="1087"/>
      <c r="AB93" s="1087"/>
      <c r="AC93" s="1087"/>
      <c r="AD93" s="1087"/>
      <c r="AE93" s="1087"/>
      <c r="AF93" s="1087"/>
      <c r="AG93" s="1087"/>
      <c r="AH93" s="1087"/>
      <c r="AI93" s="1087"/>
      <c r="AJ93" s="1086">
        <f>BEZ_Dim_19_MG</f>
        <v>0</v>
      </c>
      <c r="AK93" s="1086"/>
      <c r="AL93" s="1086"/>
      <c r="AM93" s="354"/>
      <c r="AN93" s="354">
        <f>BEZ_Dim_19_MB</f>
        <v>0</v>
      </c>
      <c r="AO93" s="354"/>
      <c r="AP93" s="354"/>
      <c r="AQ93" s="354"/>
      <c r="AR93" s="354"/>
      <c r="AS93" s="354"/>
      <c r="AT93" s="354"/>
      <c r="AU93" s="354"/>
      <c r="AV93" s="354"/>
      <c r="AW93" s="354"/>
      <c r="AX93" s="354"/>
      <c r="AY93" s="354"/>
      <c r="AZ93" s="354"/>
      <c r="BA93" s="354"/>
      <c r="BB93" s="354"/>
      <c r="BC93" s="354"/>
      <c r="BD93" s="354"/>
      <c r="BE93" s="354"/>
      <c r="BF93" s="354"/>
      <c r="BG93" s="167"/>
      <c r="BH93" s="167"/>
      <c r="BI93" s="354"/>
      <c r="BJ93" s="1097">
        <f>BEZ_Dim_19_Anz</f>
        <v>0</v>
      </c>
      <c r="BK93" s="1097"/>
      <c r="BL93" s="1097"/>
      <c r="BM93" s="1097"/>
      <c r="BN93" s="355"/>
      <c r="BO93" s="1098">
        <f>BEZ_Dim_19_L</f>
        <v>0</v>
      </c>
      <c r="BP93" s="1098"/>
      <c r="BQ93" s="1098"/>
      <c r="BR93" s="1098"/>
      <c r="BS93" s="1098"/>
      <c r="BT93" s="1098"/>
      <c r="BU93" s="356"/>
      <c r="BV93" s="357"/>
      <c r="BW93" s="1099">
        <f>BEZ_Dim_19_B</f>
        <v>0</v>
      </c>
      <c r="BX93" s="1099"/>
      <c r="BY93" s="1099"/>
      <c r="BZ93" s="1099"/>
      <c r="CA93" s="1099"/>
      <c r="CB93" s="1099"/>
      <c r="CC93" s="1099"/>
      <c r="CD93" s="357"/>
      <c r="CE93" s="1099">
        <f>BEZ_Dim_19_H</f>
        <v>0</v>
      </c>
      <c r="CF93" s="1099"/>
      <c r="CG93" s="1099"/>
      <c r="CH93" s="1099"/>
      <c r="CI93" s="1099"/>
      <c r="CJ93" s="1099"/>
      <c r="CK93" s="1099"/>
      <c r="CL93" s="1100">
        <f>BEZ_Dim_19_CBM</f>
        <v>0</v>
      </c>
      <c r="CM93" s="1100"/>
      <c r="CN93" s="1100"/>
      <c r="CO93" s="1100"/>
      <c r="CP93" s="1100"/>
      <c r="CQ93" s="1100"/>
      <c r="CR93" s="1100"/>
      <c r="CS93" s="1100"/>
      <c r="CT93" s="1101">
        <f>BEZ_Dim_19_EuCBM</f>
        <v>0</v>
      </c>
      <c r="CU93" s="1101"/>
      <c r="CV93" s="1101"/>
      <c r="CW93" s="1101"/>
      <c r="CX93" s="1101"/>
      <c r="CY93" s="1101"/>
      <c r="CZ93" s="1101"/>
      <c r="DA93" s="1102">
        <f>BEZ_Dim_19_VAZ</f>
        <v>0</v>
      </c>
      <c r="DB93" s="1102"/>
      <c r="DC93" s="1102"/>
      <c r="DD93" s="1102"/>
      <c r="DE93" s="1093">
        <f>BEZ_Dim_19_EURKI</f>
        <v>0</v>
      </c>
      <c r="DF93" s="1093"/>
      <c r="DG93" s="1093"/>
      <c r="DH93" s="1093"/>
      <c r="DI93" s="1093"/>
      <c r="DJ93" s="1093"/>
      <c r="DK93" s="1093"/>
      <c r="DL93" s="1103"/>
      <c r="DM93" s="1103"/>
      <c r="DN93" s="1103"/>
      <c r="DO93" s="1108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</row>
    <row r="94" spans="1:130" ht="8.25" customHeight="1" x14ac:dyDescent="0.2">
      <c r="A94" s="2"/>
      <c r="B94" s="2"/>
      <c r="C94" s="2"/>
      <c r="D94" s="2"/>
      <c r="E94" s="2"/>
      <c r="F94" s="2"/>
      <c r="G94" s="7"/>
      <c r="H94" s="7"/>
      <c r="I94" s="7"/>
      <c r="J94" s="7"/>
      <c r="K94" s="10"/>
      <c r="L94" s="1085">
        <v>20</v>
      </c>
      <c r="M94" s="1086"/>
      <c r="N94" s="1086"/>
      <c r="O94" s="1086"/>
      <c r="P94" s="1086">
        <f>BEZ_Dim_20_BG</f>
        <v>0</v>
      </c>
      <c r="Q94" s="1086"/>
      <c r="R94" s="1086"/>
      <c r="S94" s="1086"/>
      <c r="T94" s="1087">
        <f>BEZ_Dim_20_BT</f>
        <v>0</v>
      </c>
      <c r="U94" s="1087"/>
      <c r="V94" s="1087"/>
      <c r="W94" s="1087"/>
      <c r="X94" s="1087"/>
      <c r="Y94" s="1087"/>
      <c r="Z94" s="1087"/>
      <c r="AA94" s="1087"/>
      <c r="AB94" s="1087"/>
      <c r="AC94" s="1087"/>
      <c r="AD94" s="1087"/>
      <c r="AE94" s="1087"/>
      <c r="AF94" s="1087"/>
      <c r="AG94" s="1087"/>
      <c r="AH94" s="1087"/>
      <c r="AI94" s="1087"/>
      <c r="AJ94" s="1086">
        <f>BEZ_Dim_20_MG</f>
        <v>0</v>
      </c>
      <c r="AK94" s="1086"/>
      <c r="AL94" s="1086"/>
      <c r="AM94" s="354"/>
      <c r="AN94" s="354">
        <f>BEZ_Dim_20_MB</f>
        <v>0</v>
      </c>
      <c r="AO94" s="354"/>
      <c r="AP94" s="354"/>
      <c r="AQ94" s="354"/>
      <c r="AR94" s="354"/>
      <c r="AS94" s="354"/>
      <c r="AT94" s="354"/>
      <c r="AU94" s="354"/>
      <c r="AV94" s="354"/>
      <c r="AW94" s="354"/>
      <c r="AX94" s="354"/>
      <c r="AY94" s="354"/>
      <c r="AZ94" s="354"/>
      <c r="BA94" s="354"/>
      <c r="BB94" s="354"/>
      <c r="BC94" s="354"/>
      <c r="BD94" s="354"/>
      <c r="BE94" s="354"/>
      <c r="BF94" s="354"/>
      <c r="BG94" s="167"/>
      <c r="BH94" s="167"/>
      <c r="BI94" s="354"/>
      <c r="BJ94" s="1097">
        <f>BEZ_Dim_20_Anz</f>
        <v>0</v>
      </c>
      <c r="BK94" s="1097"/>
      <c r="BL94" s="1097"/>
      <c r="BM94" s="1097"/>
      <c r="BN94" s="355"/>
      <c r="BO94" s="1098">
        <f>BEZ_Dim_20_L</f>
        <v>0</v>
      </c>
      <c r="BP94" s="1098"/>
      <c r="BQ94" s="1098"/>
      <c r="BR94" s="1098"/>
      <c r="BS94" s="1098"/>
      <c r="BT94" s="1098"/>
      <c r="BU94" s="356"/>
      <c r="BV94" s="357"/>
      <c r="BW94" s="1099">
        <f>BEZ_Dim_20_B</f>
        <v>0</v>
      </c>
      <c r="BX94" s="1099"/>
      <c r="BY94" s="1099"/>
      <c r="BZ94" s="1099"/>
      <c r="CA94" s="1099"/>
      <c r="CB94" s="1099"/>
      <c r="CC94" s="1099"/>
      <c r="CD94" s="357"/>
      <c r="CE94" s="1099">
        <f>BEZ_Dim_20_H</f>
        <v>0</v>
      </c>
      <c r="CF94" s="1099"/>
      <c r="CG94" s="1099"/>
      <c r="CH94" s="1099"/>
      <c r="CI94" s="1099"/>
      <c r="CJ94" s="1099"/>
      <c r="CK94" s="1099"/>
      <c r="CL94" s="1100">
        <f>BEZ_Dim_20_CBM</f>
        <v>0</v>
      </c>
      <c r="CM94" s="1100"/>
      <c r="CN94" s="1100"/>
      <c r="CO94" s="1100"/>
      <c r="CP94" s="1100"/>
      <c r="CQ94" s="1100"/>
      <c r="CR94" s="1100"/>
      <c r="CS94" s="1100"/>
      <c r="CT94" s="1101">
        <f>BEZ_Dim_20_EuCBM</f>
        <v>0</v>
      </c>
      <c r="CU94" s="1101"/>
      <c r="CV94" s="1101"/>
      <c r="CW94" s="1101"/>
      <c r="CX94" s="1101"/>
      <c r="CY94" s="1101"/>
      <c r="CZ94" s="1101"/>
      <c r="DA94" s="1102">
        <f>BEZ_Dim_20_VAZ</f>
        <v>0</v>
      </c>
      <c r="DB94" s="1102"/>
      <c r="DC94" s="1102"/>
      <c r="DD94" s="1102"/>
      <c r="DE94" s="1093">
        <f>BEZ_Dim_20_EURKI</f>
        <v>0</v>
      </c>
      <c r="DF94" s="1093"/>
      <c r="DG94" s="1093"/>
      <c r="DH94" s="1093"/>
      <c r="DI94" s="1093"/>
      <c r="DJ94" s="1093"/>
      <c r="DK94" s="1093"/>
      <c r="DL94" s="1103"/>
      <c r="DM94" s="1103"/>
      <c r="DN94" s="1103"/>
      <c r="DO94" s="1108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</row>
    <row r="95" spans="1:130" ht="8.2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85">
        <v>21</v>
      </c>
      <c r="M95" s="1086"/>
      <c r="N95" s="1086"/>
      <c r="O95" s="1086"/>
      <c r="P95" s="1086">
        <f>BEZ_Dim_21_BG</f>
        <v>0</v>
      </c>
      <c r="Q95" s="1086"/>
      <c r="R95" s="1086"/>
      <c r="S95" s="1086"/>
      <c r="T95" s="1087">
        <f>BEZ_Dim_21_BT</f>
        <v>0</v>
      </c>
      <c r="U95" s="1087"/>
      <c r="V95" s="1087"/>
      <c r="W95" s="1087"/>
      <c r="X95" s="1087"/>
      <c r="Y95" s="1087"/>
      <c r="Z95" s="1087"/>
      <c r="AA95" s="1087"/>
      <c r="AB95" s="1087"/>
      <c r="AC95" s="1087"/>
      <c r="AD95" s="1087"/>
      <c r="AE95" s="1087"/>
      <c r="AF95" s="1087"/>
      <c r="AG95" s="1087"/>
      <c r="AH95" s="1087"/>
      <c r="AI95" s="1087"/>
      <c r="AJ95" s="1086">
        <f>BEZ_Dim_21_MG</f>
        <v>0</v>
      </c>
      <c r="AK95" s="1086"/>
      <c r="AL95" s="1086"/>
      <c r="AM95" s="354"/>
      <c r="AN95" s="353">
        <f>BEZ_Dim_21_MB</f>
        <v>0</v>
      </c>
      <c r="AO95" s="353"/>
      <c r="AP95" s="353"/>
      <c r="AQ95" s="353"/>
      <c r="AR95" s="353"/>
      <c r="AS95" s="353"/>
      <c r="AT95" s="353"/>
      <c r="AU95" s="353"/>
      <c r="AV95" s="353"/>
      <c r="AW95" s="353"/>
      <c r="AX95" s="353"/>
      <c r="AY95" s="353"/>
      <c r="AZ95" s="353"/>
      <c r="BA95" s="353"/>
      <c r="BB95" s="353"/>
      <c r="BC95" s="353"/>
      <c r="BD95" s="353"/>
      <c r="BE95" s="353"/>
      <c r="BF95" s="353"/>
      <c r="BG95" s="167"/>
      <c r="BH95" s="167"/>
      <c r="BI95" s="354"/>
      <c r="BJ95" s="1097">
        <f>BEZ_Dim_21_Anz</f>
        <v>0</v>
      </c>
      <c r="BK95" s="1097"/>
      <c r="BL95" s="1097"/>
      <c r="BM95" s="1097"/>
      <c r="BN95" s="355"/>
      <c r="BO95" s="1098">
        <f>BEZ_Dim_21_L</f>
        <v>0</v>
      </c>
      <c r="BP95" s="1098"/>
      <c r="BQ95" s="1098"/>
      <c r="BR95" s="1098"/>
      <c r="BS95" s="1098"/>
      <c r="BT95" s="1098"/>
      <c r="BU95" s="356"/>
      <c r="BV95" s="357"/>
      <c r="BW95" s="1099">
        <f>BEZ_Dim_21_B</f>
        <v>0</v>
      </c>
      <c r="BX95" s="1099"/>
      <c r="BY95" s="1099"/>
      <c r="BZ95" s="1099"/>
      <c r="CA95" s="1099"/>
      <c r="CB95" s="1099"/>
      <c r="CC95" s="1099"/>
      <c r="CD95" s="357"/>
      <c r="CE95" s="1099">
        <f>BEZ_Dim_21_H</f>
        <v>0</v>
      </c>
      <c r="CF95" s="1099"/>
      <c r="CG95" s="1099"/>
      <c r="CH95" s="1099"/>
      <c r="CI95" s="1099"/>
      <c r="CJ95" s="1099"/>
      <c r="CK95" s="1099"/>
      <c r="CL95" s="1100">
        <f>BEZ_Dim_21_CBM</f>
        <v>0</v>
      </c>
      <c r="CM95" s="1100"/>
      <c r="CN95" s="1100"/>
      <c r="CO95" s="1100"/>
      <c r="CP95" s="1100"/>
      <c r="CQ95" s="1100"/>
      <c r="CR95" s="1100"/>
      <c r="CS95" s="1100"/>
      <c r="CT95" s="1101">
        <f>BEZ_Dim_21_EuCBM</f>
        <v>0</v>
      </c>
      <c r="CU95" s="1101"/>
      <c r="CV95" s="1101"/>
      <c r="CW95" s="1101"/>
      <c r="CX95" s="1101"/>
      <c r="CY95" s="1101"/>
      <c r="CZ95" s="1101"/>
      <c r="DA95" s="1102">
        <f>BEZ_Dim_21_VAZ</f>
        <v>0</v>
      </c>
      <c r="DB95" s="1102"/>
      <c r="DC95" s="1102"/>
      <c r="DD95" s="1102"/>
      <c r="DE95" s="1093">
        <f>BEZ_Dim_21_EURKI</f>
        <v>0</v>
      </c>
      <c r="DF95" s="1093"/>
      <c r="DG95" s="1093"/>
      <c r="DH95" s="1093"/>
      <c r="DI95" s="1093"/>
      <c r="DJ95" s="1093"/>
      <c r="DK95" s="1093"/>
      <c r="DL95" s="1103"/>
      <c r="DM95" s="1103"/>
      <c r="DN95" s="1103"/>
      <c r="DO95" s="1108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</row>
    <row r="96" spans="1:130" ht="8.2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85">
        <v>22</v>
      </c>
      <c r="M96" s="1086"/>
      <c r="N96" s="1086"/>
      <c r="O96" s="1086"/>
      <c r="P96" s="1086">
        <f>BEZ_Dim_22_BG</f>
        <v>0</v>
      </c>
      <c r="Q96" s="1086"/>
      <c r="R96" s="1086"/>
      <c r="S96" s="1086"/>
      <c r="T96" s="1087">
        <f>BEZ_Dim_22_BT</f>
        <v>0</v>
      </c>
      <c r="U96" s="1087"/>
      <c r="V96" s="1087"/>
      <c r="W96" s="1087"/>
      <c r="X96" s="1087"/>
      <c r="Y96" s="1087"/>
      <c r="Z96" s="1087"/>
      <c r="AA96" s="1087"/>
      <c r="AB96" s="1087"/>
      <c r="AC96" s="1087"/>
      <c r="AD96" s="1087"/>
      <c r="AE96" s="1087"/>
      <c r="AF96" s="1087"/>
      <c r="AG96" s="1087"/>
      <c r="AH96" s="1087"/>
      <c r="AI96" s="1087"/>
      <c r="AJ96" s="1086">
        <f>BEZ_Dim_22_MG</f>
        <v>0</v>
      </c>
      <c r="AK96" s="1086"/>
      <c r="AL96" s="1086"/>
      <c r="AM96" s="354"/>
      <c r="AN96" s="353">
        <f>BEZ_Dim_22_MB</f>
        <v>0</v>
      </c>
      <c r="AO96" s="353"/>
      <c r="AP96" s="353"/>
      <c r="AQ96" s="353"/>
      <c r="AR96" s="353"/>
      <c r="AS96" s="353"/>
      <c r="AT96" s="353"/>
      <c r="AU96" s="353"/>
      <c r="AV96" s="353"/>
      <c r="AW96" s="353"/>
      <c r="AX96" s="353"/>
      <c r="AY96" s="353"/>
      <c r="AZ96" s="353"/>
      <c r="BA96" s="353"/>
      <c r="BB96" s="353"/>
      <c r="BC96" s="353"/>
      <c r="BD96" s="353"/>
      <c r="BE96" s="353"/>
      <c r="BF96" s="353"/>
      <c r="BG96" s="167"/>
      <c r="BH96" s="167"/>
      <c r="BI96" s="354"/>
      <c r="BJ96" s="1097">
        <f>BEZ_Dim_22_Anz</f>
        <v>0</v>
      </c>
      <c r="BK96" s="1097"/>
      <c r="BL96" s="1097"/>
      <c r="BM96" s="1097"/>
      <c r="BN96" s="355"/>
      <c r="BO96" s="1098">
        <f>BEZ_Dim_22_L</f>
        <v>0</v>
      </c>
      <c r="BP96" s="1098"/>
      <c r="BQ96" s="1098"/>
      <c r="BR96" s="1098"/>
      <c r="BS96" s="1098"/>
      <c r="BT96" s="1098"/>
      <c r="BU96" s="356"/>
      <c r="BV96" s="357"/>
      <c r="BW96" s="1099">
        <f>BEZ_Dim_22_B</f>
        <v>0</v>
      </c>
      <c r="BX96" s="1099"/>
      <c r="BY96" s="1099"/>
      <c r="BZ96" s="1099"/>
      <c r="CA96" s="1099"/>
      <c r="CB96" s="1099"/>
      <c r="CC96" s="1099"/>
      <c r="CD96" s="357"/>
      <c r="CE96" s="1099">
        <f>BEZ_Dim_22_H</f>
        <v>0</v>
      </c>
      <c r="CF96" s="1099"/>
      <c r="CG96" s="1099"/>
      <c r="CH96" s="1099"/>
      <c r="CI96" s="1099"/>
      <c r="CJ96" s="1099"/>
      <c r="CK96" s="1099"/>
      <c r="CL96" s="1100">
        <f>BEZ_Dim_22_CBM</f>
        <v>0</v>
      </c>
      <c r="CM96" s="1100"/>
      <c r="CN96" s="1100"/>
      <c r="CO96" s="1100"/>
      <c r="CP96" s="1100"/>
      <c r="CQ96" s="1100"/>
      <c r="CR96" s="1100"/>
      <c r="CS96" s="1100"/>
      <c r="CT96" s="1101">
        <f>BEZ_Dim_22_EuCBM</f>
        <v>0</v>
      </c>
      <c r="CU96" s="1101"/>
      <c r="CV96" s="1101"/>
      <c r="CW96" s="1101"/>
      <c r="CX96" s="1101"/>
      <c r="CY96" s="1101"/>
      <c r="CZ96" s="1101"/>
      <c r="DA96" s="1102">
        <f>BEZ_Dim_22_VAZ</f>
        <v>0</v>
      </c>
      <c r="DB96" s="1102"/>
      <c r="DC96" s="1102"/>
      <c r="DD96" s="1102"/>
      <c r="DE96" s="1093">
        <f>BEZ_Dim_22_EURKI</f>
        <v>0</v>
      </c>
      <c r="DF96" s="1093"/>
      <c r="DG96" s="1093"/>
      <c r="DH96" s="1093"/>
      <c r="DI96" s="1093"/>
      <c r="DJ96" s="1093"/>
      <c r="DK96" s="1093"/>
      <c r="DL96" s="1103"/>
      <c r="DM96" s="1103"/>
      <c r="DN96" s="1103"/>
      <c r="DO96" s="1108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</row>
    <row r="97" spans="1:130" ht="8.2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85">
        <v>23</v>
      </c>
      <c r="M97" s="1086"/>
      <c r="N97" s="1086"/>
      <c r="O97" s="1086"/>
      <c r="P97" s="1086">
        <f>BEZ_Dim_23_BG</f>
        <v>0</v>
      </c>
      <c r="Q97" s="1086"/>
      <c r="R97" s="1086"/>
      <c r="S97" s="1086"/>
      <c r="T97" s="1087">
        <f>BEZ_Dim_23_BT</f>
        <v>0</v>
      </c>
      <c r="U97" s="1087"/>
      <c r="V97" s="1087"/>
      <c r="W97" s="1087"/>
      <c r="X97" s="1087"/>
      <c r="Y97" s="1087"/>
      <c r="Z97" s="1087"/>
      <c r="AA97" s="1087"/>
      <c r="AB97" s="1087"/>
      <c r="AC97" s="1087"/>
      <c r="AD97" s="1087"/>
      <c r="AE97" s="1087"/>
      <c r="AF97" s="1087"/>
      <c r="AG97" s="1087"/>
      <c r="AH97" s="1087"/>
      <c r="AI97" s="1087"/>
      <c r="AJ97" s="1086">
        <f>BEZ_Dim_23_MG</f>
        <v>0</v>
      </c>
      <c r="AK97" s="1086"/>
      <c r="AL97" s="1086"/>
      <c r="AM97" s="354"/>
      <c r="AN97" s="353">
        <f>BEZ_Dim_23_MB</f>
        <v>0</v>
      </c>
      <c r="AO97" s="353"/>
      <c r="AP97" s="353"/>
      <c r="AQ97" s="353"/>
      <c r="AR97" s="353"/>
      <c r="AS97" s="353"/>
      <c r="AT97" s="353"/>
      <c r="AU97" s="353"/>
      <c r="AV97" s="353"/>
      <c r="AW97" s="353"/>
      <c r="AX97" s="353"/>
      <c r="AY97" s="353"/>
      <c r="AZ97" s="353"/>
      <c r="BA97" s="353"/>
      <c r="BB97" s="353"/>
      <c r="BC97" s="353"/>
      <c r="BD97" s="353"/>
      <c r="BE97" s="353"/>
      <c r="BF97" s="353"/>
      <c r="BG97" s="167"/>
      <c r="BH97" s="167"/>
      <c r="BI97" s="354"/>
      <c r="BJ97" s="1097">
        <f>BEZ_Dim_23_Anz</f>
        <v>0</v>
      </c>
      <c r="BK97" s="1097"/>
      <c r="BL97" s="1097"/>
      <c r="BM97" s="1097"/>
      <c r="BN97" s="355"/>
      <c r="BO97" s="1098">
        <f>BEZ_Dim_23_L</f>
        <v>0</v>
      </c>
      <c r="BP97" s="1098"/>
      <c r="BQ97" s="1098"/>
      <c r="BR97" s="1098"/>
      <c r="BS97" s="1098"/>
      <c r="BT97" s="1098"/>
      <c r="BU97" s="356"/>
      <c r="BV97" s="357"/>
      <c r="BW97" s="1099">
        <f>BEZ_Dim_23_B</f>
        <v>0</v>
      </c>
      <c r="BX97" s="1099"/>
      <c r="BY97" s="1099"/>
      <c r="BZ97" s="1099"/>
      <c r="CA97" s="1099"/>
      <c r="CB97" s="1099"/>
      <c r="CC97" s="1099"/>
      <c r="CD97" s="357"/>
      <c r="CE97" s="1099">
        <f>BEZ_Dim_23_H</f>
        <v>0</v>
      </c>
      <c r="CF97" s="1099"/>
      <c r="CG97" s="1099"/>
      <c r="CH97" s="1099"/>
      <c r="CI97" s="1099"/>
      <c r="CJ97" s="1099"/>
      <c r="CK97" s="1099"/>
      <c r="CL97" s="1100">
        <f>BEZ_Dim_23_CBM</f>
        <v>0</v>
      </c>
      <c r="CM97" s="1100"/>
      <c r="CN97" s="1100"/>
      <c r="CO97" s="1100"/>
      <c r="CP97" s="1100"/>
      <c r="CQ97" s="1100"/>
      <c r="CR97" s="1100"/>
      <c r="CS97" s="1100"/>
      <c r="CT97" s="1101">
        <f>BEZ_Dim_23_EuCBM</f>
        <v>0</v>
      </c>
      <c r="CU97" s="1101"/>
      <c r="CV97" s="1101"/>
      <c r="CW97" s="1101"/>
      <c r="CX97" s="1101"/>
      <c r="CY97" s="1101"/>
      <c r="CZ97" s="1101"/>
      <c r="DA97" s="1102">
        <f>BEZ_Dim_23_VAZ</f>
        <v>0</v>
      </c>
      <c r="DB97" s="1102"/>
      <c r="DC97" s="1102"/>
      <c r="DD97" s="1102"/>
      <c r="DE97" s="1093">
        <f>BEZ_Dim_23_EURKI</f>
        <v>0</v>
      </c>
      <c r="DF97" s="1093"/>
      <c r="DG97" s="1093"/>
      <c r="DH97" s="1093"/>
      <c r="DI97" s="1093"/>
      <c r="DJ97" s="1093"/>
      <c r="DK97" s="1093"/>
      <c r="DL97" s="1103"/>
      <c r="DM97" s="1103"/>
      <c r="DN97" s="1103"/>
      <c r="DO97" s="1108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</row>
    <row r="98" spans="1:130" ht="8.2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85">
        <v>24</v>
      </c>
      <c r="M98" s="1086"/>
      <c r="N98" s="1086"/>
      <c r="O98" s="1086"/>
      <c r="P98" s="1086">
        <f>BEZ_Dim_24_BG</f>
        <v>0</v>
      </c>
      <c r="Q98" s="1086"/>
      <c r="R98" s="1086"/>
      <c r="S98" s="1086"/>
      <c r="T98" s="1087">
        <f>BEZ_Dim_24_BT</f>
        <v>0</v>
      </c>
      <c r="U98" s="1087"/>
      <c r="V98" s="1087"/>
      <c r="W98" s="1087"/>
      <c r="X98" s="1087"/>
      <c r="Y98" s="1087"/>
      <c r="Z98" s="1087"/>
      <c r="AA98" s="1087"/>
      <c r="AB98" s="1087"/>
      <c r="AC98" s="1087"/>
      <c r="AD98" s="1087"/>
      <c r="AE98" s="1087"/>
      <c r="AF98" s="1087"/>
      <c r="AG98" s="1087"/>
      <c r="AH98" s="1087"/>
      <c r="AI98" s="1087"/>
      <c r="AJ98" s="1086">
        <f>BEZ_Dim_24_MG</f>
        <v>0</v>
      </c>
      <c r="AK98" s="1086"/>
      <c r="AL98" s="1086"/>
      <c r="AM98" s="354"/>
      <c r="AN98" s="353">
        <f>BEZ_Dim_24_MB</f>
        <v>0</v>
      </c>
      <c r="AO98" s="353"/>
      <c r="AP98" s="353"/>
      <c r="AQ98" s="353"/>
      <c r="AR98" s="353"/>
      <c r="AS98" s="353"/>
      <c r="AT98" s="353"/>
      <c r="AU98" s="353"/>
      <c r="AV98" s="353"/>
      <c r="AW98" s="353"/>
      <c r="AX98" s="353"/>
      <c r="AY98" s="353"/>
      <c r="AZ98" s="353"/>
      <c r="BA98" s="353"/>
      <c r="BB98" s="353"/>
      <c r="BC98" s="353"/>
      <c r="BD98" s="353"/>
      <c r="BE98" s="353"/>
      <c r="BF98" s="353"/>
      <c r="BG98" s="167"/>
      <c r="BH98" s="167"/>
      <c r="BI98" s="354"/>
      <c r="BJ98" s="1097">
        <f>BEZ_Dim_24_Anz</f>
        <v>0</v>
      </c>
      <c r="BK98" s="1097"/>
      <c r="BL98" s="1097"/>
      <c r="BM98" s="1097"/>
      <c r="BN98" s="355"/>
      <c r="BO98" s="1098">
        <f>BEZ_Dim_24_L</f>
        <v>0</v>
      </c>
      <c r="BP98" s="1098"/>
      <c r="BQ98" s="1098"/>
      <c r="BR98" s="1098"/>
      <c r="BS98" s="1098"/>
      <c r="BT98" s="1098"/>
      <c r="BU98" s="356"/>
      <c r="BV98" s="357"/>
      <c r="BW98" s="1099">
        <f>BEZ_Dim_24_B</f>
        <v>0</v>
      </c>
      <c r="BX98" s="1099"/>
      <c r="BY98" s="1099"/>
      <c r="BZ98" s="1099"/>
      <c r="CA98" s="1099"/>
      <c r="CB98" s="1099"/>
      <c r="CC98" s="1099"/>
      <c r="CD98" s="357"/>
      <c r="CE98" s="1099">
        <f>BEZ_Dim_24_H</f>
        <v>0</v>
      </c>
      <c r="CF98" s="1099"/>
      <c r="CG98" s="1099"/>
      <c r="CH98" s="1099"/>
      <c r="CI98" s="1099"/>
      <c r="CJ98" s="1099"/>
      <c r="CK98" s="1099"/>
      <c r="CL98" s="1100">
        <f>BEZ_Dim_24_CBM</f>
        <v>0</v>
      </c>
      <c r="CM98" s="1100"/>
      <c r="CN98" s="1100"/>
      <c r="CO98" s="1100"/>
      <c r="CP98" s="1100"/>
      <c r="CQ98" s="1100"/>
      <c r="CR98" s="1100"/>
      <c r="CS98" s="1100"/>
      <c r="CT98" s="1101">
        <f>BEZ_Dim_24_EuCBM</f>
        <v>0</v>
      </c>
      <c r="CU98" s="1101"/>
      <c r="CV98" s="1101"/>
      <c r="CW98" s="1101"/>
      <c r="CX98" s="1101"/>
      <c r="CY98" s="1101"/>
      <c r="CZ98" s="1101"/>
      <c r="DA98" s="1102">
        <f>BEZ_Dim_24_VAZ</f>
        <v>0</v>
      </c>
      <c r="DB98" s="1102"/>
      <c r="DC98" s="1102"/>
      <c r="DD98" s="1102"/>
      <c r="DE98" s="1093">
        <f>BEZ_Dim_24_EURKI</f>
        <v>0</v>
      </c>
      <c r="DF98" s="1093"/>
      <c r="DG98" s="1093"/>
      <c r="DH98" s="1093"/>
      <c r="DI98" s="1093"/>
      <c r="DJ98" s="1093"/>
      <c r="DK98" s="1093"/>
      <c r="DL98" s="1103"/>
      <c r="DM98" s="1103"/>
      <c r="DN98" s="1103"/>
      <c r="DO98" s="1108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</row>
    <row r="99" spans="1:130" ht="8.2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85">
        <v>25</v>
      </c>
      <c r="M99" s="1086"/>
      <c r="N99" s="1086"/>
      <c r="O99" s="1086"/>
      <c r="P99" s="1086">
        <f>BEZ_Dim_25_BG</f>
        <v>0</v>
      </c>
      <c r="Q99" s="1086"/>
      <c r="R99" s="1086"/>
      <c r="S99" s="1086"/>
      <c r="T99" s="1087">
        <f>BEZ_Dim_25_BT</f>
        <v>0</v>
      </c>
      <c r="U99" s="1087"/>
      <c r="V99" s="1087"/>
      <c r="W99" s="1087"/>
      <c r="X99" s="1087"/>
      <c r="Y99" s="1087"/>
      <c r="Z99" s="1087"/>
      <c r="AA99" s="1087"/>
      <c r="AB99" s="1087"/>
      <c r="AC99" s="1087"/>
      <c r="AD99" s="1087"/>
      <c r="AE99" s="1087"/>
      <c r="AF99" s="1087"/>
      <c r="AG99" s="1087"/>
      <c r="AH99" s="1087"/>
      <c r="AI99" s="1087"/>
      <c r="AJ99" s="1086">
        <f>BEZ_Dim_25_MG</f>
        <v>0</v>
      </c>
      <c r="AK99" s="1086"/>
      <c r="AL99" s="1086"/>
      <c r="AM99" s="354"/>
      <c r="AN99" s="353">
        <f>BEZ_Dim_25_MB</f>
        <v>0</v>
      </c>
      <c r="AO99" s="353"/>
      <c r="AP99" s="353"/>
      <c r="AQ99" s="353"/>
      <c r="AR99" s="353"/>
      <c r="AS99" s="353"/>
      <c r="AT99" s="353"/>
      <c r="AU99" s="353"/>
      <c r="AV99" s="353"/>
      <c r="AW99" s="353"/>
      <c r="AX99" s="353"/>
      <c r="AY99" s="353"/>
      <c r="AZ99" s="353"/>
      <c r="BA99" s="353"/>
      <c r="BB99" s="353"/>
      <c r="BC99" s="353"/>
      <c r="BD99" s="353"/>
      <c r="BE99" s="353"/>
      <c r="BF99" s="353"/>
      <c r="BG99" s="167"/>
      <c r="BH99" s="167"/>
      <c r="BI99" s="354"/>
      <c r="BJ99" s="1097">
        <f>BEZ_Dim_25_Anz</f>
        <v>0</v>
      </c>
      <c r="BK99" s="1097"/>
      <c r="BL99" s="1097"/>
      <c r="BM99" s="1097"/>
      <c r="BN99" s="355"/>
      <c r="BO99" s="1098">
        <f>BEZ_Dim_25_L</f>
        <v>0</v>
      </c>
      <c r="BP99" s="1098"/>
      <c r="BQ99" s="1098"/>
      <c r="BR99" s="1098"/>
      <c r="BS99" s="1098"/>
      <c r="BT99" s="1098"/>
      <c r="BU99" s="356"/>
      <c r="BV99" s="357"/>
      <c r="BW99" s="1099">
        <f>BEZ_Dim_25_B</f>
        <v>0</v>
      </c>
      <c r="BX99" s="1099"/>
      <c r="BY99" s="1099"/>
      <c r="BZ99" s="1099"/>
      <c r="CA99" s="1099"/>
      <c r="CB99" s="1099"/>
      <c r="CC99" s="1099"/>
      <c r="CD99" s="357"/>
      <c r="CE99" s="1099">
        <f>BEZ_Dim_25_H</f>
        <v>0</v>
      </c>
      <c r="CF99" s="1099"/>
      <c r="CG99" s="1099"/>
      <c r="CH99" s="1099"/>
      <c r="CI99" s="1099"/>
      <c r="CJ99" s="1099"/>
      <c r="CK99" s="1099"/>
      <c r="CL99" s="1100">
        <f>BEZ_Dim_25_CBM</f>
        <v>0</v>
      </c>
      <c r="CM99" s="1100"/>
      <c r="CN99" s="1100"/>
      <c r="CO99" s="1100"/>
      <c r="CP99" s="1100"/>
      <c r="CQ99" s="1100"/>
      <c r="CR99" s="1100"/>
      <c r="CS99" s="1100"/>
      <c r="CT99" s="1101">
        <f>BEZ_Dim_25_EuCBM</f>
        <v>0</v>
      </c>
      <c r="CU99" s="1101"/>
      <c r="CV99" s="1101"/>
      <c r="CW99" s="1101"/>
      <c r="CX99" s="1101"/>
      <c r="CY99" s="1101"/>
      <c r="CZ99" s="1101"/>
      <c r="DA99" s="1102">
        <f>BEZ_Dim_25_VAZ</f>
        <v>0</v>
      </c>
      <c r="DB99" s="1102"/>
      <c r="DC99" s="1102"/>
      <c r="DD99" s="1102"/>
      <c r="DE99" s="1093">
        <f>BEZ_Dim_25_EURKI</f>
        <v>0</v>
      </c>
      <c r="DF99" s="1093"/>
      <c r="DG99" s="1093"/>
      <c r="DH99" s="1093"/>
      <c r="DI99" s="1093"/>
      <c r="DJ99" s="1093"/>
      <c r="DK99" s="1093"/>
      <c r="DL99" s="1103"/>
      <c r="DM99" s="1103"/>
      <c r="DN99" s="1103"/>
      <c r="DO99" s="1108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</row>
    <row r="100" spans="1:130" ht="8.2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85">
        <v>26</v>
      </c>
      <c r="M100" s="1086"/>
      <c r="N100" s="1086"/>
      <c r="O100" s="1086"/>
      <c r="P100" s="1086">
        <f>BEZ_Dim_26_BG</f>
        <v>0</v>
      </c>
      <c r="Q100" s="1086"/>
      <c r="R100" s="1086"/>
      <c r="S100" s="1086"/>
      <c r="T100" s="1087">
        <f>BEZ_Dim_26_BT</f>
        <v>0</v>
      </c>
      <c r="U100" s="1087"/>
      <c r="V100" s="1087"/>
      <c r="W100" s="1087"/>
      <c r="X100" s="1087"/>
      <c r="Y100" s="1087"/>
      <c r="Z100" s="1087"/>
      <c r="AA100" s="1087"/>
      <c r="AB100" s="1087"/>
      <c r="AC100" s="1087"/>
      <c r="AD100" s="1087"/>
      <c r="AE100" s="1087"/>
      <c r="AF100" s="1087"/>
      <c r="AG100" s="1087"/>
      <c r="AH100" s="1087"/>
      <c r="AI100" s="1087"/>
      <c r="AJ100" s="1086">
        <f>BEZ_Dim_26_MG</f>
        <v>0</v>
      </c>
      <c r="AK100" s="1086"/>
      <c r="AL100" s="1086"/>
      <c r="AM100" s="354"/>
      <c r="AN100" s="353">
        <f>BEZ_Dim_26_MB</f>
        <v>0</v>
      </c>
      <c r="AO100" s="353"/>
      <c r="AP100" s="353"/>
      <c r="AQ100" s="353"/>
      <c r="AR100" s="353"/>
      <c r="AS100" s="353"/>
      <c r="AT100" s="353"/>
      <c r="AU100" s="353"/>
      <c r="AV100" s="353"/>
      <c r="AW100" s="353"/>
      <c r="AX100" s="353"/>
      <c r="AY100" s="353"/>
      <c r="AZ100" s="353"/>
      <c r="BA100" s="353"/>
      <c r="BB100" s="353"/>
      <c r="BC100" s="353"/>
      <c r="BD100" s="353"/>
      <c r="BE100" s="353"/>
      <c r="BF100" s="353"/>
      <c r="BG100" s="167"/>
      <c r="BH100" s="167"/>
      <c r="BI100" s="354"/>
      <c r="BJ100" s="1097">
        <f>BEZ_Dim_26_Anz</f>
        <v>0</v>
      </c>
      <c r="BK100" s="1097"/>
      <c r="BL100" s="1097"/>
      <c r="BM100" s="1097"/>
      <c r="BN100" s="355"/>
      <c r="BO100" s="1098">
        <f>BEZ_Dim_26_L</f>
        <v>0</v>
      </c>
      <c r="BP100" s="1098"/>
      <c r="BQ100" s="1098"/>
      <c r="BR100" s="1098"/>
      <c r="BS100" s="1098"/>
      <c r="BT100" s="1098"/>
      <c r="BU100" s="356"/>
      <c r="BV100" s="357"/>
      <c r="BW100" s="1099">
        <f>BEZ_Dim_26_B</f>
        <v>0</v>
      </c>
      <c r="BX100" s="1099"/>
      <c r="BY100" s="1099"/>
      <c r="BZ100" s="1099"/>
      <c r="CA100" s="1099"/>
      <c r="CB100" s="1099"/>
      <c r="CC100" s="1099"/>
      <c r="CD100" s="357"/>
      <c r="CE100" s="1099">
        <f>BEZ_Dim_26_H</f>
        <v>0</v>
      </c>
      <c r="CF100" s="1099"/>
      <c r="CG100" s="1099"/>
      <c r="CH100" s="1099"/>
      <c r="CI100" s="1099"/>
      <c r="CJ100" s="1099"/>
      <c r="CK100" s="1099"/>
      <c r="CL100" s="1100">
        <f>BEZ_Dim_26_CBM</f>
        <v>0</v>
      </c>
      <c r="CM100" s="1100"/>
      <c r="CN100" s="1100"/>
      <c r="CO100" s="1100"/>
      <c r="CP100" s="1100"/>
      <c r="CQ100" s="1100"/>
      <c r="CR100" s="1100"/>
      <c r="CS100" s="1100"/>
      <c r="CT100" s="1101">
        <f>BEZ_Dim_26_EuCBM</f>
        <v>0</v>
      </c>
      <c r="CU100" s="1101"/>
      <c r="CV100" s="1101"/>
      <c r="CW100" s="1101"/>
      <c r="CX100" s="1101"/>
      <c r="CY100" s="1101"/>
      <c r="CZ100" s="1101"/>
      <c r="DA100" s="1102">
        <f>BEZ_Dim_26_VAZ</f>
        <v>0</v>
      </c>
      <c r="DB100" s="1102"/>
      <c r="DC100" s="1102"/>
      <c r="DD100" s="1102"/>
      <c r="DE100" s="1093">
        <f>BEZ_Dim_26_EURKI</f>
        <v>0</v>
      </c>
      <c r="DF100" s="1093"/>
      <c r="DG100" s="1093"/>
      <c r="DH100" s="1093"/>
      <c r="DI100" s="1093"/>
      <c r="DJ100" s="1093"/>
      <c r="DK100" s="1093"/>
      <c r="DL100" s="1103"/>
      <c r="DM100" s="1103"/>
      <c r="DN100" s="1103"/>
      <c r="DO100" s="1108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</row>
    <row r="101" spans="1:130" ht="8.1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85">
        <v>27</v>
      </c>
      <c r="M101" s="1086"/>
      <c r="N101" s="1086"/>
      <c r="O101" s="1086"/>
      <c r="P101" s="1086">
        <f>BEZ_Dim_27_BG</f>
        <v>0</v>
      </c>
      <c r="Q101" s="1086"/>
      <c r="R101" s="1086"/>
      <c r="S101" s="1086"/>
      <c r="T101" s="1087">
        <f>BEZ_Dim_27_BT</f>
        <v>0</v>
      </c>
      <c r="U101" s="1087"/>
      <c r="V101" s="1087"/>
      <c r="W101" s="1087"/>
      <c r="X101" s="1087"/>
      <c r="Y101" s="1087"/>
      <c r="Z101" s="1087"/>
      <c r="AA101" s="1087"/>
      <c r="AB101" s="1087"/>
      <c r="AC101" s="1087"/>
      <c r="AD101" s="1087"/>
      <c r="AE101" s="1087"/>
      <c r="AF101" s="1087"/>
      <c r="AG101" s="1087"/>
      <c r="AH101" s="1087"/>
      <c r="AI101" s="1087"/>
      <c r="AJ101" s="1086">
        <f>BEZ_Dim_27_MG</f>
        <v>0</v>
      </c>
      <c r="AK101" s="1086"/>
      <c r="AL101" s="1086"/>
      <c r="AM101" s="354"/>
      <c r="AN101" s="353">
        <f>BEZ_Dim_27_MB</f>
        <v>0</v>
      </c>
      <c r="AO101" s="353"/>
      <c r="AP101" s="353"/>
      <c r="AQ101" s="353"/>
      <c r="AR101" s="353"/>
      <c r="AS101" s="353"/>
      <c r="AT101" s="353"/>
      <c r="AU101" s="353"/>
      <c r="AV101" s="353"/>
      <c r="AW101" s="353"/>
      <c r="AX101" s="353"/>
      <c r="AY101" s="353"/>
      <c r="AZ101" s="353"/>
      <c r="BA101" s="353"/>
      <c r="BB101" s="353"/>
      <c r="BC101" s="353"/>
      <c r="BD101" s="353"/>
      <c r="BE101" s="353"/>
      <c r="BF101" s="353"/>
      <c r="BG101" s="167"/>
      <c r="BH101" s="167"/>
      <c r="BI101" s="354"/>
      <c r="BJ101" s="1097">
        <f>BEZ_Dim_27_Anz</f>
        <v>0</v>
      </c>
      <c r="BK101" s="1097"/>
      <c r="BL101" s="1097"/>
      <c r="BM101" s="1097"/>
      <c r="BN101" s="355"/>
      <c r="BO101" s="1098">
        <f>BEZ_Dim_27_L</f>
        <v>0</v>
      </c>
      <c r="BP101" s="1098"/>
      <c r="BQ101" s="1098"/>
      <c r="BR101" s="1098"/>
      <c r="BS101" s="1098"/>
      <c r="BT101" s="1098"/>
      <c r="BU101" s="356"/>
      <c r="BV101" s="357"/>
      <c r="BW101" s="1099">
        <f>BEZ_Dim_27_B</f>
        <v>0</v>
      </c>
      <c r="BX101" s="1099"/>
      <c r="BY101" s="1099"/>
      <c r="BZ101" s="1099"/>
      <c r="CA101" s="1099"/>
      <c r="CB101" s="1099"/>
      <c r="CC101" s="1099"/>
      <c r="CD101" s="357"/>
      <c r="CE101" s="1099">
        <f>BEZ_Dim_27_H</f>
        <v>0</v>
      </c>
      <c r="CF101" s="1099"/>
      <c r="CG101" s="1099"/>
      <c r="CH101" s="1099"/>
      <c r="CI101" s="1099"/>
      <c r="CJ101" s="1099"/>
      <c r="CK101" s="1099"/>
      <c r="CL101" s="1100">
        <f>BEZ_Dim_27_CBM</f>
        <v>0</v>
      </c>
      <c r="CM101" s="1100"/>
      <c r="CN101" s="1100"/>
      <c r="CO101" s="1100"/>
      <c r="CP101" s="1100"/>
      <c r="CQ101" s="1100"/>
      <c r="CR101" s="1100"/>
      <c r="CS101" s="1100"/>
      <c r="CT101" s="1101">
        <f>BEZ_Dim_27_EuCBM</f>
        <v>0</v>
      </c>
      <c r="CU101" s="1101"/>
      <c r="CV101" s="1101"/>
      <c r="CW101" s="1101"/>
      <c r="CX101" s="1101"/>
      <c r="CY101" s="1101"/>
      <c r="CZ101" s="1101"/>
      <c r="DA101" s="1102">
        <f>BEZ_Dim_27_VAZ</f>
        <v>0</v>
      </c>
      <c r="DB101" s="1102"/>
      <c r="DC101" s="1102"/>
      <c r="DD101" s="1102"/>
      <c r="DE101" s="1093">
        <f>BEZ_Dim_27_EURKI</f>
        <v>0</v>
      </c>
      <c r="DF101" s="1093"/>
      <c r="DG101" s="1093"/>
      <c r="DH101" s="1093"/>
      <c r="DI101" s="1093"/>
      <c r="DJ101" s="1093"/>
      <c r="DK101" s="1093"/>
      <c r="DL101" s="1103"/>
      <c r="DM101" s="1103"/>
      <c r="DN101" s="1103"/>
      <c r="DO101" s="1108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</row>
    <row r="102" spans="1:130" ht="8.1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85">
        <v>28</v>
      </c>
      <c r="M102" s="1086"/>
      <c r="N102" s="1086"/>
      <c r="O102" s="1086"/>
      <c r="P102" s="1086">
        <f>BEZ_Dim_28_BG</f>
        <v>0</v>
      </c>
      <c r="Q102" s="1086"/>
      <c r="R102" s="1086"/>
      <c r="S102" s="1086"/>
      <c r="T102" s="1087">
        <f>BEZ_Dim_28_BT</f>
        <v>0</v>
      </c>
      <c r="U102" s="1087"/>
      <c r="V102" s="1087"/>
      <c r="W102" s="1087"/>
      <c r="X102" s="1087"/>
      <c r="Y102" s="1087"/>
      <c r="Z102" s="1087"/>
      <c r="AA102" s="1087"/>
      <c r="AB102" s="1087"/>
      <c r="AC102" s="1087"/>
      <c r="AD102" s="1087"/>
      <c r="AE102" s="1087"/>
      <c r="AF102" s="1087"/>
      <c r="AG102" s="1087"/>
      <c r="AH102" s="1087"/>
      <c r="AI102" s="1087"/>
      <c r="AJ102" s="1086">
        <f>BEZ_Dim_28_MG</f>
        <v>0</v>
      </c>
      <c r="AK102" s="1086"/>
      <c r="AL102" s="1086"/>
      <c r="AM102" s="354"/>
      <c r="AN102" s="353">
        <f>BEZ_Dim_28_MB</f>
        <v>0</v>
      </c>
      <c r="AO102" s="353"/>
      <c r="AP102" s="353"/>
      <c r="AQ102" s="353"/>
      <c r="AR102" s="353"/>
      <c r="AS102" s="353"/>
      <c r="AT102" s="353"/>
      <c r="AU102" s="353"/>
      <c r="AV102" s="353"/>
      <c r="AW102" s="353"/>
      <c r="AX102" s="353"/>
      <c r="AY102" s="353"/>
      <c r="AZ102" s="353"/>
      <c r="BA102" s="353"/>
      <c r="BB102" s="353"/>
      <c r="BC102" s="353"/>
      <c r="BD102" s="353"/>
      <c r="BE102" s="353"/>
      <c r="BF102" s="353"/>
      <c r="BG102" s="167"/>
      <c r="BH102" s="167"/>
      <c r="BI102" s="354"/>
      <c r="BJ102" s="1097">
        <f>BEZ_Dim_28_Anz</f>
        <v>0</v>
      </c>
      <c r="BK102" s="1097"/>
      <c r="BL102" s="1097"/>
      <c r="BM102" s="1097"/>
      <c r="BN102" s="355"/>
      <c r="BO102" s="1098">
        <f>BEZ_Dim_28_L</f>
        <v>0</v>
      </c>
      <c r="BP102" s="1098"/>
      <c r="BQ102" s="1098"/>
      <c r="BR102" s="1098"/>
      <c r="BS102" s="1098"/>
      <c r="BT102" s="1098"/>
      <c r="BU102" s="356"/>
      <c r="BV102" s="357"/>
      <c r="BW102" s="1099">
        <f>BEZ_Dim_28_B</f>
        <v>0</v>
      </c>
      <c r="BX102" s="1099"/>
      <c r="BY102" s="1099"/>
      <c r="BZ102" s="1099"/>
      <c r="CA102" s="1099"/>
      <c r="CB102" s="1099"/>
      <c r="CC102" s="1099"/>
      <c r="CD102" s="357"/>
      <c r="CE102" s="1099">
        <f>BEZ_Dim_28_H</f>
        <v>0</v>
      </c>
      <c r="CF102" s="1099"/>
      <c r="CG102" s="1099"/>
      <c r="CH102" s="1099"/>
      <c r="CI102" s="1099"/>
      <c r="CJ102" s="1099"/>
      <c r="CK102" s="1099"/>
      <c r="CL102" s="1100">
        <f>BEZ_Dim_28_CBM</f>
        <v>0</v>
      </c>
      <c r="CM102" s="1100"/>
      <c r="CN102" s="1100"/>
      <c r="CO102" s="1100"/>
      <c r="CP102" s="1100"/>
      <c r="CQ102" s="1100"/>
      <c r="CR102" s="1100"/>
      <c r="CS102" s="1100"/>
      <c r="CT102" s="1101">
        <f>BEZ_Dim_28_EuCBM</f>
        <v>0</v>
      </c>
      <c r="CU102" s="1101"/>
      <c r="CV102" s="1101"/>
      <c r="CW102" s="1101"/>
      <c r="CX102" s="1101"/>
      <c r="CY102" s="1101"/>
      <c r="CZ102" s="1101"/>
      <c r="DA102" s="1102">
        <f>BEZ_Dim_28_VAZ</f>
        <v>0</v>
      </c>
      <c r="DB102" s="1102"/>
      <c r="DC102" s="1102"/>
      <c r="DD102" s="1102"/>
      <c r="DE102" s="1093">
        <f>BEZ_Dim_28_EURKI</f>
        <v>0</v>
      </c>
      <c r="DF102" s="1093"/>
      <c r="DG102" s="1093"/>
      <c r="DH102" s="1093"/>
      <c r="DI102" s="1093"/>
      <c r="DJ102" s="1093"/>
      <c r="DK102" s="1093"/>
      <c r="DL102" s="1103"/>
      <c r="DM102" s="1103"/>
      <c r="DN102" s="1103"/>
      <c r="DO102" s="1108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</row>
    <row r="103" spans="1:130" ht="8.1" customHeight="1" x14ac:dyDescent="0.2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1085">
        <v>29</v>
      </c>
      <c r="M103" s="1086"/>
      <c r="N103" s="1086"/>
      <c r="O103" s="1086"/>
      <c r="P103" s="1086">
        <f>BEZ_Dim_29_BG</f>
        <v>0</v>
      </c>
      <c r="Q103" s="1086"/>
      <c r="R103" s="1086"/>
      <c r="S103" s="1086"/>
      <c r="T103" s="1087">
        <f>BEZ_Dim_29_BT</f>
        <v>0</v>
      </c>
      <c r="U103" s="1087"/>
      <c r="V103" s="1087"/>
      <c r="W103" s="1087"/>
      <c r="X103" s="1087"/>
      <c r="Y103" s="1087"/>
      <c r="Z103" s="1087"/>
      <c r="AA103" s="1087"/>
      <c r="AB103" s="1087"/>
      <c r="AC103" s="1087"/>
      <c r="AD103" s="1087"/>
      <c r="AE103" s="1087"/>
      <c r="AF103" s="1087"/>
      <c r="AG103" s="1087"/>
      <c r="AH103" s="1087"/>
      <c r="AI103" s="1087"/>
      <c r="AJ103" s="1086">
        <f>BEZ_Dim_29_MG</f>
        <v>0</v>
      </c>
      <c r="AK103" s="1086"/>
      <c r="AL103" s="1086"/>
      <c r="AM103" s="354"/>
      <c r="AN103" s="353">
        <f>BEZ_Dim_29_MB</f>
        <v>0</v>
      </c>
      <c r="AO103" s="353"/>
      <c r="AP103" s="353"/>
      <c r="AQ103" s="353"/>
      <c r="AR103" s="353"/>
      <c r="AS103" s="353"/>
      <c r="AT103" s="353"/>
      <c r="AU103" s="353"/>
      <c r="AV103" s="353"/>
      <c r="AW103" s="353"/>
      <c r="AX103" s="353"/>
      <c r="AY103" s="353"/>
      <c r="AZ103" s="353"/>
      <c r="BA103" s="353"/>
      <c r="BB103" s="353"/>
      <c r="BC103" s="353"/>
      <c r="BD103" s="353"/>
      <c r="BE103" s="353"/>
      <c r="BF103" s="353"/>
      <c r="BG103" s="167"/>
      <c r="BH103" s="167"/>
      <c r="BI103" s="354"/>
      <c r="BJ103" s="1097">
        <f>BEZ_Dim_29_Anz</f>
        <v>0</v>
      </c>
      <c r="BK103" s="1097"/>
      <c r="BL103" s="1097"/>
      <c r="BM103" s="1097"/>
      <c r="BN103" s="355"/>
      <c r="BO103" s="1098">
        <f>BEZ_Dim_29_L</f>
        <v>0</v>
      </c>
      <c r="BP103" s="1098"/>
      <c r="BQ103" s="1098"/>
      <c r="BR103" s="1098"/>
      <c r="BS103" s="1098"/>
      <c r="BT103" s="1098"/>
      <c r="BU103" s="356"/>
      <c r="BV103" s="357"/>
      <c r="BW103" s="1099">
        <f>BEZ_Dim_29_B</f>
        <v>0</v>
      </c>
      <c r="BX103" s="1099"/>
      <c r="BY103" s="1099"/>
      <c r="BZ103" s="1099"/>
      <c r="CA103" s="1099"/>
      <c r="CB103" s="1099"/>
      <c r="CC103" s="1099"/>
      <c r="CD103" s="357"/>
      <c r="CE103" s="1099">
        <f>BEZ_Dim_29_H</f>
        <v>0</v>
      </c>
      <c r="CF103" s="1099"/>
      <c r="CG103" s="1099"/>
      <c r="CH103" s="1099"/>
      <c r="CI103" s="1099"/>
      <c r="CJ103" s="1099"/>
      <c r="CK103" s="1099"/>
      <c r="CL103" s="1100">
        <f>BEZ_Dim_29_CBM</f>
        <v>0</v>
      </c>
      <c r="CM103" s="1100"/>
      <c r="CN103" s="1100"/>
      <c r="CO103" s="1100"/>
      <c r="CP103" s="1100"/>
      <c r="CQ103" s="1100"/>
      <c r="CR103" s="1100"/>
      <c r="CS103" s="1100"/>
      <c r="CT103" s="1101">
        <f>BEZ_Dim_29_EuCBM</f>
        <v>0</v>
      </c>
      <c r="CU103" s="1101"/>
      <c r="CV103" s="1101"/>
      <c r="CW103" s="1101"/>
      <c r="CX103" s="1101"/>
      <c r="CY103" s="1101"/>
      <c r="CZ103" s="1101"/>
      <c r="DA103" s="1102">
        <f>BEZ_Dim_29_VAZ</f>
        <v>0</v>
      </c>
      <c r="DB103" s="1102"/>
      <c r="DC103" s="1102"/>
      <c r="DD103" s="1102"/>
      <c r="DE103" s="1093">
        <f>BEZ_Dim_29_EURKI</f>
        <v>0</v>
      </c>
      <c r="DF103" s="1093"/>
      <c r="DG103" s="1093"/>
      <c r="DH103" s="1093"/>
      <c r="DI103" s="1093"/>
      <c r="DJ103" s="1093"/>
      <c r="DK103" s="1093"/>
      <c r="DL103" s="1103"/>
      <c r="DM103" s="1103"/>
      <c r="DN103" s="1103"/>
      <c r="DO103" s="1108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</row>
    <row r="104" spans="1:130" ht="8.1" customHeight="1" x14ac:dyDescent="0.2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1114">
        <v>30</v>
      </c>
      <c r="M104" s="1115"/>
      <c r="N104" s="1115"/>
      <c r="O104" s="1115"/>
      <c r="P104" s="1115">
        <f>BEZ_Dim_30_BG</f>
        <v>0</v>
      </c>
      <c r="Q104" s="1115"/>
      <c r="R104" s="1115"/>
      <c r="S104" s="1115"/>
      <c r="T104" s="1116">
        <f>BEZ_Dim_30_BT</f>
        <v>0</v>
      </c>
      <c r="U104" s="1116"/>
      <c r="V104" s="1116"/>
      <c r="W104" s="1116"/>
      <c r="X104" s="1116"/>
      <c r="Y104" s="1116"/>
      <c r="Z104" s="1116"/>
      <c r="AA104" s="1116"/>
      <c r="AB104" s="1116"/>
      <c r="AC104" s="1116"/>
      <c r="AD104" s="1116"/>
      <c r="AE104" s="1116"/>
      <c r="AF104" s="1116"/>
      <c r="AG104" s="1116"/>
      <c r="AH104" s="1116"/>
      <c r="AI104" s="1116"/>
      <c r="AJ104" s="1115">
        <f>BEZ_Dim_30_MG</f>
        <v>0</v>
      </c>
      <c r="AK104" s="1115"/>
      <c r="AL104" s="1115"/>
      <c r="AM104" s="359"/>
      <c r="AN104" s="358">
        <f>BEZ_Dim_30_MB</f>
        <v>0</v>
      </c>
      <c r="AO104" s="358"/>
      <c r="AP104" s="358"/>
      <c r="AQ104" s="358"/>
      <c r="AR104" s="358"/>
      <c r="AS104" s="358"/>
      <c r="AT104" s="358"/>
      <c r="AU104" s="358"/>
      <c r="AV104" s="358"/>
      <c r="AW104" s="358"/>
      <c r="AX104" s="358"/>
      <c r="AY104" s="358"/>
      <c r="AZ104" s="358"/>
      <c r="BA104" s="358"/>
      <c r="BB104" s="358"/>
      <c r="BC104" s="358"/>
      <c r="BD104" s="358"/>
      <c r="BE104" s="358"/>
      <c r="BF104" s="358"/>
      <c r="BG104" s="225"/>
      <c r="BH104" s="225"/>
      <c r="BI104" s="359"/>
      <c r="BJ104" s="1117">
        <f>BEZ_Dim_30_Anz</f>
        <v>0</v>
      </c>
      <c r="BK104" s="1117"/>
      <c r="BL104" s="1117"/>
      <c r="BM104" s="1117"/>
      <c r="BN104" s="360"/>
      <c r="BO104" s="1118">
        <f>BEZ_Dim_30_L</f>
        <v>0</v>
      </c>
      <c r="BP104" s="1118"/>
      <c r="BQ104" s="1118"/>
      <c r="BR104" s="1118"/>
      <c r="BS104" s="1118"/>
      <c r="BT104" s="1118"/>
      <c r="BU104" s="361"/>
      <c r="BV104" s="362"/>
      <c r="BW104" s="1119">
        <f>BEZ_Dim_30_B</f>
        <v>0</v>
      </c>
      <c r="BX104" s="1119"/>
      <c r="BY104" s="1119"/>
      <c r="BZ104" s="1119"/>
      <c r="CA104" s="1119"/>
      <c r="CB104" s="1119"/>
      <c r="CC104" s="1119"/>
      <c r="CD104" s="362"/>
      <c r="CE104" s="1119">
        <f>BEZ_Dim_30_H</f>
        <v>0</v>
      </c>
      <c r="CF104" s="1119"/>
      <c r="CG104" s="1119"/>
      <c r="CH104" s="1119"/>
      <c r="CI104" s="1119"/>
      <c r="CJ104" s="1119"/>
      <c r="CK104" s="1119"/>
      <c r="CL104" s="1120">
        <f>BEZ_Dim_30_CBM</f>
        <v>0</v>
      </c>
      <c r="CM104" s="1120"/>
      <c r="CN104" s="1120"/>
      <c r="CO104" s="1120"/>
      <c r="CP104" s="1120"/>
      <c r="CQ104" s="1120"/>
      <c r="CR104" s="1120"/>
      <c r="CS104" s="1120"/>
      <c r="CT104" s="1121">
        <f>BEZ_Dim_30_EuCBM</f>
        <v>0</v>
      </c>
      <c r="CU104" s="1121"/>
      <c r="CV104" s="1121"/>
      <c r="CW104" s="1121"/>
      <c r="CX104" s="1121"/>
      <c r="CY104" s="1121"/>
      <c r="CZ104" s="1121"/>
      <c r="DA104" s="1122">
        <f>BEZ_Dim_30_VAZ</f>
        <v>0</v>
      </c>
      <c r="DB104" s="1122"/>
      <c r="DC104" s="1122"/>
      <c r="DD104" s="1122"/>
      <c r="DE104" s="1109">
        <f>BEZ_Dim_30_EURKI</f>
        <v>0</v>
      </c>
      <c r="DF104" s="1109"/>
      <c r="DG104" s="1109"/>
      <c r="DH104" s="1109"/>
      <c r="DI104" s="1109"/>
      <c r="DJ104" s="1109"/>
      <c r="DK104" s="1109"/>
      <c r="DL104" s="1110"/>
      <c r="DM104" s="1110"/>
      <c r="DN104" s="1110"/>
      <c r="DO104" s="1111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</row>
    <row r="105" spans="1:130" ht="12.7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65" t="s">
        <v>195</v>
      </c>
      <c r="M105" s="1066"/>
      <c r="N105" s="1066"/>
      <c r="O105" s="1066"/>
      <c r="P105" s="1066"/>
      <c r="Q105" s="1066"/>
      <c r="R105" s="1066"/>
      <c r="S105" s="1066"/>
      <c r="T105" s="1066"/>
      <c r="U105" s="1066"/>
      <c r="V105" s="1066"/>
      <c r="W105" s="1066"/>
      <c r="X105" s="1066"/>
      <c r="Y105" s="1066"/>
      <c r="Z105" s="1066"/>
      <c r="AA105" s="1066"/>
      <c r="AB105" s="1066"/>
      <c r="AC105" s="1066"/>
      <c r="AD105" s="1066"/>
      <c r="AE105" s="1066"/>
      <c r="AF105" s="1066"/>
      <c r="AG105" s="1066"/>
      <c r="AH105" s="1066"/>
      <c r="AI105" s="1066"/>
      <c r="AJ105" s="1066"/>
      <c r="AK105" s="1066"/>
      <c r="AL105" s="1066"/>
      <c r="AM105" s="1066"/>
      <c r="AN105" s="1066"/>
      <c r="AO105" s="1066"/>
      <c r="AP105" s="1066"/>
      <c r="AQ105" s="1066"/>
      <c r="AR105" s="1066"/>
      <c r="AS105" s="1066"/>
      <c r="AT105" s="1066"/>
      <c r="AU105" s="1066"/>
      <c r="AV105" s="1066"/>
      <c r="AW105" s="1066"/>
      <c r="AX105" s="1066"/>
      <c r="AY105" s="1066"/>
      <c r="AZ105" s="1066"/>
      <c r="BA105" s="1066"/>
      <c r="BB105" s="1066"/>
      <c r="BC105" s="1066"/>
      <c r="BD105" s="1066"/>
      <c r="BE105" s="1066"/>
      <c r="BF105" s="1066"/>
      <c r="BG105" s="1066"/>
      <c r="BH105" s="1066"/>
      <c r="BI105" s="1066"/>
      <c r="BJ105" s="1066"/>
      <c r="BK105" s="1066"/>
      <c r="BL105" s="1066"/>
      <c r="BM105" s="1066"/>
      <c r="BN105" s="1066"/>
      <c r="BO105" s="1066"/>
      <c r="BP105" s="1066"/>
      <c r="BQ105" s="1066"/>
      <c r="BR105" s="1066"/>
      <c r="BS105" s="1066"/>
      <c r="BT105" s="1066"/>
      <c r="BU105" s="1066"/>
      <c r="BV105" s="1066"/>
      <c r="BW105" s="1066"/>
      <c r="BX105" s="1066"/>
      <c r="BY105" s="1066"/>
      <c r="BZ105" s="1066"/>
      <c r="CA105" s="1066"/>
      <c r="CB105" s="1066"/>
      <c r="CC105" s="1066"/>
      <c r="CD105" s="1066"/>
      <c r="CE105" s="1066"/>
      <c r="CF105" s="1066"/>
      <c r="CG105" s="1066"/>
      <c r="CH105" s="1066"/>
      <c r="CI105" s="1066"/>
      <c r="CJ105" s="1066"/>
      <c r="CK105" s="1066"/>
      <c r="CL105" s="1066"/>
      <c r="CM105" s="1066"/>
      <c r="CN105" s="1066"/>
      <c r="CO105" s="1066"/>
      <c r="CP105" s="1066"/>
      <c r="CQ105" s="1066"/>
      <c r="CR105" s="1066"/>
      <c r="CS105" s="1066"/>
      <c r="CT105" s="1066"/>
      <c r="CU105" s="1066"/>
      <c r="CV105" s="1066"/>
      <c r="CW105" s="1066"/>
      <c r="CX105" s="1066"/>
      <c r="CY105" s="1066"/>
      <c r="CZ105" s="1066"/>
      <c r="DA105" s="1066"/>
      <c r="DB105" s="1066"/>
      <c r="DC105" s="1066"/>
      <c r="DD105" s="1066"/>
      <c r="DE105" s="1066"/>
      <c r="DF105" s="1066"/>
      <c r="DG105" s="1066"/>
      <c r="DH105" s="1066"/>
      <c r="DI105" s="1066"/>
      <c r="DJ105" s="1066"/>
      <c r="DK105" s="1066"/>
      <c r="DL105" s="1066"/>
      <c r="DM105" s="1066"/>
      <c r="DN105" s="1066"/>
      <c r="DO105" s="1088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</row>
    <row r="106" spans="1:130" ht="15.7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90" t="s">
        <v>151</v>
      </c>
      <c r="M106" s="1091"/>
      <c r="N106" s="1091"/>
      <c r="O106" s="1091" t="s">
        <v>248</v>
      </c>
      <c r="P106" s="1091"/>
      <c r="Q106" s="1091"/>
      <c r="R106" s="1091"/>
      <c r="S106" s="1091"/>
      <c r="T106" s="1092" t="s">
        <v>197</v>
      </c>
      <c r="U106" s="1092"/>
      <c r="V106" s="1092"/>
      <c r="W106" s="1092"/>
      <c r="X106" s="1092"/>
      <c r="Y106" s="1092"/>
      <c r="Z106" s="1092"/>
      <c r="AA106" s="1092"/>
      <c r="AB106" s="1092"/>
      <c r="AC106" s="1092"/>
      <c r="AD106" s="1092"/>
      <c r="AE106" s="1092"/>
      <c r="AF106" s="1092"/>
      <c r="AG106" s="1092"/>
      <c r="AH106" s="1092"/>
      <c r="AI106" s="1092"/>
      <c r="AJ106" s="1092"/>
      <c r="AK106" s="1092"/>
      <c r="AL106" s="1092"/>
      <c r="AM106" s="1092"/>
      <c r="AN106" s="1092"/>
      <c r="AO106" s="1092"/>
      <c r="AP106" s="1092"/>
      <c r="AQ106" s="1092"/>
      <c r="AR106" s="1092"/>
      <c r="AS106" s="1092"/>
      <c r="AT106" s="1092"/>
      <c r="AU106" s="1092"/>
      <c r="AV106" s="1092"/>
      <c r="AW106" s="1092"/>
      <c r="AX106" s="1092"/>
      <c r="AY106" s="1092"/>
      <c r="AZ106" s="1112" t="s">
        <v>137</v>
      </c>
      <c r="BA106" s="1112"/>
      <c r="BB106" s="1112"/>
      <c r="BC106" s="1112"/>
      <c r="BD106" s="1112"/>
      <c r="BE106" s="1112"/>
      <c r="BF106" s="1112"/>
      <c r="BG106" s="1112" t="s">
        <v>249</v>
      </c>
      <c r="BH106" s="1112"/>
      <c r="BI106" s="1112"/>
      <c r="BJ106" s="1112"/>
      <c r="BK106" s="1112"/>
      <c r="BL106" s="1112"/>
      <c r="BM106" s="1112"/>
      <c r="BN106" s="1113" t="s">
        <v>73</v>
      </c>
      <c r="BO106" s="1113"/>
      <c r="BP106" s="1113"/>
      <c r="BQ106" s="1113"/>
      <c r="BR106" s="1113"/>
      <c r="BS106" s="1091" t="s">
        <v>390</v>
      </c>
      <c r="BT106" s="1091"/>
      <c r="BU106" s="1091"/>
      <c r="BV106" s="1091"/>
      <c r="BW106" s="1091"/>
      <c r="BX106" s="1091"/>
      <c r="BY106" s="1091"/>
      <c r="BZ106" s="1091" t="s">
        <v>391</v>
      </c>
      <c r="CA106" s="1091"/>
      <c r="CB106" s="1091"/>
      <c r="CC106" s="1091"/>
      <c r="CD106" s="1091"/>
      <c r="CE106" s="1091"/>
      <c r="CF106" s="1091"/>
      <c r="CG106" s="1091" t="s">
        <v>388</v>
      </c>
      <c r="CH106" s="1091"/>
      <c r="CI106" s="1091"/>
      <c r="CJ106" s="1091"/>
      <c r="CK106" s="1091"/>
      <c r="CL106" s="1091"/>
      <c r="CM106" s="1091"/>
      <c r="CN106" s="1091" t="s">
        <v>250</v>
      </c>
      <c r="CO106" s="1091"/>
      <c r="CP106" s="1091"/>
      <c r="CQ106" s="1091"/>
      <c r="CR106" s="1091"/>
      <c r="CS106" s="1091"/>
      <c r="CT106" s="1091"/>
      <c r="CU106" s="1091" t="s">
        <v>251</v>
      </c>
      <c r="CV106" s="1091"/>
      <c r="CW106" s="1091"/>
      <c r="CX106" s="1091"/>
      <c r="CY106" s="1091"/>
      <c r="CZ106" s="1091"/>
      <c r="DA106" s="1091"/>
      <c r="DB106" s="1091" t="s">
        <v>252</v>
      </c>
      <c r="DC106" s="1091"/>
      <c r="DD106" s="1091"/>
      <c r="DE106" s="1091"/>
      <c r="DF106" s="1091"/>
      <c r="DG106" s="1091"/>
      <c r="DH106" s="1091"/>
      <c r="DI106" s="1091" t="s">
        <v>72</v>
      </c>
      <c r="DJ106" s="1091"/>
      <c r="DK106" s="1091"/>
      <c r="DL106" s="1091"/>
      <c r="DM106" s="1091"/>
      <c r="DN106" s="1091"/>
      <c r="DO106" s="1131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</row>
    <row r="107" spans="1:130" ht="8.1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85">
        <v>1</v>
      </c>
      <c r="M107" s="1086"/>
      <c r="N107" s="1086"/>
      <c r="O107" s="1127" t="str">
        <f>IF(AZ107=0,"",BEZ_Hilf_1_ACode)</f>
        <v>10001927</v>
      </c>
      <c r="P107" s="1127"/>
      <c r="Q107" s="1127"/>
      <c r="R107" s="1127"/>
      <c r="S107" s="1127"/>
      <c r="T107" s="1128" t="str">
        <f>IF(AZ107=0,"",BEZ_Hilf_1_Bez)</f>
        <v>Nägel - NAG Nägel COI   22x50 Rundkopf</v>
      </c>
      <c r="U107" s="1128"/>
      <c r="V107" s="1128"/>
      <c r="W107" s="1128"/>
      <c r="X107" s="1128"/>
      <c r="Y107" s="1128"/>
      <c r="Z107" s="1128"/>
      <c r="AA107" s="1128"/>
      <c r="AB107" s="1128"/>
      <c r="AC107" s="1128"/>
      <c r="AD107" s="1128"/>
      <c r="AE107" s="1128"/>
      <c r="AF107" s="1128"/>
      <c r="AG107" s="1128"/>
      <c r="AH107" s="1128"/>
      <c r="AI107" s="1128"/>
      <c r="AJ107" s="1128"/>
      <c r="AK107" s="1128"/>
      <c r="AL107" s="1128"/>
      <c r="AM107" s="1128"/>
      <c r="AN107" s="1128"/>
      <c r="AO107" s="1128"/>
      <c r="AP107" s="1128"/>
      <c r="AQ107" s="1128"/>
      <c r="AR107" s="1128"/>
      <c r="AS107" s="1128"/>
      <c r="AT107" s="1128"/>
      <c r="AU107" s="1128"/>
      <c r="AV107" s="1128"/>
      <c r="AW107" s="1128"/>
      <c r="AX107" s="1128"/>
      <c r="AY107" s="1128"/>
      <c r="AZ107" s="1129">
        <f>BEZ_Hilf_1_Anz</f>
        <v>201.77599999999998</v>
      </c>
      <c r="BA107" s="1129"/>
      <c r="BB107" s="1129"/>
      <c r="BC107" s="1129"/>
      <c r="BD107" s="1129"/>
      <c r="BE107" s="1129"/>
      <c r="BF107" s="1129"/>
      <c r="BG107" s="1129">
        <f>BEZ_Hilf_1_AnzBA</f>
        <v>201.77599999999998</v>
      </c>
      <c r="BH107" s="1129"/>
      <c r="BI107" s="1129"/>
      <c r="BJ107" s="1129"/>
      <c r="BK107" s="1129"/>
      <c r="BL107" s="1129"/>
      <c r="BM107" s="1129"/>
      <c r="BN107" s="1130" t="str">
        <f>IF(AZ107=0,"",BEZ_Hilf_1_EH)</f>
        <v>Stück</v>
      </c>
      <c r="BO107" s="1130"/>
      <c r="BP107" s="1130"/>
      <c r="BQ107" s="1130"/>
      <c r="BR107" s="1130"/>
      <c r="BS107" s="1123">
        <f>BEZ_Hilf_1_EHPreis</f>
        <v>6.0000000000000001E-3</v>
      </c>
      <c r="BT107" s="1123"/>
      <c r="BU107" s="1123"/>
      <c r="BV107" s="1123"/>
      <c r="BW107" s="1123"/>
      <c r="BX107" s="1123"/>
      <c r="BY107" s="1123"/>
      <c r="BZ107" s="1099">
        <f>BEZ_Hilf_1_GKZ</f>
        <v>10</v>
      </c>
      <c r="CA107" s="1132"/>
      <c r="CB107" s="1132"/>
      <c r="CC107" s="1132"/>
      <c r="CD107" s="1132"/>
      <c r="CE107" s="1132"/>
      <c r="CF107" s="1132"/>
      <c r="CG107" s="1133">
        <f>IF(AZ107=0,"",BEZ_Hilf_1_EHPreis*((BEZ_Hilf_1_GKZ+100)/100))</f>
        <v>6.6000000000000008E-3</v>
      </c>
      <c r="CH107" s="1133"/>
      <c r="CI107" s="1133"/>
      <c r="CJ107" s="1133"/>
      <c r="CK107" s="1133"/>
      <c r="CL107" s="1133"/>
      <c r="CM107" s="1133"/>
      <c r="CN107" s="1123">
        <f>IF(AZ107=0,"",BEZ_Hilf_1_PreisJeKiste)</f>
        <v>1.3317216000000001</v>
      </c>
      <c r="CO107" s="1123"/>
      <c r="CP107" s="1123"/>
      <c r="CQ107" s="1123"/>
      <c r="CR107" s="1123"/>
      <c r="CS107" s="1123"/>
      <c r="CT107" s="1123"/>
      <c r="CU107" s="1124">
        <f>IF(AZ107=0,"",BEZ_Hilf_1_PreisJeBA)</f>
        <v>1.3317216000000001</v>
      </c>
      <c r="CV107" s="1124"/>
      <c r="CW107" s="1124"/>
      <c r="CX107" s="1124"/>
      <c r="CY107" s="1124"/>
      <c r="CZ107" s="1124"/>
      <c r="DA107" s="1124"/>
      <c r="DB107" s="1124">
        <f>IF(AZ107=0,"",BEZ_Hilf_1_gJeEH)</f>
        <v>0</v>
      </c>
      <c r="DC107" s="1124"/>
      <c r="DD107" s="1124"/>
      <c r="DE107" s="1124"/>
      <c r="DF107" s="1124"/>
      <c r="DG107" s="1124"/>
      <c r="DH107" s="1124"/>
      <c r="DI107" s="1125">
        <f>IF(AZ107=0,"",BEZ_Hilf_1_gJeKiste)</f>
        <v>0</v>
      </c>
      <c r="DJ107" s="1125"/>
      <c r="DK107" s="1125"/>
      <c r="DL107" s="1125"/>
      <c r="DM107" s="1125"/>
      <c r="DN107" s="1125"/>
      <c r="DO107" s="1126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</row>
    <row r="108" spans="1:130" ht="8.1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85">
        <v>2</v>
      </c>
      <c r="M108" s="1086"/>
      <c r="N108" s="1086"/>
      <c r="O108" s="1127" t="str">
        <f>IF(AZ108=0,"",BEZ_Hilf_2_ACode)</f>
        <v/>
      </c>
      <c r="P108" s="1127"/>
      <c r="Q108" s="1127"/>
      <c r="R108" s="1127"/>
      <c r="S108" s="1127"/>
      <c r="T108" s="1128" t="str">
        <f>IF(AZ108=0,"",BEZ_Hilf_2_Bez)</f>
        <v/>
      </c>
      <c r="U108" s="1128"/>
      <c r="V108" s="1128"/>
      <c r="W108" s="1128"/>
      <c r="X108" s="1128"/>
      <c r="Y108" s="1128"/>
      <c r="Z108" s="1128"/>
      <c r="AA108" s="1128"/>
      <c r="AB108" s="1128"/>
      <c r="AC108" s="1128"/>
      <c r="AD108" s="1128"/>
      <c r="AE108" s="1128"/>
      <c r="AF108" s="1128"/>
      <c r="AG108" s="1128"/>
      <c r="AH108" s="1128"/>
      <c r="AI108" s="1128"/>
      <c r="AJ108" s="1128"/>
      <c r="AK108" s="1128"/>
      <c r="AL108" s="1128"/>
      <c r="AM108" s="1128"/>
      <c r="AN108" s="1128"/>
      <c r="AO108" s="1128"/>
      <c r="AP108" s="1128"/>
      <c r="AQ108" s="1128"/>
      <c r="AR108" s="1128"/>
      <c r="AS108" s="1128"/>
      <c r="AT108" s="1128"/>
      <c r="AU108" s="1128"/>
      <c r="AV108" s="1128"/>
      <c r="AW108" s="1128"/>
      <c r="AX108" s="1128"/>
      <c r="AY108" s="1128"/>
      <c r="AZ108" s="1129">
        <f>BEZ_Hilf_2_Anz</f>
        <v>0</v>
      </c>
      <c r="BA108" s="1129"/>
      <c r="BB108" s="1129"/>
      <c r="BC108" s="1129"/>
      <c r="BD108" s="1129"/>
      <c r="BE108" s="1129"/>
      <c r="BF108" s="1129"/>
      <c r="BG108" s="1129">
        <f>BEZ_Hilf_2_AnzBA</f>
        <v>0</v>
      </c>
      <c r="BH108" s="1129"/>
      <c r="BI108" s="1129"/>
      <c r="BJ108" s="1129"/>
      <c r="BK108" s="1129"/>
      <c r="BL108" s="1129"/>
      <c r="BM108" s="1129"/>
      <c r="BN108" s="1130" t="str">
        <f>IF(AZ108=0,"",BEZ_Hilf_2_EH)</f>
        <v/>
      </c>
      <c r="BO108" s="1130"/>
      <c r="BP108" s="1130"/>
      <c r="BQ108" s="1130"/>
      <c r="BR108" s="1130"/>
      <c r="BS108" s="1123">
        <f>BEZ_Hilf_2_EHPreis</f>
        <v>6.5000000000000002E-2</v>
      </c>
      <c r="BT108" s="1123"/>
      <c r="BU108" s="1123"/>
      <c r="BV108" s="1123"/>
      <c r="BW108" s="1123"/>
      <c r="BX108" s="1123"/>
      <c r="BY108" s="1123"/>
      <c r="BZ108" s="1099">
        <f>BEZ_Hilf_2_GKZ</f>
        <v>10</v>
      </c>
      <c r="CA108" s="1132"/>
      <c r="CB108" s="1132"/>
      <c r="CC108" s="1132"/>
      <c r="CD108" s="1132"/>
      <c r="CE108" s="1132"/>
      <c r="CF108" s="1132"/>
      <c r="CG108" s="1133" t="str">
        <f>IF(AZ108=0,"",BEZ_Hilf_2_EHPreis*((BEZ_Hilf_2_GKZ+100)/100))</f>
        <v/>
      </c>
      <c r="CH108" s="1133"/>
      <c r="CI108" s="1133"/>
      <c r="CJ108" s="1133"/>
      <c r="CK108" s="1133"/>
      <c r="CL108" s="1133"/>
      <c r="CM108" s="1133"/>
      <c r="CN108" s="1123" t="str">
        <f>IF(AZ108=0,"",BEZ_Hilf_2_PreisJeKiste)</f>
        <v/>
      </c>
      <c r="CO108" s="1123"/>
      <c r="CP108" s="1123"/>
      <c r="CQ108" s="1123"/>
      <c r="CR108" s="1123"/>
      <c r="CS108" s="1123"/>
      <c r="CT108" s="1123"/>
      <c r="CU108" s="1124" t="str">
        <f>IF(AZ108=0,"",BEZ_Hilf_2_PreisJeBA)</f>
        <v/>
      </c>
      <c r="CV108" s="1124"/>
      <c r="CW108" s="1124"/>
      <c r="CX108" s="1124"/>
      <c r="CY108" s="1124"/>
      <c r="CZ108" s="1124"/>
      <c r="DA108" s="1124"/>
      <c r="DB108" s="1124" t="str">
        <f>IF(AZ108=0,"",BEZ_Hilf_2_gJeEH)</f>
        <v/>
      </c>
      <c r="DC108" s="1124"/>
      <c r="DD108" s="1124"/>
      <c r="DE108" s="1124"/>
      <c r="DF108" s="1124"/>
      <c r="DG108" s="1124"/>
      <c r="DH108" s="1124"/>
      <c r="DI108" s="1125" t="str">
        <f>IF(AZ108=0,"",BEZ_Hilf_2_gJeKiste)</f>
        <v/>
      </c>
      <c r="DJ108" s="1125"/>
      <c r="DK108" s="1125"/>
      <c r="DL108" s="1125"/>
      <c r="DM108" s="1125"/>
      <c r="DN108" s="1125"/>
      <c r="DO108" s="1126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</row>
    <row r="109" spans="1:130" ht="8.1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85">
        <v>3</v>
      </c>
      <c r="M109" s="1086"/>
      <c r="N109" s="1086"/>
      <c r="O109" s="1127" t="str">
        <f>IF(AZ109=0,"",BEZ_Hilf_3_ACode)</f>
        <v/>
      </c>
      <c r="P109" s="1127"/>
      <c r="Q109" s="1127"/>
      <c r="R109" s="1127"/>
      <c r="S109" s="1127"/>
      <c r="T109" s="1128" t="str">
        <f>IF(AZ109=0,"",BEZ_Hilf_3_Bez)</f>
        <v/>
      </c>
      <c r="U109" s="1128"/>
      <c r="V109" s="1128"/>
      <c r="W109" s="1128"/>
      <c r="X109" s="1128"/>
      <c r="Y109" s="1128"/>
      <c r="Z109" s="1128"/>
      <c r="AA109" s="1128"/>
      <c r="AB109" s="1128"/>
      <c r="AC109" s="1128"/>
      <c r="AD109" s="1128"/>
      <c r="AE109" s="1128"/>
      <c r="AF109" s="1128"/>
      <c r="AG109" s="1128"/>
      <c r="AH109" s="1128"/>
      <c r="AI109" s="1128"/>
      <c r="AJ109" s="1128"/>
      <c r="AK109" s="1128"/>
      <c r="AL109" s="1128"/>
      <c r="AM109" s="1128"/>
      <c r="AN109" s="1128"/>
      <c r="AO109" s="1128"/>
      <c r="AP109" s="1128"/>
      <c r="AQ109" s="1128"/>
      <c r="AR109" s="1128"/>
      <c r="AS109" s="1128"/>
      <c r="AT109" s="1128"/>
      <c r="AU109" s="1128"/>
      <c r="AV109" s="1128"/>
      <c r="AW109" s="1128"/>
      <c r="AX109" s="1128"/>
      <c r="AY109" s="1128"/>
      <c r="AZ109" s="1129">
        <f>BEZ_Hilf_3_Anz</f>
        <v>0</v>
      </c>
      <c r="BA109" s="1129"/>
      <c r="BB109" s="1129"/>
      <c r="BC109" s="1129"/>
      <c r="BD109" s="1129"/>
      <c r="BE109" s="1129"/>
      <c r="BF109" s="1129"/>
      <c r="BG109" s="1129">
        <f>BEZ_Hilf_3_AnzBA</f>
        <v>0</v>
      </c>
      <c r="BH109" s="1129"/>
      <c r="BI109" s="1129"/>
      <c r="BJ109" s="1129"/>
      <c r="BK109" s="1129"/>
      <c r="BL109" s="1129"/>
      <c r="BM109" s="1129"/>
      <c r="BN109" s="1130" t="str">
        <f>IF(AZ109=0,"",BEZ_Hilf_3_EH)</f>
        <v/>
      </c>
      <c r="BO109" s="1130"/>
      <c r="BP109" s="1130"/>
      <c r="BQ109" s="1130"/>
      <c r="BR109" s="1130"/>
      <c r="BS109" s="1123">
        <f>BEZ_Hilf_3_EHPreis</f>
        <v>0</v>
      </c>
      <c r="BT109" s="1123"/>
      <c r="BU109" s="1123"/>
      <c r="BV109" s="1123"/>
      <c r="BW109" s="1123"/>
      <c r="BX109" s="1123"/>
      <c r="BY109" s="1123"/>
      <c r="BZ109" s="1099">
        <f>BEZ_Hilf_3_GKZ</f>
        <v>0</v>
      </c>
      <c r="CA109" s="1132"/>
      <c r="CB109" s="1132"/>
      <c r="CC109" s="1132"/>
      <c r="CD109" s="1132"/>
      <c r="CE109" s="1132"/>
      <c r="CF109" s="1132"/>
      <c r="CG109" s="1133" t="str">
        <f>IF(AZ109=0,"",BEZ_Hilf_3_EHPreis*((BEZ_Hilf_3_GKZ+100)/100))</f>
        <v/>
      </c>
      <c r="CH109" s="1133"/>
      <c r="CI109" s="1133"/>
      <c r="CJ109" s="1133"/>
      <c r="CK109" s="1133"/>
      <c r="CL109" s="1133"/>
      <c r="CM109" s="1133"/>
      <c r="CN109" s="1123" t="str">
        <f>IF(AZ109=0,"",BEZ_Hilf_3_PreisJeKiste)</f>
        <v/>
      </c>
      <c r="CO109" s="1123"/>
      <c r="CP109" s="1123"/>
      <c r="CQ109" s="1123"/>
      <c r="CR109" s="1123"/>
      <c r="CS109" s="1123"/>
      <c r="CT109" s="1123"/>
      <c r="CU109" s="1124" t="str">
        <f>IF(AZ109=0,"",BEZ_Hilf_3_PreisJeBA)</f>
        <v/>
      </c>
      <c r="CV109" s="1124"/>
      <c r="CW109" s="1124"/>
      <c r="CX109" s="1124"/>
      <c r="CY109" s="1124"/>
      <c r="CZ109" s="1124"/>
      <c r="DA109" s="1124"/>
      <c r="DB109" s="1124" t="str">
        <f>IF(AZ109=0,"",BEZ_Hilf_3_gJeEH)</f>
        <v/>
      </c>
      <c r="DC109" s="1124"/>
      <c r="DD109" s="1124"/>
      <c r="DE109" s="1124"/>
      <c r="DF109" s="1124"/>
      <c r="DG109" s="1124"/>
      <c r="DH109" s="1124"/>
      <c r="DI109" s="1125" t="str">
        <f>IF(AZ109=0,"",BEZ_Hilf_3_gJeKiste)</f>
        <v/>
      </c>
      <c r="DJ109" s="1125"/>
      <c r="DK109" s="1125"/>
      <c r="DL109" s="1125"/>
      <c r="DM109" s="1125"/>
      <c r="DN109" s="1125"/>
      <c r="DO109" s="1126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</row>
    <row r="110" spans="1:130" ht="8.1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85">
        <v>4</v>
      </c>
      <c r="M110" s="1086"/>
      <c r="N110" s="1086"/>
      <c r="O110" s="1127" t="str">
        <f>IF(AZ110=0,"",BEZ_Hilf_4_ACode)</f>
        <v/>
      </c>
      <c r="P110" s="1127"/>
      <c r="Q110" s="1127"/>
      <c r="R110" s="1127"/>
      <c r="S110" s="1127"/>
      <c r="T110" s="1128" t="str">
        <f>IF(AZ110=0,"",BEZ_Hilf_4_Bez)</f>
        <v/>
      </c>
      <c r="U110" s="1128"/>
      <c r="V110" s="1128"/>
      <c r="W110" s="1128"/>
      <c r="X110" s="1128"/>
      <c r="Y110" s="1128"/>
      <c r="Z110" s="1128"/>
      <c r="AA110" s="1128"/>
      <c r="AB110" s="1128"/>
      <c r="AC110" s="1128"/>
      <c r="AD110" s="1128"/>
      <c r="AE110" s="1128"/>
      <c r="AF110" s="1128"/>
      <c r="AG110" s="1128"/>
      <c r="AH110" s="1128"/>
      <c r="AI110" s="1128"/>
      <c r="AJ110" s="1128"/>
      <c r="AK110" s="1128"/>
      <c r="AL110" s="1128"/>
      <c r="AM110" s="1128"/>
      <c r="AN110" s="1128"/>
      <c r="AO110" s="1128"/>
      <c r="AP110" s="1128"/>
      <c r="AQ110" s="1128"/>
      <c r="AR110" s="1128"/>
      <c r="AS110" s="1128"/>
      <c r="AT110" s="1128"/>
      <c r="AU110" s="1128"/>
      <c r="AV110" s="1128"/>
      <c r="AW110" s="1128"/>
      <c r="AX110" s="1128"/>
      <c r="AY110" s="1128"/>
      <c r="AZ110" s="1129">
        <f>BEZ_Hilf_4_Anz</f>
        <v>0</v>
      </c>
      <c r="BA110" s="1129"/>
      <c r="BB110" s="1129"/>
      <c r="BC110" s="1129"/>
      <c r="BD110" s="1129"/>
      <c r="BE110" s="1129"/>
      <c r="BF110" s="1129"/>
      <c r="BG110" s="1129">
        <f>BEZ_Hilf_4_AnzBA</f>
        <v>0</v>
      </c>
      <c r="BH110" s="1129"/>
      <c r="BI110" s="1129"/>
      <c r="BJ110" s="1129"/>
      <c r="BK110" s="1129"/>
      <c r="BL110" s="1129"/>
      <c r="BM110" s="1129"/>
      <c r="BN110" s="1130" t="str">
        <f>IF(AZ110=0,"",BEZ_Hilf_4_EH)</f>
        <v/>
      </c>
      <c r="BO110" s="1130"/>
      <c r="BP110" s="1130"/>
      <c r="BQ110" s="1130"/>
      <c r="BR110" s="1130"/>
      <c r="BS110" s="1123">
        <f>BEZ_Hilf_4_EHPreis</f>
        <v>0</v>
      </c>
      <c r="BT110" s="1123"/>
      <c r="BU110" s="1123"/>
      <c r="BV110" s="1123"/>
      <c r="BW110" s="1123"/>
      <c r="BX110" s="1123"/>
      <c r="BY110" s="1123"/>
      <c r="BZ110" s="1099">
        <f>BEZ_Hilf_4_GKZ</f>
        <v>0</v>
      </c>
      <c r="CA110" s="1132"/>
      <c r="CB110" s="1132"/>
      <c r="CC110" s="1132"/>
      <c r="CD110" s="1132"/>
      <c r="CE110" s="1132"/>
      <c r="CF110" s="1132"/>
      <c r="CG110" s="1133" t="str">
        <f>IF(AZ110=0,"",BEZ_Hilf_4_EHPreis*((BEZ_Hilf_4_GKZ+100)/100))</f>
        <v/>
      </c>
      <c r="CH110" s="1133"/>
      <c r="CI110" s="1133"/>
      <c r="CJ110" s="1133"/>
      <c r="CK110" s="1133"/>
      <c r="CL110" s="1133"/>
      <c r="CM110" s="1133"/>
      <c r="CN110" s="1123" t="str">
        <f>IF(AZ110=0,"",BEZ_Hilf_4_PreisJeKiste)</f>
        <v/>
      </c>
      <c r="CO110" s="1123"/>
      <c r="CP110" s="1123"/>
      <c r="CQ110" s="1123"/>
      <c r="CR110" s="1123"/>
      <c r="CS110" s="1123"/>
      <c r="CT110" s="1123"/>
      <c r="CU110" s="1124" t="str">
        <f>IF(AZ110=0,"",BEZ_Hilf_4_PreisJeBA)</f>
        <v/>
      </c>
      <c r="CV110" s="1124"/>
      <c r="CW110" s="1124"/>
      <c r="CX110" s="1124"/>
      <c r="CY110" s="1124"/>
      <c r="CZ110" s="1124"/>
      <c r="DA110" s="1124"/>
      <c r="DB110" s="1124" t="str">
        <f>IF(AZ110=0,"",BEZ_Hilf_4_gJeEH)</f>
        <v/>
      </c>
      <c r="DC110" s="1124"/>
      <c r="DD110" s="1124"/>
      <c r="DE110" s="1124"/>
      <c r="DF110" s="1124"/>
      <c r="DG110" s="1124"/>
      <c r="DH110" s="1124"/>
      <c r="DI110" s="1125" t="str">
        <f>IF(AZ110=0,"",BEZ_Hilf_4_gJeKiste)</f>
        <v/>
      </c>
      <c r="DJ110" s="1125"/>
      <c r="DK110" s="1125"/>
      <c r="DL110" s="1125"/>
      <c r="DM110" s="1125"/>
      <c r="DN110" s="1125"/>
      <c r="DO110" s="1126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</row>
    <row r="111" spans="1:130" ht="8.1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1085">
        <v>5</v>
      </c>
      <c r="M111" s="1086"/>
      <c r="N111" s="1086"/>
      <c r="O111" s="1127" t="str">
        <f>IF(AZ111=0,"",BEZ_Hilf_5_ACode)</f>
        <v/>
      </c>
      <c r="P111" s="1127"/>
      <c r="Q111" s="1127"/>
      <c r="R111" s="1127"/>
      <c r="S111" s="1127"/>
      <c r="T111" s="1128" t="str">
        <f>IF(AZ111=0,"",BEZ_Hilf_5_Bez)</f>
        <v/>
      </c>
      <c r="U111" s="1128"/>
      <c r="V111" s="1128"/>
      <c r="W111" s="1128"/>
      <c r="X111" s="1128"/>
      <c r="Y111" s="1128"/>
      <c r="Z111" s="1128"/>
      <c r="AA111" s="1128"/>
      <c r="AB111" s="1128"/>
      <c r="AC111" s="1128"/>
      <c r="AD111" s="1128"/>
      <c r="AE111" s="1128"/>
      <c r="AF111" s="1128"/>
      <c r="AG111" s="1128"/>
      <c r="AH111" s="1128"/>
      <c r="AI111" s="1128"/>
      <c r="AJ111" s="1128"/>
      <c r="AK111" s="1128"/>
      <c r="AL111" s="1128"/>
      <c r="AM111" s="1128"/>
      <c r="AN111" s="1128"/>
      <c r="AO111" s="1128"/>
      <c r="AP111" s="1128"/>
      <c r="AQ111" s="1128"/>
      <c r="AR111" s="1128"/>
      <c r="AS111" s="1128"/>
      <c r="AT111" s="1128"/>
      <c r="AU111" s="1128"/>
      <c r="AV111" s="1128"/>
      <c r="AW111" s="1128"/>
      <c r="AX111" s="1128"/>
      <c r="AY111" s="1128"/>
      <c r="AZ111" s="1129">
        <f>BEZ_Hilf_5_Anz</f>
        <v>0</v>
      </c>
      <c r="BA111" s="1129"/>
      <c r="BB111" s="1129"/>
      <c r="BC111" s="1129"/>
      <c r="BD111" s="1129"/>
      <c r="BE111" s="1129"/>
      <c r="BF111" s="1129"/>
      <c r="BG111" s="1129">
        <f>BEZ_Hilf_5_AnzBA</f>
        <v>0</v>
      </c>
      <c r="BH111" s="1129"/>
      <c r="BI111" s="1129"/>
      <c r="BJ111" s="1129"/>
      <c r="BK111" s="1129"/>
      <c r="BL111" s="1129"/>
      <c r="BM111" s="1129"/>
      <c r="BN111" s="1130" t="str">
        <f>IF(AZ111=0,"",BEZ_Hilf_5_EH)</f>
        <v/>
      </c>
      <c r="BO111" s="1130"/>
      <c r="BP111" s="1130"/>
      <c r="BQ111" s="1130"/>
      <c r="BR111" s="1130"/>
      <c r="BS111" s="1123">
        <f>BEZ_Hilf_5_EHPreis</f>
        <v>0</v>
      </c>
      <c r="BT111" s="1123"/>
      <c r="BU111" s="1123"/>
      <c r="BV111" s="1123"/>
      <c r="BW111" s="1123"/>
      <c r="BX111" s="1123"/>
      <c r="BY111" s="1123"/>
      <c r="BZ111" s="1099">
        <f>BEZ_Hilf_5_GKZ</f>
        <v>0</v>
      </c>
      <c r="CA111" s="1132"/>
      <c r="CB111" s="1132"/>
      <c r="CC111" s="1132"/>
      <c r="CD111" s="1132"/>
      <c r="CE111" s="1132"/>
      <c r="CF111" s="1132"/>
      <c r="CG111" s="1133" t="str">
        <f>IF(AZ111=0,"",BEZ_Hilf_5_EHPreis*((BEZ_Hilf_5_GKZ+100)/100))</f>
        <v/>
      </c>
      <c r="CH111" s="1133"/>
      <c r="CI111" s="1133"/>
      <c r="CJ111" s="1133"/>
      <c r="CK111" s="1133"/>
      <c r="CL111" s="1133"/>
      <c r="CM111" s="1133"/>
      <c r="CN111" s="1123" t="str">
        <f>IF(AZ111=0,"",BEZ_Hilf_5_PreisJeKiste)</f>
        <v/>
      </c>
      <c r="CO111" s="1123"/>
      <c r="CP111" s="1123"/>
      <c r="CQ111" s="1123"/>
      <c r="CR111" s="1123"/>
      <c r="CS111" s="1123"/>
      <c r="CT111" s="1123"/>
      <c r="CU111" s="1124" t="str">
        <f>IF(AZ111=0,"",BEZ_Hilf_5_PreisJeBA)</f>
        <v/>
      </c>
      <c r="CV111" s="1124"/>
      <c r="CW111" s="1124"/>
      <c r="CX111" s="1124"/>
      <c r="CY111" s="1124"/>
      <c r="CZ111" s="1124"/>
      <c r="DA111" s="1124"/>
      <c r="DB111" s="1124" t="str">
        <f>IF(AZ111=0,"",BEZ_Hilf_5_gJeEH)</f>
        <v/>
      </c>
      <c r="DC111" s="1124"/>
      <c r="DD111" s="1124"/>
      <c r="DE111" s="1124"/>
      <c r="DF111" s="1124"/>
      <c r="DG111" s="1124"/>
      <c r="DH111" s="1124"/>
      <c r="DI111" s="1125" t="str">
        <f>IF(AZ111=0,"",BEZ_Hilf_5_gJeKiste)</f>
        <v/>
      </c>
      <c r="DJ111" s="1125"/>
      <c r="DK111" s="1125"/>
      <c r="DL111" s="1125"/>
      <c r="DM111" s="1125"/>
      <c r="DN111" s="1125"/>
      <c r="DO111" s="1126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</row>
    <row r="112" spans="1:130" ht="8.1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1085">
        <v>6</v>
      </c>
      <c r="M112" s="1086"/>
      <c r="N112" s="1086"/>
      <c r="O112" s="1127" t="str">
        <f>IF(AZ112=0,"",BEZ_Hilf_6_ACode)</f>
        <v/>
      </c>
      <c r="P112" s="1127"/>
      <c r="Q112" s="1127"/>
      <c r="R112" s="1127"/>
      <c r="S112" s="1127"/>
      <c r="T112" s="1087" t="str">
        <f>IF(AZ112=0,"",BEZ_Hilf_6_Bez)</f>
        <v/>
      </c>
      <c r="U112" s="1087"/>
      <c r="V112" s="1087"/>
      <c r="W112" s="1087"/>
      <c r="X112" s="1087"/>
      <c r="Y112" s="1087"/>
      <c r="Z112" s="1087"/>
      <c r="AA112" s="1087"/>
      <c r="AB112" s="1087"/>
      <c r="AC112" s="1087"/>
      <c r="AD112" s="1087"/>
      <c r="AE112" s="1087"/>
      <c r="AF112" s="1087"/>
      <c r="AG112" s="1087"/>
      <c r="AH112" s="1087"/>
      <c r="AI112" s="1087"/>
      <c r="AJ112" s="1087"/>
      <c r="AK112" s="1087"/>
      <c r="AL112" s="1087"/>
      <c r="AM112" s="1087"/>
      <c r="AN112" s="1087"/>
      <c r="AO112" s="1087"/>
      <c r="AP112" s="1087"/>
      <c r="AQ112" s="1087"/>
      <c r="AR112" s="1087"/>
      <c r="AS112" s="1087"/>
      <c r="AT112" s="1087"/>
      <c r="AU112" s="1087"/>
      <c r="AV112" s="1087"/>
      <c r="AW112" s="1087"/>
      <c r="AX112" s="1087"/>
      <c r="AY112" s="1087"/>
      <c r="AZ112" s="1129">
        <f>BEZ_Hilf_6_Anz</f>
        <v>0</v>
      </c>
      <c r="BA112" s="1129"/>
      <c r="BB112" s="1129"/>
      <c r="BC112" s="1129"/>
      <c r="BD112" s="1129"/>
      <c r="BE112" s="1129"/>
      <c r="BF112" s="1129"/>
      <c r="BG112" s="1129">
        <f>BEZ_Hilf_6_AnzBA</f>
        <v>0</v>
      </c>
      <c r="BH112" s="1129"/>
      <c r="BI112" s="1129"/>
      <c r="BJ112" s="1129"/>
      <c r="BK112" s="1129"/>
      <c r="BL112" s="1129"/>
      <c r="BM112" s="1129"/>
      <c r="BN112" s="1130" t="str">
        <f>IF(AZ112=0,"",BEZ_Hilf_6_EH)</f>
        <v/>
      </c>
      <c r="BO112" s="1130"/>
      <c r="BP112" s="1130"/>
      <c r="BQ112" s="1130"/>
      <c r="BR112" s="1130"/>
      <c r="BS112" s="1123">
        <f>BEZ_Hilf_6_EHPreis</f>
        <v>0</v>
      </c>
      <c r="BT112" s="1123"/>
      <c r="BU112" s="1123"/>
      <c r="BV112" s="1123"/>
      <c r="BW112" s="1123"/>
      <c r="BX112" s="1123"/>
      <c r="BY112" s="1123"/>
      <c r="BZ112" s="1099">
        <f>BEZ_Hilf_6_GKZ</f>
        <v>0</v>
      </c>
      <c r="CA112" s="1132"/>
      <c r="CB112" s="1132"/>
      <c r="CC112" s="1132"/>
      <c r="CD112" s="1132"/>
      <c r="CE112" s="1132"/>
      <c r="CF112" s="1132"/>
      <c r="CG112" s="1133" t="str">
        <f>IF(AZ112=0,"",BEZ_Hilf_6_EHPreis*((BEZ_Hilf_6_GKZ+100)/100))</f>
        <v/>
      </c>
      <c r="CH112" s="1133"/>
      <c r="CI112" s="1133"/>
      <c r="CJ112" s="1133"/>
      <c r="CK112" s="1133"/>
      <c r="CL112" s="1133"/>
      <c r="CM112" s="1133"/>
      <c r="CN112" s="1123" t="str">
        <f>IF(AZ112=0,"",BEZ_Hilf_6_PreisJeKiste)</f>
        <v/>
      </c>
      <c r="CO112" s="1123"/>
      <c r="CP112" s="1123"/>
      <c r="CQ112" s="1123"/>
      <c r="CR112" s="1123"/>
      <c r="CS112" s="1123"/>
      <c r="CT112" s="1123"/>
      <c r="CU112" s="1124" t="str">
        <f>IF(AZ112=0,"",BEZ_Hilf_6_PreisJeBA)</f>
        <v/>
      </c>
      <c r="CV112" s="1124"/>
      <c r="CW112" s="1124"/>
      <c r="CX112" s="1124"/>
      <c r="CY112" s="1124"/>
      <c r="CZ112" s="1124"/>
      <c r="DA112" s="1124"/>
      <c r="DB112" s="1124" t="str">
        <f>IF(AZ112=0,"",BEZ_Hilf_6_gJeEH)</f>
        <v/>
      </c>
      <c r="DC112" s="1124"/>
      <c r="DD112" s="1124"/>
      <c r="DE112" s="1124"/>
      <c r="DF112" s="1124"/>
      <c r="DG112" s="1124"/>
      <c r="DH112" s="1124"/>
      <c r="DI112" s="1125" t="str">
        <f>IF(AZ112=0,"",BEZ_Hilf_6_gJeKiste)</f>
        <v/>
      </c>
      <c r="DJ112" s="1125"/>
      <c r="DK112" s="1125"/>
      <c r="DL112" s="1125"/>
      <c r="DM112" s="1125"/>
      <c r="DN112" s="1125"/>
      <c r="DO112" s="1126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</row>
    <row r="113" spans="1:130" ht="8.1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1085">
        <v>7</v>
      </c>
      <c r="M113" s="1086"/>
      <c r="N113" s="1086"/>
      <c r="O113" s="1127" t="str">
        <f>IF(AZ113=0,"",BEZ_Hilf_7_ACode)</f>
        <v>10001240</v>
      </c>
      <c r="P113" s="1127"/>
      <c r="Q113" s="1127"/>
      <c r="R113" s="1127"/>
      <c r="S113" s="1127"/>
      <c r="T113" s="1087" t="str">
        <f>IF(AZ113=0,"",BEZ_Hilf_7_Bez)</f>
        <v>Schablonen - SABL Schablonen Ölkarton 910x280 400g/qm</v>
      </c>
      <c r="U113" s="1087"/>
      <c r="V113" s="1087"/>
      <c r="W113" s="1087"/>
      <c r="X113" s="1087"/>
      <c r="Y113" s="1087"/>
      <c r="Z113" s="1087"/>
      <c r="AA113" s="1087"/>
      <c r="AB113" s="1087"/>
      <c r="AC113" s="1087"/>
      <c r="AD113" s="1087"/>
      <c r="AE113" s="1087"/>
      <c r="AF113" s="1087"/>
      <c r="AG113" s="1087"/>
      <c r="AH113" s="1087"/>
      <c r="AI113" s="1087"/>
      <c r="AJ113" s="1087"/>
      <c r="AK113" s="1087"/>
      <c r="AL113" s="1087"/>
      <c r="AM113" s="1087"/>
      <c r="AN113" s="1087"/>
      <c r="AO113" s="1087"/>
      <c r="AP113" s="1087"/>
      <c r="AQ113" s="1087"/>
      <c r="AR113" s="1087"/>
      <c r="AS113" s="1087"/>
      <c r="AT113" s="1087"/>
      <c r="AU113" s="1087"/>
      <c r="AV113" s="1087"/>
      <c r="AW113" s="1087"/>
      <c r="AX113" s="1087"/>
      <c r="AY113" s="1087"/>
      <c r="AZ113" s="1129">
        <f>BEZ_Hilf_7_Anz</f>
        <v>1</v>
      </c>
      <c r="BA113" s="1129"/>
      <c r="BB113" s="1129"/>
      <c r="BC113" s="1129"/>
      <c r="BD113" s="1129"/>
      <c r="BE113" s="1129"/>
      <c r="BF113" s="1129"/>
      <c r="BG113" s="1129">
        <f>BEZ_Hilf_7_AnzBA</f>
        <v>0</v>
      </c>
      <c r="BH113" s="1129"/>
      <c r="BI113" s="1129"/>
      <c r="BJ113" s="1129"/>
      <c r="BK113" s="1129"/>
      <c r="BL113" s="1129"/>
      <c r="BM113" s="1129"/>
      <c r="BN113" s="1130" t="str">
        <f>IF(AZ113=0,"",BEZ_Hilf_7_EH)</f>
        <v>Stück</v>
      </c>
      <c r="BO113" s="1130"/>
      <c r="BP113" s="1130"/>
      <c r="BQ113" s="1130"/>
      <c r="BR113" s="1130"/>
      <c r="BS113" s="1123">
        <f>BEZ_Hilf_7_EHPreis</f>
        <v>0.85</v>
      </c>
      <c r="BT113" s="1123"/>
      <c r="BU113" s="1123"/>
      <c r="BV113" s="1123"/>
      <c r="BW113" s="1123"/>
      <c r="BX113" s="1123"/>
      <c r="BY113" s="1123"/>
      <c r="BZ113" s="1099">
        <f>BEZ_Hilf_7_GKZ</f>
        <v>5</v>
      </c>
      <c r="CA113" s="1132"/>
      <c r="CB113" s="1132"/>
      <c r="CC113" s="1132"/>
      <c r="CD113" s="1132"/>
      <c r="CE113" s="1132"/>
      <c r="CF113" s="1132"/>
      <c r="CG113" s="1133">
        <f>IF(AZ113=0,"",BEZ_Hilf_7_EHPreis*((BEZ_Hilf_7_GKZ+100)/100))</f>
        <v>0.89249999999999996</v>
      </c>
      <c r="CH113" s="1133"/>
      <c r="CI113" s="1133"/>
      <c r="CJ113" s="1133"/>
      <c r="CK113" s="1133"/>
      <c r="CL113" s="1133"/>
      <c r="CM113" s="1133"/>
      <c r="CN113" s="1123">
        <f>IF(AZ113=0,"",BEZ_Hilf_7_PreisJeKiste)</f>
        <v>0.89249999999999996</v>
      </c>
      <c r="CO113" s="1123"/>
      <c r="CP113" s="1123"/>
      <c r="CQ113" s="1123"/>
      <c r="CR113" s="1123"/>
      <c r="CS113" s="1123"/>
      <c r="CT113" s="1123"/>
      <c r="CU113" s="1124">
        <f>IF(AZ113=0,"",BEZ_Hilf_7_PreisJeBA)</f>
        <v>0.89249999999999996</v>
      </c>
      <c r="CV113" s="1124"/>
      <c r="CW113" s="1124"/>
      <c r="CX113" s="1124"/>
      <c r="CY113" s="1124"/>
      <c r="CZ113" s="1124"/>
      <c r="DA113" s="1124"/>
      <c r="DB113" s="1124">
        <f>IF(AZ113=0,"",BEZ_Hilf_7_gJeEH)</f>
        <v>0</v>
      </c>
      <c r="DC113" s="1124"/>
      <c r="DD113" s="1124"/>
      <c r="DE113" s="1124"/>
      <c r="DF113" s="1124"/>
      <c r="DG113" s="1124"/>
      <c r="DH113" s="1124"/>
      <c r="DI113" s="1125">
        <f>IF(AZ113=0,"",BEZ_Hilf_7_gJeKiste)</f>
        <v>0</v>
      </c>
      <c r="DJ113" s="1125"/>
      <c r="DK113" s="1125"/>
      <c r="DL113" s="1125"/>
      <c r="DM113" s="1125"/>
      <c r="DN113" s="1125"/>
      <c r="DO113" s="1126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</row>
    <row r="114" spans="1:130" ht="8.1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1085">
        <v>8</v>
      </c>
      <c r="M114" s="1086"/>
      <c r="N114" s="1086"/>
      <c r="O114" s="1127" t="str">
        <f>IF(AZ114=0,"",BEZ_Hilf_8_ACode)</f>
        <v>10001659</v>
      </c>
      <c r="P114" s="1127"/>
      <c r="Q114" s="1127"/>
      <c r="R114" s="1127"/>
      <c r="S114" s="1127"/>
      <c r="T114" s="1087" t="str">
        <f>IF(AZ114=0,"",BEZ_Hilf_8_Bez)</f>
        <v>Signierfarbe - SIGF Signierspray schwarz RAL 9005 400 ml</v>
      </c>
      <c r="U114" s="1087"/>
      <c r="V114" s="1087"/>
      <c r="W114" s="1087"/>
      <c r="X114" s="1087"/>
      <c r="Y114" s="1087"/>
      <c r="Z114" s="1087"/>
      <c r="AA114" s="1087"/>
      <c r="AB114" s="1087"/>
      <c r="AC114" s="1087"/>
      <c r="AD114" s="1087"/>
      <c r="AE114" s="1087"/>
      <c r="AF114" s="1087"/>
      <c r="AG114" s="1087"/>
      <c r="AH114" s="1087"/>
      <c r="AI114" s="1087"/>
      <c r="AJ114" s="1087"/>
      <c r="AK114" s="1087"/>
      <c r="AL114" s="1087"/>
      <c r="AM114" s="1087"/>
      <c r="AN114" s="1087"/>
      <c r="AO114" s="1087"/>
      <c r="AP114" s="1087"/>
      <c r="AQ114" s="1087"/>
      <c r="AR114" s="1087"/>
      <c r="AS114" s="1087"/>
      <c r="AT114" s="1087"/>
      <c r="AU114" s="1087"/>
      <c r="AV114" s="1087"/>
      <c r="AW114" s="1087"/>
      <c r="AX114" s="1087"/>
      <c r="AY114" s="1087"/>
      <c r="AZ114" s="1129">
        <f>BEZ_Hilf_8_Anz</f>
        <v>1</v>
      </c>
      <c r="BA114" s="1129"/>
      <c r="BB114" s="1129"/>
      <c r="BC114" s="1129"/>
      <c r="BD114" s="1129"/>
      <c r="BE114" s="1129"/>
      <c r="BF114" s="1129"/>
      <c r="BG114" s="1129">
        <f>BEZ_Hilf_8_AnzBA</f>
        <v>1</v>
      </c>
      <c r="BH114" s="1129"/>
      <c r="BI114" s="1129"/>
      <c r="BJ114" s="1129"/>
      <c r="BK114" s="1129"/>
      <c r="BL114" s="1129"/>
      <c r="BM114" s="1129"/>
      <c r="BN114" s="1130" t="str">
        <f>IF(AZ114=0,"",BEZ_Hilf_8_EH)</f>
        <v>Stück</v>
      </c>
      <c r="BO114" s="1130"/>
      <c r="BP114" s="1130"/>
      <c r="BQ114" s="1130"/>
      <c r="BR114" s="1130"/>
      <c r="BS114" s="1123">
        <f>BEZ_Hilf_8_EHPreis</f>
        <v>5</v>
      </c>
      <c r="BT114" s="1123"/>
      <c r="BU114" s="1123"/>
      <c r="BV114" s="1123"/>
      <c r="BW114" s="1123"/>
      <c r="BX114" s="1123"/>
      <c r="BY114" s="1123"/>
      <c r="BZ114" s="1099">
        <f>BEZ_Hilf_8_GKZ</f>
        <v>5</v>
      </c>
      <c r="CA114" s="1132"/>
      <c r="CB114" s="1132"/>
      <c r="CC114" s="1132"/>
      <c r="CD114" s="1132"/>
      <c r="CE114" s="1132"/>
      <c r="CF114" s="1132"/>
      <c r="CG114" s="1133">
        <f>IF(AZ114=0,"",BEZ_Hilf_8_EHPreis*((BEZ_Hilf_8_GKZ+100)/100))</f>
        <v>5.25</v>
      </c>
      <c r="CH114" s="1133"/>
      <c r="CI114" s="1133"/>
      <c r="CJ114" s="1133"/>
      <c r="CK114" s="1133"/>
      <c r="CL114" s="1133"/>
      <c r="CM114" s="1133"/>
      <c r="CN114" s="1123">
        <f>IF(AZ114=0,"",BEZ_Hilf_8_PreisJeKiste)</f>
        <v>5.25</v>
      </c>
      <c r="CO114" s="1123"/>
      <c r="CP114" s="1123"/>
      <c r="CQ114" s="1123"/>
      <c r="CR114" s="1123"/>
      <c r="CS114" s="1123"/>
      <c r="CT114" s="1123"/>
      <c r="CU114" s="1124">
        <f>IF(AZ114=0,"",BEZ_Hilf_8_PreisJeBA)</f>
        <v>5.25</v>
      </c>
      <c r="CV114" s="1124"/>
      <c r="CW114" s="1124"/>
      <c r="CX114" s="1124"/>
      <c r="CY114" s="1124"/>
      <c r="CZ114" s="1124"/>
      <c r="DA114" s="1124"/>
      <c r="DB114" s="1124">
        <f>IF(AZ114=0,"",BEZ_Hilf_8_gJeEH)</f>
        <v>0</v>
      </c>
      <c r="DC114" s="1124"/>
      <c r="DD114" s="1124"/>
      <c r="DE114" s="1124"/>
      <c r="DF114" s="1124"/>
      <c r="DG114" s="1124"/>
      <c r="DH114" s="1124"/>
      <c r="DI114" s="1125">
        <f>IF(AZ114=0,"",BEZ_Hilf_8_gJeKiste)</f>
        <v>0</v>
      </c>
      <c r="DJ114" s="1125"/>
      <c r="DK114" s="1125"/>
      <c r="DL114" s="1125"/>
      <c r="DM114" s="1125"/>
      <c r="DN114" s="1125"/>
      <c r="DO114" s="1126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</row>
    <row r="115" spans="1:130" ht="8.1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1085">
        <v>9</v>
      </c>
      <c r="M115" s="1086"/>
      <c r="N115" s="1086"/>
      <c r="O115" s="1127" t="str">
        <f>IF(AZ115=0,"",BEZ_Hilf_9_ACode)</f>
        <v>10001928</v>
      </c>
      <c r="P115" s="1127"/>
      <c r="Q115" s="1127"/>
      <c r="R115" s="1127"/>
      <c r="S115" s="1127"/>
      <c r="T115" s="1087" t="str">
        <f>IF(AZ115=0,"",BEZ_Hilf_9_Bez)</f>
        <v>Nägel - NAG Nägel COI   25x55 Rundkopf</v>
      </c>
      <c r="U115" s="1087"/>
      <c r="V115" s="1087"/>
      <c r="W115" s="1087"/>
      <c r="X115" s="1087"/>
      <c r="Y115" s="1087"/>
      <c r="Z115" s="1087"/>
      <c r="AA115" s="1087"/>
      <c r="AB115" s="1087"/>
      <c r="AC115" s="1087"/>
      <c r="AD115" s="1087"/>
      <c r="AE115" s="1087"/>
      <c r="AF115" s="1087"/>
      <c r="AG115" s="1087"/>
      <c r="AH115" s="1087"/>
      <c r="AI115" s="1087"/>
      <c r="AJ115" s="1087"/>
      <c r="AK115" s="1087"/>
      <c r="AL115" s="1087"/>
      <c r="AM115" s="1087"/>
      <c r="AN115" s="1087"/>
      <c r="AO115" s="1087"/>
      <c r="AP115" s="1087"/>
      <c r="AQ115" s="1087"/>
      <c r="AR115" s="1087"/>
      <c r="AS115" s="1087"/>
      <c r="AT115" s="1087"/>
      <c r="AU115" s="1087"/>
      <c r="AV115" s="1087"/>
      <c r="AW115" s="1087"/>
      <c r="AX115" s="1087"/>
      <c r="AY115" s="1087"/>
      <c r="AZ115" s="1129">
        <f>BEZ_Hilf_9_Anz</f>
        <v>80</v>
      </c>
      <c r="BA115" s="1129"/>
      <c r="BB115" s="1129"/>
      <c r="BC115" s="1129"/>
      <c r="BD115" s="1129"/>
      <c r="BE115" s="1129"/>
      <c r="BF115" s="1129"/>
      <c r="BG115" s="1129">
        <f>BEZ_Hilf_9_AnzBA</f>
        <v>80</v>
      </c>
      <c r="BH115" s="1129"/>
      <c r="BI115" s="1129"/>
      <c r="BJ115" s="1129"/>
      <c r="BK115" s="1129"/>
      <c r="BL115" s="1129"/>
      <c r="BM115" s="1129"/>
      <c r="BN115" s="1130" t="str">
        <f>IF(AZ115=0,"",BEZ_Hilf_9_EH)</f>
        <v>Stück</v>
      </c>
      <c r="BO115" s="1130"/>
      <c r="BP115" s="1130"/>
      <c r="BQ115" s="1130"/>
      <c r="BR115" s="1130"/>
      <c r="BS115" s="1123">
        <f>BEZ_Hilf_9_EHPreis</f>
        <v>6.0000000000000001E-3</v>
      </c>
      <c r="BT115" s="1123"/>
      <c r="BU115" s="1123"/>
      <c r="BV115" s="1123"/>
      <c r="BW115" s="1123"/>
      <c r="BX115" s="1123"/>
      <c r="BY115" s="1123"/>
      <c r="BZ115" s="1099">
        <f>BEZ_Hilf_9_GKZ</f>
        <v>10</v>
      </c>
      <c r="CA115" s="1132"/>
      <c r="CB115" s="1132"/>
      <c r="CC115" s="1132"/>
      <c r="CD115" s="1132"/>
      <c r="CE115" s="1132"/>
      <c r="CF115" s="1132"/>
      <c r="CG115" s="1133">
        <f>IF(AZ115=0,"",BEZ_Hilf_9_EHPreis*((BEZ_Hilf_9_GKZ+100)/100))</f>
        <v>6.6000000000000008E-3</v>
      </c>
      <c r="CH115" s="1133"/>
      <c r="CI115" s="1133"/>
      <c r="CJ115" s="1133"/>
      <c r="CK115" s="1133"/>
      <c r="CL115" s="1133"/>
      <c r="CM115" s="1133"/>
      <c r="CN115" s="1123">
        <f>IF(AZ115=0,"",BEZ_Hilf_9_PreisJeKiste)</f>
        <v>0.52800000000000002</v>
      </c>
      <c r="CO115" s="1123"/>
      <c r="CP115" s="1123"/>
      <c r="CQ115" s="1123"/>
      <c r="CR115" s="1123"/>
      <c r="CS115" s="1123"/>
      <c r="CT115" s="1123"/>
      <c r="CU115" s="1124">
        <f>IF(AZ115=0,"",BEZ_Hilf_9_PreisJeBA)</f>
        <v>0.52800000000000002</v>
      </c>
      <c r="CV115" s="1124"/>
      <c r="CW115" s="1124"/>
      <c r="CX115" s="1124"/>
      <c r="CY115" s="1124"/>
      <c r="CZ115" s="1124"/>
      <c r="DA115" s="1124"/>
      <c r="DB115" s="1124">
        <f>IF(AZ115=0,"",BEZ_Hilf_9_gJeEH)</f>
        <v>0</v>
      </c>
      <c r="DC115" s="1124"/>
      <c r="DD115" s="1124"/>
      <c r="DE115" s="1124"/>
      <c r="DF115" s="1124"/>
      <c r="DG115" s="1124"/>
      <c r="DH115" s="1124"/>
      <c r="DI115" s="1125">
        <f>IF(AZ115=0,"",BEZ_Hilf_9_gJeKiste)</f>
        <v>0</v>
      </c>
      <c r="DJ115" s="1125"/>
      <c r="DK115" s="1125"/>
      <c r="DL115" s="1125"/>
      <c r="DM115" s="1125"/>
      <c r="DN115" s="1125"/>
      <c r="DO115" s="1126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</row>
    <row r="116" spans="1:130" ht="8.1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1085">
        <v>10</v>
      </c>
      <c r="M116" s="1086"/>
      <c r="N116" s="1086"/>
      <c r="O116" s="1127" t="str">
        <f>IF(AZ116=0,"",BEZ_Hilf_10_ACode)</f>
        <v>10002091</v>
      </c>
      <c r="P116" s="1127"/>
      <c r="Q116" s="1127"/>
      <c r="R116" s="1127"/>
      <c r="S116" s="1127"/>
      <c r="T116" s="1087" t="str">
        <f>IF(AZ116=0,"",BEZ_Hilf_10_Bez)</f>
        <v>Spannbänder - PETBA Bänder 1750x15,5x0,7 grün geprägt</v>
      </c>
      <c r="U116" s="1087"/>
      <c r="V116" s="1087"/>
      <c r="W116" s="1087"/>
      <c r="X116" s="1087"/>
      <c r="Y116" s="1087"/>
      <c r="Z116" s="1087"/>
      <c r="AA116" s="1087"/>
      <c r="AB116" s="1087"/>
      <c r="AC116" s="1087"/>
      <c r="AD116" s="1087"/>
      <c r="AE116" s="1087"/>
      <c r="AF116" s="1087"/>
      <c r="AG116" s="1087"/>
      <c r="AH116" s="1087"/>
      <c r="AI116" s="1087"/>
      <c r="AJ116" s="1087"/>
      <c r="AK116" s="1087"/>
      <c r="AL116" s="1087"/>
      <c r="AM116" s="1087"/>
      <c r="AN116" s="1087"/>
      <c r="AO116" s="1087"/>
      <c r="AP116" s="1087"/>
      <c r="AQ116" s="1087"/>
      <c r="AR116" s="1087"/>
      <c r="AS116" s="1087"/>
      <c r="AT116" s="1087"/>
      <c r="AU116" s="1087"/>
      <c r="AV116" s="1087"/>
      <c r="AW116" s="1087"/>
      <c r="AX116" s="1087"/>
      <c r="AY116" s="1087"/>
      <c r="AZ116" s="1129">
        <f>BEZ_Hilf_10_Anz</f>
        <v>1</v>
      </c>
      <c r="BA116" s="1129"/>
      <c r="BB116" s="1129"/>
      <c r="BC116" s="1129"/>
      <c r="BD116" s="1129"/>
      <c r="BE116" s="1129"/>
      <c r="BF116" s="1129"/>
      <c r="BG116" s="1129">
        <f>BEZ_Hilf_10_AnzBA</f>
        <v>1</v>
      </c>
      <c r="BH116" s="1129"/>
      <c r="BI116" s="1129"/>
      <c r="BJ116" s="1129"/>
      <c r="BK116" s="1129"/>
      <c r="BL116" s="1129"/>
      <c r="BM116" s="1129"/>
      <c r="BN116" s="1130" t="str">
        <f>IF(AZ116=0,"",BEZ_Hilf_10_EH)</f>
        <v>lfm</v>
      </c>
      <c r="BO116" s="1130"/>
      <c r="BP116" s="1130"/>
      <c r="BQ116" s="1130"/>
      <c r="BR116" s="1130"/>
      <c r="BS116" s="1123">
        <f>BEZ_Hilf_10_EHPreis</f>
        <v>0.03</v>
      </c>
      <c r="BT116" s="1123"/>
      <c r="BU116" s="1123"/>
      <c r="BV116" s="1123"/>
      <c r="BW116" s="1123"/>
      <c r="BX116" s="1123"/>
      <c r="BY116" s="1123"/>
      <c r="BZ116" s="1099">
        <f>BEZ_Hilf_10_GKZ</f>
        <v>5</v>
      </c>
      <c r="CA116" s="1132"/>
      <c r="CB116" s="1132"/>
      <c r="CC116" s="1132"/>
      <c r="CD116" s="1132"/>
      <c r="CE116" s="1132"/>
      <c r="CF116" s="1132"/>
      <c r="CG116" s="1133">
        <f>IF(AZ116=0,"",BEZ_Hilf_10_EHPreis*((BEZ_Hilf_10_GKZ+100)/100))</f>
        <v>3.15E-2</v>
      </c>
      <c r="CH116" s="1133"/>
      <c r="CI116" s="1133"/>
      <c r="CJ116" s="1133"/>
      <c r="CK116" s="1133"/>
      <c r="CL116" s="1133"/>
      <c r="CM116" s="1133"/>
      <c r="CN116" s="1123">
        <f>IF(AZ116=0,"",BEZ_Hilf_10_PreisJeKiste)</f>
        <v>3.15E-2</v>
      </c>
      <c r="CO116" s="1123"/>
      <c r="CP116" s="1123"/>
      <c r="CQ116" s="1123"/>
      <c r="CR116" s="1123"/>
      <c r="CS116" s="1123"/>
      <c r="CT116" s="1123"/>
      <c r="CU116" s="1124">
        <f>IF(AZ116=0,"",BEZ_Hilf_10_PreisJeBA)</f>
        <v>3.15E-2</v>
      </c>
      <c r="CV116" s="1124"/>
      <c r="CW116" s="1124"/>
      <c r="CX116" s="1124"/>
      <c r="CY116" s="1124"/>
      <c r="CZ116" s="1124"/>
      <c r="DA116" s="1124"/>
      <c r="DB116" s="1124">
        <f>IF(AZ116=0,"",BEZ_Hilf_10_gJeEH)</f>
        <v>13.700000000000001</v>
      </c>
      <c r="DC116" s="1124"/>
      <c r="DD116" s="1124"/>
      <c r="DE116" s="1124"/>
      <c r="DF116" s="1124"/>
      <c r="DG116" s="1124"/>
      <c r="DH116" s="1124"/>
      <c r="DI116" s="1125">
        <f>IF(AZ116=0,"",BEZ_Hilf_10_gJeKiste)</f>
        <v>13.700000000000001</v>
      </c>
      <c r="DJ116" s="1125"/>
      <c r="DK116" s="1125"/>
      <c r="DL116" s="1125"/>
      <c r="DM116" s="1125"/>
      <c r="DN116" s="1125"/>
      <c r="DO116" s="1126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</row>
    <row r="117" spans="1:130" ht="8.1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1085">
        <v>11</v>
      </c>
      <c r="M117" s="1086"/>
      <c r="N117" s="1086"/>
      <c r="O117" s="1127" t="str">
        <f>IF(AZ117=0,"",BEZ_Hilf_11_ACode)</f>
        <v/>
      </c>
      <c r="P117" s="1127"/>
      <c r="Q117" s="1127"/>
      <c r="R117" s="1127"/>
      <c r="S117" s="1127"/>
      <c r="T117" s="1128" t="str">
        <f>IF(AZ117=0,"",BEZ_Hilf_11_Bez)</f>
        <v/>
      </c>
      <c r="U117" s="1128"/>
      <c r="V117" s="1128"/>
      <c r="W117" s="1128"/>
      <c r="X117" s="1128"/>
      <c r="Y117" s="1128"/>
      <c r="Z117" s="1128"/>
      <c r="AA117" s="1128"/>
      <c r="AB117" s="1128"/>
      <c r="AC117" s="1128"/>
      <c r="AD117" s="1128"/>
      <c r="AE117" s="1128"/>
      <c r="AF117" s="1128"/>
      <c r="AG117" s="1128"/>
      <c r="AH117" s="1128"/>
      <c r="AI117" s="1128"/>
      <c r="AJ117" s="1128"/>
      <c r="AK117" s="1128"/>
      <c r="AL117" s="1128"/>
      <c r="AM117" s="1128"/>
      <c r="AN117" s="1128"/>
      <c r="AO117" s="1128"/>
      <c r="AP117" s="1128"/>
      <c r="AQ117" s="1128"/>
      <c r="AR117" s="1128"/>
      <c r="AS117" s="1128"/>
      <c r="AT117" s="1128"/>
      <c r="AU117" s="1128"/>
      <c r="AV117" s="1128"/>
      <c r="AW117" s="1128"/>
      <c r="AX117" s="1128"/>
      <c r="AY117" s="1128"/>
      <c r="AZ117" s="1129">
        <f>BEZ_Hilf_11_Anz</f>
        <v>0</v>
      </c>
      <c r="BA117" s="1129"/>
      <c r="BB117" s="1129"/>
      <c r="BC117" s="1129"/>
      <c r="BD117" s="1129"/>
      <c r="BE117" s="1129"/>
      <c r="BF117" s="1129"/>
      <c r="BG117" s="1129">
        <f>BEZ_Hilf_11_AnzBA</f>
        <v>0</v>
      </c>
      <c r="BH117" s="1129"/>
      <c r="BI117" s="1129"/>
      <c r="BJ117" s="1129"/>
      <c r="BK117" s="1129"/>
      <c r="BL117" s="1129"/>
      <c r="BM117" s="1129"/>
      <c r="BN117" s="1130" t="str">
        <f>IF(AZ117=0,"",BEZ_Hilf_11_EH)</f>
        <v/>
      </c>
      <c r="BO117" s="1130"/>
      <c r="BP117" s="1130"/>
      <c r="BQ117" s="1130"/>
      <c r="BR117" s="1130"/>
      <c r="BS117" s="1123">
        <f>BEZ_Hilf_11_EHPreis</f>
        <v>1</v>
      </c>
      <c r="BT117" s="1123"/>
      <c r="BU117" s="1123"/>
      <c r="BV117" s="1123"/>
      <c r="BW117" s="1123"/>
      <c r="BX117" s="1123"/>
      <c r="BY117" s="1123"/>
      <c r="BZ117" s="1099">
        <f>BEZ_Hilf_11_GKZ</f>
        <v>10</v>
      </c>
      <c r="CA117" s="1132"/>
      <c r="CB117" s="1132"/>
      <c r="CC117" s="1132"/>
      <c r="CD117" s="1132"/>
      <c r="CE117" s="1132"/>
      <c r="CF117" s="1132"/>
      <c r="CG117" s="1133" t="str">
        <f>IF(AZ117=0,"",BEZ_Hilf_11_EHPreis*((BEZ_Hilf_11_GKZ+100)/100))</f>
        <v/>
      </c>
      <c r="CH117" s="1133"/>
      <c r="CI117" s="1133"/>
      <c r="CJ117" s="1133"/>
      <c r="CK117" s="1133"/>
      <c r="CL117" s="1133"/>
      <c r="CM117" s="1133"/>
      <c r="CN117" s="1123" t="str">
        <f>IF(AZ117=0,"",BEZ_Hilf_11_PreisJeKiste)</f>
        <v/>
      </c>
      <c r="CO117" s="1123"/>
      <c r="CP117" s="1123"/>
      <c r="CQ117" s="1123"/>
      <c r="CR117" s="1123"/>
      <c r="CS117" s="1123"/>
      <c r="CT117" s="1123"/>
      <c r="CU117" s="1124" t="str">
        <f>IF(AZ117=0,"",BEZ_Hilf_11_PreisJeBA)</f>
        <v/>
      </c>
      <c r="CV117" s="1124"/>
      <c r="CW117" s="1124"/>
      <c r="CX117" s="1124"/>
      <c r="CY117" s="1124"/>
      <c r="CZ117" s="1124"/>
      <c r="DA117" s="1124"/>
      <c r="DB117" s="1124" t="str">
        <f>IF(AZ117=0,"",BEZ_Hilf_11_gJeEH)</f>
        <v/>
      </c>
      <c r="DC117" s="1124"/>
      <c r="DD117" s="1124"/>
      <c r="DE117" s="1124"/>
      <c r="DF117" s="1124"/>
      <c r="DG117" s="1124"/>
      <c r="DH117" s="1124"/>
      <c r="DI117" s="1125" t="str">
        <f>IF(AZ117=0,"",BEZ_Hilf_11_gJeKiste)</f>
        <v/>
      </c>
      <c r="DJ117" s="1125"/>
      <c r="DK117" s="1125"/>
      <c r="DL117" s="1125"/>
      <c r="DM117" s="1125"/>
      <c r="DN117" s="1125"/>
      <c r="DO117" s="1126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</row>
    <row r="118" spans="1:130" ht="8.1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1085">
        <v>12</v>
      </c>
      <c r="M118" s="1086"/>
      <c r="N118" s="1086"/>
      <c r="O118" s="1127" t="str">
        <f>IF(AZ118=0,"",BEZ_Hilf_12_ACode)</f>
        <v/>
      </c>
      <c r="P118" s="1127"/>
      <c r="Q118" s="1127"/>
      <c r="R118" s="1127"/>
      <c r="S118" s="1127"/>
      <c r="T118" s="1128" t="str">
        <f>IF(AZ118=0,"",BEZ_Hilf_12_Bez)</f>
        <v/>
      </c>
      <c r="U118" s="1128"/>
      <c r="V118" s="1128"/>
      <c r="W118" s="1128"/>
      <c r="X118" s="1128"/>
      <c r="Y118" s="1128"/>
      <c r="Z118" s="1128"/>
      <c r="AA118" s="1128"/>
      <c r="AB118" s="1128"/>
      <c r="AC118" s="1128"/>
      <c r="AD118" s="1128"/>
      <c r="AE118" s="1128"/>
      <c r="AF118" s="1128"/>
      <c r="AG118" s="1128"/>
      <c r="AH118" s="1128"/>
      <c r="AI118" s="1128"/>
      <c r="AJ118" s="1128"/>
      <c r="AK118" s="1128"/>
      <c r="AL118" s="1128"/>
      <c r="AM118" s="1128"/>
      <c r="AN118" s="1128"/>
      <c r="AO118" s="1128"/>
      <c r="AP118" s="1128"/>
      <c r="AQ118" s="1128"/>
      <c r="AR118" s="1128"/>
      <c r="AS118" s="1128"/>
      <c r="AT118" s="1128"/>
      <c r="AU118" s="1128"/>
      <c r="AV118" s="1128"/>
      <c r="AW118" s="1128"/>
      <c r="AX118" s="1128"/>
      <c r="AY118" s="1128"/>
      <c r="AZ118" s="1129">
        <f>BEZ_Hilf_12_Anz</f>
        <v>0</v>
      </c>
      <c r="BA118" s="1129"/>
      <c r="BB118" s="1129"/>
      <c r="BC118" s="1129"/>
      <c r="BD118" s="1129"/>
      <c r="BE118" s="1129"/>
      <c r="BF118" s="1129"/>
      <c r="BG118" s="1129">
        <f>BEZ_Hilf_12_AnzBA</f>
        <v>0</v>
      </c>
      <c r="BH118" s="1129"/>
      <c r="BI118" s="1129"/>
      <c r="BJ118" s="1129"/>
      <c r="BK118" s="1129"/>
      <c r="BL118" s="1129"/>
      <c r="BM118" s="1129"/>
      <c r="BN118" s="1130" t="str">
        <f>IF(AZ118=0,"",BEZ_Hilf_12_EH)</f>
        <v/>
      </c>
      <c r="BO118" s="1130"/>
      <c r="BP118" s="1130"/>
      <c r="BQ118" s="1130"/>
      <c r="BR118" s="1130"/>
      <c r="BS118" s="1123">
        <f>BEZ_Hilf_12_EHPreis</f>
        <v>0.9</v>
      </c>
      <c r="BT118" s="1123"/>
      <c r="BU118" s="1123"/>
      <c r="BV118" s="1123"/>
      <c r="BW118" s="1123"/>
      <c r="BX118" s="1123"/>
      <c r="BY118" s="1123"/>
      <c r="BZ118" s="1099">
        <f>BEZ_Hilf_12_GKZ</f>
        <v>15</v>
      </c>
      <c r="CA118" s="1132"/>
      <c r="CB118" s="1132"/>
      <c r="CC118" s="1132"/>
      <c r="CD118" s="1132"/>
      <c r="CE118" s="1132"/>
      <c r="CF118" s="1132"/>
      <c r="CG118" s="1133" t="str">
        <f>IF(AZ118=0,"",BEZ_Hilf_12_EHPreis*((BEZ_Hilf_12_GKZ+100)/100))</f>
        <v/>
      </c>
      <c r="CH118" s="1133"/>
      <c r="CI118" s="1133"/>
      <c r="CJ118" s="1133"/>
      <c r="CK118" s="1133"/>
      <c r="CL118" s="1133"/>
      <c r="CM118" s="1133"/>
      <c r="CN118" s="1123" t="str">
        <f>IF(AZ118=0,"",BEZ_Hilf_12_PreisJeKiste)</f>
        <v/>
      </c>
      <c r="CO118" s="1123"/>
      <c r="CP118" s="1123"/>
      <c r="CQ118" s="1123"/>
      <c r="CR118" s="1123"/>
      <c r="CS118" s="1123"/>
      <c r="CT118" s="1123"/>
      <c r="CU118" s="1124" t="str">
        <f>IF(AZ118=0,"",BEZ_Hilf_12_PreisJeBA)</f>
        <v/>
      </c>
      <c r="CV118" s="1124"/>
      <c r="CW118" s="1124"/>
      <c r="CX118" s="1124"/>
      <c r="CY118" s="1124"/>
      <c r="CZ118" s="1124"/>
      <c r="DA118" s="1124"/>
      <c r="DB118" s="1124" t="str">
        <f>IF(AZ118=0,"",BEZ_Hilf_12_gJeEH)</f>
        <v/>
      </c>
      <c r="DC118" s="1124"/>
      <c r="DD118" s="1124"/>
      <c r="DE118" s="1124"/>
      <c r="DF118" s="1124"/>
      <c r="DG118" s="1124"/>
      <c r="DH118" s="1124"/>
      <c r="DI118" s="1125" t="str">
        <f>IF(AZ118=0,"",BEZ_Hilf_12_gJeKiste)</f>
        <v/>
      </c>
      <c r="DJ118" s="1125"/>
      <c r="DK118" s="1125"/>
      <c r="DL118" s="1125"/>
      <c r="DM118" s="1125"/>
      <c r="DN118" s="1125"/>
      <c r="DO118" s="1126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</row>
    <row r="119" spans="1:130" ht="8.1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1085">
        <v>13</v>
      </c>
      <c r="M119" s="1086"/>
      <c r="N119" s="1086"/>
      <c r="O119" s="1127" t="str">
        <f>IF(AZ119=0,"",BEZ_Hilf_13_ACode)</f>
        <v>10002436</v>
      </c>
      <c r="P119" s="1127"/>
      <c r="Q119" s="1127"/>
      <c r="R119" s="1127"/>
      <c r="S119" s="1127"/>
      <c r="T119" s="1128" t="str">
        <f>IF(AZ119=0,"",BEZ_Hilf_13_Bez)</f>
        <v>Papier, Folien, Etiketten - ET LDPE-Begleitpapiertaschen C5/A5</v>
      </c>
      <c r="U119" s="1128"/>
      <c r="V119" s="1128"/>
      <c r="W119" s="1128"/>
      <c r="X119" s="1128"/>
      <c r="Y119" s="1128"/>
      <c r="Z119" s="1128"/>
      <c r="AA119" s="1128"/>
      <c r="AB119" s="1128"/>
      <c r="AC119" s="1128"/>
      <c r="AD119" s="1128"/>
      <c r="AE119" s="1128"/>
      <c r="AF119" s="1128"/>
      <c r="AG119" s="1128"/>
      <c r="AH119" s="1128"/>
      <c r="AI119" s="1128"/>
      <c r="AJ119" s="1128"/>
      <c r="AK119" s="1128"/>
      <c r="AL119" s="1128"/>
      <c r="AM119" s="1128"/>
      <c r="AN119" s="1128"/>
      <c r="AO119" s="1128"/>
      <c r="AP119" s="1128"/>
      <c r="AQ119" s="1128"/>
      <c r="AR119" s="1128"/>
      <c r="AS119" s="1128"/>
      <c r="AT119" s="1128"/>
      <c r="AU119" s="1128"/>
      <c r="AV119" s="1128"/>
      <c r="AW119" s="1128"/>
      <c r="AX119" s="1128"/>
      <c r="AY119" s="1128"/>
      <c r="AZ119" s="1129">
        <f>BEZ_Hilf_13_Anz</f>
        <v>1</v>
      </c>
      <c r="BA119" s="1129"/>
      <c r="BB119" s="1129"/>
      <c r="BC119" s="1129"/>
      <c r="BD119" s="1129"/>
      <c r="BE119" s="1129"/>
      <c r="BF119" s="1129"/>
      <c r="BG119" s="1129">
        <f>BEZ_Hilf_13_AnzBA</f>
        <v>1</v>
      </c>
      <c r="BH119" s="1129"/>
      <c r="BI119" s="1129"/>
      <c r="BJ119" s="1129"/>
      <c r="BK119" s="1129"/>
      <c r="BL119" s="1129"/>
      <c r="BM119" s="1129"/>
      <c r="BN119" s="1130" t="str">
        <f>IF(AZ119=0,"",BEZ_Hilf_13_EH)</f>
        <v>Stück</v>
      </c>
      <c r="BO119" s="1130"/>
      <c r="BP119" s="1130"/>
      <c r="BQ119" s="1130"/>
      <c r="BR119" s="1130"/>
      <c r="BS119" s="1123">
        <f>BEZ_Hilf_13_EHPreis</f>
        <v>0.1</v>
      </c>
      <c r="BT119" s="1123"/>
      <c r="BU119" s="1123"/>
      <c r="BV119" s="1123"/>
      <c r="BW119" s="1123"/>
      <c r="BX119" s="1123"/>
      <c r="BY119" s="1123"/>
      <c r="BZ119" s="1099">
        <f>BEZ_Hilf_13_GKZ</f>
        <v>5</v>
      </c>
      <c r="CA119" s="1132"/>
      <c r="CB119" s="1132"/>
      <c r="CC119" s="1132"/>
      <c r="CD119" s="1132"/>
      <c r="CE119" s="1132"/>
      <c r="CF119" s="1132"/>
      <c r="CG119" s="1133">
        <f>IF(AZ119=0,"",BEZ_Hilf_13_EHPreis*((BEZ_Hilf_13_GKZ+100)/100))</f>
        <v>0.10500000000000001</v>
      </c>
      <c r="CH119" s="1133"/>
      <c r="CI119" s="1133"/>
      <c r="CJ119" s="1133"/>
      <c r="CK119" s="1133"/>
      <c r="CL119" s="1133"/>
      <c r="CM119" s="1133"/>
      <c r="CN119" s="1123">
        <f>IF(AZ119=0,"",BEZ_Hilf_13_PreisJeKiste)</f>
        <v>0.10500000000000001</v>
      </c>
      <c r="CO119" s="1123"/>
      <c r="CP119" s="1123"/>
      <c r="CQ119" s="1123"/>
      <c r="CR119" s="1123"/>
      <c r="CS119" s="1123"/>
      <c r="CT119" s="1123"/>
      <c r="CU119" s="1124">
        <f>IF(AZ119=0,"",BEZ_Hilf_13_PreisJeBA)</f>
        <v>0.10500000000000001</v>
      </c>
      <c r="CV119" s="1124"/>
      <c r="CW119" s="1124"/>
      <c r="CX119" s="1124"/>
      <c r="CY119" s="1124"/>
      <c r="CZ119" s="1124"/>
      <c r="DA119" s="1124"/>
      <c r="DB119" s="1124">
        <f>IF(AZ119=0,"",BEZ_Hilf_13_gJeEH)</f>
        <v>0</v>
      </c>
      <c r="DC119" s="1124"/>
      <c r="DD119" s="1124"/>
      <c r="DE119" s="1124"/>
      <c r="DF119" s="1124"/>
      <c r="DG119" s="1124"/>
      <c r="DH119" s="1124"/>
      <c r="DI119" s="1125">
        <f>IF(AZ119=0,"",BEZ_Hilf_13_gJeKiste)</f>
        <v>0</v>
      </c>
      <c r="DJ119" s="1125"/>
      <c r="DK119" s="1125"/>
      <c r="DL119" s="1125"/>
      <c r="DM119" s="1125"/>
      <c r="DN119" s="1125"/>
      <c r="DO119" s="1126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</row>
    <row r="120" spans="1:130" ht="8.1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1085">
        <v>14</v>
      </c>
      <c r="M120" s="1086"/>
      <c r="N120" s="1086"/>
      <c r="O120" s="1127">
        <f>IF(AZ120=0,"",BEZ_Hilf_14_ACode)</f>
        <v>0</v>
      </c>
      <c r="P120" s="1127"/>
      <c r="Q120" s="1127"/>
      <c r="R120" s="1127"/>
      <c r="S120" s="1127"/>
      <c r="T120" s="1128" t="str">
        <f>IF(AZ120=0,"",BEZ_Hilf_14_Bez)</f>
        <v xml:space="preserve">Lagerkosten </v>
      </c>
      <c r="U120" s="1128"/>
      <c r="V120" s="1128"/>
      <c r="W120" s="1128"/>
      <c r="X120" s="1128"/>
      <c r="Y120" s="1128"/>
      <c r="Z120" s="1128"/>
      <c r="AA120" s="1128"/>
      <c r="AB120" s="1128"/>
      <c r="AC120" s="1128"/>
      <c r="AD120" s="1128"/>
      <c r="AE120" s="1128"/>
      <c r="AF120" s="1128"/>
      <c r="AG120" s="1128"/>
      <c r="AH120" s="1128"/>
      <c r="AI120" s="1128"/>
      <c r="AJ120" s="1128"/>
      <c r="AK120" s="1128"/>
      <c r="AL120" s="1128"/>
      <c r="AM120" s="1128"/>
      <c r="AN120" s="1128"/>
      <c r="AO120" s="1128"/>
      <c r="AP120" s="1128"/>
      <c r="AQ120" s="1128"/>
      <c r="AR120" s="1128"/>
      <c r="AS120" s="1128"/>
      <c r="AT120" s="1128"/>
      <c r="AU120" s="1128"/>
      <c r="AV120" s="1128"/>
      <c r="AW120" s="1128"/>
      <c r="AX120" s="1128"/>
      <c r="AY120" s="1128"/>
      <c r="AZ120" s="1129">
        <f>BEZ_Hilf_14_Anz</f>
        <v>1</v>
      </c>
      <c r="BA120" s="1129"/>
      <c r="BB120" s="1129"/>
      <c r="BC120" s="1129"/>
      <c r="BD120" s="1129"/>
      <c r="BE120" s="1129"/>
      <c r="BF120" s="1129"/>
      <c r="BG120" s="1129">
        <f>BEZ_Hilf_14_AnzBA</f>
        <v>1</v>
      </c>
      <c r="BH120" s="1129"/>
      <c r="BI120" s="1129"/>
      <c r="BJ120" s="1129"/>
      <c r="BK120" s="1129"/>
      <c r="BL120" s="1129"/>
      <c r="BM120" s="1129"/>
      <c r="BN120" s="1130" t="str">
        <f>IF(AZ120=0,"",BEZ_Hilf_14_EH)</f>
        <v>Stück</v>
      </c>
      <c r="BO120" s="1130"/>
      <c r="BP120" s="1130"/>
      <c r="BQ120" s="1130"/>
      <c r="BR120" s="1130"/>
      <c r="BS120" s="1123">
        <f>BEZ_Hilf_14_EHPreis</f>
        <v>1</v>
      </c>
      <c r="BT120" s="1123"/>
      <c r="BU120" s="1123"/>
      <c r="BV120" s="1123"/>
      <c r="BW120" s="1123"/>
      <c r="BX120" s="1123"/>
      <c r="BY120" s="1123"/>
      <c r="BZ120" s="1099">
        <f>BEZ_Hilf_14_GKZ</f>
        <v>25</v>
      </c>
      <c r="CA120" s="1132"/>
      <c r="CB120" s="1132"/>
      <c r="CC120" s="1132"/>
      <c r="CD120" s="1132"/>
      <c r="CE120" s="1132"/>
      <c r="CF120" s="1132"/>
      <c r="CG120" s="1133">
        <f>IF(AZ120=0,"",BEZ_Hilf_14_EHPreis*((BEZ_Hilf_14_GKZ+100)/100))</f>
        <v>1.25</v>
      </c>
      <c r="CH120" s="1133"/>
      <c r="CI120" s="1133"/>
      <c r="CJ120" s="1133"/>
      <c r="CK120" s="1133"/>
      <c r="CL120" s="1133"/>
      <c r="CM120" s="1133"/>
      <c r="CN120" s="1123">
        <f>IF(AZ120=0,"",BEZ_Hilf_14_PreisJeKiste)</f>
        <v>1.25</v>
      </c>
      <c r="CO120" s="1123"/>
      <c r="CP120" s="1123"/>
      <c r="CQ120" s="1123"/>
      <c r="CR120" s="1123"/>
      <c r="CS120" s="1123"/>
      <c r="CT120" s="1123"/>
      <c r="CU120" s="1124">
        <f>IF(AZ120=0,"",BEZ_Hilf_14_PreisJeBA)</f>
        <v>1.25</v>
      </c>
      <c r="CV120" s="1124"/>
      <c r="CW120" s="1124"/>
      <c r="CX120" s="1124"/>
      <c r="CY120" s="1124"/>
      <c r="CZ120" s="1124"/>
      <c r="DA120" s="1124"/>
      <c r="DB120" s="1124">
        <f>IF(AZ120=0,"",BEZ_Hilf_14_gJeEH)</f>
        <v>0</v>
      </c>
      <c r="DC120" s="1124"/>
      <c r="DD120" s="1124"/>
      <c r="DE120" s="1124"/>
      <c r="DF120" s="1124"/>
      <c r="DG120" s="1124"/>
      <c r="DH120" s="1124"/>
      <c r="DI120" s="1125">
        <f>IF(AZ120=0,"",BEZ_Hilf_14_gJeKiste)</f>
        <v>0</v>
      </c>
      <c r="DJ120" s="1125"/>
      <c r="DK120" s="1125"/>
      <c r="DL120" s="1125"/>
      <c r="DM120" s="1125"/>
      <c r="DN120" s="1125"/>
      <c r="DO120" s="1126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</row>
    <row r="121" spans="1:130" ht="8.1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1085">
        <v>15</v>
      </c>
      <c r="M121" s="1086"/>
      <c r="N121" s="1086"/>
      <c r="O121" s="1127" t="str">
        <f>IF(AZ121=0,"",BEZ_Hilf_15_ACode)</f>
        <v/>
      </c>
      <c r="P121" s="1127"/>
      <c r="Q121" s="1127"/>
      <c r="R121" s="1127"/>
      <c r="S121" s="1127"/>
      <c r="T121" s="1128" t="str">
        <f>IF(AZ121=0,"",BEZ_Hilf_15_Bez)</f>
        <v/>
      </c>
      <c r="U121" s="1128"/>
      <c r="V121" s="1128"/>
      <c r="W121" s="1128"/>
      <c r="X121" s="1128"/>
      <c r="Y121" s="1128"/>
      <c r="Z121" s="1128"/>
      <c r="AA121" s="1128"/>
      <c r="AB121" s="1128"/>
      <c r="AC121" s="1128"/>
      <c r="AD121" s="1128"/>
      <c r="AE121" s="1128"/>
      <c r="AF121" s="1128"/>
      <c r="AG121" s="1128"/>
      <c r="AH121" s="1128"/>
      <c r="AI121" s="1128"/>
      <c r="AJ121" s="1128"/>
      <c r="AK121" s="1128"/>
      <c r="AL121" s="1128"/>
      <c r="AM121" s="1128"/>
      <c r="AN121" s="1128"/>
      <c r="AO121" s="1128"/>
      <c r="AP121" s="1128"/>
      <c r="AQ121" s="1128"/>
      <c r="AR121" s="1128"/>
      <c r="AS121" s="1128"/>
      <c r="AT121" s="1128"/>
      <c r="AU121" s="1128"/>
      <c r="AV121" s="1128"/>
      <c r="AW121" s="1128"/>
      <c r="AX121" s="1128"/>
      <c r="AY121" s="1128"/>
      <c r="AZ121" s="1129">
        <f>BEZ_Hilf_15_Anz</f>
        <v>0</v>
      </c>
      <c r="BA121" s="1129"/>
      <c r="BB121" s="1129"/>
      <c r="BC121" s="1129"/>
      <c r="BD121" s="1129"/>
      <c r="BE121" s="1129"/>
      <c r="BF121" s="1129"/>
      <c r="BG121" s="1129">
        <f>BEZ_Hilf_15_AnzBA</f>
        <v>0</v>
      </c>
      <c r="BH121" s="1129"/>
      <c r="BI121" s="1129"/>
      <c r="BJ121" s="1129"/>
      <c r="BK121" s="1129"/>
      <c r="BL121" s="1129"/>
      <c r="BM121" s="1129"/>
      <c r="BN121" s="1130" t="str">
        <f>IF(AZ121=0,"",BEZ_Hilf_15_EH)</f>
        <v/>
      </c>
      <c r="BO121" s="1130"/>
      <c r="BP121" s="1130"/>
      <c r="BQ121" s="1130"/>
      <c r="BR121" s="1130"/>
      <c r="BS121" s="1123">
        <f>BEZ_Hilf_15_EHPreis</f>
        <v>0</v>
      </c>
      <c r="BT121" s="1123"/>
      <c r="BU121" s="1123"/>
      <c r="BV121" s="1123"/>
      <c r="BW121" s="1123"/>
      <c r="BX121" s="1123"/>
      <c r="BY121" s="1123"/>
      <c r="BZ121" s="1099">
        <f>BEZ_Hilf_15_GKZ</f>
        <v>0</v>
      </c>
      <c r="CA121" s="1132"/>
      <c r="CB121" s="1132"/>
      <c r="CC121" s="1132"/>
      <c r="CD121" s="1132"/>
      <c r="CE121" s="1132"/>
      <c r="CF121" s="1132"/>
      <c r="CG121" s="1133" t="str">
        <f>IF(AZ121=0,"",BEZ_Hilf_15_EHPreis*((BEZ_Hilf_15_GKZ+100)/100))</f>
        <v/>
      </c>
      <c r="CH121" s="1133"/>
      <c r="CI121" s="1133"/>
      <c r="CJ121" s="1133"/>
      <c r="CK121" s="1133"/>
      <c r="CL121" s="1133"/>
      <c r="CM121" s="1133"/>
      <c r="CN121" s="1123" t="str">
        <f>IF(AZ121=0,"",BEZ_Hilf_15_PreisJeKiste)</f>
        <v/>
      </c>
      <c r="CO121" s="1123"/>
      <c r="CP121" s="1123"/>
      <c r="CQ121" s="1123"/>
      <c r="CR121" s="1123"/>
      <c r="CS121" s="1123"/>
      <c r="CT121" s="1123"/>
      <c r="CU121" s="1124" t="str">
        <f>IF(AZ121=0,"",BEZ_Hilf_15_PreisJeBA)</f>
        <v/>
      </c>
      <c r="CV121" s="1124"/>
      <c r="CW121" s="1124"/>
      <c r="CX121" s="1124"/>
      <c r="CY121" s="1124"/>
      <c r="CZ121" s="1124"/>
      <c r="DA121" s="1124"/>
      <c r="DB121" s="1124" t="str">
        <f>IF(AZ121=0,"",BEZ_Hilf_15_gJeEH)</f>
        <v/>
      </c>
      <c r="DC121" s="1124"/>
      <c r="DD121" s="1124"/>
      <c r="DE121" s="1124"/>
      <c r="DF121" s="1124"/>
      <c r="DG121" s="1124"/>
      <c r="DH121" s="1124"/>
      <c r="DI121" s="1125" t="str">
        <f>IF(AZ121=0,"",BEZ_Hilf_15_gJeKiste)</f>
        <v/>
      </c>
      <c r="DJ121" s="1125"/>
      <c r="DK121" s="1125"/>
      <c r="DL121" s="1125"/>
      <c r="DM121" s="1125"/>
      <c r="DN121" s="1125"/>
      <c r="DO121" s="1126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</row>
    <row r="122" spans="1:130" ht="8.1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1085">
        <v>16</v>
      </c>
      <c r="M122" s="1086"/>
      <c r="N122" s="1086"/>
      <c r="O122" s="1127" t="str">
        <f>IF(AZ122=0,"",BEZ_Hilf_16_ACode)</f>
        <v/>
      </c>
      <c r="P122" s="1127"/>
      <c r="Q122" s="1127"/>
      <c r="R122" s="1127"/>
      <c r="S122" s="1127"/>
      <c r="T122" s="1087" t="str">
        <f>IF(AZ122=0,"",BEZ_Hilf_16_Bez)</f>
        <v/>
      </c>
      <c r="U122" s="1087"/>
      <c r="V122" s="1087"/>
      <c r="W122" s="1087"/>
      <c r="X122" s="1087"/>
      <c r="Y122" s="1087"/>
      <c r="Z122" s="1087"/>
      <c r="AA122" s="1087"/>
      <c r="AB122" s="1087"/>
      <c r="AC122" s="1087"/>
      <c r="AD122" s="1087"/>
      <c r="AE122" s="1087"/>
      <c r="AF122" s="1087"/>
      <c r="AG122" s="1087"/>
      <c r="AH122" s="1087"/>
      <c r="AI122" s="1087"/>
      <c r="AJ122" s="1087"/>
      <c r="AK122" s="1087"/>
      <c r="AL122" s="1087"/>
      <c r="AM122" s="1087"/>
      <c r="AN122" s="1087"/>
      <c r="AO122" s="1087"/>
      <c r="AP122" s="1087"/>
      <c r="AQ122" s="1087"/>
      <c r="AR122" s="1087"/>
      <c r="AS122" s="1087"/>
      <c r="AT122" s="1087"/>
      <c r="AU122" s="1087"/>
      <c r="AV122" s="1087"/>
      <c r="AW122" s="1087"/>
      <c r="AX122" s="1087"/>
      <c r="AY122" s="1087"/>
      <c r="AZ122" s="1129">
        <f>BEZ_Hilf_16_Anz</f>
        <v>0</v>
      </c>
      <c r="BA122" s="1129"/>
      <c r="BB122" s="1129"/>
      <c r="BC122" s="1129"/>
      <c r="BD122" s="1129"/>
      <c r="BE122" s="1129"/>
      <c r="BF122" s="1129"/>
      <c r="BG122" s="1129">
        <f>BEZ_Hilf_16_AnzBA</f>
        <v>0</v>
      </c>
      <c r="BH122" s="1129"/>
      <c r="BI122" s="1129"/>
      <c r="BJ122" s="1129"/>
      <c r="BK122" s="1129"/>
      <c r="BL122" s="1129"/>
      <c r="BM122" s="1129"/>
      <c r="BN122" s="1130" t="str">
        <f>IF(AZ122=0,"",BEZ_Hilf_16_EH)</f>
        <v/>
      </c>
      <c r="BO122" s="1130"/>
      <c r="BP122" s="1130"/>
      <c r="BQ122" s="1130"/>
      <c r="BR122" s="1130"/>
      <c r="BS122" s="1123">
        <f>BEZ_Hilf_16_EHPreis</f>
        <v>0</v>
      </c>
      <c r="BT122" s="1123"/>
      <c r="BU122" s="1123"/>
      <c r="BV122" s="1123"/>
      <c r="BW122" s="1123"/>
      <c r="BX122" s="1123"/>
      <c r="BY122" s="1123"/>
      <c r="BZ122" s="1099">
        <f>BEZ_Hilf_16_GKZ</f>
        <v>0</v>
      </c>
      <c r="CA122" s="1132"/>
      <c r="CB122" s="1132"/>
      <c r="CC122" s="1132"/>
      <c r="CD122" s="1132"/>
      <c r="CE122" s="1132"/>
      <c r="CF122" s="1132"/>
      <c r="CG122" s="1133" t="str">
        <f>IF(AZ122=0,"",BEZ_Hilf_16_EHPreis*((BEZ_Hilf_16_GKZ+100)/100))</f>
        <v/>
      </c>
      <c r="CH122" s="1133"/>
      <c r="CI122" s="1133"/>
      <c r="CJ122" s="1133"/>
      <c r="CK122" s="1133"/>
      <c r="CL122" s="1133"/>
      <c r="CM122" s="1133"/>
      <c r="CN122" s="1123" t="str">
        <f>IF(AZ122=0,"",BEZ_Hilf_16_PreisJeKiste)</f>
        <v/>
      </c>
      <c r="CO122" s="1123"/>
      <c r="CP122" s="1123"/>
      <c r="CQ122" s="1123"/>
      <c r="CR122" s="1123"/>
      <c r="CS122" s="1123"/>
      <c r="CT122" s="1123"/>
      <c r="CU122" s="1124" t="str">
        <f>IF(AZ122=0,"",BEZ_Hilf_16_PreisJeBA)</f>
        <v/>
      </c>
      <c r="CV122" s="1124"/>
      <c r="CW122" s="1124"/>
      <c r="CX122" s="1124"/>
      <c r="CY122" s="1124"/>
      <c r="CZ122" s="1124"/>
      <c r="DA122" s="1124"/>
      <c r="DB122" s="1124" t="str">
        <f>IF(AZ122=0,"",BEZ_Hilf_16_gJeEH)</f>
        <v/>
      </c>
      <c r="DC122" s="1124"/>
      <c r="DD122" s="1124"/>
      <c r="DE122" s="1124"/>
      <c r="DF122" s="1124"/>
      <c r="DG122" s="1124"/>
      <c r="DH122" s="1124"/>
      <c r="DI122" s="1125" t="str">
        <f>IF(AZ122=0,"",BEZ_Hilf_16_gJeKiste)</f>
        <v/>
      </c>
      <c r="DJ122" s="1125"/>
      <c r="DK122" s="1125"/>
      <c r="DL122" s="1125"/>
      <c r="DM122" s="1125"/>
      <c r="DN122" s="1125"/>
      <c r="DO122" s="1126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</row>
    <row r="123" spans="1:130" ht="8.1" customHeight="1" x14ac:dyDescent="0.15">
      <c r="A123" s="2"/>
      <c r="B123" s="2"/>
      <c r="C123" s="2"/>
      <c r="D123" s="2"/>
      <c r="E123" s="2"/>
      <c r="F123" s="2"/>
      <c r="G123" s="7"/>
      <c r="H123" s="7"/>
      <c r="I123" s="7"/>
      <c r="J123" s="7"/>
      <c r="K123" s="10"/>
      <c r="L123" s="1085">
        <v>17</v>
      </c>
      <c r="M123" s="1086"/>
      <c r="N123" s="1086"/>
      <c r="O123" s="1127" t="str">
        <f>IF(AZ123=0,"",BEZ_Hilf_17_ACode)</f>
        <v/>
      </c>
      <c r="P123" s="1127"/>
      <c r="Q123" s="1127"/>
      <c r="R123" s="1127"/>
      <c r="S123" s="1127"/>
      <c r="T123" s="1087" t="str">
        <f>IF(AZ123=0,"",BEZ_Hilf_17_Bez)</f>
        <v/>
      </c>
      <c r="U123" s="1087"/>
      <c r="V123" s="1087"/>
      <c r="W123" s="1087"/>
      <c r="X123" s="1087"/>
      <c r="Y123" s="1087"/>
      <c r="Z123" s="1087"/>
      <c r="AA123" s="1087"/>
      <c r="AB123" s="1087"/>
      <c r="AC123" s="1087"/>
      <c r="AD123" s="1087"/>
      <c r="AE123" s="1087"/>
      <c r="AF123" s="1087"/>
      <c r="AG123" s="1087"/>
      <c r="AH123" s="1087"/>
      <c r="AI123" s="1087"/>
      <c r="AJ123" s="1087"/>
      <c r="AK123" s="1087"/>
      <c r="AL123" s="1087"/>
      <c r="AM123" s="1087"/>
      <c r="AN123" s="1087"/>
      <c r="AO123" s="1087"/>
      <c r="AP123" s="1087"/>
      <c r="AQ123" s="1087"/>
      <c r="AR123" s="1087"/>
      <c r="AS123" s="1087"/>
      <c r="AT123" s="1087"/>
      <c r="AU123" s="1087"/>
      <c r="AV123" s="1087"/>
      <c r="AW123" s="1087"/>
      <c r="AX123" s="1087"/>
      <c r="AY123" s="1087"/>
      <c r="AZ123" s="1129">
        <f>BEZ_Hilf_17_Anz</f>
        <v>0</v>
      </c>
      <c r="BA123" s="1129"/>
      <c r="BB123" s="1129"/>
      <c r="BC123" s="1129"/>
      <c r="BD123" s="1129"/>
      <c r="BE123" s="1129"/>
      <c r="BF123" s="1129"/>
      <c r="BG123" s="1129">
        <f>BEZ_Hilf_17_AnzBA</f>
        <v>0</v>
      </c>
      <c r="BH123" s="1129"/>
      <c r="BI123" s="1129"/>
      <c r="BJ123" s="1129"/>
      <c r="BK123" s="1129"/>
      <c r="BL123" s="1129"/>
      <c r="BM123" s="1129"/>
      <c r="BN123" s="1130" t="str">
        <f>IF(AZ123=0,"",BEZ_Hilf_17_EH)</f>
        <v/>
      </c>
      <c r="BO123" s="1130"/>
      <c r="BP123" s="1130"/>
      <c r="BQ123" s="1130"/>
      <c r="BR123" s="1130"/>
      <c r="BS123" s="1123">
        <f>BEZ_Hilf_17_EHPreis</f>
        <v>0</v>
      </c>
      <c r="BT123" s="1123"/>
      <c r="BU123" s="1123"/>
      <c r="BV123" s="1123"/>
      <c r="BW123" s="1123"/>
      <c r="BX123" s="1123"/>
      <c r="BY123" s="1123"/>
      <c r="BZ123" s="1099">
        <f>BEZ_Hilf_17_GKZ</f>
        <v>0</v>
      </c>
      <c r="CA123" s="1132"/>
      <c r="CB123" s="1132"/>
      <c r="CC123" s="1132"/>
      <c r="CD123" s="1132"/>
      <c r="CE123" s="1132"/>
      <c r="CF123" s="1132"/>
      <c r="CG123" s="1133" t="str">
        <f>IF(AZ123=0,"",BEZ_Hilf_17_EHPreis*((BEZ_Hilf_17_GKZ+100)/100))</f>
        <v/>
      </c>
      <c r="CH123" s="1133"/>
      <c r="CI123" s="1133"/>
      <c r="CJ123" s="1133"/>
      <c r="CK123" s="1133"/>
      <c r="CL123" s="1133"/>
      <c r="CM123" s="1133"/>
      <c r="CN123" s="1123" t="str">
        <f>IF(AZ123=0,"",BEZ_Hilf_17_PreisJeKiste)</f>
        <v/>
      </c>
      <c r="CO123" s="1123"/>
      <c r="CP123" s="1123"/>
      <c r="CQ123" s="1123"/>
      <c r="CR123" s="1123"/>
      <c r="CS123" s="1123"/>
      <c r="CT123" s="1123"/>
      <c r="CU123" s="1124" t="str">
        <f>IF(AZ123=0,"",BEZ_Hilf_17_PreisJeBA)</f>
        <v/>
      </c>
      <c r="CV123" s="1124"/>
      <c r="CW123" s="1124"/>
      <c r="CX123" s="1124"/>
      <c r="CY123" s="1124"/>
      <c r="CZ123" s="1124"/>
      <c r="DA123" s="1124"/>
      <c r="DB123" s="1124" t="str">
        <f>IF(AZ123=0,"",BEZ_Hilf_17_gJeEH)</f>
        <v/>
      </c>
      <c r="DC123" s="1124"/>
      <c r="DD123" s="1124"/>
      <c r="DE123" s="1124"/>
      <c r="DF123" s="1124"/>
      <c r="DG123" s="1124"/>
      <c r="DH123" s="1124"/>
      <c r="DI123" s="1125" t="str">
        <f>IF(AZ123=0,"",BEZ_Hilf_17_gJeKiste)</f>
        <v/>
      </c>
      <c r="DJ123" s="1125"/>
      <c r="DK123" s="1125"/>
      <c r="DL123" s="1125"/>
      <c r="DM123" s="1125"/>
      <c r="DN123" s="1125"/>
      <c r="DO123" s="1126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</row>
    <row r="124" spans="1:130" ht="8.1" customHeight="1" x14ac:dyDescent="0.15">
      <c r="A124" s="2"/>
      <c r="B124" s="2"/>
      <c r="C124" s="2"/>
      <c r="D124" s="2"/>
      <c r="E124" s="2"/>
      <c r="F124" s="2"/>
      <c r="G124" s="7"/>
      <c r="H124" s="7"/>
      <c r="I124" s="7"/>
      <c r="J124" s="7"/>
      <c r="K124" s="10"/>
      <c r="L124" s="1085">
        <v>18</v>
      </c>
      <c r="M124" s="1086"/>
      <c r="N124" s="1086"/>
      <c r="O124" s="1127" t="str">
        <f>IF(AZ124=0,"",BEZ_Hilf_18_ACode)</f>
        <v/>
      </c>
      <c r="P124" s="1127"/>
      <c r="Q124" s="1127"/>
      <c r="R124" s="1127"/>
      <c r="S124" s="1127"/>
      <c r="T124" s="1087" t="str">
        <f>IF(AZ124=0,"",BEZ_Hilf_18_Bez)</f>
        <v/>
      </c>
      <c r="U124" s="1087"/>
      <c r="V124" s="1087"/>
      <c r="W124" s="1087"/>
      <c r="X124" s="1087"/>
      <c r="Y124" s="1087"/>
      <c r="Z124" s="1087"/>
      <c r="AA124" s="1087"/>
      <c r="AB124" s="1087"/>
      <c r="AC124" s="1087"/>
      <c r="AD124" s="1087"/>
      <c r="AE124" s="1087"/>
      <c r="AF124" s="1087"/>
      <c r="AG124" s="1087"/>
      <c r="AH124" s="1087"/>
      <c r="AI124" s="1087"/>
      <c r="AJ124" s="1087"/>
      <c r="AK124" s="1087"/>
      <c r="AL124" s="1087"/>
      <c r="AM124" s="1087"/>
      <c r="AN124" s="1087"/>
      <c r="AO124" s="1087"/>
      <c r="AP124" s="1087"/>
      <c r="AQ124" s="1087"/>
      <c r="AR124" s="1087"/>
      <c r="AS124" s="1087"/>
      <c r="AT124" s="1087"/>
      <c r="AU124" s="1087"/>
      <c r="AV124" s="1087"/>
      <c r="AW124" s="1087"/>
      <c r="AX124" s="1087"/>
      <c r="AY124" s="1087"/>
      <c r="AZ124" s="1129">
        <f>BEZ_Hilf_18_Anz</f>
        <v>0</v>
      </c>
      <c r="BA124" s="1129"/>
      <c r="BB124" s="1129"/>
      <c r="BC124" s="1129"/>
      <c r="BD124" s="1129"/>
      <c r="BE124" s="1129"/>
      <c r="BF124" s="1129"/>
      <c r="BG124" s="1129">
        <f>BEZ_Hilf_18_AnzBA</f>
        <v>0</v>
      </c>
      <c r="BH124" s="1129"/>
      <c r="BI124" s="1129"/>
      <c r="BJ124" s="1129"/>
      <c r="BK124" s="1129"/>
      <c r="BL124" s="1129"/>
      <c r="BM124" s="1129"/>
      <c r="BN124" s="1130" t="str">
        <f>IF(AZ124=0,"",BEZ_Hilf_18_EH)</f>
        <v/>
      </c>
      <c r="BO124" s="1130"/>
      <c r="BP124" s="1130"/>
      <c r="BQ124" s="1130"/>
      <c r="BR124" s="1130"/>
      <c r="BS124" s="1123">
        <f>BEZ_Hilf_18_EHPreis</f>
        <v>0</v>
      </c>
      <c r="BT124" s="1123"/>
      <c r="BU124" s="1123"/>
      <c r="BV124" s="1123"/>
      <c r="BW124" s="1123"/>
      <c r="BX124" s="1123"/>
      <c r="BY124" s="1123"/>
      <c r="BZ124" s="1099">
        <f>BEZ_Hilf_18_GKZ</f>
        <v>0</v>
      </c>
      <c r="CA124" s="1132"/>
      <c r="CB124" s="1132"/>
      <c r="CC124" s="1132"/>
      <c r="CD124" s="1132"/>
      <c r="CE124" s="1132"/>
      <c r="CF124" s="1132"/>
      <c r="CG124" s="1133" t="str">
        <f>IF(AZ124=0,"",BEZ_Hilf_18_EHPreis*((BEZ_Hilf_18_GKZ+100)/100))</f>
        <v/>
      </c>
      <c r="CH124" s="1133"/>
      <c r="CI124" s="1133"/>
      <c r="CJ124" s="1133"/>
      <c r="CK124" s="1133"/>
      <c r="CL124" s="1133"/>
      <c r="CM124" s="1133"/>
      <c r="CN124" s="1123" t="str">
        <f>IF(AZ124=0,"",BEZ_Hilf_18_PreisJeKiste)</f>
        <v/>
      </c>
      <c r="CO124" s="1123"/>
      <c r="CP124" s="1123"/>
      <c r="CQ124" s="1123"/>
      <c r="CR124" s="1123"/>
      <c r="CS124" s="1123"/>
      <c r="CT124" s="1123"/>
      <c r="CU124" s="1124" t="str">
        <f>IF(AZ124=0,"",BEZ_Hilf_18_PreisJeBA)</f>
        <v/>
      </c>
      <c r="CV124" s="1124"/>
      <c r="CW124" s="1124"/>
      <c r="CX124" s="1124"/>
      <c r="CY124" s="1124"/>
      <c r="CZ124" s="1124"/>
      <c r="DA124" s="1124"/>
      <c r="DB124" s="1124" t="str">
        <f>IF(AZ124=0,"",BEZ_Hilf_18_gJeEH)</f>
        <v/>
      </c>
      <c r="DC124" s="1124"/>
      <c r="DD124" s="1124"/>
      <c r="DE124" s="1124"/>
      <c r="DF124" s="1124"/>
      <c r="DG124" s="1124"/>
      <c r="DH124" s="1124"/>
      <c r="DI124" s="1125" t="str">
        <f>IF(AZ124=0,"",BEZ_Hilf_18_gJeKiste)</f>
        <v/>
      </c>
      <c r="DJ124" s="1125"/>
      <c r="DK124" s="1125"/>
      <c r="DL124" s="1125"/>
      <c r="DM124" s="1125"/>
      <c r="DN124" s="1125"/>
      <c r="DO124" s="1126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</row>
    <row r="125" spans="1:130" ht="8.1" customHeight="1" x14ac:dyDescent="0.15">
      <c r="A125" s="2"/>
      <c r="B125" s="2"/>
      <c r="C125" s="2"/>
      <c r="D125" s="2"/>
      <c r="E125" s="2"/>
      <c r="F125" s="2"/>
      <c r="G125" s="7"/>
      <c r="H125" s="7"/>
      <c r="I125" s="7"/>
      <c r="J125" s="7"/>
      <c r="K125" s="10"/>
      <c r="L125" s="1085">
        <v>19</v>
      </c>
      <c r="M125" s="1086"/>
      <c r="N125" s="1086"/>
      <c r="O125" s="1127" t="str">
        <f>IF(AZ125=0,"",BEZ_Hilf_19_ACode)</f>
        <v/>
      </c>
      <c r="P125" s="1127"/>
      <c r="Q125" s="1127"/>
      <c r="R125" s="1127"/>
      <c r="S125" s="1127"/>
      <c r="T125" s="1087" t="str">
        <f>IF(AZ125=0,"",BEZ_Hilf_19_Bez)</f>
        <v/>
      </c>
      <c r="U125" s="1087"/>
      <c r="V125" s="1087"/>
      <c r="W125" s="1087"/>
      <c r="X125" s="1087"/>
      <c r="Y125" s="1087"/>
      <c r="Z125" s="1087"/>
      <c r="AA125" s="1087"/>
      <c r="AB125" s="1087"/>
      <c r="AC125" s="1087"/>
      <c r="AD125" s="1087"/>
      <c r="AE125" s="1087"/>
      <c r="AF125" s="1087"/>
      <c r="AG125" s="1087"/>
      <c r="AH125" s="1087"/>
      <c r="AI125" s="1087"/>
      <c r="AJ125" s="1087"/>
      <c r="AK125" s="1087"/>
      <c r="AL125" s="1087"/>
      <c r="AM125" s="1087"/>
      <c r="AN125" s="1087"/>
      <c r="AO125" s="1087"/>
      <c r="AP125" s="1087"/>
      <c r="AQ125" s="1087"/>
      <c r="AR125" s="1087"/>
      <c r="AS125" s="1087"/>
      <c r="AT125" s="1087"/>
      <c r="AU125" s="1087"/>
      <c r="AV125" s="1087"/>
      <c r="AW125" s="1087"/>
      <c r="AX125" s="1087"/>
      <c r="AY125" s="1087"/>
      <c r="AZ125" s="1129">
        <f>BEZ_Hilf_19_Anz</f>
        <v>0</v>
      </c>
      <c r="BA125" s="1129"/>
      <c r="BB125" s="1129"/>
      <c r="BC125" s="1129"/>
      <c r="BD125" s="1129"/>
      <c r="BE125" s="1129"/>
      <c r="BF125" s="1129"/>
      <c r="BG125" s="1129">
        <f>BEZ_Hilf_19_AnzBA</f>
        <v>0</v>
      </c>
      <c r="BH125" s="1129"/>
      <c r="BI125" s="1129"/>
      <c r="BJ125" s="1129"/>
      <c r="BK125" s="1129"/>
      <c r="BL125" s="1129"/>
      <c r="BM125" s="1129"/>
      <c r="BN125" s="1130" t="str">
        <f>IF(AZ125=0,"",BEZ_Hilf_19_EH)</f>
        <v/>
      </c>
      <c r="BO125" s="1130"/>
      <c r="BP125" s="1130"/>
      <c r="BQ125" s="1130"/>
      <c r="BR125" s="1130"/>
      <c r="BS125" s="1123">
        <f>BEZ_Hilf_19_EHPreis</f>
        <v>0</v>
      </c>
      <c r="BT125" s="1123"/>
      <c r="BU125" s="1123"/>
      <c r="BV125" s="1123"/>
      <c r="BW125" s="1123"/>
      <c r="BX125" s="1123"/>
      <c r="BY125" s="1123"/>
      <c r="BZ125" s="1099">
        <f>BEZ_Hilf_19_GKZ</f>
        <v>0</v>
      </c>
      <c r="CA125" s="1132"/>
      <c r="CB125" s="1132"/>
      <c r="CC125" s="1132"/>
      <c r="CD125" s="1132"/>
      <c r="CE125" s="1132"/>
      <c r="CF125" s="1132"/>
      <c r="CG125" s="1133" t="str">
        <f>IF(AZ125=0,"",BEZ_Hilf_19_EHPreis*((BEZ_Hilf_19_GKZ+100)/100))</f>
        <v/>
      </c>
      <c r="CH125" s="1133"/>
      <c r="CI125" s="1133"/>
      <c r="CJ125" s="1133"/>
      <c r="CK125" s="1133"/>
      <c r="CL125" s="1133"/>
      <c r="CM125" s="1133"/>
      <c r="CN125" s="1123" t="str">
        <f>IF(AZ125=0,"",BEZ_Hilf_19_PreisJeKiste)</f>
        <v/>
      </c>
      <c r="CO125" s="1123"/>
      <c r="CP125" s="1123"/>
      <c r="CQ125" s="1123"/>
      <c r="CR125" s="1123"/>
      <c r="CS125" s="1123"/>
      <c r="CT125" s="1123"/>
      <c r="CU125" s="1124" t="str">
        <f>IF(AZ125=0,"",BEZ_Hilf_19_PreisJeBA)</f>
        <v/>
      </c>
      <c r="CV125" s="1124"/>
      <c r="CW125" s="1124"/>
      <c r="CX125" s="1124"/>
      <c r="CY125" s="1124"/>
      <c r="CZ125" s="1124"/>
      <c r="DA125" s="1124"/>
      <c r="DB125" s="1124" t="str">
        <f>IF(AZ125=0,"",BEZ_Hilf_19_gJeEH)</f>
        <v/>
      </c>
      <c r="DC125" s="1124"/>
      <c r="DD125" s="1124"/>
      <c r="DE125" s="1124"/>
      <c r="DF125" s="1124"/>
      <c r="DG125" s="1124"/>
      <c r="DH125" s="1124"/>
      <c r="DI125" s="1125" t="str">
        <f>IF(AZ125=0,"",BEZ_Hilf_19_gJeKiste)</f>
        <v/>
      </c>
      <c r="DJ125" s="1125"/>
      <c r="DK125" s="1125"/>
      <c r="DL125" s="1125"/>
      <c r="DM125" s="1125"/>
      <c r="DN125" s="1125"/>
      <c r="DO125" s="1126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</row>
    <row r="126" spans="1:130" ht="8.1" customHeight="1" x14ac:dyDescent="0.15">
      <c r="A126" s="2"/>
      <c r="B126" s="2"/>
      <c r="C126" s="2"/>
      <c r="D126" s="2"/>
      <c r="E126" s="2"/>
      <c r="F126" s="2"/>
      <c r="G126" s="7"/>
      <c r="H126" s="7"/>
      <c r="I126" s="7"/>
      <c r="J126" s="7"/>
      <c r="K126" s="10"/>
      <c r="L126" s="1085">
        <v>20</v>
      </c>
      <c r="M126" s="1086"/>
      <c r="N126" s="1086"/>
      <c r="O126" s="1127" t="str">
        <f>IF(AZ126=0,"",BEZ_Hilf_20_ACode)</f>
        <v/>
      </c>
      <c r="P126" s="1127"/>
      <c r="Q126" s="1127"/>
      <c r="R126" s="1127"/>
      <c r="S126" s="1127"/>
      <c r="T126" s="1087" t="str">
        <f>IF(AZ126=0,"",BEZ_Hilf_20_Bez)</f>
        <v/>
      </c>
      <c r="U126" s="1087"/>
      <c r="V126" s="1087"/>
      <c r="W126" s="1087"/>
      <c r="X126" s="1087"/>
      <c r="Y126" s="1087"/>
      <c r="Z126" s="1087"/>
      <c r="AA126" s="1087"/>
      <c r="AB126" s="1087"/>
      <c r="AC126" s="1087"/>
      <c r="AD126" s="1087"/>
      <c r="AE126" s="1087"/>
      <c r="AF126" s="1087"/>
      <c r="AG126" s="1087"/>
      <c r="AH126" s="1087"/>
      <c r="AI126" s="1087"/>
      <c r="AJ126" s="1087"/>
      <c r="AK126" s="1087"/>
      <c r="AL126" s="1087"/>
      <c r="AM126" s="1087"/>
      <c r="AN126" s="1087"/>
      <c r="AO126" s="1087"/>
      <c r="AP126" s="1087"/>
      <c r="AQ126" s="1087"/>
      <c r="AR126" s="1087"/>
      <c r="AS126" s="1087"/>
      <c r="AT126" s="1087"/>
      <c r="AU126" s="1087"/>
      <c r="AV126" s="1087"/>
      <c r="AW126" s="1087"/>
      <c r="AX126" s="1087"/>
      <c r="AY126" s="1087"/>
      <c r="AZ126" s="1129">
        <f>BEZ_Hilf_20_Anz</f>
        <v>0</v>
      </c>
      <c r="BA126" s="1129"/>
      <c r="BB126" s="1129"/>
      <c r="BC126" s="1129"/>
      <c r="BD126" s="1129"/>
      <c r="BE126" s="1129"/>
      <c r="BF126" s="1129"/>
      <c r="BG126" s="1129">
        <f>BEZ_Hilf_20_AnzBA</f>
        <v>0</v>
      </c>
      <c r="BH126" s="1129"/>
      <c r="BI126" s="1129"/>
      <c r="BJ126" s="1129"/>
      <c r="BK126" s="1129"/>
      <c r="BL126" s="1129"/>
      <c r="BM126" s="1129"/>
      <c r="BN126" s="1130" t="str">
        <f>IF(AZ126=0,"",BEZ_Hilf_20_EH)</f>
        <v/>
      </c>
      <c r="BO126" s="1130"/>
      <c r="BP126" s="1130"/>
      <c r="BQ126" s="1130"/>
      <c r="BR126" s="1130"/>
      <c r="BS126" s="1123">
        <f>BEZ_Hilf_20_EHPreis</f>
        <v>0</v>
      </c>
      <c r="BT126" s="1123"/>
      <c r="BU126" s="1123"/>
      <c r="BV126" s="1123"/>
      <c r="BW126" s="1123"/>
      <c r="BX126" s="1123"/>
      <c r="BY126" s="1123"/>
      <c r="BZ126" s="1099">
        <f>BEZ_Hilf_20_GKZ</f>
        <v>0</v>
      </c>
      <c r="CA126" s="1132"/>
      <c r="CB126" s="1132"/>
      <c r="CC126" s="1132"/>
      <c r="CD126" s="1132"/>
      <c r="CE126" s="1132"/>
      <c r="CF126" s="1132"/>
      <c r="CG126" s="1133" t="str">
        <f>IF(AZ126=0,"",BEZ_Hilf_20_EHPreis*((BEZ_Hilf_20_GKZ+100)/100))</f>
        <v/>
      </c>
      <c r="CH126" s="1133"/>
      <c r="CI126" s="1133"/>
      <c r="CJ126" s="1133"/>
      <c r="CK126" s="1133"/>
      <c r="CL126" s="1133"/>
      <c r="CM126" s="1133"/>
      <c r="CN126" s="1123" t="str">
        <f>IF(AZ126=0,"",BEZ_Hilf_20_PreisJeKiste)</f>
        <v/>
      </c>
      <c r="CO126" s="1123"/>
      <c r="CP126" s="1123"/>
      <c r="CQ126" s="1123"/>
      <c r="CR126" s="1123"/>
      <c r="CS126" s="1123"/>
      <c r="CT126" s="1123"/>
      <c r="CU126" s="1124" t="str">
        <f>IF(AZ126=0,"",BEZ_Hilf_20_PreisJeBA)</f>
        <v/>
      </c>
      <c r="CV126" s="1124"/>
      <c r="CW126" s="1124"/>
      <c r="CX126" s="1124"/>
      <c r="CY126" s="1124"/>
      <c r="CZ126" s="1124"/>
      <c r="DA126" s="1124"/>
      <c r="DB126" s="1124" t="str">
        <f>IF(AZ126=0,"",BEZ_Hilf_20_gJeEH)</f>
        <v/>
      </c>
      <c r="DC126" s="1124"/>
      <c r="DD126" s="1124"/>
      <c r="DE126" s="1124"/>
      <c r="DF126" s="1124"/>
      <c r="DG126" s="1124"/>
      <c r="DH126" s="1124"/>
      <c r="DI126" s="1125" t="str">
        <f>IF(AZ126=0,"",BEZ_Hilf_20_gJeKiste)</f>
        <v/>
      </c>
      <c r="DJ126" s="1125"/>
      <c r="DK126" s="1125"/>
      <c r="DL126" s="1125"/>
      <c r="DM126" s="1125"/>
      <c r="DN126" s="1125"/>
      <c r="DO126" s="1126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</row>
    <row r="127" spans="1:130" ht="8.1" customHeight="1" x14ac:dyDescent="0.15">
      <c r="A127" s="2"/>
      <c r="B127" s="2"/>
      <c r="C127" s="2"/>
      <c r="D127" s="2"/>
      <c r="E127" s="2"/>
      <c r="F127" s="2"/>
      <c r="G127" s="7"/>
      <c r="H127" s="7"/>
      <c r="I127" s="7"/>
      <c r="J127" s="7"/>
      <c r="K127" s="10"/>
      <c r="L127" s="1085">
        <v>21</v>
      </c>
      <c r="M127" s="1086"/>
      <c r="N127" s="1086"/>
      <c r="O127" s="1127" t="str">
        <f>IF(AZ127=0,"",BEZ_Hilf_21_ACode)</f>
        <v/>
      </c>
      <c r="P127" s="1127"/>
      <c r="Q127" s="1127"/>
      <c r="R127" s="1127"/>
      <c r="S127" s="1127"/>
      <c r="T127" s="1128" t="str">
        <f>IF(AZ127=0,"",BEZ_Hilf_21_Bez)</f>
        <v/>
      </c>
      <c r="U127" s="1128"/>
      <c r="V127" s="1128"/>
      <c r="W127" s="1128"/>
      <c r="X127" s="1128"/>
      <c r="Y127" s="1128"/>
      <c r="Z127" s="1128"/>
      <c r="AA127" s="1128"/>
      <c r="AB127" s="1128"/>
      <c r="AC127" s="1128"/>
      <c r="AD127" s="1128"/>
      <c r="AE127" s="1128"/>
      <c r="AF127" s="1128"/>
      <c r="AG127" s="1128"/>
      <c r="AH127" s="1128"/>
      <c r="AI127" s="1128"/>
      <c r="AJ127" s="1128"/>
      <c r="AK127" s="1128"/>
      <c r="AL127" s="1128"/>
      <c r="AM127" s="1128"/>
      <c r="AN127" s="1128"/>
      <c r="AO127" s="1128"/>
      <c r="AP127" s="1128"/>
      <c r="AQ127" s="1128"/>
      <c r="AR127" s="1128"/>
      <c r="AS127" s="1128"/>
      <c r="AT127" s="1128"/>
      <c r="AU127" s="1128"/>
      <c r="AV127" s="1128"/>
      <c r="AW127" s="1128"/>
      <c r="AX127" s="1128"/>
      <c r="AY127" s="1128"/>
      <c r="AZ127" s="1129">
        <f>BEZ_Hilf_21_Anz</f>
        <v>0</v>
      </c>
      <c r="BA127" s="1129"/>
      <c r="BB127" s="1129"/>
      <c r="BC127" s="1129"/>
      <c r="BD127" s="1129"/>
      <c r="BE127" s="1129"/>
      <c r="BF127" s="1129"/>
      <c r="BG127" s="1129">
        <f>BEZ_Hilf_21_AnzBA</f>
        <v>0</v>
      </c>
      <c r="BH127" s="1129"/>
      <c r="BI127" s="1129"/>
      <c r="BJ127" s="1129"/>
      <c r="BK127" s="1129"/>
      <c r="BL127" s="1129"/>
      <c r="BM127" s="1129"/>
      <c r="BN127" s="1130" t="str">
        <f>IF(AZ127=0,"",BEZ_Hilf_21_EH)</f>
        <v/>
      </c>
      <c r="BO127" s="1130"/>
      <c r="BP127" s="1130"/>
      <c r="BQ127" s="1130"/>
      <c r="BR127" s="1130"/>
      <c r="BS127" s="1123">
        <f>BEZ_Hilf_21_EHPreis</f>
        <v>0</v>
      </c>
      <c r="BT127" s="1123"/>
      <c r="BU127" s="1123"/>
      <c r="BV127" s="1123"/>
      <c r="BW127" s="1123"/>
      <c r="BX127" s="1123"/>
      <c r="BY127" s="1123"/>
      <c r="BZ127" s="1099">
        <f>BEZ_Hilf_21_GKZ</f>
        <v>0</v>
      </c>
      <c r="CA127" s="1132"/>
      <c r="CB127" s="1132"/>
      <c r="CC127" s="1132"/>
      <c r="CD127" s="1132"/>
      <c r="CE127" s="1132"/>
      <c r="CF127" s="1132"/>
      <c r="CG127" s="1133" t="str">
        <f>IF(AZ127=0,"",BEZ_Hilf_21_EHPreis*((BEZ_Hilf_21_GKZ+100)/100))</f>
        <v/>
      </c>
      <c r="CH127" s="1133"/>
      <c r="CI127" s="1133"/>
      <c r="CJ127" s="1133"/>
      <c r="CK127" s="1133"/>
      <c r="CL127" s="1133"/>
      <c r="CM127" s="1133"/>
      <c r="CN127" s="1123" t="str">
        <f>IF(AZ127=0,"",BEZ_Hilf_21_PreisJeKiste)</f>
        <v/>
      </c>
      <c r="CO127" s="1123"/>
      <c r="CP127" s="1123"/>
      <c r="CQ127" s="1123"/>
      <c r="CR127" s="1123"/>
      <c r="CS127" s="1123"/>
      <c r="CT127" s="1123"/>
      <c r="CU127" s="1124" t="str">
        <f>IF(AZ127=0,"",BEZ_Hilf_21_PreisJeBA)</f>
        <v/>
      </c>
      <c r="CV127" s="1124"/>
      <c r="CW127" s="1124"/>
      <c r="CX127" s="1124"/>
      <c r="CY127" s="1124"/>
      <c r="CZ127" s="1124"/>
      <c r="DA127" s="1124"/>
      <c r="DB127" s="1124" t="str">
        <f>IF(AZ127=0,"",BEZ_Hilf_21_gJeEH)</f>
        <v/>
      </c>
      <c r="DC127" s="1124"/>
      <c r="DD127" s="1124"/>
      <c r="DE127" s="1124"/>
      <c r="DF127" s="1124"/>
      <c r="DG127" s="1124"/>
      <c r="DH127" s="1124"/>
      <c r="DI127" s="1125" t="str">
        <f>IF(AZ127=0,"",BEZ_Hilf_21_gJeKiste)</f>
        <v/>
      </c>
      <c r="DJ127" s="1125"/>
      <c r="DK127" s="1125"/>
      <c r="DL127" s="1125"/>
      <c r="DM127" s="1125"/>
      <c r="DN127" s="1125"/>
      <c r="DO127" s="1126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</row>
    <row r="128" spans="1:130" ht="8.1" customHeight="1" x14ac:dyDescent="0.15">
      <c r="A128" s="2"/>
      <c r="B128" s="2"/>
      <c r="C128" s="2"/>
      <c r="D128" s="2"/>
      <c r="E128" s="2"/>
      <c r="F128" s="2"/>
      <c r="G128" s="7"/>
      <c r="H128" s="7"/>
      <c r="I128" s="7"/>
      <c r="J128" s="7"/>
      <c r="K128" s="10"/>
      <c r="L128" s="1085">
        <v>22</v>
      </c>
      <c r="M128" s="1086"/>
      <c r="N128" s="1086"/>
      <c r="O128" s="1127" t="str">
        <f>IF(AZ128=0,"",BEZ_Hilf_22_ACode)</f>
        <v/>
      </c>
      <c r="P128" s="1127"/>
      <c r="Q128" s="1127"/>
      <c r="R128" s="1127"/>
      <c r="S128" s="1127"/>
      <c r="T128" s="1128" t="str">
        <f>IF(AZ128=0,"",BEZ_Hilf_22_Bez)</f>
        <v/>
      </c>
      <c r="U128" s="1128"/>
      <c r="V128" s="1128"/>
      <c r="W128" s="1128"/>
      <c r="X128" s="1128"/>
      <c r="Y128" s="1128"/>
      <c r="Z128" s="1128"/>
      <c r="AA128" s="1128"/>
      <c r="AB128" s="1128"/>
      <c r="AC128" s="1128"/>
      <c r="AD128" s="1128"/>
      <c r="AE128" s="1128"/>
      <c r="AF128" s="1128"/>
      <c r="AG128" s="1128"/>
      <c r="AH128" s="1128"/>
      <c r="AI128" s="1128"/>
      <c r="AJ128" s="1128"/>
      <c r="AK128" s="1128"/>
      <c r="AL128" s="1128"/>
      <c r="AM128" s="1128"/>
      <c r="AN128" s="1128"/>
      <c r="AO128" s="1128"/>
      <c r="AP128" s="1128"/>
      <c r="AQ128" s="1128"/>
      <c r="AR128" s="1128"/>
      <c r="AS128" s="1128"/>
      <c r="AT128" s="1128"/>
      <c r="AU128" s="1128"/>
      <c r="AV128" s="1128"/>
      <c r="AW128" s="1128"/>
      <c r="AX128" s="1128"/>
      <c r="AY128" s="1128"/>
      <c r="AZ128" s="1129">
        <f>BEZ_Hilf_22_Anz</f>
        <v>0</v>
      </c>
      <c r="BA128" s="1129"/>
      <c r="BB128" s="1129"/>
      <c r="BC128" s="1129"/>
      <c r="BD128" s="1129"/>
      <c r="BE128" s="1129"/>
      <c r="BF128" s="1129"/>
      <c r="BG128" s="1129">
        <f>BEZ_Hilf_22_AnzBA</f>
        <v>0</v>
      </c>
      <c r="BH128" s="1129"/>
      <c r="BI128" s="1129"/>
      <c r="BJ128" s="1129"/>
      <c r="BK128" s="1129"/>
      <c r="BL128" s="1129"/>
      <c r="BM128" s="1129"/>
      <c r="BN128" s="1130" t="str">
        <f>IF(AZ128=0,"",BEZ_Hilf_22_EH)</f>
        <v/>
      </c>
      <c r="BO128" s="1130"/>
      <c r="BP128" s="1130"/>
      <c r="BQ128" s="1130"/>
      <c r="BR128" s="1130"/>
      <c r="BS128" s="1123">
        <f>BEZ_Hilf_22_EHPreis</f>
        <v>0</v>
      </c>
      <c r="BT128" s="1123"/>
      <c r="BU128" s="1123"/>
      <c r="BV128" s="1123"/>
      <c r="BW128" s="1123"/>
      <c r="BX128" s="1123"/>
      <c r="BY128" s="1123"/>
      <c r="BZ128" s="1099">
        <f>BEZ_Hilf_22_GKZ</f>
        <v>0</v>
      </c>
      <c r="CA128" s="1132"/>
      <c r="CB128" s="1132"/>
      <c r="CC128" s="1132"/>
      <c r="CD128" s="1132"/>
      <c r="CE128" s="1132"/>
      <c r="CF128" s="1132"/>
      <c r="CG128" s="1133" t="str">
        <f>IF(AZ128=0,"",BEZ_Hilf_22_EHPreis*((BEZ_Hilf_22_GKZ+100)/100))</f>
        <v/>
      </c>
      <c r="CH128" s="1133"/>
      <c r="CI128" s="1133"/>
      <c r="CJ128" s="1133"/>
      <c r="CK128" s="1133"/>
      <c r="CL128" s="1133"/>
      <c r="CM128" s="1133"/>
      <c r="CN128" s="1123" t="str">
        <f>IF(AZ128=0,"",BEZ_Hilf_22_PreisJeKiste)</f>
        <v/>
      </c>
      <c r="CO128" s="1123"/>
      <c r="CP128" s="1123"/>
      <c r="CQ128" s="1123"/>
      <c r="CR128" s="1123"/>
      <c r="CS128" s="1123"/>
      <c r="CT128" s="1123"/>
      <c r="CU128" s="1124" t="str">
        <f>IF(AZ128=0,"",BEZ_Hilf_22_PreisJeBA)</f>
        <v/>
      </c>
      <c r="CV128" s="1124"/>
      <c r="CW128" s="1124"/>
      <c r="CX128" s="1124"/>
      <c r="CY128" s="1124"/>
      <c r="CZ128" s="1124"/>
      <c r="DA128" s="1124"/>
      <c r="DB128" s="1124" t="str">
        <f>IF(AZ128=0,"",BEZ_Hilf_22_gJeEH)</f>
        <v/>
      </c>
      <c r="DC128" s="1124"/>
      <c r="DD128" s="1124"/>
      <c r="DE128" s="1124"/>
      <c r="DF128" s="1124"/>
      <c r="DG128" s="1124"/>
      <c r="DH128" s="1124"/>
      <c r="DI128" s="1125" t="str">
        <f>IF(AZ128=0,"",BEZ_Hilf_22_gJeKiste)</f>
        <v/>
      </c>
      <c r="DJ128" s="1125"/>
      <c r="DK128" s="1125"/>
      <c r="DL128" s="1125"/>
      <c r="DM128" s="1125"/>
      <c r="DN128" s="1125"/>
      <c r="DO128" s="1126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</row>
    <row r="129" spans="1:130" ht="8.1" customHeight="1" x14ac:dyDescent="0.15">
      <c r="A129" s="2"/>
      <c r="B129" s="2"/>
      <c r="C129" s="2"/>
      <c r="D129" s="2"/>
      <c r="E129" s="2"/>
      <c r="F129" s="2"/>
      <c r="G129" s="7"/>
      <c r="H129" s="7"/>
      <c r="I129" s="7"/>
      <c r="J129" s="7"/>
      <c r="K129" s="10"/>
      <c r="L129" s="1085">
        <v>23</v>
      </c>
      <c r="M129" s="1086"/>
      <c r="N129" s="1086"/>
      <c r="O129" s="1127" t="str">
        <f>IF(AZ129=0,"",BEZ_Hilf_23_ACode)</f>
        <v/>
      </c>
      <c r="P129" s="1127"/>
      <c r="Q129" s="1127"/>
      <c r="R129" s="1127"/>
      <c r="S129" s="1127"/>
      <c r="T129" s="1128" t="str">
        <f>IF(AZ129=0,"",BEZ_Hilf_23_Bez)</f>
        <v/>
      </c>
      <c r="U129" s="1128"/>
      <c r="V129" s="1128"/>
      <c r="W129" s="1128"/>
      <c r="X129" s="1128"/>
      <c r="Y129" s="1128"/>
      <c r="Z129" s="1128"/>
      <c r="AA129" s="1128"/>
      <c r="AB129" s="1128"/>
      <c r="AC129" s="1128"/>
      <c r="AD129" s="1128"/>
      <c r="AE129" s="1128"/>
      <c r="AF129" s="1128"/>
      <c r="AG129" s="1128"/>
      <c r="AH129" s="1128"/>
      <c r="AI129" s="1128"/>
      <c r="AJ129" s="1128"/>
      <c r="AK129" s="1128"/>
      <c r="AL129" s="1128"/>
      <c r="AM129" s="1128"/>
      <c r="AN129" s="1128"/>
      <c r="AO129" s="1128"/>
      <c r="AP129" s="1128"/>
      <c r="AQ129" s="1128"/>
      <c r="AR129" s="1128"/>
      <c r="AS129" s="1128"/>
      <c r="AT129" s="1128"/>
      <c r="AU129" s="1128"/>
      <c r="AV129" s="1128"/>
      <c r="AW129" s="1128"/>
      <c r="AX129" s="1128"/>
      <c r="AY129" s="1128"/>
      <c r="AZ129" s="1129">
        <f>BEZ_Hilf_23_Anz</f>
        <v>0</v>
      </c>
      <c r="BA129" s="1129"/>
      <c r="BB129" s="1129"/>
      <c r="BC129" s="1129"/>
      <c r="BD129" s="1129"/>
      <c r="BE129" s="1129"/>
      <c r="BF129" s="1129"/>
      <c r="BG129" s="1129">
        <f>BEZ_Hilf_23_AnzBA</f>
        <v>0</v>
      </c>
      <c r="BH129" s="1129"/>
      <c r="BI129" s="1129"/>
      <c r="BJ129" s="1129"/>
      <c r="BK129" s="1129"/>
      <c r="BL129" s="1129"/>
      <c r="BM129" s="1129"/>
      <c r="BN129" s="1130" t="str">
        <f>IF(AZ129=0,"",BEZ_Hilf_23_EH)</f>
        <v/>
      </c>
      <c r="BO129" s="1130"/>
      <c r="BP129" s="1130"/>
      <c r="BQ129" s="1130"/>
      <c r="BR129" s="1130"/>
      <c r="BS129" s="1123">
        <f>BEZ_Hilf_23_EHPreis</f>
        <v>0</v>
      </c>
      <c r="BT129" s="1123"/>
      <c r="BU129" s="1123"/>
      <c r="BV129" s="1123"/>
      <c r="BW129" s="1123"/>
      <c r="BX129" s="1123"/>
      <c r="BY129" s="1123"/>
      <c r="BZ129" s="1099">
        <f>BEZ_Hilf_23_GKZ</f>
        <v>0</v>
      </c>
      <c r="CA129" s="1132"/>
      <c r="CB129" s="1132"/>
      <c r="CC129" s="1132"/>
      <c r="CD129" s="1132"/>
      <c r="CE129" s="1132"/>
      <c r="CF129" s="1132"/>
      <c r="CG129" s="1133" t="str">
        <f>IF(AZ129=0,"",BEZ_Hilf_23_EHPreis*((BEZ_Hilf_23_GKZ+100)/100))</f>
        <v/>
      </c>
      <c r="CH129" s="1133"/>
      <c r="CI129" s="1133"/>
      <c r="CJ129" s="1133"/>
      <c r="CK129" s="1133"/>
      <c r="CL129" s="1133"/>
      <c r="CM129" s="1133"/>
      <c r="CN129" s="1123" t="str">
        <f>IF(AZ129=0,"",BEZ_Hilf_23_PreisJeKiste)</f>
        <v/>
      </c>
      <c r="CO129" s="1123"/>
      <c r="CP129" s="1123"/>
      <c r="CQ129" s="1123"/>
      <c r="CR129" s="1123"/>
      <c r="CS129" s="1123"/>
      <c r="CT129" s="1123"/>
      <c r="CU129" s="1124" t="str">
        <f>IF(AZ129=0,"",BEZ_Hilf_23_PreisJeBA)</f>
        <v/>
      </c>
      <c r="CV129" s="1124"/>
      <c r="CW129" s="1124"/>
      <c r="CX129" s="1124"/>
      <c r="CY129" s="1124"/>
      <c r="CZ129" s="1124"/>
      <c r="DA129" s="1124"/>
      <c r="DB129" s="1124" t="str">
        <f>IF(AZ129=0,"",BEZ_Hilf_23_gJeEH)</f>
        <v/>
      </c>
      <c r="DC129" s="1124"/>
      <c r="DD129" s="1124"/>
      <c r="DE129" s="1124"/>
      <c r="DF129" s="1124"/>
      <c r="DG129" s="1124"/>
      <c r="DH129" s="1124"/>
      <c r="DI129" s="1125" t="str">
        <f>IF(AZ129=0,"",BEZ_Hilf_23_gJeKiste)</f>
        <v/>
      </c>
      <c r="DJ129" s="1125"/>
      <c r="DK129" s="1125"/>
      <c r="DL129" s="1125"/>
      <c r="DM129" s="1125"/>
      <c r="DN129" s="1125"/>
      <c r="DO129" s="1126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</row>
    <row r="130" spans="1:130" ht="8.1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0"/>
      <c r="L130" s="1085">
        <v>24</v>
      </c>
      <c r="M130" s="1086"/>
      <c r="N130" s="1086"/>
      <c r="O130" s="1127" t="str">
        <f>IF(AZ130=0,"",BEZ_Hilf_24_ACode)</f>
        <v/>
      </c>
      <c r="P130" s="1127"/>
      <c r="Q130" s="1127"/>
      <c r="R130" s="1127"/>
      <c r="S130" s="1127"/>
      <c r="T130" s="1128" t="str">
        <f>IF(AZ130=0,"",BEZ_Hilf_24_Bez)</f>
        <v/>
      </c>
      <c r="U130" s="1128"/>
      <c r="V130" s="1128"/>
      <c r="W130" s="1128"/>
      <c r="X130" s="1128"/>
      <c r="Y130" s="1128"/>
      <c r="Z130" s="1128"/>
      <c r="AA130" s="1128"/>
      <c r="AB130" s="1128"/>
      <c r="AC130" s="1128"/>
      <c r="AD130" s="1128"/>
      <c r="AE130" s="1128"/>
      <c r="AF130" s="1128"/>
      <c r="AG130" s="1128"/>
      <c r="AH130" s="1128"/>
      <c r="AI130" s="1128"/>
      <c r="AJ130" s="1128"/>
      <c r="AK130" s="1128"/>
      <c r="AL130" s="1128"/>
      <c r="AM130" s="1128"/>
      <c r="AN130" s="1128"/>
      <c r="AO130" s="1128"/>
      <c r="AP130" s="1128"/>
      <c r="AQ130" s="1128"/>
      <c r="AR130" s="1128"/>
      <c r="AS130" s="1128"/>
      <c r="AT130" s="1128"/>
      <c r="AU130" s="1128"/>
      <c r="AV130" s="1128"/>
      <c r="AW130" s="1128"/>
      <c r="AX130" s="1128"/>
      <c r="AY130" s="1128"/>
      <c r="AZ130" s="1129">
        <f>BEZ_Hilf_24_Anz</f>
        <v>0</v>
      </c>
      <c r="BA130" s="1129"/>
      <c r="BB130" s="1129"/>
      <c r="BC130" s="1129"/>
      <c r="BD130" s="1129"/>
      <c r="BE130" s="1129"/>
      <c r="BF130" s="1129"/>
      <c r="BG130" s="1129">
        <f>BEZ_Hilf_24_AnzBA</f>
        <v>0</v>
      </c>
      <c r="BH130" s="1129"/>
      <c r="BI130" s="1129"/>
      <c r="BJ130" s="1129"/>
      <c r="BK130" s="1129"/>
      <c r="BL130" s="1129"/>
      <c r="BM130" s="1129"/>
      <c r="BN130" s="1130" t="str">
        <f>IF(AZ130=0,"",BEZ_Hilf_24_EH)</f>
        <v/>
      </c>
      <c r="BO130" s="1130"/>
      <c r="BP130" s="1130"/>
      <c r="BQ130" s="1130"/>
      <c r="BR130" s="1130"/>
      <c r="BS130" s="1123">
        <f>BEZ_Hilf_24_EHPreis</f>
        <v>0</v>
      </c>
      <c r="BT130" s="1123"/>
      <c r="BU130" s="1123"/>
      <c r="BV130" s="1123"/>
      <c r="BW130" s="1123"/>
      <c r="BX130" s="1123"/>
      <c r="BY130" s="1123"/>
      <c r="BZ130" s="1099">
        <f>BEZ_Hilf_24_GKZ</f>
        <v>0</v>
      </c>
      <c r="CA130" s="1132"/>
      <c r="CB130" s="1132"/>
      <c r="CC130" s="1132"/>
      <c r="CD130" s="1132"/>
      <c r="CE130" s="1132"/>
      <c r="CF130" s="1132"/>
      <c r="CG130" s="1133" t="str">
        <f>IF(AZ130=0,"",BEZ_Hilf_24_EHPreis*((BEZ_Hilf_24_GKZ+100)/100))</f>
        <v/>
      </c>
      <c r="CH130" s="1133"/>
      <c r="CI130" s="1133"/>
      <c r="CJ130" s="1133"/>
      <c r="CK130" s="1133"/>
      <c r="CL130" s="1133"/>
      <c r="CM130" s="1133"/>
      <c r="CN130" s="1123" t="str">
        <f>IF(AZ130=0,"",BEZ_Hilf_24_PreisJeKiste)</f>
        <v/>
      </c>
      <c r="CO130" s="1123"/>
      <c r="CP130" s="1123"/>
      <c r="CQ130" s="1123"/>
      <c r="CR130" s="1123"/>
      <c r="CS130" s="1123"/>
      <c r="CT130" s="1123"/>
      <c r="CU130" s="1124" t="str">
        <f>IF(AZ130=0,"",BEZ_Hilf_24_PreisJeBA)</f>
        <v/>
      </c>
      <c r="CV130" s="1124"/>
      <c r="CW130" s="1124"/>
      <c r="CX130" s="1124"/>
      <c r="CY130" s="1124"/>
      <c r="CZ130" s="1124"/>
      <c r="DA130" s="1124"/>
      <c r="DB130" s="1124" t="str">
        <f>IF(AZ130=0,"",BEZ_Hilf_24_gJeEH)</f>
        <v/>
      </c>
      <c r="DC130" s="1124"/>
      <c r="DD130" s="1124"/>
      <c r="DE130" s="1124"/>
      <c r="DF130" s="1124"/>
      <c r="DG130" s="1124"/>
      <c r="DH130" s="1124"/>
      <c r="DI130" s="1125" t="str">
        <f>IF(AZ130=0,"",BEZ_Hilf_24_gJeKiste)</f>
        <v/>
      </c>
      <c r="DJ130" s="1125"/>
      <c r="DK130" s="1125"/>
      <c r="DL130" s="1125"/>
      <c r="DM130" s="1125"/>
      <c r="DN130" s="1125"/>
      <c r="DO130" s="1126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</row>
    <row r="131" spans="1:130" ht="8.1" customHeight="1" x14ac:dyDescent="0.15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1085">
        <v>25</v>
      </c>
      <c r="M131" s="1086"/>
      <c r="N131" s="1086"/>
      <c r="O131" s="1127" t="str">
        <f>IF(AZ131=0,"",BEZ_Hilf_25_ACode)</f>
        <v/>
      </c>
      <c r="P131" s="1127"/>
      <c r="Q131" s="1127"/>
      <c r="R131" s="1127"/>
      <c r="S131" s="1127"/>
      <c r="T131" s="1128" t="str">
        <f>IF(AZ131=0,"",BEZ_Hilf_25_Bez)</f>
        <v/>
      </c>
      <c r="U131" s="1128"/>
      <c r="V131" s="1128"/>
      <c r="W131" s="1128"/>
      <c r="X131" s="1128"/>
      <c r="Y131" s="1128"/>
      <c r="Z131" s="1128"/>
      <c r="AA131" s="1128"/>
      <c r="AB131" s="1128"/>
      <c r="AC131" s="1128"/>
      <c r="AD131" s="1128"/>
      <c r="AE131" s="1128"/>
      <c r="AF131" s="1128"/>
      <c r="AG131" s="1128"/>
      <c r="AH131" s="1128"/>
      <c r="AI131" s="1128"/>
      <c r="AJ131" s="1128"/>
      <c r="AK131" s="1128"/>
      <c r="AL131" s="1128"/>
      <c r="AM131" s="1128"/>
      <c r="AN131" s="1128"/>
      <c r="AO131" s="1128"/>
      <c r="AP131" s="1128"/>
      <c r="AQ131" s="1128"/>
      <c r="AR131" s="1128"/>
      <c r="AS131" s="1128"/>
      <c r="AT131" s="1128"/>
      <c r="AU131" s="1128"/>
      <c r="AV131" s="1128"/>
      <c r="AW131" s="1128"/>
      <c r="AX131" s="1128"/>
      <c r="AY131" s="1128"/>
      <c r="AZ131" s="1129">
        <f>BEZ_Hilf_25_Anz</f>
        <v>0</v>
      </c>
      <c r="BA131" s="1129"/>
      <c r="BB131" s="1129"/>
      <c r="BC131" s="1129"/>
      <c r="BD131" s="1129"/>
      <c r="BE131" s="1129"/>
      <c r="BF131" s="1129"/>
      <c r="BG131" s="1129">
        <f>BEZ_Hilf_25_AnzBA</f>
        <v>0</v>
      </c>
      <c r="BH131" s="1129"/>
      <c r="BI131" s="1129"/>
      <c r="BJ131" s="1129"/>
      <c r="BK131" s="1129"/>
      <c r="BL131" s="1129"/>
      <c r="BM131" s="1129"/>
      <c r="BN131" s="1130" t="str">
        <f>IF(AZ131=0,"",BEZ_Hilf_25_EH)</f>
        <v/>
      </c>
      <c r="BO131" s="1130"/>
      <c r="BP131" s="1130"/>
      <c r="BQ131" s="1130"/>
      <c r="BR131" s="1130"/>
      <c r="BS131" s="1123">
        <f>BEZ_Hilf_25_EHPreis</f>
        <v>0</v>
      </c>
      <c r="BT131" s="1123"/>
      <c r="BU131" s="1123"/>
      <c r="BV131" s="1123"/>
      <c r="BW131" s="1123"/>
      <c r="BX131" s="1123"/>
      <c r="BY131" s="1123"/>
      <c r="BZ131" s="1099">
        <f>BEZ_Hilf_25_GKZ</f>
        <v>0</v>
      </c>
      <c r="CA131" s="1132"/>
      <c r="CB131" s="1132"/>
      <c r="CC131" s="1132"/>
      <c r="CD131" s="1132"/>
      <c r="CE131" s="1132"/>
      <c r="CF131" s="1132"/>
      <c r="CG131" s="1133" t="str">
        <f>IF(AZ131=0,"",BEZ_Hilf_25_EHPreis*((BEZ_Hilf_25_GKZ+100)/100))</f>
        <v/>
      </c>
      <c r="CH131" s="1133"/>
      <c r="CI131" s="1133"/>
      <c r="CJ131" s="1133"/>
      <c r="CK131" s="1133"/>
      <c r="CL131" s="1133"/>
      <c r="CM131" s="1133"/>
      <c r="CN131" s="1123" t="str">
        <f>IF(AZ131=0,"",BEZ_Hilf_25_PreisJeKiste)</f>
        <v/>
      </c>
      <c r="CO131" s="1123"/>
      <c r="CP131" s="1123"/>
      <c r="CQ131" s="1123"/>
      <c r="CR131" s="1123"/>
      <c r="CS131" s="1123"/>
      <c r="CT131" s="1123"/>
      <c r="CU131" s="1124" t="str">
        <f>IF(AZ131=0,"",BEZ_Hilf_25_PreisJeBA)</f>
        <v/>
      </c>
      <c r="CV131" s="1124"/>
      <c r="CW131" s="1124"/>
      <c r="CX131" s="1124"/>
      <c r="CY131" s="1124"/>
      <c r="CZ131" s="1124"/>
      <c r="DA131" s="1124"/>
      <c r="DB131" s="1124" t="str">
        <f>IF(AZ131=0,"",BEZ_Hilf_25_gJeEH)</f>
        <v/>
      </c>
      <c r="DC131" s="1124"/>
      <c r="DD131" s="1124"/>
      <c r="DE131" s="1124"/>
      <c r="DF131" s="1124"/>
      <c r="DG131" s="1124"/>
      <c r="DH131" s="1124"/>
      <c r="DI131" s="1125" t="str">
        <f>IF(AZ131=0,"",BEZ_Hilf_25_gJeKiste)</f>
        <v/>
      </c>
      <c r="DJ131" s="1125"/>
      <c r="DK131" s="1125"/>
      <c r="DL131" s="1125"/>
      <c r="DM131" s="1125"/>
      <c r="DN131" s="1125"/>
      <c r="DO131" s="1126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</row>
    <row r="132" spans="1:130" ht="8.1" customHeight="1" x14ac:dyDescent="0.15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1085">
        <v>26</v>
      </c>
      <c r="M132" s="1086"/>
      <c r="N132" s="1086"/>
      <c r="O132" s="1127" t="str">
        <f>IF(AZ132=0,"",BEZ_Hilf_26_ACode)</f>
        <v/>
      </c>
      <c r="P132" s="1127"/>
      <c r="Q132" s="1127"/>
      <c r="R132" s="1127"/>
      <c r="S132" s="1127"/>
      <c r="T132" s="1087" t="str">
        <f>IF(AZ132=0,"",BEZ_Hilf_26_Bez)</f>
        <v/>
      </c>
      <c r="U132" s="1087"/>
      <c r="V132" s="1087"/>
      <c r="W132" s="1087"/>
      <c r="X132" s="1087"/>
      <c r="Y132" s="1087"/>
      <c r="Z132" s="1087"/>
      <c r="AA132" s="1087"/>
      <c r="AB132" s="1087"/>
      <c r="AC132" s="1087"/>
      <c r="AD132" s="1087"/>
      <c r="AE132" s="1087"/>
      <c r="AF132" s="1087"/>
      <c r="AG132" s="1087"/>
      <c r="AH132" s="1087"/>
      <c r="AI132" s="1087"/>
      <c r="AJ132" s="1087"/>
      <c r="AK132" s="1087"/>
      <c r="AL132" s="1087"/>
      <c r="AM132" s="1087"/>
      <c r="AN132" s="1087"/>
      <c r="AO132" s="1087"/>
      <c r="AP132" s="1087"/>
      <c r="AQ132" s="1087"/>
      <c r="AR132" s="1087"/>
      <c r="AS132" s="1087"/>
      <c r="AT132" s="1087"/>
      <c r="AU132" s="1087"/>
      <c r="AV132" s="1087"/>
      <c r="AW132" s="1087"/>
      <c r="AX132" s="1087"/>
      <c r="AY132" s="1087"/>
      <c r="AZ132" s="1129">
        <f>BEZ_Hilf_26_Anz</f>
        <v>0</v>
      </c>
      <c r="BA132" s="1129"/>
      <c r="BB132" s="1129"/>
      <c r="BC132" s="1129"/>
      <c r="BD132" s="1129"/>
      <c r="BE132" s="1129"/>
      <c r="BF132" s="1129"/>
      <c r="BG132" s="1129">
        <f>BEZ_Hilf_26_AnzBA</f>
        <v>0</v>
      </c>
      <c r="BH132" s="1129"/>
      <c r="BI132" s="1129"/>
      <c r="BJ132" s="1129"/>
      <c r="BK132" s="1129"/>
      <c r="BL132" s="1129"/>
      <c r="BM132" s="1129"/>
      <c r="BN132" s="1130" t="str">
        <f>IF(AZ132=0,"",BEZ_Hilf_26_EH)</f>
        <v/>
      </c>
      <c r="BO132" s="1130"/>
      <c r="BP132" s="1130"/>
      <c r="BQ132" s="1130"/>
      <c r="BR132" s="1130"/>
      <c r="BS132" s="1123">
        <f>BEZ_Hilf_26_EHPreis</f>
        <v>0</v>
      </c>
      <c r="BT132" s="1123"/>
      <c r="BU132" s="1123"/>
      <c r="BV132" s="1123"/>
      <c r="BW132" s="1123"/>
      <c r="BX132" s="1123"/>
      <c r="BY132" s="1123"/>
      <c r="BZ132" s="1099">
        <f>BEZ_Hilf_26_GKZ</f>
        <v>0</v>
      </c>
      <c r="CA132" s="1132"/>
      <c r="CB132" s="1132"/>
      <c r="CC132" s="1132"/>
      <c r="CD132" s="1132"/>
      <c r="CE132" s="1132"/>
      <c r="CF132" s="1132"/>
      <c r="CG132" s="1133" t="str">
        <f>IF(AZ132=0,"",BEZ_Hilf_26_EHPreis*((BEZ_Hilf_26_GKZ+100)/100))</f>
        <v/>
      </c>
      <c r="CH132" s="1133"/>
      <c r="CI132" s="1133"/>
      <c r="CJ132" s="1133"/>
      <c r="CK132" s="1133"/>
      <c r="CL132" s="1133"/>
      <c r="CM132" s="1133"/>
      <c r="CN132" s="1123" t="str">
        <f>IF(AZ132=0,"",BEZ_Hilf_26_PreisJeKiste)</f>
        <v/>
      </c>
      <c r="CO132" s="1123"/>
      <c r="CP132" s="1123"/>
      <c r="CQ132" s="1123"/>
      <c r="CR132" s="1123"/>
      <c r="CS132" s="1123"/>
      <c r="CT132" s="1123"/>
      <c r="CU132" s="1124" t="str">
        <f>IF(AZ132=0,"",BEZ_Hilf_26_PreisJeBA)</f>
        <v/>
      </c>
      <c r="CV132" s="1124"/>
      <c r="CW132" s="1124"/>
      <c r="CX132" s="1124"/>
      <c r="CY132" s="1124"/>
      <c r="CZ132" s="1124"/>
      <c r="DA132" s="1124"/>
      <c r="DB132" s="1124" t="str">
        <f>IF(AZ132=0,"",BEZ_Hilf_26_gJeEH)</f>
        <v/>
      </c>
      <c r="DC132" s="1124"/>
      <c r="DD132" s="1124"/>
      <c r="DE132" s="1124"/>
      <c r="DF132" s="1124"/>
      <c r="DG132" s="1124"/>
      <c r="DH132" s="1124"/>
      <c r="DI132" s="1125" t="str">
        <f>IF(AZ132=0,"",BEZ_Hilf_26_gJeKiste)</f>
        <v/>
      </c>
      <c r="DJ132" s="1125"/>
      <c r="DK132" s="1125"/>
      <c r="DL132" s="1125"/>
      <c r="DM132" s="1125"/>
      <c r="DN132" s="1125"/>
      <c r="DO132" s="1126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</row>
    <row r="133" spans="1:130" ht="8.1" customHeight="1" x14ac:dyDescent="0.15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1085">
        <v>27</v>
      </c>
      <c r="M133" s="1086"/>
      <c r="N133" s="1086"/>
      <c r="O133" s="1127" t="str">
        <f>IF(AZ133=0,"",BEZ_Hilf_27_ACode)</f>
        <v/>
      </c>
      <c r="P133" s="1127"/>
      <c r="Q133" s="1127"/>
      <c r="R133" s="1127"/>
      <c r="S133" s="1127"/>
      <c r="T133" s="1087" t="str">
        <f>IF(AZ133=0,"",BEZ_Hilf_27_Bez)</f>
        <v/>
      </c>
      <c r="U133" s="1087"/>
      <c r="V133" s="1087"/>
      <c r="W133" s="1087"/>
      <c r="X133" s="1087"/>
      <c r="Y133" s="1087"/>
      <c r="Z133" s="1087"/>
      <c r="AA133" s="1087"/>
      <c r="AB133" s="1087"/>
      <c r="AC133" s="1087"/>
      <c r="AD133" s="1087"/>
      <c r="AE133" s="1087"/>
      <c r="AF133" s="1087"/>
      <c r="AG133" s="1087"/>
      <c r="AH133" s="1087"/>
      <c r="AI133" s="1087"/>
      <c r="AJ133" s="1087"/>
      <c r="AK133" s="1087"/>
      <c r="AL133" s="1087"/>
      <c r="AM133" s="1087"/>
      <c r="AN133" s="1087"/>
      <c r="AO133" s="1087"/>
      <c r="AP133" s="1087"/>
      <c r="AQ133" s="1087"/>
      <c r="AR133" s="1087"/>
      <c r="AS133" s="1087"/>
      <c r="AT133" s="1087"/>
      <c r="AU133" s="1087"/>
      <c r="AV133" s="1087"/>
      <c r="AW133" s="1087"/>
      <c r="AX133" s="1087"/>
      <c r="AY133" s="1087"/>
      <c r="AZ133" s="1129">
        <f>BEZ_Hilf_27_Anz</f>
        <v>0</v>
      </c>
      <c r="BA133" s="1129"/>
      <c r="BB133" s="1129"/>
      <c r="BC133" s="1129"/>
      <c r="BD133" s="1129"/>
      <c r="BE133" s="1129"/>
      <c r="BF133" s="1129"/>
      <c r="BG133" s="1129">
        <f>BEZ_Hilf_27_AnzBA</f>
        <v>0</v>
      </c>
      <c r="BH133" s="1129"/>
      <c r="BI133" s="1129"/>
      <c r="BJ133" s="1129"/>
      <c r="BK133" s="1129"/>
      <c r="BL133" s="1129"/>
      <c r="BM133" s="1129"/>
      <c r="BN133" s="1130" t="str">
        <f>IF(AZ133=0,"",BEZ_Hilf_27_EH)</f>
        <v/>
      </c>
      <c r="BO133" s="1130"/>
      <c r="BP133" s="1130"/>
      <c r="BQ133" s="1130"/>
      <c r="BR133" s="1130"/>
      <c r="BS133" s="1123">
        <f>BEZ_Hilf_27_EHPreis</f>
        <v>0</v>
      </c>
      <c r="BT133" s="1123"/>
      <c r="BU133" s="1123"/>
      <c r="BV133" s="1123"/>
      <c r="BW133" s="1123"/>
      <c r="BX133" s="1123"/>
      <c r="BY133" s="1123"/>
      <c r="BZ133" s="1099">
        <f>BEZ_Hilf_27_GKZ</f>
        <v>0</v>
      </c>
      <c r="CA133" s="1132"/>
      <c r="CB133" s="1132"/>
      <c r="CC133" s="1132"/>
      <c r="CD133" s="1132"/>
      <c r="CE133" s="1132"/>
      <c r="CF133" s="1132"/>
      <c r="CG133" s="1133" t="str">
        <f>IF(AZ133=0,"",BEZ_Hilf_27_EHPreis*((BEZ_Hilf_27_GKZ+100)/100))</f>
        <v/>
      </c>
      <c r="CH133" s="1133"/>
      <c r="CI133" s="1133"/>
      <c r="CJ133" s="1133"/>
      <c r="CK133" s="1133"/>
      <c r="CL133" s="1133"/>
      <c r="CM133" s="1133"/>
      <c r="CN133" s="1123" t="str">
        <f>IF(AZ133=0,"",BEZ_Hilf_27_PreisJeKiste)</f>
        <v/>
      </c>
      <c r="CO133" s="1123"/>
      <c r="CP133" s="1123"/>
      <c r="CQ133" s="1123"/>
      <c r="CR133" s="1123"/>
      <c r="CS133" s="1123"/>
      <c r="CT133" s="1123"/>
      <c r="CU133" s="1124" t="str">
        <f>IF(AZ133=0,"",BEZ_Hilf_27_PreisJeBA)</f>
        <v/>
      </c>
      <c r="CV133" s="1124"/>
      <c r="CW133" s="1124"/>
      <c r="CX133" s="1124"/>
      <c r="CY133" s="1124"/>
      <c r="CZ133" s="1124"/>
      <c r="DA133" s="1124"/>
      <c r="DB133" s="1124" t="str">
        <f>IF(AZ133=0,"",BEZ_Hilf_27_gJeEH)</f>
        <v/>
      </c>
      <c r="DC133" s="1124"/>
      <c r="DD133" s="1124"/>
      <c r="DE133" s="1124"/>
      <c r="DF133" s="1124"/>
      <c r="DG133" s="1124"/>
      <c r="DH133" s="1124"/>
      <c r="DI133" s="1125" t="str">
        <f>IF(AZ133=0,"",BEZ_Hilf_27_gJeKiste)</f>
        <v/>
      </c>
      <c r="DJ133" s="1125"/>
      <c r="DK133" s="1125"/>
      <c r="DL133" s="1125"/>
      <c r="DM133" s="1125"/>
      <c r="DN133" s="1125"/>
      <c r="DO133" s="1126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</row>
    <row r="134" spans="1:130" ht="8.1" customHeight="1" x14ac:dyDescent="0.15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1085">
        <v>28</v>
      </c>
      <c r="M134" s="1086"/>
      <c r="N134" s="1086"/>
      <c r="O134" s="1127" t="str">
        <f>IF(AZ134=0,"",BEZ_Hilf_28_ACode)</f>
        <v/>
      </c>
      <c r="P134" s="1127"/>
      <c r="Q134" s="1127"/>
      <c r="R134" s="1127"/>
      <c r="S134" s="1127"/>
      <c r="T134" s="1087" t="str">
        <f>IF(AZ134=0,"",BEZ_Hilf_28_Bez)</f>
        <v/>
      </c>
      <c r="U134" s="1087"/>
      <c r="V134" s="1087"/>
      <c r="W134" s="1087"/>
      <c r="X134" s="1087"/>
      <c r="Y134" s="1087"/>
      <c r="Z134" s="1087"/>
      <c r="AA134" s="1087"/>
      <c r="AB134" s="1087"/>
      <c r="AC134" s="1087"/>
      <c r="AD134" s="1087"/>
      <c r="AE134" s="1087"/>
      <c r="AF134" s="1087"/>
      <c r="AG134" s="1087"/>
      <c r="AH134" s="1087"/>
      <c r="AI134" s="1087"/>
      <c r="AJ134" s="1087"/>
      <c r="AK134" s="1087"/>
      <c r="AL134" s="1087"/>
      <c r="AM134" s="1087"/>
      <c r="AN134" s="1087"/>
      <c r="AO134" s="1087"/>
      <c r="AP134" s="1087"/>
      <c r="AQ134" s="1087"/>
      <c r="AR134" s="1087"/>
      <c r="AS134" s="1087"/>
      <c r="AT134" s="1087"/>
      <c r="AU134" s="1087"/>
      <c r="AV134" s="1087"/>
      <c r="AW134" s="1087"/>
      <c r="AX134" s="1087"/>
      <c r="AY134" s="1087"/>
      <c r="AZ134" s="1129">
        <f>BEZ_Hilf_28_Anz</f>
        <v>0</v>
      </c>
      <c r="BA134" s="1129"/>
      <c r="BB134" s="1129"/>
      <c r="BC134" s="1129"/>
      <c r="BD134" s="1129"/>
      <c r="BE134" s="1129"/>
      <c r="BF134" s="1129"/>
      <c r="BG134" s="1129">
        <f>BEZ_Hilf_28_AnzBA</f>
        <v>0</v>
      </c>
      <c r="BH134" s="1129"/>
      <c r="BI134" s="1129"/>
      <c r="BJ134" s="1129"/>
      <c r="BK134" s="1129"/>
      <c r="BL134" s="1129"/>
      <c r="BM134" s="1129"/>
      <c r="BN134" s="1130" t="str">
        <f>IF(AZ134=0,"",BEZ_Hilf_28_EH)</f>
        <v/>
      </c>
      <c r="BO134" s="1130"/>
      <c r="BP134" s="1130"/>
      <c r="BQ134" s="1130"/>
      <c r="BR134" s="1130"/>
      <c r="BS134" s="1123">
        <f>BEZ_Hilf_28_EHPreis</f>
        <v>0</v>
      </c>
      <c r="BT134" s="1123"/>
      <c r="BU134" s="1123"/>
      <c r="BV134" s="1123"/>
      <c r="BW134" s="1123"/>
      <c r="BX134" s="1123"/>
      <c r="BY134" s="1123"/>
      <c r="BZ134" s="1099">
        <f>BEZ_Hilf_28_GKZ</f>
        <v>0</v>
      </c>
      <c r="CA134" s="1132"/>
      <c r="CB134" s="1132"/>
      <c r="CC134" s="1132"/>
      <c r="CD134" s="1132"/>
      <c r="CE134" s="1132"/>
      <c r="CF134" s="1132"/>
      <c r="CG134" s="1133" t="str">
        <f>IF(AZ134=0,"",BEZ_Hilf_28_EHPreis*((BEZ_Hilf_28_GKZ+100)/100))</f>
        <v/>
      </c>
      <c r="CH134" s="1133"/>
      <c r="CI134" s="1133"/>
      <c r="CJ134" s="1133"/>
      <c r="CK134" s="1133"/>
      <c r="CL134" s="1133"/>
      <c r="CM134" s="1133"/>
      <c r="CN134" s="1123" t="str">
        <f>IF(AZ134=0,"",BEZ_Hilf_28_PreisJeKiste)</f>
        <v/>
      </c>
      <c r="CO134" s="1123"/>
      <c r="CP134" s="1123"/>
      <c r="CQ134" s="1123"/>
      <c r="CR134" s="1123"/>
      <c r="CS134" s="1123"/>
      <c r="CT134" s="1123"/>
      <c r="CU134" s="1124" t="str">
        <f>IF(AZ134=0,"",BEZ_Hilf_28_PreisJeBA)</f>
        <v/>
      </c>
      <c r="CV134" s="1124"/>
      <c r="CW134" s="1124"/>
      <c r="CX134" s="1124"/>
      <c r="CY134" s="1124"/>
      <c r="CZ134" s="1124"/>
      <c r="DA134" s="1124"/>
      <c r="DB134" s="1124" t="str">
        <f>IF(AZ134=0,"",BEZ_Hilf_28_gJeEH)</f>
        <v/>
      </c>
      <c r="DC134" s="1124"/>
      <c r="DD134" s="1124"/>
      <c r="DE134" s="1124"/>
      <c r="DF134" s="1124"/>
      <c r="DG134" s="1124"/>
      <c r="DH134" s="1124"/>
      <c r="DI134" s="1125" t="str">
        <f>IF(AZ134=0,"",BEZ_Hilf_28_gJeKiste)</f>
        <v/>
      </c>
      <c r="DJ134" s="1125"/>
      <c r="DK134" s="1125"/>
      <c r="DL134" s="1125"/>
      <c r="DM134" s="1125"/>
      <c r="DN134" s="1125"/>
      <c r="DO134" s="1126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</row>
    <row r="135" spans="1:130" ht="8.1" customHeight="1" x14ac:dyDescent="0.15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1085">
        <v>29</v>
      </c>
      <c r="M135" s="1086"/>
      <c r="N135" s="1086"/>
      <c r="O135" s="1127" t="str">
        <f>IF(AZ135=0,"",BEZ_Hilf_29_ACode)</f>
        <v/>
      </c>
      <c r="P135" s="1127"/>
      <c r="Q135" s="1127"/>
      <c r="R135" s="1127"/>
      <c r="S135" s="1127"/>
      <c r="T135" s="1087" t="str">
        <f>IF(AZ135=0,"",BEZ_Hilf_29_Bez)</f>
        <v/>
      </c>
      <c r="U135" s="1087"/>
      <c r="V135" s="1087"/>
      <c r="W135" s="1087"/>
      <c r="X135" s="1087"/>
      <c r="Y135" s="1087"/>
      <c r="Z135" s="1087"/>
      <c r="AA135" s="1087"/>
      <c r="AB135" s="1087"/>
      <c r="AC135" s="1087"/>
      <c r="AD135" s="1087"/>
      <c r="AE135" s="1087"/>
      <c r="AF135" s="1087"/>
      <c r="AG135" s="1087"/>
      <c r="AH135" s="1087"/>
      <c r="AI135" s="1087"/>
      <c r="AJ135" s="1087"/>
      <c r="AK135" s="1087"/>
      <c r="AL135" s="1087"/>
      <c r="AM135" s="1087"/>
      <c r="AN135" s="1087"/>
      <c r="AO135" s="1087"/>
      <c r="AP135" s="1087"/>
      <c r="AQ135" s="1087"/>
      <c r="AR135" s="1087"/>
      <c r="AS135" s="1087"/>
      <c r="AT135" s="1087"/>
      <c r="AU135" s="1087"/>
      <c r="AV135" s="1087"/>
      <c r="AW135" s="1087"/>
      <c r="AX135" s="1087"/>
      <c r="AY135" s="1087"/>
      <c r="AZ135" s="1129">
        <f>BEZ_Hilf_29_Anz</f>
        <v>0</v>
      </c>
      <c r="BA135" s="1129"/>
      <c r="BB135" s="1129"/>
      <c r="BC135" s="1129"/>
      <c r="BD135" s="1129"/>
      <c r="BE135" s="1129"/>
      <c r="BF135" s="1129"/>
      <c r="BG135" s="1129">
        <f>BEZ_Hilf_29_AnzBA</f>
        <v>0</v>
      </c>
      <c r="BH135" s="1129"/>
      <c r="BI135" s="1129"/>
      <c r="BJ135" s="1129"/>
      <c r="BK135" s="1129"/>
      <c r="BL135" s="1129"/>
      <c r="BM135" s="1129"/>
      <c r="BN135" s="1130" t="str">
        <f>IF(AZ135=0,"",BEZ_Hilf_29_EH)</f>
        <v/>
      </c>
      <c r="BO135" s="1130"/>
      <c r="BP135" s="1130"/>
      <c r="BQ135" s="1130"/>
      <c r="BR135" s="1130"/>
      <c r="BS135" s="1123">
        <f>BEZ_Hilf_29_EHPreis</f>
        <v>0</v>
      </c>
      <c r="BT135" s="1123"/>
      <c r="BU135" s="1123"/>
      <c r="BV135" s="1123"/>
      <c r="BW135" s="1123"/>
      <c r="BX135" s="1123"/>
      <c r="BY135" s="1123"/>
      <c r="BZ135" s="1099">
        <f>BEZ_Hilf_29_GKZ</f>
        <v>0</v>
      </c>
      <c r="CA135" s="1132"/>
      <c r="CB135" s="1132"/>
      <c r="CC135" s="1132"/>
      <c r="CD135" s="1132"/>
      <c r="CE135" s="1132"/>
      <c r="CF135" s="1132"/>
      <c r="CG135" s="1133" t="str">
        <f>IF(AZ135=0,"",BEZ_Hilf_29_EHPreis*((BEZ_Hilf_29_GKZ+100)/100))</f>
        <v/>
      </c>
      <c r="CH135" s="1133"/>
      <c r="CI135" s="1133"/>
      <c r="CJ135" s="1133"/>
      <c r="CK135" s="1133"/>
      <c r="CL135" s="1133"/>
      <c r="CM135" s="1133"/>
      <c r="CN135" s="1123" t="str">
        <f>IF(AZ135=0,"",BEZ_Hilf_29_PreisJeKiste)</f>
        <v/>
      </c>
      <c r="CO135" s="1123"/>
      <c r="CP135" s="1123"/>
      <c r="CQ135" s="1123"/>
      <c r="CR135" s="1123"/>
      <c r="CS135" s="1123"/>
      <c r="CT135" s="1123"/>
      <c r="CU135" s="1124" t="str">
        <f>IF(AZ135=0,"",BEZ_Hilf_29_PreisJeBA)</f>
        <v/>
      </c>
      <c r="CV135" s="1124"/>
      <c r="CW135" s="1124"/>
      <c r="CX135" s="1124"/>
      <c r="CY135" s="1124"/>
      <c r="CZ135" s="1124"/>
      <c r="DA135" s="1124"/>
      <c r="DB135" s="1124" t="str">
        <f>IF(AZ135=0,"",BEZ_Hilf_29_gJeEH)</f>
        <v/>
      </c>
      <c r="DC135" s="1124"/>
      <c r="DD135" s="1124"/>
      <c r="DE135" s="1124"/>
      <c r="DF135" s="1124"/>
      <c r="DG135" s="1124"/>
      <c r="DH135" s="1124"/>
      <c r="DI135" s="1125" t="str">
        <f>IF(AZ135=0,"",BEZ_Hilf_29_gJeKiste)</f>
        <v/>
      </c>
      <c r="DJ135" s="1125"/>
      <c r="DK135" s="1125"/>
      <c r="DL135" s="1125"/>
      <c r="DM135" s="1125"/>
      <c r="DN135" s="1125"/>
      <c r="DO135" s="1126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</row>
    <row r="136" spans="1:130" ht="8.1" customHeight="1" x14ac:dyDescent="0.15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1114">
        <v>30</v>
      </c>
      <c r="M136" s="1115"/>
      <c r="N136" s="1115"/>
      <c r="O136" s="1134" t="str">
        <f>IF(AZ136=0,"",BEZ_Hilf_30_ACode)</f>
        <v/>
      </c>
      <c r="P136" s="1134"/>
      <c r="Q136" s="1134"/>
      <c r="R136" s="1134"/>
      <c r="S136" s="1134"/>
      <c r="T136" s="1116" t="str">
        <f>IF(AZ136=0,"",BEZ_Hilf_30_Bez)</f>
        <v/>
      </c>
      <c r="U136" s="1116"/>
      <c r="V136" s="1116"/>
      <c r="W136" s="1116"/>
      <c r="X136" s="1116"/>
      <c r="Y136" s="1116"/>
      <c r="Z136" s="1116"/>
      <c r="AA136" s="1116"/>
      <c r="AB136" s="1116"/>
      <c r="AC136" s="1116"/>
      <c r="AD136" s="1116"/>
      <c r="AE136" s="1116"/>
      <c r="AF136" s="1116"/>
      <c r="AG136" s="1116"/>
      <c r="AH136" s="1116"/>
      <c r="AI136" s="1116"/>
      <c r="AJ136" s="1116"/>
      <c r="AK136" s="1116"/>
      <c r="AL136" s="1116"/>
      <c r="AM136" s="1116"/>
      <c r="AN136" s="1116"/>
      <c r="AO136" s="1116"/>
      <c r="AP136" s="1116"/>
      <c r="AQ136" s="1116"/>
      <c r="AR136" s="1116"/>
      <c r="AS136" s="1116"/>
      <c r="AT136" s="1116"/>
      <c r="AU136" s="1116"/>
      <c r="AV136" s="1116"/>
      <c r="AW136" s="1116"/>
      <c r="AX136" s="1116"/>
      <c r="AY136" s="1116"/>
      <c r="AZ136" s="1135">
        <f>BEZ_Hilf_30_Anz</f>
        <v>0</v>
      </c>
      <c r="BA136" s="1135"/>
      <c r="BB136" s="1135"/>
      <c r="BC136" s="1135"/>
      <c r="BD136" s="1135"/>
      <c r="BE136" s="1135"/>
      <c r="BF136" s="1135"/>
      <c r="BG136" s="1135">
        <f>BEZ_Hilf_30_AnzBA</f>
        <v>0</v>
      </c>
      <c r="BH136" s="1135"/>
      <c r="BI136" s="1135"/>
      <c r="BJ136" s="1135"/>
      <c r="BK136" s="1135"/>
      <c r="BL136" s="1135"/>
      <c r="BM136" s="1135"/>
      <c r="BN136" s="1136" t="str">
        <f>IF(AZ136=0,"",BEZ_Hilf_30_EH)</f>
        <v/>
      </c>
      <c r="BO136" s="1136"/>
      <c r="BP136" s="1136"/>
      <c r="BQ136" s="1136"/>
      <c r="BR136" s="1136"/>
      <c r="BS136" s="1144">
        <f>BEZ_Hilf_30_EHPreis</f>
        <v>0</v>
      </c>
      <c r="BT136" s="1144"/>
      <c r="BU136" s="1144"/>
      <c r="BV136" s="1144"/>
      <c r="BW136" s="1144"/>
      <c r="BX136" s="1144"/>
      <c r="BY136" s="1144"/>
      <c r="BZ136" s="1119">
        <f>BEZ_Hilf_30_GKZ</f>
        <v>0</v>
      </c>
      <c r="CA136" s="1145"/>
      <c r="CB136" s="1145"/>
      <c r="CC136" s="1145"/>
      <c r="CD136" s="1145"/>
      <c r="CE136" s="1145"/>
      <c r="CF136" s="1145"/>
      <c r="CG136" s="1146" t="str">
        <f>IF(AZ136=0,"",BEZ_Hilf_30_EHPreis*((BEZ_Hilf_30_GKZ+100)/100))</f>
        <v/>
      </c>
      <c r="CH136" s="1146"/>
      <c r="CI136" s="1146"/>
      <c r="CJ136" s="1146"/>
      <c r="CK136" s="1146"/>
      <c r="CL136" s="1146"/>
      <c r="CM136" s="1146"/>
      <c r="CN136" s="1144" t="str">
        <f>IF(AZ136=0,"",BEZ_Hilf_30_PreisJeKiste)</f>
        <v/>
      </c>
      <c r="CO136" s="1144"/>
      <c r="CP136" s="1144"/>
      <c r="CQ136" s="1144"/>
      <c r="CR136" s="1144"/>
      <c r="CS136" s="1144"/>
      <c r="CT136" s="1144"/>
      <c r="CU136" s="1147" t="str">
        <f>IF(AZ136=0,"",BEZ_Hilf_30_PreisJeBA)</f>
        <v/>
      </c>
      <c r="CV136" s="1147"/>
      <c r="CW136" s="1147"/>
      <c r="CX136" s="1147"/>
      <c r="CY136" s="1147"/>
      <c r="CZ136" s="1147"/>
      <c r="DA136" s="1147"/>
      <c r="DB136" s="1147" t="str">
        <f>IF(AZ136=0,"",BEZ_Hilf_30_gJeEH)</f>
        <v/>
      </c>
      <c r="DC136" s="1147"/>
      <c r="DD136" s="1147"/>
      <c r="DE136" s="1147"/>
      <c r="DF136" s="1147"/>
      <c r="DG136" s="1147"/>
      <c r="DH136" s="1147"/>
      <c r="DI136" s="1141" t="str">
        <f>IF(AZ136=0,"",BEZ_Hilf_30_gJeKiste)</f>
        <v/>
      </c>
      <c r="DJ136" s="1141"/>
      <c r="DK136" s="1141"/>
      <c r="DL136" s="1141"/>
      <c r="DM136" s="1141"/>
      <c r="DN136" s="1141"/>
      <c r="DO136" s="114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</row>
    <row r="137" spans="1:130" ht="12.75" customHeight="1" x14ac:dyDescent="0.15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1065" t="s">
        <v>253</v>
      </c>
      <c r="M137" s="1066"/>
      <c r="N137" s="1066"/>
      <c r="O137" s="1066"/>
      <c r="P137" s="1066"/>
      <c r="Q137" s="1066"/>
      <c r="R137" s="1066"/>
      <c r="S137" s="1066"/>
      <c r="T137" s="1066"/>
      <c r="U137" s="1066"/>
      <c r="V137" s="1066"/>
      <c r="W137" s="1066"/>
      <c r="X137" s="1066"/>
      <c r="Y137" s="1066"/>
      <c r="Z137" s="1066"/>
      <c r="AA137" s="1066"/>
      <c r="AB137" s="1066"/>
      <c r="AC137" s="1066"/>
      <c r="AD137" s="1066"/>
      <c r="AE137" s="1066"/>
      <c r="AF137" s="1066"/>
      <c r="AG137" s="1066"/>
      <c r="AH137" s="1066"/>
      <c r="AI137" s="1066"/>
      <c r="AJ137" s="1066"/>
      <c r="AK137" s="1066"/>
      <c r="AL137" s="1066"/>
      <c r="AM137" s="1066"/>
      <c r="AN137" s="1066"/>
      <c r="AO137" s="1066"/>
      <c r="AP137" s="1066"/>
      <c r="AQ137" s="1066"/>
      <c r="AR137" s="1066"/>
      <c r="AS137" s="1066"/>
      <c r="AT137" s="1066"/>
      <c r="AU137" s="1066"/>
      <c r="AV137" s="1066"/>
      <c r="AW137" s="1066"/>
      <c r="AX137" s="1066"/>
      <c r="AY137" s="1066"/>
      <c r="AZ137" s="1066"/>
      <c r="BA137" s="1066"/>
      <c r="BB137" s="1066"/>
      <c r="BC137" s="1066"/>
      <c r="BD137" s="1066"/>
      <c r="BE137" s="1066"/>
      <c r="BF137" s="1066"/>
      <c r="BG137" s="1066"/>
      <c r="BH137" s="1066"/>
      <c r="BI137" s="1066"/>
      <c r="BJ137" s="1066"/>
      <c r="BK137" s="1066"/>
      <c r="BL137" s="1066"/>
      <c r="BM137" s="1066"/>
      <c r="BN137" s="1066"/>
      <c r="BO137" s="1066"/>
      <c r="BP137" s="1066"/>
      <c r="BQ137" s="1066"/>
      <c r="BR137" s="1066"/>
      <c r="BS137" s="1066"/>
      <c r="BT137" s="1066"/>
      <c r="BU137" s="1066"/>
      <c r="BV137" s="1066"/>
      <c r="BW137" s="1066"/>
      <c r="BX137" s="1066"/>
      <c r="BY137" s="1066"/>
      <c r="BZ137" s="1066"/>
      <c r="CA137" s="1066"/>
      <c r="CB137" s="1066"/>
      <c r="CC137" s="1066"/>
      <c r="CD137" s="1066"/>
      <c r="CE137" s="1066"/>
      <c r="CF137" s="1066"/>
      <c r="CG137" s="1066"/>
      <c r="CH137" s="1066"/>
      <c r="CI137" s="1066"/>
      <c r="CJ137" s="1066"/>
      <c r="CK137" s="1066"/>
      <c r="CL137" s="1066"/>
      <c r="CM137" s="1066"/>
      <c r="CN137" s="1066"/>
      <c r="CO137" s="1066"/>
      <c r="CP137" s="1066"/>
      <c r="CQ137" s="1066"/>
      <c r="CR137" s="1066"/>
      <c r="CS137" s="1066"/>
      <c r="CT137" s="1066"/>
      <c r="CU137" s="1066"/>
      <c r="CV137" s="1066"/>
      <c r="CW137" s="1066"/>
      <c r="CX137" s="1066"/>
      <c r="CY137" s="1066"/>
      <c r="CZ137" s="1066"/>
      <c r="DA137" s="1066"/>
      <c r="DB137" s="1066"/>
      <c r="DC137" s="1066"/>
      <c r="DD137" s="1066"/>
      <c r="DE137" s="1066"/>
      <c r="DF137" s="1066"/>
      <c r="DG137" s="1066"/>
      <c r="DH137" s="1066"/>
      <c r="DI137" s="1066"/>
      <c r="DJ137" s="1066"/>
      <c r="DK137" s="1066"/>
      <c r="DL137" s="1066"/>
      <c r="DM137" s="1066"/>
      <c r="DN137" s="1066"/>
      <c r="DO137" s="1088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</row>
    <row r="138" spans="1:130" ht="25.5" customHeight="1" x14ac:dyDescent="0.15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1090" t="s">
        <v>151</v>
      </c>
      <c r="M138" s="1091"/>
      <c r="N138" s="1091"/>
      <c r="O138" s="1091" t="s">
        <v>196</v>
      </c>
      <c r="P138" s="1091"/>
      <c r="Q138" s="1091"/>
      <c r="R138" s="1091"/>
      <c r="S138" s="1091"/>
      <c r="T138" s="1091" t="s">
        <v>65</v>
      </c>
      <c r="U138" s="1091"/>
      <c r="V138" s="1091"/>
      <c r="W138" s="1091"/>
      <c r="X138" s="1091"/>
      <c r="Y138" s="1091"/>
      <c r="Z138" s="1091"/>
      <c r="AA138" s="1091"/>
      <c r="AB138" s="1091"/>
      <c r="AC138" s="1091"/>
      <c r="AD138" s="1091"/>
      <c r="AE138" s="1091"/>
      <c r="AF138" s="1091"/>
      <c r="AG138" s="1091"/>
      <c r="AH138" s="1091"/>
      <c r="AI138" s="1091"/>
      <c r="AJ138" s="1091"/>
      <c r="AK138" s="1091"/>
      <c r="AL138" s="1091"/>
      <c r="AM138" s="1091"/>
      <c r="AN138" s="1091"/>
      <c r="AO138" s="1091"/>
      <c r="AP138" s="1091"/>
      <c r="AQ138" s="1091"/>
      <c r="AR138" s="1091"/>
      <c r="AS138" s="1137" t="s">
        <v>254</v>
      </c>
      <c r="AT138" s="1137"/>
      <c r="AU138" s="1137"/>
      <c r="AV138" s="1137"/>
      <c r="AW138" s="1137" t="s">
        <v>255</v>
      </c>
      <c r="AX138" s="1137"/>
      <c r="AY138" s="1137"/>
      <c r="AZ138" s="1137"/>
      <c r="BA138" s="1137"/>
      <c r="BB138" s="1137"/>
      <c r="BC138" s="1137"/>
      <c r="BD138" s="1137"/>
      <c r="BE138" s="1137"/>
      <c r="BF138" s="1137"/>
      <c r="BG138" s="1137"/>
      <c r="BH138" s="1143" t="s">
        <v>380</v>
      </c>
      <c r="BI138" s="1143"/>
      <c r="BJ138" s="1143"/>
      <c r="BK138" s="1143"/>
      <c r="BL138" s="1143"/>
      <c r="BM138" s="1143"/>
      <c r="BN138" s="1143"/>
      <c r="BO138" s="1143"/>
      <c r="BP138" s="1137" t="s">
        <v>256</v>
      </c>
      <c r="BQ138" s="1137"/>
      <c r="BR138" s="1137"/>
      <c r="BS138" s="1137"/>
      <c r="BT138" s="1137"/>
      <c r="BU138" s="1137"/>
      <c r="BV138" s="1137" t="s">
        <v>257</v>
      </c>
      <c r="BW138" s="1137"/>
      <c r="BX138" s="1137"/>
      <c r="BY138" s="1137"/>
      <c r="BZ138" s="1137"/>
      <c r="CA138" s="1137"/>
      <c r="CB138" s="1137" t="s">
        <v>258</v>
      </c>
      <c r="CC138" s="1137"/>
      <c r="CD138" s="1137"/>
      <c r="CE138" s="1137"/>
      <c r="CF138" s="1137"/>
      <c r="CG138" s="1137"/>
      <c r="CH138" s="1137"/>
      <c r="CI138" s="1137" t="s">
        <v>259</v>
      </c>
      <c r="CJ138" s="1137"/>
      <c r="CK138" s="1137"/>
      <c r="CL138" s="1137"/>
      <c r="CM138" s="1137"/>
      <c r="CN138" s="1137"/>
      <c r="CO138" s="1137"/>
      <c r="CP138" s="1137"/>
      <c r="CQ138" s="1137"/>
      <c r="CR138" s="1137" t="s">
        <v>260</v>
      </c>
      <c r="CS138" s="1137"/>
      <c r="CT138" s="1137"/>
      <c r="CU138" s="1137"/>
      <c r="CV138" s="1137"/>
      <c r="CW138" s="1137"/>
      <c r="CX138" s="1137"/>
      <c r="CY138" s="1137"/>
      <c r="CZ138" s="1137" t="s">
        <v>261</v>
      </c>
      <c r="DA138" s="1137"/>
      <c r="DB138" s="1137"/>
      <c r="DC138" s="1137"/>
      <c r="DD138" s="1137"/>
      <c r="DE138" s="1137"/>
      <c r="DF138" s="1137"/>
      <c r="DG138" s="1137"/>
      <c r="DH138" s="1137" t="s">
        <v>262</v>
      </c>
      <c r="DI138" s="1137"/>
      <c r="DJ138" s="1137"/>
      <c r="DK138" s="1137"/>
      <c r="DL138" s="1137"/>
      <c r="DM138" s="1137"/>
      <c r="DN138" s="1137"/>
      <c r="DO138" s="1138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</row>
    <row r="139" spans="1:130" ht="7.5" customHeight="1" x14ac:dyDescent="0.15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1085">
        <v>1</v>
      </c>
      <c r="M139" s="1086"/>
      <c r="N139" s="1086"/>
      <c r="O139" s="1127">
        <f>IF(AS139=0,"",Lohn!CH17)</f>
        <v>10002916</v>
      </c>
      <c r="P139" s="1127"/>
      <c r="Q139" s="1127"/>
      <c r="R139" s="1127"/>
      <c r="S139" s="1127"/>
      <c r="T139" s="1139" t="str">
        <f>BEZ_Lohn_1_Arbeitsplatz</f>
        <v>Mitarbeiter, Kat. V, Verwaltung/Vertrieb/Arbeitsvorbereitung</v>
      </c>
      <c r="U139" s="1139"/>
      <c r="V139" s="1139"/>
      <c r="W139" s="1139"/>
      <c r="X139" s="1139"/>
      <c r="Y139" s="1139"/>
      <c r="Z139" s="1139"/>
      <c r="AA139" s="1139"/>
      <c r="AB139" s="1139"/>
      <c r="AC139" s="1139"/>
      <c r="AD139" s="1139"/>
      <c r="AE139" s="1139"/>
      <c r="AF139" s="1139"/>
      <c r="AG139" s="1139"/>
      <c r="AH139" s="1139"/>
      <c r="AI139" s="1139"/>
      <c r="AJ139" s="1139"/>
      <c r="AK139" s="1139"/>
      <c r="AL139" s="1139"/>
      <c r="AM139" s="1139"/>
      <c r="AN139" s="1139"/>
      <c r="AO139" s="1139"/>
      <c r="AP139" s="1139"/>
      <c r="AQ139" s="1139"/>
      <c r="AR139" s="1139"/>
      <c r="AS139" s="686">
        <f>BEZ_Lohn_1_MA_Anz</f>
        <v>1</v>
      </c>
      <c r="AT139" s="668"/>
      <c r="AU139" s="668"/>
      <c r="AV139" s="668"/>
      <c r="AW139" s="1140">
        <f>Lohn!CU17</f>
        <v>65</v>
      </c>
      <c r="AX139" s="1140"/>
      <c r="AY139" s="1140"/>
      <c r="AZ139" s="1140"/>
      <c r="BA139" s="1140"/>
      <c r="BB139" s="1140"/>
      <c r="BC139" s="1140"/>
      <c r="BD139" s="1140"/>
      <c r="BE139" s="1140"/>
      <c r="BF139" s="1140"/>
      <c r="BG139" s="1140"/>
      <c r="BH139" s="1152">
        <f>BEZ_Lohn_1_Ges_Zeit</f>
        <v>0</v>
      </c>
      <c r="BI139" s="1153"/>
      <c r="BJ139" s="1153"/>
      <c r="BK139" s="1153"/>
      <c r="BL139" s="1153"/>
      <c r="BM139" s="1153"/>
      <c r="BN139" s="1153"/>
      <c r="BO139" s="1153"/>
      <c r="BP139" s="1154">
        <f>BEZ_Lohn_1_Zeit_H</f>
        <v>0</v>
      </c>
      <c r="BQ139" s="1154"/>
      <c r="BR139" s="1154"/>
      <c r="BS139" s="1154"/>
      <c r="BT139" s="1154"/>
      <c r="BU139" s="1154"/>
      <c r="BV139" s="1152">
        <f>Lohn!DW17</f>
        <v>0</v>
      </c>
      <c r="BW139" s="1152"/>
      <c r="BX139" s="1152"/>
      <c r="BY139" s="1152"/>
      <c r="BZ139" s="1152"/>
      <c r="CA139" s="1152"/>
      <c r="CB139" s="1148">
        <f>BEZ_Lohn_1_Leist_je_Art</f>
        <v>0</v>
      </c>
      <c r="CC139" s="1148"/>
      <c r="CD139" s="1148"/>
      <c r="CE139" s="1148"/>
      <c r="CF139" s="1148"/>
      <c r="CG139" s="1148"/>
      <c r="CH139" s="1148"/>
      <c r="CI139" s="1148">
        <f>BEZ_Lohn_1_Bedarf_je_Art</f>
        <v>0</v>
      </c>
      <c r="CJ139" s="1148"/>
      <c r="CK139" s="1148"/>
      <c r="CL139" s="1148"/>
      <c r="CM139" s="1148"/>
      <c r="CN139" s="1148"/>
      <c r="CO139" s="1148"/>
      <c r="CP139" s="1148"/>
      <c r="CQ139" s="1148"/>
      <c r="CR139" s="1149" t="str">
        <f>BEZ_Lohn_1_Ges_Min_je_Art</f>
        <v/>
      </c>
      <c r="CS139" s="1149"/>
      <c r="CT139" s="1149"/>
      <c r="CU139" s="1149"/>
      <c r="CV139" s="1149"/>
      <c r="CW139" s="1149"/>
      <c r="CX139" s="1149"/>
      <c r="CY139" s="1149"/>
      <c r="CZ139" s="1150" t="str">
        <f>BEZ_Lohn_1_Kosten_Je_St</f>
        <v/>
      </c>
      <c r="DA139" s="1150"/>
      <c r="DB139" s="1150"/>
      <c r="DC139" s="1150"/>
      <c r="DD139" s="1150"/>
      <c r="DE139" s="1150"/>
      <c r="DF139" s="1150"/>
      <c r="DG139" s="1150"/>
      <c r="DH139" s="1150" t="str">
        <f>BEZ_Lohn_1_Kosten_Je_BA</f>
        <v/>
      </c>
      <c r="DI139" s="1150"/>
      <c r="DJ139" s="1150"/>
      <c r="DK139" s="1150"/>
      <c r="DL139" s="1150"/>
      <c r="DM139" s="1150"/>
      <c r="DN139" s="1150"/>
      <c r="DO139" s="1151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</row>
    <row r="140" spans="1:130" ht="7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1085">
        <v>2</v>
      </c>
      <c r="M140" s="1086"/>
      <c r="N140" s="1086"/>
      <c r="O140" s="1127" t="str">
        <f>IF(AS140=0,"",Lohn!CH19)</f>
        <v/>
      </c>
      <c r="P140" s="1127"/>
      <c r="Q140" s="1127"/>
      <c r="R140" s="1127"/>
      <c r="S140" s="1127"/>
      <c r="T140" s="1139">
        <f>BEZ_Lohn_2_Arbeitsplatz</f>
        <v>0</v>
      </c>
      <c r="U140" s="1139"/>
      <c r="V140" s="1139"/>
      <c r="W140" s="1139"/>
      <c r="X140" s="1139"/>
      <c r="Y140" s="1139"/>
      <c r="Z140" s="1139"/>
      <c r="AA140" s="1139"/>
      <c r="AB140" s="1139"/>
      <c r="AC140" s="1139"/>
      <c r="AD140" s="1139"/>
      <c r="AE140" s="1139"/>
      <c r="AF140" s="1139"/>
      <c r="AG140" s="1139"/>
      <c r="AH140" s="1139"/>
      <c r="AI140" s="1139"/>
      <c r="AJ140" s="1139"/>
      <c r="AK140" s="1139"/>
      <c r="AL140" s="1139"/>
      <c r="AM140" s="1139"/>
      <c r="AN140" s="1139"/>
      <c r="AO140" s="1139"/>
      <c r="AP140" s="1139"/>
      <c r="AQ140" s="1139"/>
      <c r="AR140" s="1139"/>
      <c r="AS140" s="686">
        <f>BEZ_Lohn_2_MA_Anz</f>
        <v>0</v>
      </c>
      <c r="AT140" s="668"/>
      <c r="AU140" s="668"/>
      <c r="AV140" s="668"/>
      <c r="AW140" s="1140">
        <f>Lohn!CU19</f>
        <v>0</v>
      </c>
      <c r="AX140" s="1140"/>
      <c r="AY140" s="1140"/>
      <c r="AZ140" s="1140"/>
      <c r="BA140" s="1140"/>
      <c r="BB140" s="1140"/>
      <c r="BC140" s="1140"/>
      <c r="BD140" s="1140"/>
      <c r="BE140" s="1140"/>
      <c r="BF140" s="1140"/>
      <c r="BG140" s="1140"/>
      <c r="BH140" s="1152">
        <f>BEZ_Lohn_2_Ges_Zeit</f>
        <v>0</v>
      </c>
      <c r="BI140" s="1153"/>
      <c r="BJ140" s="1153"/>
      <c r="BK140" s="1153"/>
      <c r="BL140" s="1153"/>
      <c r="BM140" s="1153"/>
      <c r="BN140" s="1153"/>
      <c r="BO140" s="1153"/>
      <c r="BP140" s="1154">
        <f>BEZ_Lohn_2_Zeit_H</f>
        <v>0</v>
      </c>
      <c r="BQ140" s="1154"/>
      <c r="BR140" s="1154"/>
      <c r="BS140" s="1154"/>
      <c r="BT140" s="1154"/>
      <c r="BU140" s="1154"/>
      <c r="BV140" s="1152">
        <f>Lohn!DW19</f>
        <v>0</v>
      </c>
      <c r="BW140" s="1152"/>
      <c r="BX140" s="1152"/>
      <c r="BY140" s="1152"/>
      <c r="BZ140" s="1152"/>
      <c r="CA140" s="1152"/>
      <c r="CB140" s="1148">
        <f>BEZ_Lohn_2_Leist_je_Art</f>
        <v>0</v>
      </c>
      <c r="CC140" s="1148"/>
      <c r="CD140" s="1148"/>
      <c r="CE140" s="1148"/>
      <c r="CF140" s="1148"/>
      <c r="CG140" s="1148"/>
      <c r="CH140" s="1148"/>
      <c r="CI140" s="1148">
        <f>BEZ_Lohn_2_Bedarf_je_Art</f>
        <v>0</v>
      </c>
      <c r="CJ140" s="1148"/>
      <c r="CK140" s="1148"/>
      <c r="CL140" s="1148"/>
      <c r="CM140" s="1148"/>
      <c r="CN140" s="1148"/>
      <c r="CO140" s="1148"/>
      <c r="CP140" s="1148"/>
      <c r="CQ140" s="1148"/>
      <c r="CR140" s="1149" t="str">
        <f>BEZ_Lohn_2_Ges_Min_je_Art</f>
        <v/>
      </c>
      <c r="CS140" s="1149"/>
      <c r="CT140" s="1149"/>
      <c r="CU140" s="1149"/>
      <c r="CV140" s="1149"/>
      <c r="CW140" s="1149"/>
      <c r="CX140" s="1149"/>
      <c r="CY140" s="1149"/>
      <c r="CZ140" s="1150" t="str">
        <f>BEZ_Lohn_2_Kosten_Je_St</f>
        <v/>
      </c>
      <c r="DA140" s="1150"/>
      <c r="DB140" s="1150"/>
      <c r="DC140" s="1150"/>
      <c r="DD140" s="1150"/>
      <c r="DE140" s="1150"/>
      <c r="DF140" s="1150"/>
      <c r="DG140" s="1150"/>
      <c r="DH140" s="1150" t="str">
        <f>BEZ_Lohn_2_Kosten_Je_BA</f>
        <v/>
      </c>
      <c r="DI140" s="1150"/>
      <c r="DJ140" s="1150"/>
      <c r="DK140" s="1150"/>
      <c r="DL140" s="1150"/>
      <c r="DM140" s="1150"/>
      <c r="DN140" s="1150"/>
      <c r="DO140" s="1151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</row>
    <row r="141" spans="1:130" ht="7.5" customHeight="1" x14ac:dyDescent="0.15">
      <c r="A141" s="2"/>
      <c r="B141" s="2"/>
      <c r="C141" s="2"/>
      <c r="D141" s="2"/>
      <c r="E141" s="2"/>
      <c r="F141" s="2"/>
      <c r="G141" s="7"/>
      <c r="H141" s="7"/>
      <c r="I141" s="7"/>
      <c r="J141" s="7"/>
      <c r="K141" s="10"/>
      <c r="L141" s="1085">
        <v>3</v>
      </c>
      <c r="M141" s="1086"/>
      <c r="N141" s="1086"/>
      <c r="O141" s="1127">
        <f>IF(AS141=0,"",Lohn!CH21)</f>
        <v>10002927</v>
      </c>
      <c r="P141" s="1127"/>
      <c r="Q141" s="1127"/>
      <c r="R141" s="1127"/>
      <c r="S141" s="1127"/>
      <c r="T141" s="1139" t="str">
        <f>BEZ_Lohn_3_Arbeitsplatz</f>
        <v>Zuschnitt, Plattensäge, CUT-70/85</v>
      </c>
      <c r="U141" s="1139"/>
      <c r="V141" s="1139"/>
      <c r="W141" s="1139"/>
      <c r="X141" s="1139"/>
      <c r="Y141" s="1139"/>
      <c r="Z141" s="1139"/>
      <c r="AA141" s="1139"/>
      <c r="AB141" s="1139"/>
      <c r="AC141" s="1139"/>
      <c r="AD141" s="1139"/>
      <c r="AE141" s="1139"/>
      <c r="AF141" s="1139"/>
      <c r="AG141" s="1139"/>
      <c r="AH141" s="1139"/>
      <c r="AI141" s="1139"/>
      <c r="AJ141" s="1139"/>
      <c r="AK141" s="1139"/>
      <c r="AL141" s="1139"/>
      <c r="AM141" s="1139"/>
      <c r="AN141" s="1139"/>
      <c r="AO141" s="1139"/>
      <c r="AP141" s="1139"/>
      <c r="AQ141" s="1139"/>
      <c r="AR141" s="1139"/>
      <c r="AS141" s="686">
        <f>BEZ_Lohn_3_MA_Anz</f>
        <v>1</v>
      </c>
      <c r="AT141" s="668"/>
      <c r="AU141" s="668"/>
      <c r="AV141" s="668"/>
      <c r="AW141" s="1140">
        <f>Lohn!CU21</f>
        <v>80</v>
      </c>
      <c r="AX141" s="1140"/>
      <c r="AY141" s="1140"/>
      <c r="AZ141" s="1140"/>
      <c r="BA141" s="1140"/>
      <c r="BB141" s="1140"/>
      <c r="BC141" s="1140"/>
      <c r="BD141" s="1140"/>
      <c r="BE141" s="1140"/>
      <c r="BF141" s="1140"/>
      <c r="BG141" s="1140"/>
      <c r="BH141" s="1152">
        <f>BEZ_Lohn_3_Ges_Zeit</f>
        <v>0</v>
      </c>
      <c r="BI141" s="1153"/>
      <c r="BJ141" s="1153"/>
      <c r="BK141" s="1153"/>
      <c r="BL141" s="1153"/>
      <c r="BM141" s="1153"/>
      <c r="BN141" s="1153"/>
      <c r="BO141" s="1153"/>
      <c r="BP141" s="1154">
        <f>BEZ_Lohn_3_Zeit_H</f>
        <v>0</v>
      </c>
      <c r="BQ141" s="1154"/>
      <c r="BR141" s="1154"/>
      <c r="BS141" s="1154"/>
      <c r="BT141" s="1154"/>
      <c r="BU141" s="1154"/>
      <c r="BV141" s="1152">
        <f>Lohn!DW21</f>
        <v>0</v>
      </c>
      <c r="BW141" s="1152"/>
      <c r="BX141" s="1152"/>
      <c r="BY141" s="1152"/>
      <c r="BZ141" s="1152"/>
      <c r="CA141" s="1152"/>
      <c r="CB141" s="1148">
        <f>BEZ_Lohn_3_Leist_je_Art</f>
        <v>0</v>
      </c>
      <c r="CC141" s="1148"/>
      <c r="CD141" s="1148"/>
      <c r="CE141" s="1148"/>
      <c r="CF141" s="1148"/>
      <c r="CG141" s="1148"/>
      <c r="CH141" s="1148"/>
      <c r="CI141" s="1148">
        <f>BEZ_Lohn_3_Bedarf_je_Art</f>
        <v>0</v>
      </c>
      <c r="CJ141" s="1148"/>
      <c r="CK141" s="1148"/>
      <c r="CL141" s="1148"/>
      <c r="CM141" s="1148"/>
      <c r="CN141" s="1148"/>
      <c r="CO141" s="1148"/>
      <c r="CP141" s="1148"/>
      <c r="CQ141" s="1148"/>
      <c r="CR141" s="1149" t="str">
        <f>BEZ_Lohn_3_Ges_Min_je_Art</f>
        <v/>
      </c>
      <c r="CS141" s="1149"/>
      <c r="CT141" s="1149"/>
      <c r="CU141" s="1149"/>
      <c r="CV141" s="1149"/>
      <c r="CW141" s="1149"/>
      <c r="CX141" s="1149"/>
      <c r="CY141" s="1149"/>
      <c r="CZ141" s="1150" t="str">
        <f>BEZ_Lohn_3_Kosten_Je_St</f>
        <v/>
      </c>
      <c r="DA141" s="1150"/>
      <c r="DB141" s="1150"/>
      <c r="DC141" s="1150"/>
      <c r="DD141" s="1150"/>
      <c r="DE141" s="1150"/>
      <c r="DF141" s="1150"/>
      <c r="DG141" s="1150"/>
      <c r="DH141" s="1150" t="str">
        <f>BEZ_Lohn_3_Kosten_Je_BA</f>
        <v/>
      </c>
      <c r="DI141" s="1150"/>
      <c r="DJ141" s="1150"/>
      <c r="DK141" s="1150"/>
      <c r="DL141" s="1150"/>
      <c r="DM141" s="1150"/>
      <c r="DN141" s="1150"/>
      <c r="DO141" s="1151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</row>
    <row r="142" spans="1:130" ht="7.5" customHeight="1" x14ac:dyDescent="0.15">
      <c r="A142" s="2"/>
      <c r="B142" s="2"/>
      <c r="C142" s="2"/>
      <c r="D142" s="2"/>
      <c r="E142" s="2"/>
      <c r="F142" s="2"/>
      <c r="G142" s="7"/>
      <c r="H142" s="7"/>
      <c r="I142" s="7"/>
      <c r="J142" s="7"/>
      <c r="K142" s="10"/>
      <c r="L142" s="1085">
        <v>4</v>
      </c>
      <c r="M142" s="1086"/>
      <c r="N142" s="1086"/>
      <c r="O142" s="1127">
        <f>IF(AS142=0,"",Lohn!CH23)</f>
        <v>10002924</v>
      </c>
      <c r="P142" s="1127"/>
      <c r="Q142" s="1127"/>
      <c r="R142" s="1127"/>
      <c r="S142" s="1127"/>
      <c r="T142" s="1139" t="str">
        <f>BEZ_Lohn_4_Arbeitsplatz</f>
        <v>Zuschnitt (&lt; 6m), Säge Quick-Stop, Reinhardt</v>
      </c>
      <c r="U142" s="1139"/>
      <c r="V142" s="1139"/>
      <c r="W142" s="1139"/>
      <c r="X142" s="1139"/>
      <c r="Y142" s="1139"/>
      <c r="Z142" s="1139"/>
      <c r="AA142" s="1139"/>
      <c r="AB142" s="1139"/>
      <c r="AC142" s="1139"/>
      <c r="AD142" s="1139"/>
      <c r="AE142" s="1139"/>
      <c r="AF142" s="1139"/>
      <c r="AG142" s="1139"/>
      <c r="AH142" s="1139"/>
      <c r="AI142" s="1139"/>
      <c r="AJ142" s="1139"/>
      <c r="AK142" s="1139"/>
      <c r="AL142" s="1139"/>
      <c r="AM142" s="1139"/>
      <c r="AN142" s="1139"/>
      <c r="AO142" s="1139"/>
      <c r="AP142" s="1139"/>
      <c r="AQ142" s="1139"/>
      <c r="AR142" s="1139"/>
      <c r="AS142" s="686">
        <f>BEZ_Lohn_4_MA_Anz</f>
        <v>1</v>
      </c>
      <c r="AT142" s="668"/>
      <c r="AU142" s="668"/>
      <c r="AV142" s="668"/>
      <c r="AW142" s="1140">
        <f>Lohn!CU23</f>
        <v>70</v>
      </c>
      <c r="AX142" s="1140"/>
      <c r="AY142" s="1140"/>
      <c r="AZ142" s="1140"/>
      <c r="BA142" s="1140"/>
      <c r="BB142" s="1140"/>
      <c r="BC142" s="1140"/>
      <c r="BD142" s="1140"/>
      <c r="BE142" s="1140"/>
      <c r="BF142" s="1140"/>
      <c r="BG142" s="1140"/>
      <c r="BH142" s="1152">
        <f>BEZ_Lohn_4_Ges_Zeit</f>
        <v>0</v>
      </c>
      <c r="BI142" s="1153"/>
      <c r="BJ142" s="1153"/>
      <c r="BK142" s="1153"/>
      <c r="BL142" s="1153"/>
      <c r="BM142" s="1153"/>
      <c r="BN142" s="1153"/>
      <c r="BO142" s="1153"/>
      <c r="BP142" s="1154">
        <f>BEZ_Lohn_4_Zeit_H</f>
        <v>0</v>
      </c>
      <c r="BQ142" s="1154"/>
      <c r="BR142" s="1154"/>
      <c r="BS142" s="1154"/>
      <c r="BT142" s="1154"/>
      <c r="BU142" s="1154"/>
      <c r="BV142" s="1152">
        <f>Lohn!DW23</f>
        <v>0</v>
      </c>
      <c r="BW142" s="1152"/>
      <c r="BX142" s="1152"/>
      <c r="BY142" s="1152"/>
      <c r="BZ142" s="1152"/>
      <c r="CA142" s="1152"/>
      <c r="CB142" s="1148">
        <f>BEZ_Lohn_4_Leist_je_Art</f>
        <v>0</v>
      </c>
      <c r="CC142" s="1148"/>
      <c r="CD142" s="1148"/>
      <c r="CE142" s="1148"/>
      <c r="CF142" s="1148"/>
      <c r="CG142" s="1148"/>
      <c r="CH142" s="1148"/>
      <c r="CI142" s="1148">
        <f>BEZ_Lohn_4_Bedarf_je_Art</f>
        <v>0</v>
      </c>
      <c r="CJ142" s="1148"/>
      <c r="CK142" s="1148"/>
      <c r="CL142" s="1148"/>
      <c r="CM142" s="1148"/>
      <c r="CN142" s="1148"/>
      <c r="CO142" s="1148"/>
      <c r="CP142" s="1148"/>
      <c r="CQ142" s="1148"/>
      <c r="CR142" s="1149" t="str">
        <f>BEZ_Lohn_4_Ges_Min_je_Art</f>
        <v/>
      </c>
      <c r="CS142" s="1149"/>
      <c r="CT142" s="1149"/>
      <c r="CU142" s="1149"/>
      <c r="CV142" s="1149"/>
      <c r="CW142" s="1149"/>
      <c r="CX142" s="1149"/>
      <c r="CY142" s="1149"/>
      <c r="CZ142" s="1150" t="str">
        <f>BEZ_Lohn_4_Kosten_Je_St</f>
        <v/>
      </c>
      <c r="DA142" s="1150"/>
      <c r="DB142" s="1150"/>
      <c r="DC142" s="1150"/>
      <c r="DD142" s="1150"/>
      <c r="DE142" s="1150"/>
      <c r="DF142" s="1150"/>
      <c r="DG142" s="1150"/>
      <c r="DH142" s="1150" t="str">
        <f>BEZ_Lohn_4_Kosten_Je_BA</f>
        <v/>
      </c>
      <c r="DI142" s="1150"/>
      <c r="DJ142" s="1150"/>
      <c r="DK142" s="1150"/>
      <c r="DL142" s="1150"/>
      <c r="DM142" s="1150"/>
      <c r="DN142" s="1150"/>
      <c r="DO142" s="1151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</row>
    <row r="143" spans="1:130" ht="7.5" customHeight="1" x14ac:dyDescent="0.15">
      <c r="A143" s="2"/>
      <c r="B143" s="2"/>
      <c r="C143" s="2"/>
      <c r="D143" s="2"/>
      <c r="E143" s="2"/>
      <c r="F143" s="2"/>
      <c r="G143" s="7"/>
      <c r="H143" s="7"/>
      <c r="I143" s="7"/>
      <c r="J143" s="7"/>
      <c r="K143" s="10"/>
      <c r="L143" s="1085">
        <v>5</v>
      </c>
      <c r="M143" s="1086"/>
      <c r="N143" s="1086"/>
      <c r="O143" s="1127">
        <f>IF(AS143=0,"",Lohn!CH25)</f>
        <v>10002925</v>
      </c>
      <c r="P143" s="1127"/>
      <c r="Q143" s="1127"/>
      <c r="R143" s="1127"/>
      <c r="S143" s="1127"/>
      <c r="T143" s="1139" t="str">
        <f>BEZ_Lohn_5_Arbeitsplatz</f>
        <v>Zuschnitt (&lt; 4m), Säge Slim-Line, Reinhardt</v>
      </c>
      <c r="U143" s="1139"/>
      <c r="V143" s="1139"/>
      <c r="W143" s="1139"/>
      <c r="X143" s="1139"/>
      <c r="Y143" s="1139"/>
      <c r="Z143" s="1139"/>
      <c r="AA143" s="1139"/>
      <c r="AB143" s="1139"/>
      <c r="AC143" s="1139"/>
      <c r="AD143" s="1139"/>
      <c r="AE143" s="1139"/>
      <c r="AF143" s="1139"/>
      <c r="AG143" s="1139"/>
      <c r="AH143" s="1139"/>
      <c r="AI143" s="1139"/>
      <c r="AJ143" s="1139"/>
      <c r="AK143" s="1139"/>
      <c r="AL143" s="1139"/>
      <c r="AM143" s="1139"/>
      <c r="AN143" s="1139"/>
      <c r="AO143" s="1139"/>
      <c r="AP143" s="1139"/>
      <c r="AQ143" s="1139"/>
      <c r="AR143" s="1139"/>
      <c r="AS143" s="686">
        <f>BEZ_Lohn_5_MA_Anz</f>
        <v>1</v>
      </c>
      <c r="AT143" s="668"/>
      <c r="AU143" s="668"/>
      <c r="AV143" s="668"/>
      <c r="AW143" s="1140">
        <f>Lohn!CU25</f>
        <v>55</v>
      </c>
      <c r="AX143" s="1140"/>
      <c r="AY143" s="1140"/>
      <c r="AZ143" s="1140"/>
      <c r="BA143" s="1140"/>
      <c r="BB143" s="1140"/>
      <c r="BC143" s="1140"/>
      <c r="BD143" s="1140"/>
      <c r="BE143" s="1140"/>
      <c r="BF143" s="1140"/>
      <c r="BG143" s="1140"/>
      <c r="BH143" s="1152">
        <f>BEZ_Lohn_5_Ges_Zeit</f>
        <v>0</v>
      </c>
      <c r="BI143" s="1153"/>
      <c r="BJ143" s="1153"/>
      <c r="BK143" s="1153"/>
      <c r="BL143" s="1153"/>
      <c r="BM143" s="1153"/>
      <c r="BN143" s="1153"/>
      <c r="BO143" s="1153"/>
      <c r="BP143" s="1154">
        <f>BEZ_Lohn_5_Zeit_H</f>
        <v>0</v>
      </c>
      <c r="BQ143" s="1154"/>
      <c r="BR143" s="1154"/>
      <c r="BS143" s="1154"/>
      <c r="BT143" s="1154"/>
      <c r="BU143" s="1154"/>
      <c r="BV143" s="1152">
        <f>Lohn!DW25</f>
        <v>0</v>
      </c>
      <c r="BW143" s="1152"/>
      <c r="BX143" s="1152"/>
      <c r="BY143" s="1152"/>
      <c r="BZ143" s="1152"/>
      <c r="CA143" s="1152"/>
      <c r="CB143" s="1148">
        <f>BEZ_Lohn_5_Leist_je_Art</f>
        <v>0</v>
      </c>
      <c r="CC143" s="1148"/>
      <c r="CD143" s="1148"/>
      <c r="CE143" s="1148"/>
      <c r="CF143" s="1148"/>
      <c r="CG143" s="1148"/>
      <c r="CH143" s="1148"/>
      <c r="CI143" s="1148">
        <f>BEZ_Lohn_5_Bedarf_je_Art</f>
        <v>0</v>
      </c>
      <c r="CJ143" s="1148"/>
      <c r="CK143" s="1148"/>
      <c r="CL143" s="1148"/>
      <c r="CM143" s="1148"/>
      <c r="CN143" s="1148"/>
      <c r="CO143" s="1148"/>
      <c r="CP143" s="1148"/>
      <c r="CQ143" s="1148"/>
      <c r="CR143" s="1149" t="str">
        <f>BEZ_Lohn_5_Ges_Min_je_Art</f>
        <v/>
      </c>
      <c r="CS143" s="1149"/>
      <c r="CT143" s="1149"/>
      <c r="CU143" s="1149"/>
      <c r="CV143" s="1149"/>
      <c r="CW143" s="1149"/>
      <c r="CX143" s="1149"/>
      <c r="CY143" s="1149"/>
      <c r="CZ143" s="1150" t="str">
        <f>BEZ_Lohn_5_Kosten_Je_St</f>
        <v/>
      </c>
      <c r="DA143" s="1150"/>
      <c r="DB143" s="1150"/>
      <c r="DC143" s="1150"/>
      <c r="DD143" s="1150"/>
      <c r="DE143" s="1150"/>
      <c r="DF143" s="1150"/>
      <c r="DG143" s="1150"/>
      <c r="DH143" s="1150" t="str">
        <f>BEZ_Lohn_5_Kosten_Je_BA</f>
        <v/>
      </c>
      <c r="DI143" s="1150"/>
      <c r="DJ143" s="1150"/>
      <c r="DK143" s="1150"/>
      <c r="DL143" s="1150"/>
      <c r="DM143" s="1150"/>
      <c r="DN143" s="1150"/>
      <c r="DO143" s="1151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</row>
    <row r="144" spans="1:130" ht="7.5" customHeight="1" x14ac:dyDescent="0.15">
      <c r="A144" s="2"/>
      <c r="B144" s="2"/>
      <c r="C144" s="2"/>
      <c r="D144" s="2"/>
      <c r="E144" s="2"/>
      <c r="F144" s="2"/>
      <c r="G144" s="7"/>
      <c r="H144" s="7"/>
      <c r="I144" s="7"/>
      <c r="J144" s="7"/>
      <c r="K144" s="10"/>
      <c r="L144" s="1085">
        <v>6</v>
      </c>
      <c r="M144" s="1086"/>
      <c r="N144" s="1086"/>
      <c r="O144" s="1127" t="str">
        <f>IF(AS144=0,"",Lohn!CH27)</f>
        <v/>
      </c>
      <c r="P144" s="1127"/>
      <c r="Q144" s="1127"/>
      <c r="R144" s="1127"/>
      <c r="S144" s="1127"/>
      <c r="T144" s="1139">
        <f>BEZ_Lohn_6_Arbeitsplatz</f>
        <v>0</v>
      </c>
      <c r="U144" s="1139"/>
      <c r="V144" s="1139"/>
      <c r="W144" s="1139"/>
      <c r="X144" s="1139"/>
      <c r="Y144" s="1139"/>
      <c r="Z144" s="1139"/>
      <c r="AA144" s="1139"/>
      <c r="AB144" s="1139"/>
      <c r="AC144" s="1139"/>
      <c r="AD144" s="1139"/>
      <c r="AE144" s="1139"/>
      <c r="AF144" s="1139"/>
      <c r="AG144" s="1139"/>
      <c r="AH144" s="1139"/>
      <c r="AI144" s="1139"/>
      <c r="AJ144" s="1139"/>
      <c r="AK144" s="1139"/>
      <c r="AL144" s="1139"/>
      <c r="AM144" s="1139"/>
      <c r="AN144" s="1139"/>
      <c r="AO144" s="1139"/>
      <c r="AP144" s="1139"/>
      <c r="AQ144" s="1139"/>
      <c r="AR144" s="1139"/>
      <c r="AS144" s="686">
        <f>BEZ_Lohn_6_MA_Anz</f>
        <v>0</v>
      </c>
      <c r="AT144" s="668"/>
      <c r="AU144" s="668"/>
      <c r="AV144" s="668"/>
      <c r="AW144" s="1140">
        <f>Lohn!CU27</f>
        <v>0</v>
      </c>
      <c r="AX144" s="1140"/>
      <c r="AY144" s="1140"/>
      <c r="AZ144" s="1140"/>
      <c r="BA144" s="1140"/>
      <c r="BB144" s="1140"/>
      <c r="BC144" s="1140"/>
      <c r="BD144" s="1140"/>
      <c r="BE144" s="1140"/>
      <c r="BF144" s="1140"/>
      <c r="BG144" s="1140"/>
      <c r="BH144" s="1152">
        <f>BEZ_Lohn_6_Ges_Zeit</f>
        <v>0</v>
      </c>
      <c r="BI144" s="1153"/>
      <c r="BJ144" s="1153"/>
      <c r="BK144" s="1153"/>
      <c r="BL144" s="1153"/>
      <c r="BM144" s="1153"/>
      <c r="BN144" s="1153"/>
      <c r="BO144" s="1153"/>
      <c r="BP144" s="1154">
        <f>BEZ_Lohn_6_Zeit_H</f>
        <v>0</v>
      </c>
      <c r="BQ144" s="1154"/>
      <c r="BR144" s="1154"/>
      <c r="BS144" s="1154"/>
      <c r="BT144" s="1154"/>
      <c r="BU144" s="1154"/>
      <c r="BV144" s="1152">
        <f>Lohn!DW27</f>
        <v>0</v>
      </c>
      <c r="BW144" s="1152"/>
      <c r="BX144" s="1152"/>
      <c r="BY144" s="1152"/>
      <c r="BZ144" s="1152"/>
      <c r="CA144" s="1152"/>
      <c r="CB144" s="1148">
        <f>BEZ_Lohn_6_Leist_je_Art</f>
        <v>0</v>
      </c>
      <c r="CC144" s="1148"/>
      <c r="CD144" s="1148"/>
      <c r="CE144" s="1148"/>
      <c r="CF144" s="1148"/>
      <c r="CG144" s="1148"/>
      <c r="CH144" s="1148"/>
      <c r="CI144" s="1148">
        <f>BEZ_Lohn_6_Bedarf_je_Art</f>
        <v>0</v>
      </c>
      <c r="CJ144" s="1148"/>
      <c r="CK144" s="1148"/>
      <c r="CL144" s="1148"/>
      <c r="CM144" s="1148"/>
      <c r="CN144" s="1148"/>
      <c r="CO144" s="1148"/>
      <c r="CP144" s="1148"/>
      <c r="CQ144" s="1148"/>
      <c r="CR144" s="1149" t="str">
        <f>BEZ_Lohn_6_Ges_Min_je_Art</f>
        <v/>
      </c>
      <c r="CS144" s="1149"/>
      <c r="CT144" s="1149"/>
      <c r="CU144" s="1149"/>
      <c r="CV144" s="1149"/>
      <c r="CW144" s="1149"/>
      <c r="CX144" s="1149"/>
      <c r="CY144" s="1149"/>
      <c r="CZ144" s="1150" t="str">
        <f>BEZ_Lohn_6_Kosten_Je_St</f>
        <v/>
      </c>
      <c r="DA144" s="1150"/>
      <c r="DB144" s="1150"/>
      <c r="DC144" s="1150"/>
      <c r="DD144" s="1150"/>
      <c r="DE144" s="1150"/>
      <c r="DF144" s="1150"/>
      <c r="DG144" s="1150"/>
      <c r="DH144" s="1150" t="str">
        <f>BEZ_Lohn_6_Kosten_Je_BA</f>
        <v/>
      </c>
      <c r="DI144" s="1150"/>
      <c r="DJ144" s="1150"/>
      <c r="DK144" s="1150"/>
      <c r="DL144" s="1150"/>
      <c r="DM144" s="1150"/>
      <c r="DN144" s="1150"/>
      <c r="DO144" s="1151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</row>
    <row r="145" spans="1:130" ht="7.5" customHeight="1" x14ac:dyDescent="0.15">
      <c r="A145" s="2"/>
      <c r="B145" s="2"/>
      <c r="C145" s="2"/>
      <c r="D145" s="2"/>
      <c r="E145" s="2"/>
      <c r="F145" s="2"/>
      <c r="G145" s="7"/>
      <c r="H145" s="7"/>
      <c r="I145" s="7"/>
      <c r="J145" s="7"/>
      <c r="K145" s="10"/>
      <c r="L145" s="1085">
        <v>7</v>
      </c>
      <c r="M145" s="1086"/>
      <c r="N145" s="1086"/>
      <c r="O145" s="1127">
        <f>IF(AS145=0,"",Lohn!CH29)</f>
        <v>10002930</v>
      </c>
      <c r="P145" s="1127"/>
      <c r="Q145" s="1127"/>
      <c r="R145" s="1127"/>
      <c r="S145" s="1127"/>
      <c r="T145" s="1139" t="str">
        <f>BEZ_Lohn_7_Arbeitsplatz</f>
        <v>Rüsten CNC Bearbeitungszentrum, Typ Rover A4</v>
      </c>
      <c r="U145" s="1139"/>
      <c r="V145" s="1139"/>
      <c r="W145" s="1139"/>
      <c r="X145" s="1139"/>
      <c r="Y145" s="1139"/>
      <c r="Z145" s="1139"/>
      <c r="AA145" s="1139"/>
      <c r="AB145" s="1139"/>
      <c r="AC145" s="1139"/>
      <c r="AD145" s="1139"/>
      <c r="AE145" s="1139"/>
      <c r="AF145" s="1139"/>
      <c r="AG145" s="1139"/>
      <c r="AH145" s="1139"/>
      <c r="AI145" s="1139"/>
      <c r="AJ145" s="1139"/>
      <c r="AK145" s="1139"/>
      <c r="AL145" s="1139"/>
      <c r="AM145" s="1139"/>
      <c r="AN145" s="1139"/>
      <c r="AO145" s="1139"/>
      <c r="AP145" s="1139"/>
      <c r="AQ145" s="1139"/>
      <c r="AR145" s="1139"/>
      <c r="AS145" s="686">
        <f>BEZ_Lohn_7_MA_Anz</f>
        <v>1</v>
      </c>
      <c r="AT145" s="668"/>
      <c r="AU145" s="668"/>
      <c r="AV145" s="668"/>
      <c r="AW145" s="1140">
        <f>Lohn!CU29</f>
        <v>85</v>
      </c>
      <c r="AX145" s="1140"/>
      <c r="AY145" s="1140"/>
      <c r="AZ145" s="1140"/>
      <c r="BA145" s="1140"/>
      <c r="BB145" s="1140"/>
      <c r="BC145" s="1140"/>
      <c r="BD145" s="1140"/>
      <c r="BE145" s="1140"/>
      <c r="BF145" s="1140"/>
      <c r="BG145" s="1140"/>
      <c r="BH145" s="1152">
        <f>BEZ_Lohn_7_Ges_Zeit</f>
        <v>0</v>
      </c>
      <c r="BI145" s="1153"/>
      <c r="BJ145" s="1153"/>
      <c r="BK145" s="1153"/>
      <c r="BL145" s="1153"/>
      <c r="BM145" s="1153"/>
      <c r="BN145" s="1153"/>
      <c r="BO145" s="1153"/>
      <c r="BP145" s="1154">
        <f>BEZ_Lohn_7_Zeit_H</f>
        <v>0</v>
      </c>
      <c r="BQ145" s="1154"/>
      <c r="BR145" s="1154"/>
      <c r="BS145" s="1154"/>
      <c r="BT145" s="1154"/>
      <c r="BU145" s="1154"/>
      <c r="BV145" s="1152">
        <f>Lohn!DW29</f>
        <v>0</v>
      </c>
      <c r="BW145" s="1152"/>
      <c r="BX145" s="1152"/>
      <c r="BY145" s="1152"/>
      <c r="BZ145" s="1152"/>
      <c r="CA145" s="1152"/>
      <c r="CB145" s="1148">
        <f>BEZ_Lohn_7_Leist_je_Art</f>
        <v>0</v>
      </c>
      <c r="CC145" s="1148"/>
      <c r="CD145" s="1148"/>
      <c r="CE145" s="1148"/>
      <c r="CF145" s="1148"/>
      <c r="CG145" s="1148"/>
      <c r="CH145" s="1148"/>
      <c r="CI145" s="1148">
        <f>BEZ_Lohn_7_Bedarf_je_Art</f>
        <v>0</v>
      </c>
      <c r="CJ145" s="1148"/>
      <c r="CK145" s="1148"/>
      <c r="CL145" s="1148"/>
      <c r="CM145" s="1148"/>
      <c r="CN145" s="1148"/>
      <c r="CO145" s="1148"/>
      <c r="CP145" s="1148"/>
      <c r="CQ145" s="1148"/>
      <c r="CR145" s="1149" t="str">
        <f>BEZ_Lohn_7_Ges_Min_je_Art</f>
        <v/>
      </c>
      <c r="CS145" s="1149"/>
      <c r="CT145" s="1149"/>
      <c r="CU145" s="1149"/>
      <c r="CV145" s="1149"/>
      <c r="CW145" s="1149"/>
      <c r="CX145" s="1149"/>
      <c r="CY145" s="1149"/>
      <c r="CZ145" s="1150" t="str">
        <f>BEZ_Lohn_7_Kosten_Je_St</f>
        <v/>
      </c>
      <c r="DA145" s="1150"/>
      <c r="DB145" s="1150"/>
      <c r="DC145" s="1150"/>
      <c r="DD145" s="1150"/>
      <c r="DE145" s="1150"/>
      <c r="DF145" s="1150"/>
      <c r="DG145" s="1150"/>
      <c r="DH145" s="1150" t="str">
        <f>BEZ_Lohn_7_Kosten_Je_BA</f>
        <v/>
      </c>
      <c r="DI145" s="1150"/>
      <c r="DJ145" s="1150"/>
      <c r="DK145" s="1150"/>
      <c r="DL145" s="1150"/>
      <c r="DM145" s="1150"/>
      <c r="DN145" s="1150"/>
      <c r="DO145" s="1151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</row>
    <row r="146" spans="1:130" ht="7.5" customHeight="1" x14ac:dyDescent="0.15">
      <c r="A146" s="2"/>
      <c r="B146" s="2"/>
      <c r="C146" s="2"/>
      <c r="D146" s="2"/>
      <c r="E146" s="2"/>
      <c r="F146" s="2"/>
      <c r="G146" s="7"/>
      <c r="H146" s="7"/>
      <c r="I146" s="7"/>
      <c r="J146" s="7"/>
      <c r="K146" s="10"/>
      <c r="L146" s="1085">
        <v>8</v>
      </c>
      <c r="M146" s="1086"/>
      <c r="N146" s="1086"/>
      <c r="O146" s="1127">
        <f>IF(AS146=0,"",Lohn!CH31)</f>
        <v>10002930</v>
      </c>
      <c r="P146" s="1127"/>
      <c r="Q146" s="1127"/>
      <c r="R146" s="1127"/>
      <c r="S146" s="1127"/>
      <c r="T146" s="1139" t="str">
        <f>BEZ_Lohn_8_Arbeitsplatz</f>
        <v>CNC Bearbeitungszentrum, Typ Rover A4</v>
      </c>
      <c r="U146" s="1139"/>
      <c r="V146" s="1139"/>
      <c r="W146" s="1139"/>
      <c r="X146" s="1139"/>
      <c r="Y146" s="1139"/>
      <c r="Z146" s="1139"/>
      <c r="AA146" s="1139"/>
      <c r="AB146" s="1139"/>
      <c r="AC146" s="1139"/>
      <c r="AD146" s="1139"/>
      <c r="AE146" s="1139"/>
      <c r="AF146" s="1139"/>
      <c r="AG146" s="1139"/>
      <c r="AH146" s="1139"/>
      <c r="AI146" s="1139"/>
      <c r="AJ146" s="1139"/>
      <c r="AK146" s="1139"/>
      <c r="AL146" s="1139"/>
      <c r="AM146" s="1139"/>
      <c r="AN146" s="1139"/>
      <c r="AO146" s="1139"/>
      <c r="AP146" s="1139"/>
      <c r="AQ146" s="1139"/>
      <c r="AR146" s="1139"/>
      <c r="AS146" s="686">
        <f>BEZ_Lohn_8_MA_Anz</f>
        <v>1</v>
      </c>
      <c r="AT146" s="668"/>
      <c r="AU146" s="668"/>
      <c r="AV146" s="668"/>
      <c r="AW146" s="1140">
        <f>Lohn!CU31</f>
        <v>85</v>
      </c>
      <c r="AX146" s="1140"/>
      <c r="AY146" s="1140"/>
      <c r="AZ146" s="1140"/>
      <c r="BA146" s="1140"/>
      <c r="BB146" s="1140"/>
      <c r="BC146" s="1140"/>
      <c r="BD146" s="1140"/>
      <c r="BE146" s="1140"/>
      <c r="BF146" s="1140"/>
      <c r="BG146" s="1140"/>
      <c r="BH146" s="1152">
        <f>BEZ_Lohn_8_Ges_Zeit</f>
        <v>0</v>
      </c>
      <c r="BI146" s="1153"/>
      <c r="BJ146" s="1153"/>
      <c r="BK146" s="1153"/>
      <c r="BL146" s="1153"/>
      <c r="BM146" s="1153"/>
      <c r="BN146" s="1153"/>
      <c r="BO146" s="1153"/>
      <c r="BP146" s="1154">
        <f>BEZ_Lohn_8_Zeit_H</f>
        <v>0</v>
      </c>
      <c r="BQ146" s="1154"/>
      <c r="BR146" s="1154"/>
      <c r="BS146" s="1154"/>
      <c r="BT146" s="1154"/>
      <c r="BU146" s="1154"/>
      <c r="BV146" s="1152">
        <f>Lohn!DW31</f>
        <v>0</v>
      </c>
      <c r="BW146" s="1152"/>
      <c r="BX146" s="1152"/>
      <c r="BY146" s="1152"/>
      <c r="BZ146" s="1152"/>
      <c r="CA146" s="1152"/>
      <c r="CB146" s="1148">
        <f>BEZ_Lohn_8_Leist_je_Art</f>
        <v>0</v>
      </c>
      <c r="CC146" s="1148"/>
      <c r="CD146" s="1148"/>
      <c r="CE146" s="1148"/>
      <c r="CF146" s="1148"/>
      <c r="CG146" s="1148"/>
      <c r="CH146" s="1148"/>
      <c r="CI146" s="1148">
        <f>BEZ_Lohn_8_Bedarf_je_Art</f>
        <v>0</v>
      </c>
      <c r="CJ146" s="1148"/>
      <c r="CK146" s="1148"/>
      <c r="CL146" s="1148"/>
      <c r="CM146" s="1148"/>
      <c r="CN146" s="1148"/>
      <c r="CO146" s="1148"/>
      <c r="CP146" s="1148"/>
      <c r="CQ146" s="1148"/>
      <c r="CR146" s="1149" t="str">
        <f>BEZ_Lohn_8_Ges_Min_je_Art</f>
        <v/>
      </c>
      <c r="CS146" s="1149"/>
      <c r="CT146" s="1149"/>
      <c r="CU146" s="1149"/>
      <c r="CV146" s="1149"/>
      <c r="CW146" s="1149"/>
      <c r="CX146" s="1149"/>
      <c r="CY146" s="1149"/>
      <c r="CZ146" s="1150" t="str">
        <f>BEZ_Lohn_8_Kosten_Je_St</f>
        <v/>
      </c>
      <c r="DA146" s="1150"/>
      <c r="DB146" s="1150"/>
      <c r="DC146" s="1150"/>
      <c r="DD146" s="1150"/>
      <c r="DE146" s="1150"/>
      <c r="DF146" s="1150"/>
      <c r="DG146" s="1150"/>
      <c r="DH146" s="1150" t="str">
        <f>BEZ_Lohn_8_Kosten_Je_BA</f>
        <v/>
      </c>
      <c r="DI146" s="1150"/>
      <c r="DJ146" s="1150"/>
      <c r="DK146" s="1150"/>
      <c r="DL146" s="1150"/>
      <c r="DM146" s="1150"/>
      <c r="DN146" s="1150"/>
      <c r="DO146" s="1151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</row>
    <row r="147" spans="1:130" ht="7.5" customHeight="1" x14ac:dyDescent="0.15">
      <c r="A147" s="2"/>
      <c r="B147" s="2"/>
      <c r="C147" s="2"/>
      <c r="D147" s="2"/>
      <c r="E147" s="2"/>
      <c r="F147" s="2"/>
      <c r="G147" s="7"/>
      <c r="H147" s="7"/>
      <c r="I147" s="7"/>
      <c r="J147" s="7"/>
      <c r="K147" s="10"/>
      <c r="L147" s="1085">
        <v>9</v>
      </c>
      <c r="M147" s="1086"/>
      <c r="N147" s="1086"/>
      <c r="O147" s="1127" t="str">
        <f>IF(AS147=0,"",Lohn!CH33)</f>
        <v/>
      </c>
      <c r="P147" s="1127"/>
      <c r="Q147" s="1127"/>
      <c r="R147" s="1127"/>
      <c r="S147" s="1127"/>
      <c r="T147" s="1139">
        <f>BEZ_Lohn_9_Arbeitsplatz</f>
        <v>0</v>
      </c>
      <c r="U147" s="1139"/>
      <c r="V147" s="1139"/>
      <c r="W147" s="1139"/>
      <c r="X147" s="1139"/>
      <c r="Y147" s="1139"/>
      <c r="Z147" s="1139"/>
      <c r="AA147" s="1139"/>
      <c r="AB147" s="1139"/>
      <c r="AC147" s="1139"/>
      <c r="AD147" s="1139"/>
      <c r="AE147" s="1139"/>
      <c r="AF147" s="1139"/>
      <c r="AG147" s="1139"/>
      <c r="AH147" s="1139"/>
      <c r="AI147" s="1139"/>
      <c r="AJ147" s="1139"/>
      <c r="AK147" s="1139"/>
      <c r="AL147" s="1139"/>
      <c r="AM147" s="1139"/>
      <c r="AN147" s="1139"/>
      <c r="AO147" s="1139"/>
      <c r="AP147" s="1139"/>
      <c r="AQ147" s="1139"/>
      <c r="AR147" s="1139"/>
      <c r="AS147" s="686">
        <f>BEZ_Lohn_9_MA_Anz</f>
        <v>0</v>
      </c>
      <c r="AT147" s="668"/>
      <c r="AU147" s="668"/>
      <c r="AV147" s="668"/>
      <c r="AW147" s="1140">
        <f>Lohn!CU33</f>
        <v>0</v>
      </c>
      <c r="AX147" s="1140"/>
      <c r="AY147" s="1140"/>
      <c r="AZ147" s="1140"/>
      <c r="BA147" s="1140"/>
      <c r="BB147" s="1140"/>
      <c r="BC147" s="1140"/>
      <c r="BD147" s="1140"/>
      <c r="BE147" s="1140"/>
      <c r="BF147" s="1140"/>
      <c r="BG147" s="1140"/>
      <c r="BH147" s="1152">
        <f>BEZ_Lohn_9_Ges_Zeit</f>
        <v>0</v>
      </c>
      <c r="BI147" s="1153"/>
      <c r="BJ147" s="1153"/>
      <c r="BK147" s="1153"/>
      <c r="BL147" s="1153"/>
      <c r="BM147" s="1153"/>
      <c r="BN147" s="1153"/>
      <c r="BO147" s="1153"/>
      <c r="BP147" s="1154">
        <f>BEZ_Lohn_9_Zeit_H</f>
        <v>0</v>
      </c>
      <c r="BQ147" s="1154"/>
      <c r="BR147" s="1154"/>
      <c r="BS147" s="1154"/>
      <c r="BT147" s="1154"/>
      <c r="BU147" s="1154"/>
      <c r="BV147" s="1152">
        <f>Lohn!DW33</f>
        <v>0</v>
      </c>
      <c r="BW147" s="1152"/>
      <c r="BX147" s="1152"/>
      <c r="BY147" s="1152"/>
      <c r="BZ147" s="1152"/>
      <c r="CA147" s="1152"/>
      <c r="CB147" s="1148">
        <f>BEZ_Lohn_9_Leist_je_Art</f>
        <v>0</v>
      </c>
      <c r="CC147" s="1148"/>
      <c r="CD147" s="1148"/>
      <c r="CE147" s="1148"/>
      <c r="CF147" s="1148"/>
      <c r="CG147" s="1148"/>
      <c r="CH147" s="1148"/>
      <c r="CI147" s="1148">
        <f>BEZ_Lohn_9_Bedarf_je_Art</f>
        <v>0</v>
      </c>
      <c r="CJ147" s="1148"/>
      <c r="CK147" s="1148"/>
      <c r="CL147" s="1148"/>
      <c r="CM147" s="1148"/>
      <c r="CN147" s="1148"/>
      <c r="CO147" s="1148"/>
      <c r="CP147" s="1148"/>
      <c r="CQ147" s="1148"/>
      <c r="CR147" s="1149" t="str">
        <f>BEZ_Lohn_9_Ges_Min_je_Art</f>
        <v/>
      </c>
      <c r="CS147" s="1149"/>
      <c r="CT147" s="1149"/>
      <c r="CU147" s="1149"/>
      <c r="CV147" s="1149"/>
      <c r="CW147" s="1149"/>
      <c r="CX147" s="1149"/>
      <c r="CY147" s="1149"/>
      <c r="CZ147" s="1150" t="str">
        <f>BEZ_Lohn_9_Kosten_Je_St</f>
        <v/>
      </c>
      <c r="DA147" s="1150"/>
      <c r="DB147" s="1150"/>
      <c r="DC147" s="1150"/>
      <c r="DD147" s="1150"/>
      <c r="DE147" s="1150"/>
      <c r="DF147" s="1150"/>
      <c r="DG147" s="1150"/>
      <c r="DH147" s="1150" t="str">
        <f>BEZ_Lohn_9_Kosten_Je_BA</f>
        <v/>
      </c>
      <c r="DI147" s="1150"/>
      <c r="DJ147" s="1150"/>
      <c r="DK147" s="1150"/>
      <c r="DL147" s="1150"/>
      <c r="DM147" s="1150"/>
      <c r="DN147" s="1150"/>
      <c r="DO147" s="1151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</row>
    <row r="148" spans="1:130" ht="7.5" customHeight="1" x14ac:dyDescent="0.15">
      <c r="A148" s="2"/>
      <c r="B148" s="2"/>
      <c r="C148" s="2"/>
      <c r="D148" s="2"/>
      <c r="E148" s="2"/>
      <c r="F148" s="2"/>
      <c r="G148" s="7"/>
      <c r="H148" s="7"/>
      <c r="I148" s="7"/>
      <c r="J148" s="7"/>
      <c r="K148" s="10"/>
      <c r="L148" s="1085">
        <v>10</v>
      </c>
      <c r="M148" s="1086"/>
      <c r="N148" s="1086"/>
      <c r="O148" s="1127">
        <f>IF(AS148=0,"",Lohn!CH35)</f>
        <v>10002949</v>
      </c>
      <c r="P148" s="1127"/>
      <c r="Q148" s="1127"/>
      <c r="R148" s="1127"/>
      <c r="S148" s="1127"/>
      <c r="T148" s="1139" t="str">
        <f>BEZ_Lohn_10_Arbeitsplatz</f>
        <v>Rüsten Mitarbeiter, Kat. B, Rüsten - Produktion</v>
      </c>
      <c r="U148" s="1139"/>
      <c r="V148" s="1139"/>
      <c r="W148" s="1139"/>
      <c r="X148" s="1139"/>
      <c r="Y148" s="1139"/>
      <c r="Z148" s="1139"/>
      <c r="AA148" s="1139"/>
      <c r="AB148" s="1139"/>
      <c r="AC148" s="1139"/>
      <c r="AD148" s="1139"/>
      <c r="AE148" s="1139"/>
      <c r="AF148" s="1139"/>
      <c r="AG148" s="1139"/>
      <c r="AH148" s="1139"/>
      <c r="AI148" s="1139"/>
      <c r="AJ148" s="1139"/>
      <c r="AK148" s="1139"/>
      <c r="AL148" s="1139"/>
      <c r="AM148" s="1139"/>
      <c r="AN148" s="1139"/>
      <c r="AO148" s="1139"/>
      <c r="AP148" s="1139"/>
      <c r="AQ148" s="1139"/>
      <c r="AR148" s="1139"/>
      <c r="AS148" s="686">
        <f>BEZ_Lohn_10_MA_Anz</f>
        <v>1</v>
      </c>
      <c r="AT148" s="668"/>
      <c r="AU148" s="668"/>
      <c r="AV148" s="668"/>
      <c r="AW148" s="1140">
        <f>Lohn!CU35</f>
        <v>60</v>
      </c>
      <c r="AX148" s="1140"/>
      <c r="AY148" s="1140"/>
      <c r="AZ148" s="1140"/>
      <c r="BA148" s="1140"/>
      <c r="BB148" s="1140"/>
      <c r="BC148" s="1140"/>
      <c r="BD148" s="1140"/>
      <c r="BE148" s="1140"/>
      <c r="BF148" s="1140"/>
      <c r="BG148" s="1140"/>
      <c r="BH148" s="1152">
        <f>BEZ_Lohn_10_Ges_Zeit</f>
        <v>0</v>
      </c>
      <c r="BI148" s="1153"/>
      <c r="BJ148" s="1153"/>
      <c r="BK148" s="1153"/>
      <c r="BL148" s="1153"/>
      <c r="BM148" s="1153"/>
      <c r="BN148" s="1153"/>
      <c r="BO148" s="1153"/>
      <c r="BP148" s="1154">
        <f>BEZ_Lohn_10_Zeit_H</f>
        <v>0</v>
      </c>
      <c r="BQ148" s="1154"/>
      <c r="BR148" s="1154"/>
      <c r="BS148" s="1154"/>
      <c r="BT148" s="1154"/>
      <c r="BU148" s="1154"/>
      <c r="BV148" s="1152">
        <f>Lohn!DW35</f>
        <v>0</v>
      </c>
      <c r="BW148" s="1152"/>
      <c r="BX148" s="1152"/>
      <c r="BY148" s="1152"/>
      <c r="BZ148" s="1152"/>
      <c r="CA148" s="1152"/>
      <c r="CB148" s="1148">
        <f>BEZ_Lohn_10_Leist_je_Art</f>
        <v>0</v>
      </c>
      <c r="CC148" s="1148"/>
      <c r="CD148" s="1148"/>
      <c r="CE148" s="1148"/>
      <c r="CF148" s="1148"/>
      <c r="CG148" s="1148"/>
      <c r="CH148" s="1148"/>
      <c r="CI148" s="1148">
        <f>BEZ_Lohn_10_Bedarf_je_Art</f>
        <v>0</v>
      </c>
      <c r="CJ148" s="1148"/>
      <c r="CK148" s="1148"/>
      <c r="CL148" s="1148"/>
      <c r="CM148" s="1148"/>
      <c r="CN148" s="1148"/>
      <c r="CO148" s="1148"/>
      <c r="CP148" s="1148"/>
      <c r="CQ148" s="1148"/>
      <c r="CR148" s="1149" t="str">
        <f>BEZ_Lohn_10_Ges_Min_je_Art</f>
        <v/>
      </c>
      <c r="CS148" s="1149"/>
      <c r="CT148" s="1149"/>
      <c r="CU148" s="1149"/>
      <c r="CV148" s="1149"/>
      <c r="CW148" s="1149"/>
      <c r="CX148" s="1149"/>
      <c r="CY148" s="1149"/>
      <c r="CZ148" s="1150" t="str">
        <f>BEZ_Lohn_10_Kosten_Je_St</f>
        <v/>
      </c>
      <c r="DA148" s="1150"/>
      <c r="DB148" s="1150"/>
      <c r="DC148" s="1150"/>
      <c r="DD148" s="1150"/>
      <c r="DE148" s="1150"/>
      <c r="DF148" s="1150"/>
      <c r="DG148" s="1150"/>
      <c r="DH148" s="1150" t="str">
        <f>BEZ_Lohn_10_Kosten_Je_BA</f>
        <v/>
      </c>
      <c r="DI148" s="1150"/>
      <c r="DJ148" s="1150"/>
      <c r="DK148" s="1150"/>
      <c r="DL148" s="1150"/>
      <c r="DM148" s="1150"/>
      <c r="DN148" s="1150"/>
      <c r="DO148" s="1151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</row>
    <row r="149" spans="1:130" ht="7.5" customHeight="1" x14ac:dyDescent="0.15">
      <c r="A149" s="2"/>
      <c r="B149" s="2"/>
      <c r="C149" s="2"/>
      <c r="D149" s="2"/>
      <c r="E149" s="2"/>
      <c r="F149" s="2"/>
      <c r="G149" s="7"/>
      <c r="H149" s="7"/>
      <c r="I149" s="7"/>
      <c r="J149" s="7"/>
      <c r="K149" s="10"/>
      <c r="L149" s="1085">
        <v>11</v>
      </c>
      <c r="M149" s="1086"/>
      <c r="N149" s="1086"/>
      <c r="O149" s="1127">
        <f>IF(AS149=0,"",Lohn!CH37)</f>
        <v>10002920</v>
      </c>
      <c r="P149" s="1127"/>
      <c r="Q149" s="1127"/>
      <c r="R149" s="1127"/>
      <c r="S149" s="1127"/>
      <c r="T149" s="1139" t="str">
        <f>BEZ_Lohn_11_Arbeitsplatz</f>
        <v>Fertigung Mitarbeiter, Kat. T, Facharbeiter, Tischler</v>
      </c>
      <c r="U149" s="1139"/>
      <c r="V149" s="1139"/>
      <c r="W149" s="1139"/>
      <c r="X149" s="1139"/>
      <c r="Y149" s="1139"/>
      <c r="Z149" s="1139"/>
      <c r="AA149" s="1139"/>
      <c r="AB149" s="1139"/>
      <c r="AC149" s="1139"/>
      <c r="AD149" s="1139"/>
      <c r="AE149" s="1139"/>
      <c r="AF149" s="1139"/>
      <c r="AG149" s="1139"/>
      <c r="AH149" s="1139"/>
      <c r="AI149" s="1139"/>
      <c r="AJ149" s="1139"/>
      <c r="AK149" s="1139"/>
      <c r="AL149" s="1139"/>
      <c r="AM149" s="1139"/>
      <c r="AN149" s="1139"/>
      <c r="AO149" s="1139"/>
      <c r="AP149" s="1139"/>
      <c r="AQ149" s="1139"/>
      <c r="AR149" s="1139"/>
      <c r="AS149" s="686">
        <f>BEZ_Lohn_11_MA_Anz</f>
        <v>1</v>
      </c>
      <c r="AT149" s="668"/>
      <c r="AU149" s="668"/>
      <c r="AV149" s="668"/>
      <c r="AW149" s="1140">
        <f>Lohn!CU37</f>
        <v>46</v>
      </c>
      <c r="AX149" s="1140"/>
      <c r="AY149" s="1140"/>
      <c r="AZ149" s="1140"/>
      <c r="BA149" s="1140"/>
      <c r="BB149" s="1140"/>
      <c r="BC149" s="1140"/>
      <c r="BD149" s="1140"/>
      <c r="BE149" s="1140"/>
      <c r="BF149" s="1140"/>
      <c r="BG149" s="1140"/>
      <c r="BH149" s="1152">
        <f>BEZ_Lohn_11_Ges_Zeit</f>
        <v>0</v>
      </c>
      <c r="BI149" s="1153"/>
      <c r="BJ149" s="1153"/>
      <c r="BK149" s="1153"/>
      <c r="BL149" s="1153"/>
      <c r="BM149" s="1153"/>
      <c r="BN149" s="1153"/>
      <c r="BO149" s="1153"/>
      <c r="BP149" s="1154">
        <f>BEZ_Lohn_11_Zeit_H</f>
        <v>0</v>
      </c>
      <c r="BQ149" s="1154"/>
      <c r="BR149" s="1154"/>
      <c r="BS149" s="1154"/>
      <c r="BT149" s="1154"/>
      <c r="BU149" s="1154"/>
      <c r="BV149" s="1152">
        <f>Lohn!DW37</f>
        <v>0</v>
      </c>
      <c r="BW149" s="1152"/>
      <c r="BX149" s="1152"/>
      <c r="BY149" s="1152"/>
      <c r="BZ149" s="1152"/>
      <c r="CA149" s="1152"/>
      <c r="CB149" s="1148">
        <f>BEZ_Lohn_11_Leist_je_Art</f>
        <v>0</v>
      </c>
      <c r="CC149" s="1148"/>
      <c r="CD149" s="1148"/>
      <c r="CE149" s="1148"/>
      <c r="CF149" s="1148"/>
      <c r="CG149" s="1148"/>
      <c r="CH149" s="1148"/>
      <c r="CI149" s="1148">
        <f>BEZ_Lohn_11_Bedarf_je_Art</f>
        <v>0</v>
      </c>
      <c r="CJ149" s="1148"/>
      <c r="CK149" s="1148"/>
      <c r="CL149" s="1148"/>
      <c r="CM149" s="1148"/>
      <c r="CN149" s="1148"/>
      <c r="CO149" s="1148"/>
      <c r="CP149" s="1148"/>
      <c r="CQ149" s="1148"/>
      <c r="CR149" s="1149" t="str">
        <f>BEZ_Lohn_11_Ges_Min_je_Art</f>
        <v/>
      </c>
      <c r="CS149" s="1149"/>
      <c r="CT149" s="1149"/>
      <c r="CU149" s="1149"/>
      <c r="CV149" s="1149"/>
      <c r="CW149" s="1149"/>
      <c r="CX149" s="1149"/>
      <c r="CY149" s="1149"/>
      <c r="CZ149" s="1150" t="str">
        <f>BEZ_Lohn_11_Kosten_Je_St</f>
        <v/>
      </c>
      <c r="DA149" s="1150"/>
      <c r="DB149" s="1150"/>
      <c r="DC149" s="1150"/>
      <c r="DD149" s="1150"/>
      <c r="DE149" s="1150"/>
      <c r="DF149" s="1150"/>
      <c r="DG149" s="1150"/>
      <c r="DH149" s="1150" t="str">
        <f>BEZ_Lohn_11_Kosten_Je_BA</f>
        <v/>
      </c>
      <c r="DI149" s="1150"/>
      <c r="DJ149" s="1150"/>
      <c r="DK149" s="1150"/>
      <c r="DL149" s="1150"/>
      <c r="DM149" s="1150"/>
      <c r="DN149" s="1150"/>
      <c r="DO149" s="1151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</row>
    <row r="150" spans="1:130" ht="7.5" customHeight="1" x14ac:dyDescent="0.15">
      <c r="A150" s="2"/>
      <c r="B150" s="2"/>
      <c r="C150" s="2"/>
      <c r="D150" s="2"/>
      <c r="E150" s="2"/>
      <c r="F150" s="2"/>
      <c r="G150" s="7"/>
      <c r="H150" s="7"/>
      <c r="I150" s="7"/>
      <c r="J150" s="7"/>
      <c r="K150" s="10"/>
      <c r="L150" s="1085">
        <v>12</v>
      </c>
      <c r="M150" s="1086"/>
      <c r="N150" s="1086"/>
      <c r="O150" s="1127" t="str">
        <f>IF(AS150=0,"",Lohn!CH39)</f>
        <v/>
      </c>
      <c r="P150" s="1127"/>
      <c r="Q150" s="1127"/>
      <c r="R150" s="1127"/>
      <c r="S150" s="1127"/>
      <c r="T150" s="1139">
        <f>BEZ_Lohn_12_Arbeitsplatz</f>
        <v>0</v>
      </c>
      <c r="U150" s="1139"/>
      <c r="V150" s="1139"/>
      <c r="W150" s="1139"/>
      <c r="X150" s="1139"/>
      <c r="Y150" s="1139"/>
      <c r="Z150" s="1139"/>
      <c r="AA150" s="1139"/>
      <c r="AB150" s="1139"/>
      <c r="AC150" s="1139"/>
      <c r="AD150" s="1139"/>
      <c r="AE150" s="1139"/>
      <c r="AF150" s="1139"/>
      <c r="AG150" s="1139"/>
      <c r="AH150" s="1139"/>
      <c r="AI150" s="1139"/>
      <c r="AJ150" s="1139"/>
      <c r="AK150" s="1139"/>
      <c r="AL150" s="1139"/>
      <c r="AM150" s="1139"/>
      <c r="AN150" s="1139"/>
      <c r="AO150" s="1139"/>
      <c r="AP150" s="1139"/>
      <c r="AQ150" s="1139"/>
      <c r="AR150" s="1139"/>
      <c r="AS150" s="686">
        <f>BEZ_Lohn_12_MA_Anz</f>
        <v>0</v>
      </c>
      <c r="AT150" s="668"/>
      <c r="AU150" s="668"/>
      <c r="AV150" s="668"/>
      <c r="AW150" s="1140">
        <f>Lohn!CU39</f>
        <v>0</v>
      </c>
      <c r="AX150" s="1140"/>
      <c r="AY150" s="1140"/>
      <c r="AZ150" s="1140"/>
      <c r="BA150" s="1140"/>
      <c r="BB150" s="1140"/>
      <c r="BC150" s="1140"/>
      <c r="BD150" s="1140"/>
      <c r="BE150" s="1140"/>
      <c r="BF150" s="1140"/>
      <c r="BG150" s="1140"/>
      <c r="BH150" s="1152">
        <f>BEZ_Lohn_12_Ges_Zeit</f>
        <v>0</v>
      </c>
      <c r="BI150" s="1153"/>
      <c r="BJ150" s="1153"/>
      <c r="BK150" s="1153"/>
      <c r="BL150" s="1153"/>
      <c r="BM150" s="1153"/>
      <c r="BN150" s="1153"/>
      <c r="BO150" s="1153"/>
      <c r="BP150" s="1154">
        <f>BEZ_Lohn_12_Zeit_H</f>
        <v>0</v>
      </c>
      <c r="BQ150" s="1154"/>
      <c r="BR150" s="1154"/>
      <c r="BS150" s="1154"/>
      <c r="BT150" s="1154"/>
      <c r="BU150" s="1154"/>
      <c r="BV150" s="1152">
        <f>Lohn!DW39</f>
        <v>0</v>
      </c>
      <c r="BW150" s="1152"/>
      <c r="BX150" s="1152"/>
      <c r="BY150" s="1152"/>
      <c r="BZ150" s="1152"/>
      <c r="CA150" s="1152"/>
      <c r="CB150" s="1148">
        <f>BEZ_Lohn_12_Leist_je_Art</f>
        <v>0</v>
      </c>
      <c r="CC150" s="1148"/>
      <c r="CD150" s="1148"/>
      <c r="CE150" s="1148"/>
      <c r="CF150" s="1148"/>
      <c r="CG150" s="1148"/>
      <c r="CH150" s="1148"/>
      <c r="CI150" s="1148">
        <f>BEZ_Lohn_12_Bedarf_je_Art</f>
        <v>0</v>
      </c>
      <c r="CJ150" s="1148"/>
      <c r="CK150" s="1148"/>
      <c r="CL150" s="1148"/>
      <c r="CM150" s="1148"/>
      <c r="CN150" s="1148"/>
      <c r="CO150" s="1148"/>
      <c r="CP150" s="1148"/>
      <c r="CQ150" s="1148"/>
      <c r="CR150" s="1149" t="str">
        <f>BEZ_Lohn_12_Ges_Min_je_Art</f>
        <v/>
      </c>
      <c r="CS150" s="1149"/>
      <c r="CT150" s="1149"/>
      <c r="CU150" s="1149"/>
      <c r="CV150" s="1149"/>
      <c r="CW150" s="1149"/>
      <c r="CX150" s="1149"/>
      <c r="CY150" s="1149"/>
      <c r="CZ150" s="1150" t="str">
        <f>BEZ_Lohn_12_Kosten_Je_St</f>
        <v/>
      </c>
      <c r="DA150" s="1150"/>
      <c r="DB150" s="1150"/>
      <c r="DC150" s="1150"/>
      <c r="DD150" s="1150"/>
      <c r="DE150" s="1150"/>
      <c r="DF150" s="1150"/>
      <c r="DG150" s="1150"/>
      <c r="DH150" s="1150" t="str">
        <f>BEZ_Lohn_12_Kosten_Je_BA</f>
        <v/>
      </c>
      <c r="DI150" s="1150"/>
      <c r="DJ150" s="1150"/>
      <c r="DK150" s="1150"/>
      <c r="DL150" s="1150"/>
      <c r="DM150" s="1150"/>
      <c r="DN150" s="1150"/>
      <c r="DO150" s="1151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</row>
    <row r="151" spans="1:130" ht="7.5" customHeight="1" x14ac:dyDescent="0.15">
      <c r="A151" s="2"/>
      <c r="B151" s="2"/>
      <c r="C151" s="2"/>
      <c r="D151" s="2"/>
      <c r="E151" s="2"/>
      <c r="F151" s="2"/>
      <c r="G151" s="7"/>
      <c r="H151" s="7"/>
      <c r="I151" s="7"/>
      <c r="J151" s="7"/>
      <c r="K151" s="10"/>
      <c r="L151" s="1085">
        <v>13</v>
      </c>
      <c r="M151" s="1086"/>
      <c r="N151" s="1086"/>
      <c r="O151" s="1127">
        <f>IF(AS151=0,"",Lohn!CH41)</f>
        <v>10002939</v>
      </c>
      <c r="P151" s="1127"/>
      <c r="Q151" s="1127"/>
      <c r="R151" s="1127"/>
      <c r="S151" s="1127"/>
      <c r="T151" s="1139" t="str">
        <f>BEZ_Lohn_13_Arbeitsplatz</f>
        <v>Einlagerung Stapler, bis 2,5 t., incl. einem fachkundigem Mitarbeiter</v>
      </c>
      <c r="U151" s="1139"/>
      <c r="V151" s="1139"/>
      <c r="W151" s="1139"/>
      <c r="X151" s="1139"/>
      <c r="Y151" s="1139"/>
      <c r="Z151" s="1139"/>
      <c r="AA151" s="1139"/>
      <c r="AB151" s="1139"/>
      <c r="AC151" s="1139"/>
      <c r="AD151" s="1139"/>
      <c r="AE151" s="1139"/>
      <c r="AF151" s="1139"/>
      <c r="AG151" s="1139"/>
      <c r="AH151" s="1139"/>
      <c r="AI151" s="1139"/>
      <c r="AJ151" s="1139"/>
      <c r="AK151" s="1139"/>
      <c r="AL151" s="1139"/>
      <c r="AM151" s="1139"/>
      <c r="AN151" s="1139"/>
      <c r="AO151" s="1139"/>
      <c r="AP151" s="1139"/>
      <c r="AQ151" s="1139"/>
      <c r="AR151" s="1139"/>
      <c r="AS151" s="686">
        <f>BEZ_Lohn_13_MA_Anz</f>
        <v>1</v>
      </c>
      <c r="AT151" s="668"/>
      <c r="AU151" s="668"/>
      <c r="AV151" s="668"/>
      <c r="AW151" s="1140">
        <f>Lohn!CU41</f>
        <v>60</v>
      </c>
      <c r="AX151" s="1140"/>
      <c r="AY151" s="1140"/>
      <c r="AZ151" s="1140"/>
      <c r="BA151" s="1140"/>
      <c r="BB151" s="1140"/>
      <c r="BC151" s="1140"/>
      <c r="BD151" s="1140"/>
      <c r="BE151" s="1140"/>
      <c r="BF151" s="1140"/>
      <c r="BG151" s="1140"/>
      <c r="BH151" s="1152">
        <f>BEZ_Lohn_13_Ges_Zeit</f>
        <v>30</v>
      </c>
      <c r="BI151" s="1153"/>
      <c r="BJ151" s="1153"/>
      <c r="BK151" s="1153"/>
      <c r="BL151" s="1153"/>
      <c r="BM151" s="1153"/>
      <c r="BN151" s="1153"/>
      <c r="BO151" s="1153"/>
      <c r="BP151" s="1154">
        <f>BEZ_Lohn_13_Zeit_H</f>
        <v>0.5</v>
      </c>
      <c r="BQ151" s="1154"/>
      <c r="BR151" s="1154"/>
      <c r="BS151" s="1154"/>
      <c r="BT151" s="1154"/>
      <c r="BU151" s="1154"/>
      <c r="BV151" s="1152">
        <f>Lohn!DW41</f>
        <v>0</v>
      </c>
      <c r="BW151" s="1152"/>
      <c r="BX151" s="1152"/>
      <c r="BY151" s="1152"/>
      <c r="BZ151" s="1152"/>
      <c r="CA151" s="1152"/>
      <c r="CB151" s="1148">
        <f>BEZ_Lohn_13_Leist_je_Art</f>
        <v>30</v>
      </c>
      <c r="CC151" s="1148"/>
      <c r="CD151" s="1148"/>
      <c r="CE151" s="1148"/>
      <c r="CF151" s="1148"/>
      <c r="CG151" s="1148"/>
      <c r="CH151" s="1148"/>
      <c r="CI151" s="1148">
        <f>BEZ_Lohn_13_Bedarf_je_Art</f>
        <v>1</v>
      </c>
      <c r="CJ151" s="1148"/>
      <c r="CK151" s="1148"/>
      <c r="CL151" s="1148"/>
      <c r="CM151" s="1148"/>
      <c r="CN151" s="1148"/>
      <c r="CO151" s="1148"/>
      <c r="CP151" s="1148"/>
      <c r="CQ151" s="1148"/>
      <c r="CR151" s="1149">
        <f>BEZ_Lohn_13_Ges_Min_je_Art</f>
        <v>1</v>
      </c>
      <c r="CS151" s="1149"/>
      <c r="CT151" s="1149"/>
      <c r="CU151" s="1149"/>
      <c r="CV151" s="1149"/>
      <c r="CW151" s="1149"/>
      <c r="CX151" s="1149"/>
      <c r="CY151" s="1149"/>
      <c r="CZ151" s="1150">
        <f>BEZ_Lohn_13_Kosten_Je_St</f>
        <v>1</v>
      </c>
      <c r="DA151" s="1150"/>
      <c r="DB151" s="1150"/>
      <c r="DC151" s="1150"/>
      <c r="DD151" s="1150"/>
      <c r="DE151" s="1150"/>
      <c r="DF151" s="1150"/>
      <c r="DG151" s="1150"/>
      <c r="DH151" s="1150">
        <f>BEZ_Lohn_13_Kosten_Je_BA</f>
        <v>1</v>
      </c>
      <c r="DI151" s="1150"/>
      <c r="DJ151" s="1150"/>
      <c r="DK151" s="1150"/>
      <c r="DL151" s="1150"/>
      <c r="DM151" s="1150"/>
      <c r="DN151" s="1150"/>
      <c r="DO151" s="1151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</row>
    <row r="152" spans="1:130" ht="7.5" customHeight="1" x14ac:dyDescent="0.15">
      <c r="A152" s="2"/>
      <c r="B152" s="2"/>
      <c r="C152" s="2"/>
      <c r="D152" s="2"/>
      <c r="E152" s="2"/>
      <c r="F152" s="2"/>
      <c r="G152" s="7"/>
      <c r="H152" s="7"/>
      <c r="I152" s="7"/>
      <c r="J152" s="7"/>
      <c r="K152" s="10"/>
      <c r="L152" s="1085">
        <v>14</v>
      </c>
      <c r="M152" s="1086"/>
      <c r="N152" s="1086"/>
      <c r="O152" s="1127">
        <f>IF(AS152=0,"",Lohn!CH43)</f>
        <v>10002939</v>
      </c>
      <c r="P152" s="1127"/>
      <c r="Q152" s="1127"/>
      <c r="R152" s="1127"/>
      <c r="S152" s="1127"/>
      <c r="T152" s="1139" t="str">
        <f>BEZ_Lohn_14_Arbeitsplatz</f>
        <v>Auslagerung Stapler, bis 2,5 t., incl. einem fachkundigem Mitarbeiter</v>
      </c>
      <c r="U152" s="1139"/>
      <c r="V152" s="1139"/>
      <c r="W152" s="1139"/>
      <c r="X152" s="1139"/>
      <c r="Y152" s="1139"/>
      <c r="Z152" s="1139"/>
      <c r="AA152" s="1139"/>
      <c r="AB152" s="1139"/>
      <c r="AC152" s="1139"/>
      <c r="AD152" s="1139"/>
      <c r="AE152" s="1139"/>
      <c r="AF152" s="1139"/>
      <c r="AG152" s="1139"/>
      <c r="AH152" s="1139"/>
      <c r="AI152" s="1139"/>
      <c r="AJ152" s="1139"/>
      <c r="AK152" s="1139"/>
      <c r="AL152" s="1139"/>
      <c r="AM152" s="1139"/>
      <c r="AN152" s="1139"/>
      <c r="AO152" s="1139"/>
      <c r="AP152" s="1139"/>
      <c r="AQ152" s="1139"/>
      <c r="AR152" s="1139"/>
      <c r="AS152" s="686">
        <f>BEZ_Lohn_14_MA_Anz</f>
        <v>1</v>
      </c>
      <c r="AT152" s="668"/>
      <c r="AU152" s="668"/>
      <c r="AV152" s="668"/>
      <c r="AW152" s="1140">
        <f>Lohn!CU43</f>
        <v>60</v>
      </c>
      <c r="AX152" s="1140"/>
      <c r="AY152" s="1140"/>
      <c r="AZ152" s="1140"/>
      <c r="BA152" s="1140"/>
      <c r="BB152" s="1140"/>
      <c r="BC152" s="1140"/>
      <c r="BD152" s="1140"/>
      <c r="BE152" s="1140"/>
      <c r="BF152" s="1140"/>
      <c r="BG152" s="1140"/>
      <c r="BH152" s="1152">
        <f>BEZ_Lohn_14_Ges_Zeit</f>
        <v>30</v>
      </c>
      <c r="BI152" s="1153"/>
      <c r="BJ152" s="1153"/>
      <c r="BK152" s="1153"/>
      <c r="BL152" s="1153"/>
      <c r="BM152" s="1153"/>
      <c r="BN152" s="1153"/>
      <c r="BO152" s="1153"/>
      <c r="BP152" s="1154">
        <f>BEZ_Lohn_14_Zeit_H</f>
        <v>0.5</v>
      </c>
      <c r="BQ152" s="1154"/>
      <c r="BR152" s="1154"/>
      <c r="BS152" s="1154"/>
      <c r="BT152" s="1154"/>
      <c r="BU152" s="1154"/>
      <c r="BV152" s="1152">
        <f>Lohn!DW43</f>
        <v>0</v>
      </c>
      <c r="BW152" s="1152"/>
      <c r="BX152" s="1152"/>
      <c r="BY152" s="1152"/>
      <c r="BZ152" s="1152"/>
      <c r="CA152" s="1152"/>
      <c r="CB152" s="1148">
        <f>BEZ_Lohn_14_Leist_je_Art</f>
        <v>30</v>
      </c>
      <c r="CC152" s="1148"/>
      <c r="CD152" s="1148"/>
      <c r="CE152" s="1148"/>
      <c r="CF152" s="1148"/>
      <c r="CG152" s="1148"/>
      <c r="CH152" s="1148"/>
      <c r="CI152" s="1148">
        <f>BEZ_Lohn_14_Bedarf_je_Art</f>
        <v>1</v>
      </c>
      <c r="CJ152" s="1148"/>
      <c r="CK152" s="1148"/>
      <c r="CL152" s="1148"/>
      <c r="CM152" s="1148"/>
      <c r="CN152" s="1148"/>
      <c r="CO152" s="1148"/>
      <c r="CP152" s="1148"/>
      <c r="CQ152" s="1148"/>
      <c r="CR152" s="1149">
        <f>BEZ_Lohn_14_Ges_Min_je_Art</f>
        <v>1</v>
      </c>
      <c r="CS152" s="1149"/>
      <c r="CT152" s="1149"/>
      <c r="CU152" s="1149"/>
      <c r="CV152" s="1149"/>
      <c r="CW152" s="1149"/>
      <c r="CX152" s="1149"/>
      <c r="CY152" s="1149"/>
      <c r="CZ152" s="1150">
        <f>BEZ_Lohn_14_Kosten_Je_St</f>
        <v>1</v>
      </c>
      <c r="DA152" s="1150"/>
      <c r="DB152" s="1150"/>
      <c r="DC152" s="1150"/>
      <c r="DD152" s="1150"/>
      <c r="DE152" s="1150"/>
      <c r="DF152" s="1150"/>
      <c r="DG152" s="1150"/>
      <c r="DH152" s="1150">
        <f>BEZ_Lohn_14_Kosten_Je_BA</f>
        <v>1</v>
      </c>
      <c r="DI152" s="1150"/>
      <c r="DJ152" s="1150"/>
      <c r="DK152" s="1150"/>
      <c r="DL152" s="1150"/>
      <c r="DM152" s="1150"/>
      <c r="DN152" s="1150"/>
      <c r="DO152" s="1151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</row>
    <row r="153" spans="1:130" ht="7.5" customHeight="1" x14ac:dyDescent="0.15">
      <c r="A153" s="2"/>
      <c r="B153" s="2"/>
      <c r="C153" s="2"/>
      <c r="D153" s="2"/>
      <c r="E153" s="2"/>
      <c r="F153" s="2"/>
      <c r="G153" s="7"/>
      <c r="H153" s="7"/>
      <c r="I153" s="7"/>
      <c r="J153" s="7"/>
      <c r="K153" s="10"/>
      <c r="L153" s="1085">
        <v>15</v>
      </c>
      <c r="M153" s="1086"/>
      <c r="N153" s="1086"/>
      <c r="O153" s="1127" t="str">
        <f>IF(AS153=0,"",Lohn!CH45)</f>
        <v/>
      </c>
      <c r="P153" s="1127"/>
      <c r="Q153" s="1127"/>
      <c r="R153" s="1127"/>
      <c r="S153" s="1127"/>
      <c r="T153" s="1139">
        <f>BEZ_Lohn_15_Arbeitsplatz</f>
        <v>0</v>
      </c>
      <c r="U153" s="1139"/>
      <c r="V153" s="1139"/>
      <c r="W153" s="1139"/>
      <c r="X153" s="1139"/>
      <c r="Y153" s="1139"/>
      <c r="Z153" s="1139"/>
      <c r="AA153" s="1139"/>
      <c r="AB153" s="1139"/>
      <c r="AC153" s="1139"/>
      <c r="AD153" s="1139"/>
      <c r="AE153" s="1139"/>
      <c r="AF153" s="1139"/>
      <c r="AG153" s="1139"/>
      <c r="AH153" s="1139"/>
      <c r="AI153" s="1139"/>
      <c r="AJ153" s="1139"/>
      <c r="AK153" s="1139"/>
      <c r="AL153" s="1139"/>
      <c r="AM153" s="1139"/>
      <c r="AN153" s="1139"/>
      <c r="AO153" s="1139"/>
      <c r="AP153" s="1139"/>
      <c r="AQ153" s="1139"/>
      <c r="AR153" s="1139"/>
      <c r="AS153" s="686">
        <f>BEZ_Lohn_15_MA_Anz</f>
        <v>0</v>
      </c>
      <c r="AT153" s="668"/>
      <c r="AU153" s="668"/>
      <c r="AV153" s="668"/>
      <c r="AW153" s="1140">
        <f>Lohn!CU45</f>
        <v>0</v>
      </c>
      <c r="AX153" s="1140"/>
      <c r="AY153" s="1140"/>
      <c r="AZ153" s="1140"/>
      <c r="BA153" s="1140"/>
      <c r="BB153" s="1140"/>
      <c r="BC153" s="1140"/>
      <c r="BD153" s="1140"/>
      <c r="BE153" s="1140"/>
      <c r="BF153" s="1140"/>
      <c r="BG153" s="1140"/>
      <c r="BH153" s="1152">
        <f>BEZ_Lohn_15_Ges_Zeit</f>
        <v>0</v>
      </c>
      <c r="BI153" s="1153"/>
      <c r="BJ153" s="1153"/>
      <c r="BK153" s="1153"/>
      <c r="BL153" s="1153"/>
      <c r="BM153" s="1153"/>
      <c r="BN153" s="1153"/>
      <c r="BO153" s="1153"/>
      <c r="BP153" s="1154">
        <f>BEZ_Lohn_15_Zeit_H</f>
        <v>0</v>
      </c>
      <c r="BQ153" s="1154"/>
      <c r="BR153" s="1154"/>
      <c r="BS153" s="1154"/>
      <c r="BT153" s="1154"/>
      <c r="BU153" s="1154"/>
      <c r="BV153" s="1152">
        <f>Lohn!DW45</f>
        <v>0</v>
      </c>
      <c r="BW153" s="1152"/>
      <c r="BX153" s="1152"/>
      <c r="BY153" s="1152"/>
      <c r="BZ153" s="1152"/>
      <c r="CA153" s="1152"/>
      <c r="CB153" s="1148">
        <f>BEZ_Lohn_15_Leist_je_Art</f>
        <v>0</v>
      </c>
      <c r="CC153" s="1148"/>
      <c r="CD153" s="1148"/>
      <c r="CE153" s="1148"/>
      <c r="CF153" s="1148"/>
      <c r="CG153" s="1148"/>
      <c r="CH153" s="1148"/>
      <c r="CI153" s="1148">
        <f>BEZ_Lohn_15_Bedarf_je_Art</f>
        <v>0</v>
      </c>
      <c r="CJ153" s="1148"/>
      <c r="CK153" s="1148"/>
      <c r="CL153" s="1148"/>
      <c r="CM153" s="1148"/>
      <c r="CN153" s="1148"/>
      <c r="CO153" s="1148"/>
      <c r="CP153" s="1148"/>
      <c r="CQ153" s="1148"/>
      <c r="CR153" s="1149" t="str">
        <f>BEZ_Lohn_15_Ges_Min_je_Art</f>
        <v/>
      </c>
      <c r="CS153" s="1149"/>
      <c r="CT153" s="1149"/>
      <c r="CU153" s="1149"/>
      <c r="CV153" s="1149"/>
      <c r="CW153" s="1149"/>
      <c r="CX153" s="1149"/>
      <c r="CY153" s="1149"/>
      <c r="CZ153" s="1150" t="str">
        <f>BEZ_Lohn_15_Kosten_Je_St</f>
        <v/>
      </c>
      <c r="DA153" s="1150"/>
      <c r="DB153" s="1150"/>
      <c r="DC153" s="1150"/>
      <c r="DD153" s="1150"/>
      <c r="DE153" s="1150"/>
      <c r="DF153" s="1150"/>
      <c r="DG153" s="1150"/>
      <c r="DH153" s="1150" t="str">
        <f>BEZ_Lohn_15_Kosten_Je_BA</f>
        <v/>
      </c>
      <c r="DI153" s="1150"/>
      <c r="DJ153" s="1150"/>
      <c r="DK153" s="1150"/>
      <c r="DL153" s="1150"/>
      <c r="DM153" s="1150"/>
      <c r="DN153" s="1150"/>
      <c r="DO153" s="1151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</row>
    <row r="154" spans="1:130" ht="7.5" customHeight="1" x14ac:dyDescent="0.15">
      <c r="A154" s="2"/>
      <c r="B154" s="2"/>
      <c r="C154" s="2"/>
      <c r="D154" s="2"/>
      <c r="E154" s="2"/>
      <c r="F154" s="2"/>
      <c r="G154" s="7"/>
      <c r="H154" s="7"/>
      <c r="I154" s="7"/>
      <c r="J154" s="7"/>
      <c r="K154" s="10"/>
      <c r="L154" s="1085">
        <v>16</v>
      </c>
      <c r="M154" s="1086"/>
      <c r="N154" s="1086"/>
      <c r="O154" s="1127" t="str">
        <f>IF(AS154=0,"",Lohn!CH47)</f>
        <v/>
      </c>
      <c r="P154" s="1127"/>
      <c r="Q154" s="1127"/>
      <c r="R154" s="1127"/>
      <c r="S154" s="1127"/>
      <c r="T154" s="1139">
        <f>BEZ_Lohn_16_Arbeitsplatz</f>
        <v>0</v>
      </c>
      <c r="U154" s="1139"/>
      <c r="V154" s="1139"/>
      <c r="W154" s="1139"/>
      <c r="X154" s="1139"/>
      <c r="Y154" s="1139"/>
      <c r="Z154" s="1139"/>
      <c r="AA154" s="1139"/>
      <c r="AB154" s="1139"/>
      <c r="AC154" s="1139"/>
      <c r="AD154" s="1139"/>
      <c r="AE154" s="1139"/>
      <c r="AF154" s="1139"/>
      <c r="AG154" s="1139"/>
      <c r="AH154" s="1139"/>
      <c r="AI154" s="1139"/>
      <c r="AJ154" s="1139"/>
      <c r="AK154" s="1139"/>
      <c r="AL154" s="1139"/>
      <c r="AM154" s="1139"/>
      <c r="AN154" s="1139"/>
      <c r="AO154" s="1139"/>
      <c r="AP154" s="1139"/>
      <c r="AQ154" s="1139"/>
      <c r="AR154" s="1139"/>
      <c r="AS154" s="686">
        <f>BEZ_Lohn_16_MA_Anz</f>
        <v>0</v>
      </c>
      <c r="AT154" s="668"/>
      <c r="AU154" s="668"/>
      <c r="AV154" s="668"/>
      <c r="AW154" s="1140">
        <f>Lohn!CU47</f>
        <v>0</v>
      </c>
      <c r="AX154" s="1140"/>
      <c r="AY154" s="1140"/>
      <c r="AZ154" s="1140"/>
      <c r="BA154" s="1140"/>
      <c r="BB154" s="1140"/>
      <c r="BC154" s="1140"/>
      <c r="BD154" s="1140"/>
      <c r="BE154" s="1140"/>
      <c r="BF154" s="1140"/>
      <c r="BG154" s="1140"/>
      <c r="BH154" s="1152">
        <f>BEZ_Lohn_16_Ges_Zeit</f>
        <v>0</v>
      </c>
      <c r="BI154" s="1153"/>
      <c r="BJ154" s="1153"/>
      <c r="BK154" s="1153"/>
      <c r="BL154" s="1153"/>
      <c r="BM154" s="1153"/>
      <c r="BN154" s="1153"/>
      <c r="BO154" s="1153"/>
      <c r="BP154" s="1154">
        <f>BEZ_Lohn_16_Zeit_H</f>
        <v>0</v>
      </c>
      <c r="BQ154" s="1154"/>
      <c r="BR154" s="1154"/>
      <c r="BS154" s="1154"/>
      <c r="BT154" s="1154"/>
      <c r="BU154" s="1154"/>
      <c r="BV154" s="1152">
        <f>Lohn!DW47</f>
        <v>0</v>
      </c>
      <c r="BW154" s="1152"/>
      <c r="BX154" s="1152"/>
      <c r="BY154" s="1152"/>
      <c r="BZ154" s="1152"/>
      <c r="CA154" s="1152"/>
      <c r="CB154" s="1148">
        <f>BEZ_Lohn_16_Leist_je_Art</f>
        <v>0</v>
      </c>
      <c r="CC154" s="1148"/>
      <c r="CD154" s="1148"/>
      <c r="CE154" s="1148"/>
      <c r="CF154" s="1148"/>
      <c r="CG154" s="1148"/>
      <c r="CH154" s="1148"/>
      <c r="CI154" s="1148">
        <f>BEZ_Lohn_16_Bedarf_je_Art</f>
        <v>0</v>
      </c>
      <c r="CJ154" s="1148"/>
      <c r="CK154" s="1148"/>
      <c r="CL154" s="1148"/>
      <c r="CM154" s="1148"/>
      <c r="CN154" s="1148"/>
      <c r="CO154" s="1148"/>
      <c r="CP154" s="1148"/>
      <c r="CQ154" s="1148"/>
      <c r="CR154" s="1149" t="str">
        <f>BEZ_Lohn_16_Ges_Min_je_Art</f>
        <v/>
      </c>
      <c r="CS154" s="1149"/>
      <c r="CT154" s="1149"/>
      <c r="CU154" s="1149"/>
      <c r="CV154" s="1149"/>
      <c r="CW154" s="1149"/>
      <c r="CX154" s="1149"/>
      <c r="CY154" s="1149"/>
      <c r="CZ154" s="1150" t="str">
        <f>BEZ_Lohn_16_Kosten_Je_St</f>
        <v/>
      </c>
      <c r="DA154" s="1150"/>
      <c r="DB154" s="1150"/>
      <c r="DC154" s="1150"/>
      <c r="DD154" s="1150"/>
      <c r="DE154" s="1150"/>
      <c r="DF154" s="1150"/>
      <c r="DG154" s="1150"/>
      <c r="DH154" s="1150" t="str">
        <f>BEZ_Lohn_16_Kosten_Je_BA</f>
        <v/>
      </c>
      <c r="DI154" s="1150"/>
      <c r="DJ154" s="1150"/>
      <c r="DK154" s="1150"/>
      <c r="DL154" s="1150"/>
      <c r="DM154" s="1150"/>
      <c r="DN154" s="1150"/>
      <c r="DO154" s="1151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</row>
    <row r="155" spans="1:130" ht="7.5" customHeight="1" x14ac:dyDescent="0.15">
      <c r="A155" s="2"/>
      <c r="B155" s="2"/>
      <c r="C155" s="2"/>
      <c r="D155" s="2"/>
      <c r="E155" s="2"/>
      <c r="F155" s="2"/>
      <c r="G155" s="7"/>
      <c r="H155" s="7"/>
      <c r="I155" s="7"/>
      <c r="J155" s="7"/>
      <c r="K155" s="10"/>
      <c r="L155" s="1085">
        <v>17</v>
      </c>
      <c r="M155" s="1086"/>
      <c r="N155" s="1086"/>
      <c r="O155" s="1127" t="str">
        <f>IF(AS155=0,"",Lohn!CH49)</f>
        <v/>
      </c>
      <c r="P155" s="1127"/>
      <c r="Q155" s="1127"/>
      <c r="R155" s="1127"/>
      <c r="S155" s="1127"/>
      <c r="T155" s="1139">
        <f>BEZ_Lohn_17_Arbeitsplatz</f>
        <v>0</v>
      </c>
      <c r="U155" s="1139"/>
      <c r="V155" s="1139"/>
      <c r="W155" s="1139"/>
      <c r="X155" s="1139"/>
      <c r="Y155" s="1139"/>
      <c r="Z155" s="1139"/>
      <c r="AA155" s="1139"/>
      <c r="AB155" s="1139"/>
      <c r="AC155" s="1139"/>
      <c r="AD155" s="1139"/>
      <c r="AE155" s="1139"/>
      <c r="AF155" s="1139"/>
      <c r="AG155" s="1139"/>
      <c r="AH155" s="1139"/>
      <c r="AI155" s="1139"/>
      <c r="AJ155" s="1139"/>
      <c r="AK155" s="1139"/>
      <c r="AL155" s="1139"/>
      <c r="AM155" s="1139"/>
      <c r="AN155" s="1139"/>
      <c r="AO155" s="1139"/>
      <c r="AP155" s="1139"/>
      <c r="AQ155" s="1139"/>
      <c r="AR155" s="1139"/>
      <c r="AS155" s="686">
        <f>BEZ_Lohn_17_MA_Anz</f>
        <v>0</v>
      </c>
      <c r="AT155" s="668"/>
      <c r="AU155" s="668"/>
      <c r="AV155" s="668"/>
      <c r="AW155" s="1140">
        <f>Lohn!CU49</f>
        <v>0</v>
      </c>
      <c r="AX155" s="1140"/>
      <c r="AY155" s="1140"/>
      <c r="AZ155" s="1140"/>
      <c r="BA155" s="1140"/>
      <c r="BB155" s="1140"/>
      <c r="BC155" s="1140"/>
      <c r="BD155" s="1140"/>
      <c r="BE155" s="1140"/>
      <c r="BF155" s="1140"/>
      <c r="BG155" s="1140"/>
      <c r="BH155" s="1152">
        <f>BEZ_Lohn_17_Ges_Zeit</f>
        <v>0</v>
      </c>
      <c r="BI155" s="1153"/>
      <c r="BJ155" s="1153"/>
      <c r="BK155" s="1153"/>
      <c r="BL155" s="1153"/>
      <c r="BM155" s="1153"/>
      <c r="BN155" s="1153"/>
      <c r="BO155" s="1153"/>
      <c r="BP155" s="1154">
        <f>BEZ_Lohn_17_Zeit_H</f>
        <v>0</v>
      </c>
      <c r="BQ155" s="1154"/>
      <c r="BR155" s="1154"/>
      <c r="BS155" s="1154"/>
      <c r="BT155" s="1154"/>
      <c r="BU155" s="1154"/>
      <c r="BV155" s="1152">
        <f>Lohn!DW49</f>
        <v>0</v>
      </c>
      <c r="BW155" s="1152"/>
      <c r="BX155" s="1152"/>
      <c r="BY155" s="1152"/>
      <c r="BZ155" s="1152"/>
      <c r="CA155" s="1152"/>
      <c r="CB155" s="1148">
        <f>BEZ_Lohn_17_Leist_je_Art</f>
        <v>0</v>
      </c>
      <c r="CC155" s="1148"/>
      <c r="CD155" s="1148"/>
      <c r="CE155" s="1148"/>
      <c r="CF155" s="1148"/>
      <c r="CG155" s="1148"/>
      <c r="CH155" s="1148"/>
      <c r="CI155" s="1148">
        <f>BEZ_Lohn_17_Bedarf_je_Art</f>
        <v>0</v>
      </c>
      <c r="CJ155" s="1148"/>
      <c r="CK155" s="1148"/>
      <c r="CL155" s="1148"/>
      <c r="CM155" s="1148"/>
      <c r="CN155" s="1148"/>
      <c r="CO155" s="1148"/>
      <c r="CP155" s="1148"/>
      <c r="CQ155" s="1148"/>
      <c r="CR155" s="1149" t="str">
        <f>BEZ_Lohn_17_Ges_Min_je_Art</f>
        <v/>
      </c>
      <c r="CS155" s="1149"/>
      <c r="CT155" s="1149"/>
      <c r="CU155" s="1149"/>
      <c r="CV155" s="1149"/>
      <c r="CW155" s="1149"/>
      <c r="CX155" s="1149"/>
      <c r="CY155" s="1149"/>
      <c r="CZ155" s="1150" t="str">
        <f>BEZ_Lohn_17_Kosten_Je_St</f>
        <v/>
      </c>
      <c r="DA155" s="1150"/>
      <c r="DB155" s="1150"/>
      <c r="DC155" s="1150"/>
      <c r="DD155" s="1150"/>
      <c r="DE155" s="1150"/>
      <c r="DF155" s="1150"/>
      <c r="DG155" s="1150"/>
      <c r="DH155" s="1150" t="str">
        <f>BEZ_Lohn_17_Kosten_Je_BA</f>
        <v/>
      </c>
      <c r="DI155" s="1150"/>
      <c r="DJ155" s="1150"/>
      <c r="DK155" s="1150"/>
      <c r="DL155" s="1150"/>
      <c r="DM155" s="1150"/>
      <c r="DN155" s="1150"/>
      <c r="DO155" s="1151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</row>
    <row r="156" spans="1:130" ht="7.5" customHeight="1" x14ac:dyDescent="0.15">
      <c r="A156" s="2"/>
      <c r="B156" s="2"/>
      <c r="C156" s="2"/>
      <c r="D156" s="2"/>
      <c r="E156" s="2"/>
      <c r="F156" s="2"/>
      <c r="G156" s="7"/>
      <c r="H156" s="7"/>
      <c r="I156" s="7"/>
      <c r="J156" s="7"/>
      <c r="K156" s="10"/>
      <c r="L156" s="1085">
        <v>18</v>
      </c>
      <c r="M156" s="1086"/>
      <c r="N156" s="1086"/>
      <c r="O156" s="1127">
        <f>IF(AS156=0,"",Lohn!CH51)</f>
        <v>10002947</v>
      </c>
      <c r="P156" s="1127"/>
      <c r="Q156" s="1127"/>
      <c r="R156" s="1127"/>
      <c r="S156" s="1127"/>
      <c r="T156" s="1139" t="str">
        <f>BEZ_Lohn_18_Arbeitsplatz</f>
        <v>LKW- Zug oder Sattel</v>
      </c>
      <c r="U156" s="1139"/>
      <c r="V156" s="1139"/>
      <c r="W156" s="1139"/>
      <c r="X156" s="1139"/>
      <c r="Y156" s="1139"/>
      <c r="Z156" s="1139"/>
      <c r="AA156" s="1139"/>
      <c r="AB156" s="1139"/>
      <c r="AC156" s="1139"/>
      <c r="AD156" s="1139"/>
      <c r="AE156" s="1139"/>
      <c r="AF156" s="1139"/>
      <c r="AG156" s="1139"/>
      <c r="AH156" s="1139"/>
      <c r="AI156" s="1139"/>
      <c r="AJ156" s="1139"/>
      <c r="AK156" s="1139"/>
      <c r="AL156" s="1139"/>
      <c r="AM156" s="1139"/>
      <c r="AN156" s="1139"/>
      <c r="AO156" s="1139"/>
      <c r="AP156" s="1139"/>
      <c r="AQ156" s="1139"/>
      <c r="AR156" s="1139"/>
      <c r="AS156" s="686">
        <f>BEZ_Lohn_18_MA_Anz</f>
        <v>1</v>
      </c>
      <c r="AT156" s="668"/>
      <c r="AU156" s="668"/>
      <c r="AV156" s="668"/>
      <c r="AW156" s="1140">
        <f>Lohn!CU51</f>
        <v>90</v>
      </c>
      <c r="AX156" s="1140"/>
      <c r="AY156" s="1140"/>
      <c r="AZ156" s="1140"/>
      <c r="BA156" s="1140"/>
      <c r="BB156" s="1140"/>
      <c r="BC156" s="1140"/>
      <c r="BD156" s="1140"/>
      <c r="BE156" s="1140"/>
      <c r="BF156" s="1140"/>
      <c r="BG156" s="1140"/>
      <c r="BH156" s="1152">
        <f>BEZ_Lohn_18_Ges_Zeit</f>
        <v>90</v>
      </c>
      <c r="BI156" s="1153"/>
      <c r="BJ156" s="1153"/>
      <c r="BK156" s="1153"/>
      <c r="BL156" s="1153"/>
      <c r="BM156" s="1153"/>
      <c r="BN156" s="1153"/>
      <c r="BO156" s="1153"/>
      <c r="BP156" s="1154">
        <f>BEZ_Lohn_18_Zeit_H</f>
        <v>1.5</v>
      </c>
      <c r="BQ156" s="1154"/>
      <c r="BR156" s="1154"/>
      <c r="BS156" s="1154"/>
      <c r="BT156" s="1154"/>
      <c r="BU156" s="1154"/>
      <c r="BV156" s="1152">
        <f>Lohn!DW51</f>
        <v>0</v>
      </c>
      <c r="BW156" s="1152"/>
      <c r="BX156" s="1152"/>
      <c r="BY156" s="1152"/>
      <c r="BZ156" s="1152"/>
      <c r="CA156" s="1152"/>
      <c r="CB156" s="1148">
        <f>BEZ_Lohn_18_Leist_je_Art</f>
        <v>30</v>
      </c>
      <c r="CC156" s="1148"/>
      <c r="CD156" s="1148"/>
      <c r="CE156" s="1148"/>
      <c r="CF156" s="1148"/>
      <c r="CG156" s="1148"/>
      <c r="CH156" s="1148"/>
      <c r="CI156" s="1148">
        <f>BEZ_Lohn_18_Bedarf_je_Art</f>
        <v>1</v>
      </c>
      <c r="CJ156" s="1148"/>
      <c r="CK156" s="1148"/>
      <c r="CL156" s="1148"/>
      <c r="CM156" s="1148"/>
      <c r="CN156" s="1148"/>
      <c r="CO156" s="1148"/>
      <c r="CP156" s="1148"/>
      <c r="CQ156" s="1148"/>
      <c r="CR156" s="1149">
        <f>BEZ_Lohn_18_Ges_Min_je_Art</f>
        <v>3</v>
      </c>
      <c r="CS156" s="1149"/>
      <c r="CT156" s="1149"/>
      <c r="CU156" s="1149"/>
      <c r="CV156" s="1149"/>
      <c r="CW156" s="1149"/>
      <c r="CX156" s="1149"/>
      <c r="CY156" s="1149"/>
      <c r="CZ156" s="1150">
        <f>BEZ_Lohn_18_Kosten_Je_St</f>
        <v>4.5</v>
      </c>
      <c r="DA156" s="1150"/>
      <c r="DB156" s="1150"/>
      <c r="DC156" s="1150"/>
      <c r="DD156" s="1150"/>
      <c r="DE156" s="1150"/>
      <c r="DF156" s="1150"/>
      <c r="DG156" s="1150"/>
      <c r="DH156" s="1150">
        <f>BEZ_Lohn_18_Kosten_Je_BA</f>
        <v>4.5</v>
      </c>
      <c r="DI156" s="1150"/>
      <c r="DJ156" s="1150"/>
      <c r="DK156" s="1150"/>
      <c r="DL156" s="1150"/>
      <c r="DM156" s="1150"/>
      <c r="DN156" s="1150"/>
      <c r="DO156" s="1151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</row>
    <row r="157" spans="1:130" ht="7.5" customHeight="1" x14ac:dyDescent="0.15">
      <c r="A157" s="2"/>
      <c r="B157" s="2"/>
      <c r="C157" s="2"/>
      <c r="D157" s="2"/>
      <c r="E157" s="2"/>
      <c r="F157" s="2"/>
      <c r="G157" s="7"/>
      <c r="H157" s="7"/>
      <c r="I157" s="7"/>
      <c r="J157" s="7"/>
      <c r="K157" s="10"/>
      <c r="L157" s="1085">
        <v>19</v>
      </c>
      <c r="M157" s="1086"/>
      <c r="N157" s="1086"/>
      <c r="O157" s="1127" t="str">
        <f>IF(AS157=0,"",Lohn!CH53)</f>
        <v/>
      </c>
      <c r="P157" s="1127"/>
      <c r="Q157" s="1127"/>
      <c r="R157" s="1127"/>
      <c r="S157" s="1127"/>
      <c r="T157" s="1139">
        <f>BEZ_Lohn_19_Arbeitsplatz</f>
        <v>0</v>
      </c>
      <c r="U157" s="1139"/>
      <c r="V157" s="1139"/>
      <c r="W157" s="1139"/>
      <c r="X157" s="1139"/>
      <c r="Y157" s="1139"/>
      <c r="Z157" s="1139"/>
      <c r="AA157" s="1139"/>
      <c r="AB157" s="1139"/>
      <c r="AC157" s="1139"/>
      <c r="AD157" s="1139"/>
      <c r="AE157" s="1139"/>
      <c r="AF157" s="1139"/>
      <c r="AG157" s="1139"/>
      <c r="AH157" s="1139"/>
      <c r="AI157" s="1139"/>
      <c r="AJ157" s="1139"/>
      <c r="AK157" s="1139"/>
      <c r="AL157" s="1139"/>
      <c r="AM157" s="1139"/>
      <c r="AN157" s="1139"/>
      <c r="AO157" s="1139"/>
      <c r="AP157" s="1139"/>
      <c r="AQ157" s="1139"/>
      <c r="AR157" s="1139"/>
      <c r="AS157" s="686">
        <f>BEZ_Lohn_19_MA_Anz</f>
        <v>0</v>
      </c>
      <c r="AT157" s="668"/>
      <c r="AU157" s="668"/>
      <c r="AV157" s="668"/>
      <c r="AW157" s="1140">
        <f>Lohn!CU53</f>
        <v>0</v>
      </c>
      <c r="AX157" s="1140"/>
      <c r="AY157" s="1140"/>
      <c r="AZ157" s="1140"/>
      <c r="BA157" s="1140"/>
      <c r="BB157" s="1140"/>
      <c r="BC157" s="1140"/>
      <c r="BD157" s="1140"/>
      <c r="BE157" s="1140"/>
      <c r="BF157" s="1140"/>
      <c r="BG157" s="1140"/>
      <c r="BH157" s="1152">
        <f>BEZ_Lohn_19_Ges_Zeit</f>
        <v>0</v>
      </c>
      <c r="BI157" s="1153"/>
      <c r="BJ157" s="1153"/>
      <c r="BK157" s="1153"/>
      <c r="BL157" s="1153"/>
      <c r="BM157" s="1153"/>
      <c r="BN157" s="1153"/>
      <c r="BO157" s="1153"/>
      <c r="BP157" s="1154">
        <f>BEZ_Lohn_19_Zeit_H</f>
        <v>0</v>
      </c>
      <c r="BQ157" s="1154"/>
      <c r="BR157" s="1154"/>
      <c r="BS157" s="1154"/>
      <c r="BT157" s="1154"/>
      <c r="BU157" s="1154"/>
      <c r="BV157" s="1152">
        <f>Lohn!DW53</f>
        <v>0</v>
      </c>
      <c r="BW157" s="1152"/>
      <c r="BX157" s="1152"/>
      <c r="BY157" s="1152"/>
      <c r="BZ157" s="1152"/>
      <c r="CA157" s="1152"/>
      <c r="CB157" s="1148">
        <f>BEZ_Lohn_19_Leist_je_Art</f>
        <v>0</v>
      </c>
      <c r="CC157" s="1148"/>
      <c r="CD157" s="1148"/>
      <c r="CE157" s="1148"/>
      <c r="CF157" s="1148"/>
      <c r="CG157" s="1148"/>
      <c r="CH157" s="1148"/>
      <c r="CI157" s="1148">
        <f>BEZ_Lohn_19_Bedarf_je_Art</f>
        <v>0</v>
      </c>
      <c r="CJ157" s="1148"/>
      <c r="CK157" s="1148"/>
      <c r="CL157" s="1148"/>
      <c r="CM157" s="1148"/>
      <c r="CN157" s="1148"/>
      <c r="CO157" s="1148"/>
      <c r="CP157" s="1148"/>
      <c r="CQ157" s="1148"/>
      <c r="CR157" s="1149" t="str">
        <f>BEZ_Lohn_19_Ges_Min_je_Art</f>
        <v/>
      </c>
      <c r="CS157" s="1149"/>
      <c r="CT157" s="1149"/>
      <c r="CU157" s="1149"/>
      <c r="CV157" s="1149"/>
      <c r="CW157" s="1149"/>
      <c r="CX157" s="1149"/>
      <c r="CY157" s="1149"/>
      <c r="CZ157" s="1150" t="str">
        <f>BEZ_Lohn_19_Kosten_Je_St</f>
        <v/>
      </c>
      <c r="DA157" s="1150"/>
      <c r="DB157" s="1150"/>
      <c r="DC157" s="1150"/>
      <c r="DD157" s="1150"/>
      <c r="DE157" s="1150"/>
      <c r="DF157" s="1150"/>
      <c r="DG157" s="1150"/>
      <c r="DH157" s="1150" t="str">
        <f>BEZ_Lohn_19_Kosten_Je_BA</f>
        <v/>
      </c>
      <c r="DI157" s="1150"/>
      <c r="DJ157" s="1150"/>
      <c r="DK157" s="1150"/>
      <c r="DL157" s="1150"/>
      <c r="DM157" s="1150"/>
      <c r="DN157" s="1150"/>
      <c r="DO157" s="1151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</row>
    <row r="158" spans="1:130" ht="7.5" customHeight="1" x14ac:dyDescent="0.15">
      <c r="A158" s="2"/>
      <c r="B158" s="2"/>
      <c r="C158" s="2"/>
      <c r="D158" s="2"/>
      <c r="E158" s="2"/>
      <c r="F158" s="2"/>
      <c r="G158" s="7"/>
      <c r="H158" s="7"/>
      <c r="I158" s="7"/>
      <c r="J158" s="7"/>
      <c r="K158" s="10"/>
      <c r="L158" s="1085">
        <v>20</v>
      </c>
      <c r="M158" s="1086"/>
      <c r="N158" s="1086"/>
      <c r="O158" s="1127" t="str">
        <f>IF(AS158=0,"",Lohn!CH55)</f>
        <v/>
      </c>
      <c r="P158" s="1127"/>
      <c r="Q158" s="1127"/>
      <c r="R158" s="1127"/>
      <c r="S158" s="1127"/>
      <c r="T158" s="1139">
        <f>BEZ_Lohn_20_Arbeitsplatz</f>
        <v>0</v>
      </c>
      <c r="U158" s="1139"/>
      <c r="V158" s="1139"/>
      <c r="W158" s="1139"/>
      <c r="X158" s="1139"/>
      <c r="Y158" s="1139"/>
      <c r="Z158" s="1139"/>
      <c r="AA158" s="1139"/>
      <c r="AB158" s="1139"/>
      <c r="AC158" s="1139"/>
      <c r="AD158" s="1139"/>
      <c r="AE158" s="1139"/>
      <c r="AF158" s="1139"/>
      <c r="AG158" s="1139"/>
      <c r="AH158" s="1139"/>
      <c r="AI158" s="1139"/>
      <c r="AJ158" s="1139"/>
      <c r="AK158" s="1139"/>
      <c r="AL158" s="1139"/>
      <c r="AM158" s="1139"/>
      <c r="AN158" s="1139"/>
      <c r="AO158" s="1139"/>
      <c r="AP158" s="1139"/>
      <c r="AQ158" s="1139"/>
      <c r="AR158" s="1139"/>
      <c r="AS158" s="686">
        <f>BEZ_Lohn_20_MA_Anz</f>
        <v>0</v>
      </c>
      <c r="AT158" s="668"/>
      <c r="AU158" s="668"/>
      <c r="AV158" s="668"/>
      <c r="AW158" s="1140">
        <f>Lohn!CU55</f>
        <v>0</v>
      </c>
      <c r="AX158" s="1140"/>
      <c r="AY158" s="1140"/>
      <c r="AZ158" s="1140"/>
      <c r="BA158" s="1140"/>
      <c r="BB158" s="1140"/>
      <c r="BC158" s="1140"/>
      <c r="BD158" s="1140"/>
      <c r="BE158" s="1140"/>
      <c r="BF158" s="1140"/>
      <c r="BG158" s="1140"/>
      <c r="BH158" s="1152">
        <f>BEZ_Lohn_20_Ges_Zeit</f>
        <v>0</v>
      </c>
      <c r="BI158" s="1153"/>
      <c r="BJ158" s="1153"/>
      <c r="BK158" s="1153"/>
      <c r="BL158" s="1153"/>
      <c r="BM158" s="1153"/>
      <c r="BN158" s="1153"/>
      <c r="BO158" s="1153"/>
      <c r="BP158" s="1154">
        <f>BEZ_Lohn_20_Zeit_H</f>
        <v>0</v>
      </c>
      <c r="BQ158" s="1154"/>
      <c r="BR158" s="1154"/>
      <c r="BS158" s="1154"/>
      <c r="BT158" s="1154"/>
      <c r="BU158" s="1154"/>
      <c r="BV158" s="1152">
        <f>Lohn!DW55</f>
        <v>0</v>
      </c>
      <c r="BW158" s="1152"/>
      <c r="BX158" s="1152"/>
      <c r="BY158" s="1152"/>
      <c r="BZ158" s="1152"/>
      <c r="CA158" s="1152"/>
      <c r="CB158" s="1148">
        <f>BEZ_Lohn_20_Leist_je_Art</f>
        <v>0</v>
      </c>
      <c r="CC158" s="1148"/>
      <c r="CD158" s="1148"/>
      <c r="CE158" s="1148"/>
      <c r="CF158" s="1148"/>
      <c r="CG158" s="1148"/>
      <c r="CH158" s="1148"/>
      <c r="CI158" s="1148">
        <f>BEZ_Lohn_20_Bedarf_je_Art</f>
        <v>0</v>
      </c>
      <c r="CJ158" s="1148"/>
      <c r="CK158" s="1148"/>
      <c r="CL158" s="1148"/>
      <c r="CM158" s="1148"/>
      <c r="CN158" s="1148"/>
      <c r="CO158" s="1148"/>
      <c r="CP158" s="1148"/>
      <c r="CQ158" s="1148"/>
      <c r="CR158" s="1149" t="str">
        <f>BEZ_Lohn_20_Ges_Min_je_Art</f>
        <v/>
      </c>
      <c r="CS158" s="1149"/>
      <c r="CT158" s="1149"/>
      <c r="CU158" s="1149"/>
      <c r="CV158" s="1149"/>
      <c r="CW158" s="1149"/>
      <c r="CX158" s="1149"/>
      <c r="CY158" s="1149"/>
      <c r="CZ158" s="1150" t="str">
        <f>BEZ_Lohn_20_Kosten_Je_St</f>
        <v/>
      </c>
      <c r="DA158" s="1150"/>
      <c r="DB158" s="1150"/>
      <c r="DC158" s="1150"/>
      <c r="DD158" s="1150"/>
      <c r="DE158" s="1150"/>
      <c r="DF158" s="1150"/>
      <c r="DG158" s="1150"/>
      <c r="DH158" s="1150" t="str">
        <f>BEZ_Lohn_20_Kosten_Je_BA</f>
        <v/>
      </c>
      <c r="DI158" s="1150"/>
      <c r="DJ158" s="1150"/>
      <c r="DK158" s="1150"/>
      <c r="DL158" s="1150"/>
      <c r="DM158" s="1150"/>
      <c r="DN158" s="1150"/>
      <c r="DO158" s="1151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</row>
    <row r="159" spans="1:130" ht="7.5" customHeight="1" x14ac:dyDescent="0.15">
      <c r="A159" s="2"/>
      <c r="B159" s="2"/>
      <c r="C159" s="2"/>
      <c r="D159" s="2"/>
      <c r="E159" s="2"/>
      <c r="F159" s="2"/>
      <c r="G159" s="7"/>
      <c r="H159" s="7"/>
      <c r="I159" s="7"/>
      <c r="J159" s="7"/>
      <c r="K159" s="10"/>
      <c r="L159" s="1085">
        <v>21</v>
      </c>
      <c r="M159" s="1086"/>
      <c r="N159" s="1086"/>
      <c r="O159" s="1127" t="str">
        <f>IF(AS159=0,"",Lohn!CH57)</f>
        <v/>
      </c>
      <c r="P159" s="1127"/>
      <c r="Q159" s="1127"/>
      <c r="R159" s="1127"/>
      <c r="S159" s="1127"/>
      <c r="T159" s="1139">
        <f>BEZ_Lohn_21_Arbeitsplatz</f>
        <v>0</v>
      </c>
      <c r="U159" s="1139"/>
      <c r="V159" s="1139"/>
      <c r="W159" s="1139"/>
      <c r="X159" s="1139"/>
      <c r="Y159" s="1139"/>
      <c r="Z159" s="1139"/>
      <c r="AA159" s="1139"/>
      <c r="AB159" s="1139"/>
      <c r="AC159" s="1139"/>
      <c r="AD159" s="1139"/>
      <c r="AE159" s="1139"/>
      <c r="AF159" s="1139"/>
      <c r="AG159" s="1139"/>
      <c r="AH159" s="1139"/>
      <c r="AI159" s="1139"/>
      <c r="AJ159" s="1139"/>
      <c r="AK159" s="1139"/>
      <c r="AL159" s="1139"/>
      <c r="AM159" s="1139"/>
      <c r="AN159" s="1139"/>
      <c r="AO159" s="1139"/>
      <c r="AP159" s="1139"/>
      <c r="AQ159" s="1139"/>
      <c r="AR159" s="1139"/>
      <c r="AS159" s="686">
        <f>BEZ_Lohn_21_MA_Anz</f>
        <v>0</v>
      </c>
      <c r="AT159" s="668"/>
      <c r="AU159" s="668"/>
      <c r="AV159" s="668"/>
      <c r="AW159" s="1140">
        <f>Lohn!CU57</f>
        <v>0</v>
      </c>
      <c r="AX159" s="1140"/>
      <c r="AY159" s="1140"/>
      <c r="AZ159" s="1140"/>
      <c r="BA159" s="1140"/>
      <c r="BB159" s="1140"/>
      <c r="BC159" s="1140"/>
      <c r="BD159" s="1140"/>
      <c r="BE159" s="1140"/>
      <c r="BF159" s="1140"/>
      <c r="BG159" s="1140"/>
      <c r="BH159" s="1152">
        <f>BEZ_Lohn_21_Ges_Zeit</f>
        <v>0</v>
      </c>
      <c r="BI159" s="1153"/>
      <c r="BJ159" s="1153"/>
      <c r="BK159" s="1153"/>
      <c r="BL159" s="1153"/>
      <c r="BM159" s="1153"/>
      <c r="BN159" s="1153"/>
      <c r="BO159" s="1153"/>
      <c r="BP159" s="1154">
        <f>BEZ_Lohn_21_Zeit_H</f>
        <v>0</v>
      </c>
      <c r="BQ159" s="1154"/>
      <c r="BR159" s="1154"/>
      <c r="BS159" s="1154"/>
      <c r="BT159" s="1154"/>
      <c r="BU159" s="1154"/>
      <c r="BV159" s="1152">
        <f>Lohn!DW57</f>
        <v>0</v>
      </c>
      <c r="BW159" s="1152"/>
      <c r="BX159" s="1152"/>
      <c r="BY159" s="1152"/>
      <c r="BZ159" s="1152"/>
      <c r="CA159" s="1152"/>
      <c r="CB159" s="1148">
        <f>BEZ_Lohn_21_Leist_je_Art</f>
        <v>0</v>
      </c>
      <c r="CC159" s="1148"/>
      <c r="CD159" s="1148"/>
      <c r="CE159" s="1148"/>
      <c r="CF159" s="1148"/>
      <c r="CG159" s="1148"/>
      <c r="CH159" s="1148"/>
      <c r="CI159" s="1148">
        <f>BEZ_Lohn_21_Bedarf_je_Art</f>
        <v>0</v>
      </c>
      <c r="CJ159" s="1148"/>
      <c r="CK159" s="1148"/>
      <c r="CL159" s="1148"/>
      <c r="CM159" s="1148"/>
      <c r="CN159" s="1148"/>
      <c r="CO159" s="1148"/>
      <c r="CP159" s="1148"/>
      <c r="CQ159" s="1148"/>
      <c r="CR159" s="1149" t="str">
        <f>BEZ_Lohn_21_Ges_Min_je_Art</f>
        <v/>
      </c>
      <c r="CS159" s="1149"/>
      <c r="CT159" s="1149"/>
      <c r="CU159" s="1149"/>
      <c r="CV159" s="1149"/>
      <c r="CW159" s="1149"/>
      <c r="CX159" s="1149"/>
      <c r="CY159" s="1149"/>
      <c r="CZ159" s="1150" t="str">
        <f>BEZ_Lohn_21_Kosten_Je_St</f>
        <v/>
      </c>
      <c r="DA159" s="1150"/>
      <c r="DB159" s="1150"/>
      <c r="DC159" s="1150"/>
      <c r="DD159" s="1150"/>
      <c r="DE159" s="1150"/>
      <c r="DF159" s="1150"/>
      <c r="DG159" s="1150"/>
      <c r="DH159" s="1150" t="str">
        <f>BEZ_Lohn_21_Kosten_Je_BA</f>
        <v/>
      </c>
      <c r="DI159" s="1150"/>
      <c r="DJ159" s="1150"/>
      <c r="DK159" s="1150"/>
      <c r="DL159" s="1150"/>
      <c r="DM159" s="1150"/>
      <c r="DN159" s="1150"/>
      <c r="DO159" s="1151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</row>
    <row r="160" spans="1:130" ht="7.5" customHeight="1" x14ac:dyDescent="0.15">
      <c r="A160" s="2"/>
      <c r="B160" s="2"/>
      <c r="C160" s="2"/>
      <c r="D160" s="2"/>
      <c r="E160" s="2"/>
      <c r="F160" s="2"/>
      <c r="G160" s="7"/>
      <c r="H160" s="7"/>
      <c r="I160" s="7"/>
      <c r="J160" s="7"/>
      <c r="K160" s="10"/>
      <c r="L160" s="1085">
        <v>22</v>
      </c>
      <c r="M160" s="1086"/>
      <c r="N160" s="1086"/>
      <c r="O160" s="1127" t="str">
        <f>IF(AS160=0,"",Lohn!CH59)</f>
        <v/>
      </c>
      <c r="P160" s="1127"/>
      <c r="Q160" s="1127"/>
      <c r="R160" s="1127"/>
      <c r="S160" s="1127"/>
      <c r="T160" s="1139">
        <f>BEZ_Lohn_22_Arbeitsplatz</f>
        <v>0</v>
      </c>
      <c r="U160" s="1139"/>
      <c r="V160" s="1139"/>
      <c r="W160" s="1139"/>
      <c r="X160" s="1139"/>
      <c r="Y160" s="1139"/>
      <c r="Z160" s="1139"/>
      <c r="AA160" s="1139"/>
      <c r="AB160" s="1139"/>
      <c r="AC160" s="1139"/>
      <c r="AD160" s="1139"/>
      <c r="AE160" s="1139"/>
      <c r="AF160" s="1139"/>
      <c r="AG160" s="1139"/>
      <c r="AH160" s="1139"/>
      <c r="AI160" s="1139"/>
      <c r="AJ160" s="1139"/>
      <c r="AK160" s="1139"/>
      <c r="AL160" s="1139"/>
      <c r="AM160" s="1139"/>
      <c r="AN160" s="1139"/>
      <c r="AO160" s="1139"/>
      <c r="AP160" s="1139"/>
      <c r="AQ160" s="1139"/>
      <c r="AR160" s="1139"/>
      <c r="AS160" s="686">
        <f>BEZ_Lohn_22_MA_Anz</f>
        <v>0</v>
      </c>
      <c r="AT160" s="668"/>
      <c r="AU160" s="668"/>
      <c r="AV160" s="668"/>
      <c r="AW160" s="1140">
        <f>Lohn!CU59</f>
        <v>0</v>
      </c>
      <c r="AX160" s="1140"/>
      <c r="AY160" s="1140"/>
      <c r="AZ160" s="1140"/>
      <c r="BA160" s="1140"/>
      <c r="BB160" s="1140"/>
      <c r="BC160" s="1140"/>
      <c r="BD160" s="1140"/>
      <c r="BE160" s="1140"/>
      <c r="BF160" s="1140"/>
      <c r="BG160" s="1140"/>
      <c r="BH160" s="1152">
        <f>BEZ_Lohn_22_Ges_Zeit</f>
        <v>0</v>
      </c>
      <c r="BI160" s="1153"/>
      <c r="BJ160" s="1153"/>
      <c r="BK160" s="1153"/>
      <c r="BL160" s="1153"/>
      <c r="BM160" s="1153"/>
      <c r="BN160" s="1153"/>
      <c r="BO160" s="1153"/>
      <c r="BP160" s="1154">
        <f>BEZ_Lohn_22_Zeit_H</f>
        <v>0</v>
      </c>
      <c r="BQ160" s="1154"/>
      <c r="BR160" s="1154"/>
      <c r="BS160" s="1154"/>
      <c r="BT160" s="1154"/>
      <c r="BU160" s="1154"/>
      <c r="BV160" s="1152">
        <f>Lohn!DW59</f>
        <v>0</v>
      </c>
      <c r="BW160" s="1152"/>
      <c r="BX160" s="1152"/>
      <c r="BY160" s="1152"/>
      <c r="BZ160" s="1152"/>
      <c r="CA160" s="1152"/>
      <c r="CB160" s="1148">
        <f>BEZ_Lohn_22_Leist_je_Art</f>
        <v>0</v>
      </c>
      <c r="CC160" s="1148"/>
      <c r="CD160" s="1148"/>
      <c r="CE160" s="1148"/>
      <c r="CF160" s="1148"/>
      <c r="CG160" s="1148"/>
      <c r="CH160" s="1148"/>
      <c r="CI160" s="1148">
        <f>BEZ_Lohn_22_Bedarf_je_Art</f>
        <v>0</v>
      </c>
      <c r="CJ160" s="1148"/>
      <c r="CK160" s="1148"/>
      <c r="CL160" s="1148"/>
      <c r="CM160" s="1148"/>
      <c r="CN160" s="1148"/>
      <c r="CO160" s="1148"/>
      <c r="CP160" s="1148"/>
      <c r="CQ160" s="1148"/>
      <c r="CR160" s="1149" t="str">
        <f>BEZ_Lohn_22_Ges_Min_je_Art</f>
        <v/>
      </c>
      <c r="CS160" s="1149"/>
      <c r="CT160" s="1149"/>
      <c r="CU160" s="1149"/>
      <c r="CV160" s="1149"/>
      <c r="CW160" s="1149"/>
      <c r="CX160" s="1149"/>
      <c r="CY160" s="1149"/>
      <c r="CZ160" s="1150" t="str">
        <f>BEZ_Lohn_22_Kosten_Je_St</f>
        <v/>
      </c>
      <c r="DA160" s="1150"/>
      <c r="DB160" s="1150"/>
      <c r="DC160" s="1150"/>
      <c r="DD160" s="1150"/>
      <c r="DE160" s="1150"/>
      <c r="DF160" s="1150"/>
      <c r="DG160" s="1150"/>
      <c r="DH160" s="1150" t="str">
        <f>BEZ_Lohn_22_Kosten_Je_BA</f>
        <v/>
      </c>
      <c r="DI160" s="1150"/>
      <c r="DJ160" s="1150"/>
      <c r="DK160" s="1150"/>
      <c r="DL160" s="1150"/>
      <c r="DM160" s="1150"/>
      <c r="DN160" s="1150"/>
      <c r="DO160" s="1151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</row>
    <row r="161" spans="1:130" ht="7.5" customHeight="1" x14ac:dyDescent="0.15">
      <c r="A161" s="2"/>
      <c r="B161" s="2"/>
      <c r="C161" s="2"/>
      <c r="D161" s="2"/>
      <c r="E161" s="2"/>
      <c r="F161" s="2"/>
      <c r="G161" s="7"/>
      <c r="H161" s="7"/>
      <c r="I161" s="7"/>
      <c r="J161" s="7"/>
      <c r="K161" s="10"/>
      <c r="L161" s="1085">
        <v>23</v>
      </c>
      <c r="M161" s="1086"/>
      <c r="N161" s="1086"/>
      <c r="O161" s="1127" t="str">
        <f>IF(AS161=0,"",Lohn!CH61)</f>
        <v/>
      </c>
      <c r="P161" s="1127"/>
      <c r="Q161" s="1127"/>
      <c r="R161" s="1127"/>
      <c r="S161" s="1127"/>
      <c r="T161" s="1139">
        <f>BEZ_Lohn_23_Arbeitsplatz</f>
        <v>0</v>
      </c>
      <c r="U161" s="1139"/>
      <c r="V161" s="1139"/>
      <c r="W161" s="1139"/>
      <c r="X161" s="1139"/>
      <c r="Y161" s="1139"/>
      <c r="Z161" s="1139"/>
      <c r="AA161" s="1139"/>
      <c r="AB161" s="1139"/>
      <c r="AC161" s="1139"/>
      <c r="AD161" s="1139"/>
      <c r="AE161" s="1139"/>
      <c r="AF161" s="1139"/>
      <c r="AG161" s="1139"/>
      <c r="AH161" s="1139"/>
      <c r="AI161" s="1139"/>
      <c r="AJ161" s="1139"/>
      <c r="AK161" s="1139"/>
      <c r="AL161" s="1139"/>
      <c r="AM161" s="1139"/>
      <c r="AN161" s="1139"/>
      <c r="AO161" s="1139"/>
      <c r="AP161" s="1139"/>
      <c r="AQ161" s="1139"/>
      <c r="AR161" s="1139"/>
      <c r="AS161" s="686">
        <f>BEZ_Lohn_23_MA_Anz</f>
        <v>0</v>
      </c>
      <c r="AT161" s="668"/>
      <c r="AU161" s="668"/>
      <c r="AV161" s="668"/>
      <c r="AW161" s="1140">
        <f>Lohn!CU61</f>
        <v>0</v>
      </c>
      <c r="AX161" s="1140"/>
      <c r="AY161" s="1140"/>
      <c r="AZ161" s="1140"/>
      <c r="BA161" s="1140"/>
      <c r="BB161" s="1140"/>
      <c r="BC161" s="1140"/>
      <c r="BD161" s="1140"/>
      <c r="BE161" s="1140"/>
      <c r="BF161" s="1140"/>
      <c r="BG161" s="1140"/>
      <c r="BH161" s="1152">
        <f>BEZ_Lohn_23_Ges_Zeit</f>
        <v>0</v>
      </c>
      <c r="BI161" s="1153"/>
      <c r="BJ161" s="1153"/>
      <c r="BK161" s="1153"/>
      <c r="BL161" s="1153"/>
      <c r="BM161" s="1153"/>
      <c r="BN161" s="1153"/>
      <c r="BO161" s="1153"/>
      <c r="BP161" s="1154">
        <f>BEZ_Lohn_23_Zeit_H</f>
        <v>0</v>
      </c>
      <c r="BQ161" s="1154"/>
      <c r="BR161" s="1154"/>
      <c r="BS161" s="1154"/>
      <c r="BT161" s="1154"/>
      <c r="BU161" s="1154"/>
      <c r="BV161" s="1152">
        <f>Lohn!DW61</f>
        <v>0</v>
      </c>
      <c r="BW161" s="1152"/>
      <c r="BX161" s="1152"/>
      <c r="BY161" s="1152"/>
      <c r="BZ161" s="1152"/>
      <c r="CA161" s="1152"/>
      <c r="CB161" s="1148">
        <f>BEZ_Lohn_23_Leist_je_Art</f>
        <v>0</v>
      </c>
      <c r="CC161" s="1148"/>
      <c r="CD161" s="1148"/>
      <c r="CE161" s="1148"/>
      <c r="CF161" s="1148"/>
      <c r="CG161" s="1148"/>
      <c r="CH161" s="1148"/>
      <c r="CI161" s="1148">
        <f>BEZ_Lohn_23_Bedarf_je_Art</f>
        <v>0</v>
      </c>
      <c r="CJ161" s="1148"/>
      <c r="CK161" s="1148"/>
      <c r="CL161" s="1148"/>
      <c r="CM161" s="1148"/>
      <c r="CN161" s="1148"/>
      <c r="CO161" s="1148"/>
      <c r="CP161" s="1148"/>
      <c r="CQ161" s="1148"/>
      <c r="CR161" s="1149" t="str">
        <f>BEZ_Lohn_23_Ges_Min_je_Art</f>
        <v/>
      </c>
      <c r="CS161" s="1149"/>
      <c r="CT161" s="1149"/>
      <c r="CU161" s="1149"/>
      <c r="CV161" s="1149"/>
      <c r="CW161" s="1149"/>
      <c r="CX161" s="1149"/>
      <c r="CY161" s="1149"/>
      <c r="CZ161" s="1150" t="str">
        <f>BEZ_Lohn_23_Kosten_Je_St</f>
        <v/>
      </c>
      <c r="DA161" s="1150"/>
      <c r="DB161" s="1150"/>
      <c r="DC161" s="1150"/>
      <c r="DD161" s="1150"/>
      <c r="DE161" s="1150"/>
      <c r="DF161" s="1150"/>
      <c r="DG161" s="1150"/>
      <c r="DH161" s="1150" t="str">
        <f>BEZ_Lohn_23_Kosten_Je_BA</f>
        <v/>
      </c>
      <c r="DI161" s="1150"/>
      <c r="DJ161" s="1150"/>
      <c r="DK161" s="1150"/>
      <c r="DL161" s="1150"/>
      <c r="DM161" s="1150"/>
      <c r="DN161" s="1150"/>
      <c r="DO161" s="1151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</row>
    <row r="162" spans="1:130" ht="7.5" customHeight="1" x14ac:dyDescent="0.15">
      <c r="A162" s="2"/>
      <c r="B162" s="2"/>
      <c r="C162" s="2"/>
      <c r="D162" s="2"/>
      <c r="E162" s="2"/>
      <c r="F162" s="2"/>
      <c r="G162" s="7"/>
      <c r="H162" s="7"/>
      <c r="I162" s="7"/>
      <c r="J162" s="7"/>
      <c r="K162" s="10"/>
      <c r="L162" s="1085">
        <v>24</v>
      </c>
      <c r="M162" s="1086"/>
      <c r="N162" s="1086"/>
      <c r="O162" s="1127" t="str">
        <f>IF(AS162=0,"",Lohn!CH63)</f>
        <v/>
      </c>
      <c r="P162" s="1127"/>
      <c r="Q162" s="1127"/>
      <c r="R162" s="1127"/>
      <c r="S162" s="1127"/>
      <c r="T162" s="1139">
        <f>BEZ_Lohn_24_Arbeitsplatz</f>
        <v>0</v>
      </c>
      <c r="U162" s="1139"/>
      <c r="V162" s="1139"/>
      <c r="W162" s="1139"/>
      <c r="X162" s="1139"/>
      <c r="Y162" s="1139"/>
      <c r="Z162" s="1139"/>
      <c r="AA162" s="1139"/>
      <c r="AB162" s="1139"/>
      <c r="AC162" s="1139"/>
      <c r="AD162" s="1139"/>
      <c r="AE162" s="1139"/>
      <c r="AF162" s="1139"/>
      <c r="AG162" s="1139"/>
      <c r="AH162" s="1139"/>
      <c r="AI162" s="1139"/>
      <c r="AJ162" s="1139"/>
      <c r="AK162" s="1139"/>
      <c r="AL162" s="1139"/>
      <c r="AM162" s="1139"/>
      <c r="AN162" s="1139"/>
      <c r="AO162" s="1139"/>
      <c r="AP162" s="1139"/>
      <c r="AQ162" s="1139"/>
      <c r="AR162" s="1139"/>
      <c r="AS162" s="686">
        <f>BEZ_Lohn_24_MA_Anz</f>
        <v>0</v>
      </c>
      <c r="AT162" s="668"/>
      <c r="AU162" s="668"/>
      <c r="AV162" s="668"/>
      <c r="AW162" s="1140">
        <f>Lohn!CU63</f>
        <v>0</v>
      </c>
      <c r="AX162" s="1140"/>
      <c r="AY162" s="1140"/>
      <c r="AZ162" s="1140"/>
      <c r="BA162" s="1140"/>
      <c r="BB162" s="1140"/>
      <c r="BC162" s="1140"/>
      <c r="BD162" s="1140"/>
      <c r="BE162" s="1140"/>
      <c r="BF162" s="1140"/>
      <c r="BG162" s="1140"/>
      <c r="BH162" s="1152">
        <f>BEZ_Lohn_24_Ges_Zeit</f>
        <v>0</v>
      </c>
      <c r="BI162" s="1153"/>
      <c r="BJ162" s="1153"/>
      <c r="BK162" s="1153"/>
      <c r="BL162" s="1153"/>
      <c r="BM162" s="1153"/>
      <c r="BN162" s="1153"/>
      <c r="BO162" s="1153"/>
      <c r="BP162" s="1154">
        <f>BEZ_Lohn_24_Zeit_H</f>
        <v>0</v>
      </c>
      <c r="BQ162" s="1154"/>
      <c r="BR162" s="1154"/>
      <c r="BS162" s="1154"/>
      <c r="BT162" s="1154"/>
      <c r="BU162" s="1154"/>
      <c r="BV162" s="1152">
        <f>Lohn!DW63</f>
        <v>0</v>
      </c>
      <c r="BW162" s="1152"/>
      <c r="BX162" s="1152"/>
      <c r="BY162" s="1152"/>
      <c r="BZ162" s="1152"/>
      <c r="CA162" s="1152"/>
      <c r="CB162" s="1148">
        <f>BEZ_Lohn_24_Leist_je_Art</f>
        <v>0</v>
      </c>
      <c r="CC162" s="1148"/>
      <c r="CD162" s="1148"/>
      <c r="CE162" s="1148"/>
      <c r="CF162" s="1148"/>
      <c r="CG162" s="1148"/>
      <c r="CH162" s="1148"/>
      <c r="CI162" s="1148">
        <f>BEZ_Lohn_24_Bedarf_je_Art</f>
        <v>0</v>
      </c>
      <c r="CJ162" s="1148"/>
      <c r="CK162" s="1148"/>
      <c r="CL162" s="1148"/>
      <c r="CM162" s="1148"/>
      <c r="CN162" s="1148"/>
      <c r="CO162" s="1148"/>
      <c r="CP162" s="1148"/>
      <c r="CQ162" s="1148"/>
      <c r="CR162" s="1149" t="str">
        <f>BEZ_Lohn_24_Ges_Min_je_Art</f>
        <v/>
      </c>
      <c r="CS162" s="1149"/>
      <c r="CT162" s="1149"/>
      <c r="CU162" s="1149"/>
      <c r="CV162" s="1149"/>
      <c r="CW162" s="1149"/>
      <c r="CX162" s="1149"/>
      <c r="CY162" s="1149"/>
      <c r="CZ162" s="1150" t="str">
        <f>BEZ_Lohn_24_Kosten_Je_St</f>
        <v/>
      </c>
      <c r="DA162" s="1150"/>
      <c r="DB162" s="1150"/>
      <c r="DC162" s="1150"/>
      <c r="DD162" s="1150"/>
      <c r="DE162" s="1150"/>
      <c r="DF162" s="1150"/>
      <c r="DG162" s="1150"/>
      <c r="DH162" s="1150" t="str">
        <f>BEZ_Lohn_24_Kosten_Je_BA</f>
        <v/>
      </c>
      <c r="DI162" s="1150"/>
      <c r="DJ162" s="1150"/>
      <c r="DK162" s="1150"/>
      <c r="DL162" s="1150"/>
      <c r="DM162" s="1150"/>
      <c r="DN162" s="1150"/>
      <c r="DO162" s="1151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</row>
    <row r="163" spans="1:130" ht="7.5" customHeight="1" x14ac:dyDescent="0.15">
      <c r="A163" s="2"/>
      <c r="B163" s="2"/>
      <c r="C163" s="2"/>
      <c r="D163" s="2"/>
      <c r="E163" s="2"/>
      <c r="F163" s="2"/>
      <c r="G163" s="7"/>
      <c r="H163" s="7"/>
      <c r="I163" s="7"/>
      <c r="J163" s="7"/>
      <c r="K163" s="10"/>
      <c r="L163" s="1085">
        <v>25</v>
      </c>
      <c r="M163" s="1086"/>
      <c r="N163" s="1086"/>
      <c r="O163" s="1127" t="str">
        <f>IF(AS163=0,"",Lohn!CH65)</f>
        <v/>
      </c>
      <c r="P163" s="1127"/>
      <c r="Q163" s="1127"/>
      <c r="R163" s="1127"/>
      <c r="S163" s="1127"/>
      <c r="T163" s="1139">
        <f>BEZ_Lohn_25_Arbeitsplatz</f>
        <v>0</v>
      </c>
      <c r="U163" s="1139"/>
      <c r="V163" s="1139"/>
      <c r="W163" s="1139"/>
      <c r="X163" s="1139"/>
      <c r="Y163" s="1139"/>
      <c r="Z163" s="1139"/>
      <c r="AA163" s="1139"/>
      <c r="AB163" s="1139"/>
      <c r="AC163" s="1139"/>
      <c r="AD163" s="1139"/>
      <c r="AE163" s="1139"/>
      <c r="AF163" s="1139"/>
      <c r="AG163" s="1139"/>
      <c r="AH163" s="1139"/>
      <c r="AI163" s="1139"/>
      <c r="AJ163" s="1139"/>
      <c r="AK163" s="1139"/>
      <c r="AL163" s="1139"/>
      <c r="AM163" s="1139"/>
      <c r="AN163" s="1139"/>
      <c r="AO163" s="1139"/>
      <c r="AP163" s="1139"/>
      <c r="AQ163" s="1139"/>
      <c r="AR163" s="1139"/>
      <c r="AS163" s="686">
        <f>BEZ_Lohn_25_MA_Anz</f>
        <v>0</v>
      </c>
      <c r="AT163" s="668"/>
      <c r="AU163" s="668"/>
      <c r="AV163" s="668"/>
      <c r="AW163" s="1140">
        <f>Lohn!CU65</f>
        <v>0</v>
      </c>
      <c r="AX163" s="1140"/>
      <c r="AY163" s="1140"/>
      <c r="AZ163" s="1140"/>
      <c r="BA163" s="1140"/>
      <c r="BB163" s="1140"/>
      <c r="BC163" s="1140"/>
      <c r="BD163" s="1140"/>
      <c r="BE163" s="1140"/>
      <c r="BF163" s="1140"/>
      <c r="BG163" s="1140"/>
      <c r="BH163" s="1152">
        <f>BEZ_Lohn_25_Ges_Zeit</f>
        <v>0</v>
      </c>
      <c r="BI163" s="1153"/>
      <c r="BJ163" s="1153"/>
      <c r="BK163" s="1153"/>
      <c r="BL163" s="1153"/>
      <c r="BM163" s="1153"/>
      <c r="BN163" s="1153"/>
      <c r="BO163" s="1153"/>
      <c r="BP163" s="1154">
        <f>BEZ_Lohn_25_Zeit_H</f>
        <v>0</v>
      </c>
      <c r="BQ163" s="1154"/>
      <c r="BR163" s="1154"/>
      <c r="BS163" s="1154"/>
      <c r="BT163" s="1154"/>
      <c r="BU163" s="1154"/>
      <c r="BV163" s="1152">
        <f>Lohn!DW65</f>
        <v>0</v>
      </c>
      <c r="BW163" s="1152"/>
      <c r="BX163" s="1152"/>
      <c r="BY163" s="1152"/>
      <c r="BZ163" s="1152"/>
      <c r="CA163" s="1152"/>
      <c r="CB163" s="1148">
        <f>BEZ_Lohn_25_Leist_je_Art</f>
        <v>0</v>
      </c>
      <c r="CC163" s="1148"/>
      <c r="CD163" s="1148"/>
      <c r="CE163" s="1148"/>
      <c r="CF163" s="1148"/>
      <c r="CG163" s="1148"/>
      <c r="CH163" s="1148"/>
      <c r="CI163" s="1148">
        <f>BEZ_Lohn_25_Bedarf_je_Art</f>
        <v>0</v>
      </c>
      <c r="CJ163" s="1148"/>
      <c r="CK163" s="1148"/>
      <c r="CL163" s="1148"/>
      <c r="CM163" s="1148"/>
      <c r="CN163" s="1148"/>
      <c r="CO163" s="1148"/>
      <c r="CP163" s="1148"/>
      <c r="CQ163" s="1148"/>
      <c r="CR163" s="1149" t="str">
        <f>BEZ_Lohn_25_Ges_Min_je_Art</f>
        <v/>
      </c>
      <c r="CS163" s="1149"/>
      <c r="CT163" s="1149"/>
      <c r="CU163" s="1149"/>
      <c r="CV163" s="1149"/>
      <c r="CW163" s="1149"/>
      <c r="CX163" s="1149"/>
      <c r="CY163" s="1149"/>
      <c r="CZ163" s="1150" t="str">
        <f>BEZ_Lohn_25_Kosten_Je_St</f>
        <v/>
      </c>
      <c r="DA163" s="1150"/>
      <c r="DB163" s="1150"/>
      <c r="DC163" s="1150"/>
      <c r="DD163" s="1150"/>
      <c r="DE163" s="1150"/>
      <c r="DF163" s="1150"/>
      <c r="DG163" s="1150"/>
      <c r="DH163" s="1150" t="str">
        <f>BEZ_Lohn_25_Kosten_Je_BA</f>
        <v/>
      </c>
      <c r="DI163" s="1150"/>
      <c r="DJ163" s="1150"/>
      <c r="DK163" s="1150"/>
      <c r="DL163" s="1150"/>
      <c r="DM163" s="1150"/>
      <c r="DN163" s="1150"/>
      <c r="DO163" s="1151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</row>
    <row r="164" spans="1:130" ht="7.5" customHeight="1" x14ac:dyDescent="0.15">
      <c r="A164" s="2"/>
      <c r="B164" s="2"/>
      <c r="C164" s="2"/>
      <c r="D164" s="2"/>
      <c r="E164" s="2"/>
      <c r="F164" s="2"/>
      <c r="G164" s="7"/>
      <c r="H164" s="7"/>
      <c r="I164" s="7"/>
      <c r="J164" s="7"/>
      <c r="K164" s="10"/>
      <c r="L164" s="1085">
        <v>26</v>
      </c>
      <c r="M164" s="1086"/>
      <c r="N164" s="1086"/>
      <c r="O164" s="1127" t="str">
        <f>IF(AS164=0,"",Lohn!CH67)</f>
        <v/>
      </c>
      <c r="P164" s="1127"/>
      <c r="Q164" s="1127"/>
      <c r="R164" s="1127"/>
      <c r="S164" s="1127"/>
      <c r="T164" s="1139">
        <f>BEZ_Lohn_26_Arbeitsplatz</f>
        <v>0</v>
      </c>
      <c r="U164" s="1139"/>
      <c r="V164" s="1139"/>
      <c r="W164" s="1139"/>
      <c r="X164" s="1139"/>
      <c r="Y164" s="1139"/>
      <c r="Z164" s="1139"/>
      <c r="AA164" s="1139"/>
      <c r="AB164" s="1139"/>
      <c r="AC164" s="1139"/>
      <c r="AD164" s="1139"/>
      <c r="AE164" s="1139"/>
      <c r="AF164" s="1139"/>
      <c r="AG164" s="1139"/>
      <c r="AH164" s="1139"/>
      <c r="AI164" s="1139"/>
      <c r="AJ164" s="1139"/>
      <c r="AK164" s="1139"/>
      <c r="AL164" s="1139"/>
      <c r="AM164" s="1139"/>
      <c r="AN164" s="1139"/>
      <c r="AO164" s="1139"/>
      <c r="AP164" s="1139"/>
      <c r="AQ164" s="1139"/>
      <c r="AR164" s="1139"/>
      <c r="AS164" s="686">
        <f>BEZ_Lohn_26_MA_Anz</f>
        <v>0</v>
      </c>
      <c r="AT164" s="668"/>
      <c r="AU164" s="668"/>
      <c r="AV164" s="668"/>
      <c r="AW164" s="1140">
        <f>Lohn!CU67</f>
        <v>0</v>
      </c>
      <c r="AX164" s="1140"/>
      <c r="AY164" s="1140"/>
      <c r="AZ164" s="1140"/>
      <c r="BA164" s="1140"/>
      <c r="BB164" s="1140"/>
      <c r="BC164" s="1140"/>
      <c r="BD164" s="1140"/>
      <c r="BE164" s="1140"/>
      <c r="BF164" s="1140"/>
      <c r="BG164" s="1140"/>
      <c r="BH164" s="1152">
        <f>BEZ_Lohn_26_Ges_Zeit</f>
        <v>0</v>
      </c>
      <c r="BI164" s="1153"/>
      <c r="BJ164" s="1153"/>
      <c r="BK164" s="1153"/>
      <c r="BL164" s="1153"/>
      <c r="BM164" s="1153"/>
      <c r="BN164" s="1153"/>
      <c r="BO164" s="1153"/>
      <c r="BP164" s="1154">
        <f>BEZ_Lohn_26_Zeit_H</f>
        <v>0</v>
      </c>
      <c r="BQ164" s="1154"/>
      <c r="BR164" s="1154"/>
      <c r="BS164" s="1154"/>
      <c r="BT164" s="1154"/>
      <c r="BU164" s="1154"/>
      <c r="BV164" s="1152">
        <f>Lohn!DW67</f>
        <v>0</v>
      </c>
      <c r="BW164" s="1152"/>
      <c r="BX164" s="1152"/>
      <c r="BY164" s="1152"/>
      <c r="BZ164" s="1152"/>
      <c r="CA164" s="1152"/>
      <c r="CB164" s="1148">
        <f>BEZ_Lohn_26_Leist_je_Art</f>
        <v>0</v>
      </c>
      <c r="CC164" s="1148"/>
      <c r="CD164" s="1148"/>
      <c r="CE164" s="1148"/>
      <c r="CF164" s="1148"/>
      <c r="CG164" s="1148"/>
      <c r="CH164" s="1148"/>
      <c r="CI164" s="1148">
        <f>BEZ_Lohn_26_Bedarf_je_Art</f>
        <v>0</v>
      </c>
      <c r="CJ164" s="1148"/>
      <c r="CK164" s="1148"/>
      <c r="CL164" s="1148"/>
      <c r="CM164" s="1148"/>
      <c r="CN164" s="1148"/>
      <c r="CO164" s="1148"/>
      <c r="CP164" s="1148"/>
      <c r="CQ164" s="1148"/>
      <c r="CR164" s="1149" t="str">
        <f>BEZ_Lohn_26_Ges_Min_je_Art</f>
        <v/>
      </c>
      <c r="CS164" s="1149"/>
      <c r="CT164" s="1149"/>
      <c r="CU164" s="1149"/>
      <c r="CV164" s="1149"/>
      <c r="CW164" s="1149"/>
      <c r="CX164" s="1149"/>
      <c r="CY164" s="1149"/>
      <c r="CZ164" s="1150" t="str">
        <f>BEZ_Lohn_26_Kosten_Je_St</f>
        <v/>
      </c>
      <c r="DA164" s="1150"/>
      <c r="DB164" s="1150"/>
      <c r="DC164" s="1150"/>
      <c r="DD164" s="1150"/>
      <c r="DE164" s="1150"/>
      <c r="DF164" s="1150"/>
      <c r="DG164" s="1150"/>
      <c r="DH164" s="1150" t="str">
        <f>BEZ_Lohn_26_Kosten_Je_BA</f>
        <v/>
      </c>
      <c r="DI164" s="1150"/>
      <c r="DJ164" s="1150"/>
      <c r="DK164" s="1150"/>
      <c r="DL164" s="1150"/>
      <c r="DM164" s="1150"/>
      <c r="DN164" s="1150"/>
      <c r="DO164" s="1151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</row>
    <row r="165" spans="1:130" ht="7.5" hidden="1" customHeight="1" x14ac:dyDescent="0.15">
      <c r="A165" s="2"/>
      <c r="B165" s="2"/>
      <c r="C165" s="2"/>
      <c r="D165" s="2"/>
      <c r="E165" s="2"/>
      <c r="F165" s="2"/>
      <c r="G165" s="7"/>
      <c r="H165" s="7"/>
      <c r="I165" s="7"/>
      <c r="J165" s="7"/>
      <c r="K165" s="10"/>
      <c r="L165" s="1155">
        <v>27</v>
      </c>
      <c r="M165" s="1155"/>
      <c r="N165" s="1155"/>
      <c r="O165" s="1156" t="str">
        <f>IF(AS165=0,"",Lohn!CH43)</f>
        <v/>
      </c>
      <c r="P165" s="1156"/>
      <c r="Q165" s="1156"/>
      <c r="R165" s="1156"/>
      <c r="S165" s="1156"/>
      <c r="T165" s="1157">
        <f>BEZ_Lohn_27_Arbeitsplatz</f>
        <v>0</v>
      </c>
      <c r="U165" s="1139"/>
      <c r="V165" s="1139"/>
      <c r="W165" s="1139"/>
      <c r="X165" s="1139"/>
      <c r="Y165" s="1139"/>
      <c r="Z165" s="1139"/>
      <c r="AA165" s="1139"/>
      <c r="AB165" s="1139"/>
      <c r="AC165" s="1139"/>
      <c r="AD165" s="1139"/>
      <c r="AE165" s="1139"/>
      <c r="AF165" s="1139"/>
      <c r="AG165" s="1139"/>
      <c r="AH165" s="1139"/>
      <c r="AI165" s="1139"/>
      <c r="AJ165" s="1139"/>
      <c r="AK165" s="1139"/>
      <c r="AL165" s="1139"/>
      <c r="AM165" s="1139"/>
      <c r="AN165" s="1139"/>
      <c r="AO165" s="1139"/>
      <c r="AP165" s="1139"/>
      <c r="AQ165" s="1139"/>
      <c r="AR165" s="1158"/>
      <c r="AS165" s="1159">
        <f>Lohn!CP69</f>
        <v>0</v>
      </c>
      <c r="AT165" s="1160"/>
      <c r="AU165" s="1160"/>
      <c r="AV165" s="1160"/>
      <c r="AW165" s="1161">
        <f>Lohn!CU69</f>
        <v>0</v>
      </c>
      <c r="AX165" s="1161"/>
      <c r="AY165" s="1161"/>
      <c r="AZ165" s="1161"/>
      <c r="BA165" s="1161"/>
      <c r="BB165" s="1161"/>
      <c r="BC165" s="1161"/>
      <c r="BD165" s="1161"/>
      <c r="BE165" s="1161"/>
      <c r="BF165" s="1161"/>
      <c r="BG165" s="1161"/>
      <c r="BH165" s="1176">
        <f>BEZ_Lohn_27_Ges_Zeit</f>
        <v>0</v>
      </c>
      <c r="BI165" s="1177"/>
      <c r="BJ165" s="1177"/>
      <c r="BK165" s="1177"/>
      <c r="BL165" s="1177"/>
      <c r="BM165" s="1177"/>
      <c r="BN165" s="1177"/>
      <c r="BO165" s="1177"/>
      <c r="BP165" s="1178">
        <f>BEZ_Lohn_1_Zeit_H</f>
        <v>0</v>
      </c>
      <c r="BQ165" s="1178"/>
      <c r="BR165" s="1178"/>
      <c r="BS165" s="1178"/>
      <c r="BT165" s="1178"/>
      <c r="BU165" s="1178"/>
      <c r="BV165" s="1179">
        <f>Lohn!DW45</f>
        <v>0</v>
      </c>
      <c r="BW165" s="1179"/>
      <c r="BX165" s="1179"/>
      <c r="BY165" s="1179"/>
      <c r="BZ165" s="1179"/>
      <c r="CA165" s="1179"/>
      <c r="CB165" s="1166">
        <f>BEZ_Lohn_27_Leist_je_Art</f>
        <v>0</v>
      </c>
      <c r="CC165" s="1166"/>
      <c r="CD165" s="1166"/>
      <c r="CE165" s="1166"/>
      <c r="CF165" s="1166"/>
      <c r="CG165" s="1166"/>
      <c r="CH165" s="1166"/>
      <c r="CI165" s="1167">
        <f>BEZ_Lohn_27_Bedarf_je_Art</f>
        <v>0</v>
      </c>
      <c r="CJ165" s="1167"/>
      <c r="CK165" s="1167"/>
      <c r="CL165" s="1167"/>
      <c r="CM165" s="1167"/>
      <c r="CN165" s="1167"/>
      <c r="CO165" s="1167"/>
      <c r="CP165" s="1167"/>
      <c r="CQ165" s="1167"/>
      <c r="CR165" s="1168" t="str">
        <f>BEZ_Lohn_27_Ges_Min_je_Art</f>
        <v/>
      </c>
      <c r="CS165" s="1168"/>
      <c r="CT165" s="1168"/>
      <c r="CU165" s="1168"/>
      <c r="CV165" s="1168"/>
      <c r="CW165" s="1168"/>
      <c r="CX165" s="1168"/>
      <c r="CY165" s="1168"/>
      <c r="CZ165" s="1169" t="str">
        <f>BEZ_Lohn_27_Kosten_Je_St</f>
        <v/>
      </c>
      <c r="DA165" s="1169"/>
      <c r="DB165" s="1169"/>
      <c r="DC165" s="1169"/>
      <c r="DD165" s="1169"/>
      <c r="DE165" s="1169"/>
      <c r="DF165" s="1169"/>
      <c r="DG165" s="1169"/>
      <c r="DH165" s="1169" t="str">
        <f>BEZ_Lohn_27_Kosten_Je_BA</f>
        <v/>
      </c>
      <c r="DI165" s="1169"/>
      <c r="DJ165" s="1169"/>
      <c r="DK165" s="1169"/>
      <c r="DL165" s="1169"/>
      <c r="DM165" s="1169"/>
      <c r="DN165" s="1169"/>
      <c r="DO165" s="1169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</row>
    <row r="166" spans="1:130" ht="7.5" hidden="1" customHeight="1" x14ac:dyDescent="0.15">
      <c r="A166" s="2"/>
      <c r="B166" s="2"/>
      <c r="C166" s="2"/>
      <c r="D166" s="2"/>
      <c r="E166" s="2"/>
      <c r="F166" s="2"/>
      <c r="G166" s="7"/>
      <c r="H166" s="7"/>
      <c r="I166" s="7"/>
      <c r="J166" s="7"/>
      <c r="K166" s="10"/>
      <c r="L166" s="1155">
        <v>28</v>
      </c>
      <c r="M166" s="1155"/>
      <c r="N166" s="1155"/>
      <c r="O166" s="1156" t="str">
        <f>IF(AS166=0,"",Lohn!CH44)</f>
        <v/>
      </c>
      <c r="P166" s="1156"/>
      <c r="Q166" s="1156"/>
      <c r="R166" s="1156"/>
      <c r="S166" s="1156"/>
      <c r="T166" s="1157">
        <f>BEZ_Lohn_28_Arbeitsplatz</f>
        <v>0</v>
      </c>
      <c r="U166" s="1139"/>
      <c r="V166" s="1139"/>
      <c r="W166" s="1139"/>
      <c r="X166" s="1139"/>
      <c r="Y166" s="1139"/>
      <c r="Z166" s="1139"/>
      <c r="AA166" s="1139"/>
      <c r="AB166" s="1139"/>
      <c r="AC166" s="1139"/>
      <c r="AD166" s="1139"/>
      <c r="AE166" s="1139"/>
      <c r="AF166" s="1139"/>
      <c r="AG166" s="1139"/>
      <c r="AH166" s="1139"/>
      <c r="AI166" s="1139"/>
      <c r="AJ166" s="1139"/>
      <c r="AK166" s="1139"/>
      <c r="AL166" s="1139"/>
      <c r="AM166" s="1139"/>
      <c r="AN166" s="1139"/>
      <c r="AO166" s="1139"/>
      <c r="AP166" s="1139"/>
      <c r="AQ166" s="1139"/>
      <c r="AR166" s="1158"/>
      <c r="AS166" s="1159">
        <f>Lohn!CP71</f>
        <v>0</v>
      </c>
      <c r="AT166" s="1160"/>
      <c r="AU166" s="1160"/>
      <c r="AV166" s="1160"/>
      <c r="AW166" s="1161">
        <f>Lohn!CU71</f>
        <v>0</v>
      </c>
      <c r="AX166" s="1161"/>
      <c r="AY166" s="1161"/>
      <c r="AZ166" s="1161"/>
      <c r="BA166" s="1161"/>
      <c r="BB166" s="1161"/>
      <c r="BC166" s="1161"/>
      <c r="BD166" s="1161"/>
      <c r="BE166" s="1161"/>
      <c r="BF166" s="1161"/>
      <c r="BG166" s="1161"/>
      <c r="BH166" s="1176">
        <f>BEZ_Lohn_28_Ges_Zeit</f>
        <v>0</v>
      </c>
      <c r="BI166" s="1177"/>
      <c r="BJ166" s="1177"/>
      <c r="BK166" s="1177"/>
      <c r="BL166" s="1177"/>
      <c r="BM166" s="1177"/>
      <c r="BN166" s="1177"/>
      <c r="BO166" s="1177"/>
      <c r="BP166" s="1178">
        <f>BEZ_Lohn_1_Zeit_H</f>
        <v>0</v>
      </c>
      <c r="BQ166" s="1178"/>
      <c r="BR166" s="1178"/>
      <c r="BS166" s="1178"/>
      <c r="BT166" s="1178"/>
      <c r="BU166" s="1178"/>
      <c r="BV166" s="1179">
        <f>Lohn!DW44</f>
        <v>0</v>
      </c>
      <c r="BW166" s="1179"/>
      <c r="BX166" s="1179"/>
      <c r="BY166" s="1179"/>
      <c r="BZ166" s="1179"/>
      <c r="CA166" s="1179"/>
      <c r="CB166" s="1166">
        <f>BEZ_Lohn_28_Leist_je_Art</f>
        <v>0</v>
      </c>
      <c r="CC166" s="1166"/>
      <c r="CD166" s="1166"/>
      <c r="CE166" s="1166"/>
      <c r="CF166" s="1166"/>
      <c r="CG166" s="1166"/>
      <c r="CH166" s="1166"/>
      <c r="CI166" s="1167">
        <f>BEZ_Lohn_28_Bedarf_je_Art</f>
        <v>0</v>
      </c>
      <c r="CJ166" s="1167"/>
      <c r="CK166" s="1167"/>
      <c r="CL166" s="1167"/>
      <c r="CM166" s="1167"/>
      <c r="CN166" s="1167"/>
      <c r="CO166" s="1167"/>
      <c r="CP166" s="1167"/>
      <c r="CQ166" s="1167"/>
      <c r="CR166" s="1168" t="str">
        <f>BEZ_Lohn_28_Ges_Min_je_Art</f>
        <v/>
      </c>
      <c r="CS166" s="1168"/>
      <c r="CT166" s="1168"/>
      <c r="CU166" s="1168"/>
      <c r="CV166" s="1168"/>
      <c r="CW166" s="1168"/>
      <c r="CX166" s="1168"/>
      <c r="CY166" s="1168"/>
      <c r="CZ166" s="1169" t="str">
        <f>BEZ_Lohn_28_Kosten_Je_St</f>
        <v/>
      </c>
      <c r="DA166" s="1169"/>
      <c r="DB166" s="1169"/>
      <c r="DC166" s="1169"/>
      <c r="DD166" s="1169"/>
      <c r="DE166" s="1169"/>
      <c r="DF166" s="1169"/>
      <c r="DG166" s="1169"/>
      <c r="DH166" s="1169" t="str">
        <f>BEZ_Lohn_28_Kosten_Je_BA</f>
        <v/>
      </c>
      <c r="DI166" s="1169"/>
      <c r="DJ166" s="1169"/>
      <c r="DK166" s="1169"/>
      <c r="DL166" s="1169"/>
      <c r="DM166" s="1169"/>
      <c r="DN166" s="1169"/>
      <c r="DO166" s="1169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</row>
    <row r="167" spans="1:130" ht="7.5" customHeight="1" x14ac:dyDescent="0.15">
      <c r="A167" s="2"/>
      <c r="B167" s="2"/>
      <c r="C167" s="2"/>
      <c r="D167" s="2"/>
      <c r="E167" s="2"/>
      <c r="F167" s="2"/>
      <c r="G167" s="7"/>
      <c r="H167" s="7"/>
      <c r="I167" s="7"/>
      <c r="J167" s="7"/>
      <c r="K167" s="10"/>
      <c r="L167" s="1065" t="s">
        <v>198</v>
      </c>
      <c r="M167" s="1066"/>
      <c r="N167" s="1066"/>
      <c r="O167" s="1066"/>
      <c r="P167" s="1066"/>
      <c r="Q167" s="1066"/>
      <c r="R167" s="1066"/>
      <c r="S167" s="1066"/>
      <c r="T167" s="1066"/>
      <c r="U167" s="1066"/>
      <c r="V167" s="1066"/>
      <c r="W167" s="1066"/>
      <c r="X167" s="1066"/>
      <c r="Y167" s="1066"/>
      <c r="Z167" s="1066"/>
      <c r="AA167" s="1066"/>
      <c r="AB167" s="1066"/>
      <c r="AC167" s="1066"/>
      <c r="AD167" s="1066"/>
      <c r="AE167" s="1066"/>
      <c r="AF167" s="1066"/>
      <c r="AG167" s="1066"/>
      <c r="AH167" s="1066"/>
      <c r="AI167" s="1066"/>
      <c r="AJ167" s="1066"/>
      <c r="AK167" s="1066"/>
      <c r="AL167" s="1066"/>
      <c r="AM167" s="1066"/>
      <c r="AN167" s="1066"/>
      <c r="AO167" s="1066"/>
      <c r="AP167" s="1066"/>
      <c r="AQ167" s="1066"/>
      <c r="AR167" s="1066"/>
      <c r="AS167" s="1066"/>
      <c r="AT167" s="1066"/>
      <c r="AU167" s="1066"/>
      <c r="AV167" s="1066"/>
      <c r="AW167" s="1066"/>
      <c r="AX167" s="1066"/>
      <c r="AY167" s="1066"/>
      <c r="AZ167" s="1066"/>
      <c r="BA167" s="1066"/>
      <c r="BB167" s="1066"/>
      <c r="BC167" s="1066"/>
      <c r="BD167" s="1066"/>
      <c r="BE167" s="1066"/>
      <c r="BF167" s="1066"/>
      <c r="BG167" s="1066"/>
      <c r="BH167" s="1066"/>
      <c r="BI167" s="1066"/>
      <c r="BJ167" s="1066"/>
      <c r="BK167" s="1066"/>
      <c r="BL167" s="1088"/>
      <c r="BM167" s="1170" t="s">
        <v>199</v>
      </c>
      <c r="BN167" s="1171"/>
      <c r="BO167" s="1171"/>
      <c r="BP167" s="1171"/>
      <c r="BQ167" s="1171"/>
      <c r="BR167" s="1171"/>
      <c r="BS167" s="1171"/>
      <c r="BT167" s="1171"/>
      <c r="BU167" s="1171"/>
      <c r="BV167" s="1171"/>
      <c r="BW167" s="1171"/>
      <c r="BX167" s="1171"/>
      <c r="BY167" s="1171"/>
      <c r="BZ167" s="1171"/>
      <c r="CA167" s="1171"/>
      <c r="CB167" s="1171"/>
      <c r="CC167" s="1171"/>
      <c r="CD167" s="1171"/>
      <c r="CE167" s="1171"/>
      <c r="CF167" s="1171"/>
      <c r="CG167" s="1171"/>
      <c r="CH167" s="1171"/>
      <c r="CI167" s="1171"/>
      <c r="CJ167" s="1171"/>
      <c r="CK167" s="1171"/>
      <c r="CL167" s="1171"/>
      <c r="CM167" s="1171"/>
      <c r="CN167" s="1171"/>
      <c r="CO167" s="1171"/>
      <c r="CP167" s="1171"/>
      <c r="CQ167" s="1171"/>
      <c r="CR167" s="1171"/>
      <c r="CS167" s="1171"/>
      <c r="CT167" s="1171"/>
      <c r="CU167" s="1171"/>
      <c r="CV167" s="1171"/>
      <c r="CW167" s="1171"/>
      <c r="CX167" s="1171"/>
      <c r="CY167" s="1171"/>
      <c r="CZ167" s="1171"/>
      <c r="DA167" s="1171"/>
      <c r="DB167" s="1171"/>
      <c r="DC167" s="1171"/>
      <c r="DD167" s="1171"/>
      <c r="DE167" s="1171"/>
      <c r="DF167" s="1171"/>
      <c r="DG167" s="1171"/>
      <c r="DH167" s="1171"/>
      <c r="DI167" s="1171"/>
      <c r="DJ167" s="1171"/>
      <c r="DK167" s="1171"/>
      <c r="DL167" s="1171"/>
      <c r="DM167" s="1171"/>
      <c r="DN167" s="1171"/>
      <c r="DO167" s="117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</row>
    <row r="168" spans="1:130" ht="6" customHeight="1" x14ac:dyDescent="0.15">
      <c r="A168" s="2"/>
      <c r="B168" s="2"/>
      <c r="C168" s="2"/>
      <c r="D168" s="2"/>
      <c r="E168" s="2"/>
      <c r="F168" s="2"/>
      <c r="G168" s="7"/>
      <c r="H168" s="7"/>
      <c r="I168" s="7"/>
      <c r="J168" s="7"/>
      <c r="K168" s="10"/>
      <c r="L168" s="1067"/>
      <c r="M168" s="1068"/>
      <c r="N168" s="1068"/>
      <c r="O168" s="1068"/>
      <c r="P168" s="1068"/>
      <c r="Q168" s="1068"/>
      <c r="R168" s="1068"/>
      <c r="S168" s="1068"/>
      <c r="T168" s="1068"/>
      <c r="U168" s="1068"/>
      <c r="V168" s="1068"/>
      <c r="W168" s="1068"/>
      <c r="X168" s="1068"/>
      <c r="Y168" s="1068"/>
      <c r="Z168" s="1068"/>
      <c r="AA168" s="1068"/>
      <c r="AB168" s="1068"/>
      <c r="AC168" s="1068"/>
      <c r="AD168" s="1068"/>
      <c r="AE168" s="1068"/>
      <c r="AF168" s="1068"/>
      <c r="AG168" s="1068"/>
      <c r="AH168" s="1068"/>
      <c r="AI168" s="1068"/>
      <c r="AJ168" s="1068"/>
      <c r="AK168" s="1068"/>
      <c r="AL168" s="1068"/>
      <c r="AM168" s="1068"/>
      <c r="AN168" s="1068"/>
      <c r="AO168" s="1068"/>
      <c r="AP168" s="1068"/>
      <c r="AQ168" s="1068"/>
      <c r="AR168" s="1068"/>
      <c r="AS168" s="1068"/>
      <c r="AT168" s="1068"/>
      <c r="AU168" s="1068"/>
      <c r="AV168" s="1068"/>
      <c r="AW168" s="1068"/>
      <c r="AX168" s="1068"/>
      <c r="AY168" s="1068"/>
      <c r="AZ168" s="1068"/>
      <c r="BA168" s="1068"/>
      <c r="BB168" s="1068"/>
      <c r="BC168" s="1068"/>
      <c r="BD168" s="1068"/>
      <c r="BE168" s="1068"/>
      <c r="BF168" s="1068"/>
      <c r="BG168" s="1068"/>
      <c r="BH168" s="1068"/>
      <c r="BI168" s="1068"/>
      <c r="BJ168" s="1068"/>
      <c r="BK168" s="1068"/>
      <c r="BL168" s="1089"/>
      <c r="BM168" s="1173"/>
      <c r="BN168" s="1174"/>
      <c r="BO168" s="1174"/>
      <c r="BP168" s="1174"/>
      <c r="BQ168" s="1174"/>
      <c r="BR168" s="1174"/>
      <c r="BS168" s="1174"/>
      <c r="BT168" s="1174"/>
      <c r="BU168" s="1174"/>
      <c r="BV168" s="1174"/>
      <c r="BW168" s="1174"/>
      <c r="BX168" s="1174"/>
      <c r="BY168" s="1174"/>
      <c r="BZ168" s="1174"/>
      <c r="CA168" s="1174"/>
      <c r="CB168" s="1174"/>
      <c r="CC168" s="1174"/>
      <c r="CD168" s="1174"/>
      <c r="CE168" s="1174"/>
      <c r="CF168" s="1174"/>
      <c r="CG168" s="1174"/>
      <c r="CH168" s="1174"/>
      <c r="CI168" s="1174"/>
      <c r="CJ168" s="1174"/>
      <c r="CK168" s="1174"/>
      <c r="CL168" s="1174"/>
      <c r="CM168" s="1174"/>
      <c r="CN168" s="1174"/>
      <c r="CO168" s="1174"/>
      <c r="CP168" s="1174"/>
      <c r="CQ168" s="1174"/>
      <c r="CR168" s="1174"/>
      <c r="CS168" s="1174"/>
      <c r="CT168" s="1174"/>
      <c r="CU168" s="1174"/>
      <c r="CV168" s="1174"/>
      <c r="CW168" s="1174"/>
      <c r="CX168" s="1174"/>
      <c r="CY168" s="1174"/>
      <c r="CZ168" s="1174"/>
      <c r="DA168" s="1174"/>
      <c r="DB168" s="1174"/>
      <c r="DC168" s="1174"/>
      <c r="DD168" s="1174"/>
      <c r="DE168" s="1174"/>
      <c r="DF168" s="1174"/>
      <c r="DG168" s="1174"/>
      <c r="DH168" s="1174"/>
      <c r="DI168" s="1174"/>
      <c r="DJ168" s="1174"/>
      <c r="DK168" s="1174"/>
      <c r="DL168" s="1174"/>
      <c r="DM168" s="1174"/>
      <c r="DN168" s="1174"/>
      <c r="DO168" s="1175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</row>
    <row r="169" spans="1:130" ht="7.5" customHeight="1" x14ac:dyDescent="0.15">
      <c r="A169" s="2"/>
      <c r="B169" s="2"/>
      <c r="C169" s="2"/>
      <c r="D169" s="2"/>
      <c r="E169" s="2"/>
      <c r="F169" s="2"/>
      <c r="G169" s="7"/>
      <c r="H169" s="7"/>
      <c r="I169" s="7"/>
      <c r="J169" s="7"/>
      <c r="K169" s="10"/>
      <c r="L169" s="200"/>
      <c r="M169" s="201"/>
      <c r="N169" s="1086"/>
      <c r="O169" s="1086"/>
      <c r="P169" s="1086"/>
      <c r="Q169" s="1086"/>
      <c r="R169" s="201"/>
      <c r="S169" s="201"/>
      <c r="T169" s="201"/>
      <c r="U169" s="201"/>
      <c r="V169" s="201"/>
      <c r="W169" s="201"/>
      <c r="X169" s="201"/>
      <c r="Y169" s="201"/>
      <c r="Z169" s="201"/>
      <c r="AA169" s="201"/>
      <c r="AB169" s="201"/>
      <c r="AC169" s="201"/>
      <c r="AD169" s="201"/>
      <c r="AE169" s="201"/>
      <c r="AF169" s="201"/>
      <c r="AG169" s="201"/>
      <c r="AH169" s="201"/>
      <c r="AI169" s="201"/>
      <c r="AJ169" s="201"/>
      <c r="AK169" s="201"/>
      <c r="AL169" s="201"/>
      <c r="AM169" s="201"/>
      <c r="AN169" s="201"/>
      <c r="AO169" s="201"/>
      <c r="AP169" s="201"/>
      <c r="AQ169" s="201"/>
      <c r="AR169" s="201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51" t="s">
        <v>373</v>
      </c>
      <c r="BI169" s="201"/>
      <c r="BJ169" s="201"/>
      <c r="BK169" s="201"/>
      <c r="BL169" s="202"/>
      <c r="BM169" s="149"/>
      <c r="BN169" s="148"/>
      <c r="BO169" s="148"/>
      <c r="BP169" s="148"/>
      <c r="BQ169" s="148"/>
      <c r="BR169" s="148"/>
      <c r="BS169" s="148"/>
      <c r="BT169" s="201"/>
      <c r="BU169" s="201"/>
      <c r="BV169" s="148"/>
      <c r="BW169" s="148"/>
      <c r="BX169" s="148"/>
      <c r="BY169" s="148"/>
      <c r="BZ169" s="148"/>
      <c r="CA169" s="148"/>
      <c r="CB169" s="148"/>
      <c r="CC169" s="148"/>
      <c r="CD169" s="148"/>
      <c r="CE169" s="148"/>
      <c r="CF169" s="148"/>
      <c r="CG169" s="148"/>
      <c r="CH169" s="148"/>
      <c r="CI169" s="148"/>
      <c r="CJ169" s="148"/>
      <c r="CK169" s="148"/>
      <c r="CL169" s="148"/>
      <c r="CM169" s="148"/>
      <c r="CN169" s="148"/>
      <c r="CO169" s="148"/>
      <c r="CP169" s="148"/>
      <c r="CQ169" s="148"/>
      <c r="CR169" s="148"/>
      <c r="CS169" s="148"/>
      <c r="CT169" s="148"/>
      <c r="CU169" s="151"/>
      <c r="CV169" s="151"/>
      <c r="CW169" s="151"/>
      <c r="CX169" s="151"/>
      <c r="CY169" s="151"/>
      <c r="CZ169" s="151"/>
      <c r="DA169" s="151"/>
      <c r="DB169" s="151"/>
      <c r="DC169" s="148"/>
      <c r="DD169" s="148"/>
      <c r="DE169" s="148"/>
      <c r="DF169" s="148"/>
      <c r="DG169" s="148"/>
      <c r="DH169" s="148"/>
      <c r="DI169" s="148"/>
      <c r="DJ169" s="148"/>
      <c r="DK169" s="148"/>
      <c r="DL169" s="148"/>
      <c r="DM169" s="148"/>
      <c r="DN169" s="148"/>
      <c r="DO169" s="174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</row>
    <row r="170" spans="1:130" ht="9" customHeight="1" x14ac:dyDescent="0.2">
      <c r="A170" s="2"/>
      <c r="B170" s="2"/>
      <c r="C170" s="2"/>
      <c r="D170" s="2"/>
      <c r="E170" s="2"/>
      <c r="F170" s="2"/>
      <c r="G170" s="7"/>
      <c r="H170" s="7"/>
      <c r="I170" s="7"/>
      <c r="J170" s="7"/>
      <c r="K170" s="10"/>
      <c r="L170" s="200"/>
      <c r="M170" s="201"/>
      <c r="N170" s="1162" t="s">
        <v>200</v>
      </c>
      <c r="O170" s="1162"/>
      <c r="P170" s="1162" t="s">
        <v>200</v>
      </c>
      <c r="Q170" s="1162"/>
      <c r="R170" s="1163" t="s">
        <v>201</v>
      </c>
      <c r="S170" s="1163"/>
      <c r="T170" s="1163"/>
      <c r="U170" s="1163"/>
      <c r="V170" s="1163"/>
      <c r="W170" s="1163"/>
      <c r="X170" s="1163"/>
      <c r="Y170" s="1163"/>
      <c r="Z170" s="1163"/>
      <c r="AA170" s="1163"/>
      <c r="AB170" s="1163"/>
      <c r="AC170" s="1163"/>
      <c r="AD170" s="1163"/>
      <c r="AE170" s="1163"/>
      <c r="AF170" s="1163"/>
      <c r="AG170" s="1163"/>
      <c r="AH170" s="1163"/>
      <c r="AI170" s="1163"/>
      <c r="AJ170" s="1163"/>
      <c r="AK170" s="1163"/>
      <c r="AL170" s="1163"/>
      <c r="AM170" s="1163"/>
      <c r="AN170" s="1164">
        <f>Dimensionsware!EJ21</f>
        <v>35.821991092799998</v>
      </c>
      <c r="AO170" s="1164"/>
      <c r="AP170" s="1164"/>
      <c r="AQ170" s="1164"/>
      <c r="AR170" s="1164"/>
      <c r="AS170" s="1164"/>
      <c r="AT170" s="1164"/>
      <c r="AU170" s="1164"/>
      <c r="AV170" s="1164"/>
      <c r="AW170" s="1164"/>
      <c r="AX170" s="1164"/>
      <c r="AY170" s="1164"/>
      <c r="AZ170" s="1164"/>
      <c r="BA170" s="1164"/>
      <c r="BB170" s="1164"/>
      <c r="BC170" s="1164"/>
      <c r="BD170" s="1164"/>
      <c r="BE170" s="1164"/>
      <c r="BF170" s="201"/>
      <c r="BG170" s="201"/>
      <c r="BH170" s="1165">
        <f t="shared" ref="BH170:BH175" si="0">100/$AN$177*AN170</f>
        <v>69.27382978766741</v>
      </c>
      <c r="BI170" s="1165"/>
      <c r="BJ170" s="1165"/>
      <c r="BK170" s="1165"/>
      <c r="BL170" s="174"/>
      <c r="BM170" s="149"/>
      <c r="BN170" s="148"/>
      <c r="BO170" s="1064" t="s">
        <v>202</v>
      </c>
      <c r="BP170" s="1064"/>
      <c r="BQ170" s="1064"/>
      <c r="BR170" s="1064"/>
      <c r="BS170" s="1064"/>
      <c r="BT170" s="1064"/>
      <c r="BU170" s="1064"/>
      <c r="BV170" s="1064"/>
      <c r="BW170" s="1064"/>
      <c r="BX170" s="1064"/>
      <c r="BY170" s="1064"/>
      <c r="BZ170" s="1081">
        <f>Lohn!FY27</f>
        <v>5</v>
      </c>
      <c r="CA170" s="1081"/>
      <c r="CB170" s="1081"/>
      <c r="CC170" s="1081"/>
      <c r="CD170" s="1081"/>
      <c r="CE170" s="1081"/>
      <c r="CF170" s="1081"/>
      <c r="CG170" s="1081"/>
      <c r="CH170" s="1062" t="s">
        <v>203</v>
      </c>
      <c r="CI170" s="1062"/>
      <c r="CJ170" s="1062"/>
      <c r="CK170" s="1062"/>
      <c r="CL170" s="148"/>
      <c r="CM170" s="1180">
        <f>BZ170/60</f>
        <v>8.3333333333333329E-2</v>
      </c>
      <c r="CN170" s="1180"/>
      <c r="CO170" s="1180"/>
      <c r="CP170" s="1180"/>
      <c r="CQ170" s="1180"/>
      <c r="CR170" s="1180"/>
      <c r="CS170" s="1180"/>
      <c r="CT170" s="1180"/>
      <c r="CU170" s="175"/>
      <c r="CV170" s="1181" t="s">
        <v>149</v>
      </c>
      <c r="CW170" s="1181"/>
      <c r="CX170" s="1181"/>
      <c r="CY170" s="1181"/>
      <c r="CZ170" s="175"/>
      <c r="DA170" s="175"/>
      <c r="DB170" s="175"/>
      <c r="DC170" s="203"/>
      <c r="DD170" s="203"/>
      <c r="DE170" s="203"/>
      <c r="DF170" s="203"/>
      <c r="DG170" s="203"/>
      <c r="DH170" s="203"/>
      <c r="DI170" s="203"/>
      <c r="DJ170" s="203"/>
      <c r="DK170" s="203"/>
      <c r="DL170" s="203"/>
      <c r="DM170" s="203"/>
      <c r="DN170" s="203"/>
      <c r="DO170" s="40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</row>
    <row r="171" spans="1:130" ht="9" customHeight="1" x14ac:dyDescent="0.2">
      <c r="A171" s="2"/>
      <c r="B171" s="2"/>
      <c r="C171" s="2"/>
      <c r="D171" s="2"/>
      <c r="E171" s="2"/>
      <c r="F171" s="2"/>
      <c r="G171" s="7"/>
      <c r="H171" s="7"/>
      <c r="I171" s="7"/>
      <c r="J171" s="7"/>
      <c r="K171" s="10"/>
      <c r="L171" s="200"/>
      <c r="M171" s="201"/>
      <c r="N171" s="1162" t="s">
        <v>204</v>
      </c>
      <c r="O171" s="1162"/>
      <c r="P171" s="1162"/>
      <c r="Q171" s="1162"/>
      <c r="R171" s="1163" t="s">
        <v>205</v>
      </c>
      <c r="S171" s="1163"/>
      <c r="T171" s="1163"/>
      <c r="U171" s="1163"/>
      <c r="V171" s="1163"/>
      <c r="W171" s="1163"/>
      <c r="X171" s="1163"/>
      <c r="Y171" s="1163"/>
      <c r="Z171" s="1163"/>
      <c r="AA171" s="1163"/>
      <c r="AB171" s="1163"/>
      <c r="AC171" s="1163"/>
      <c r="AD171" s="1163"/>
      <c r="AE171" s="1163"/>
      <c r="AF171" s="1163"/>
      <c r="AG171" s="1163"/>
      <c r="AH171" s="1163"/>
      <c r="AI171" s="1163"/>
      <c r="AJ171" s="1163"/>
      <c r="AK171" s="1163"/>
      <c r="AL171" s="1163"/>
      <c r="AM171" s="1163"/>
      <c r="AN171" s="1164">
        <f>Hilfsstoffe!FW21</f>
        <v>9.3887216000000002</v>
      </c>
      <c r="AO171" s="1164"/>
      <c r="AP171" s="1164"/>
      <c r="AQ171" s="1164"/>
      <c r="AR171" s="1164"/>
      <c r="AS171" s="1164"/>
      <c r="AT171" s="1164"/>
      <c r="AU171" s="1164"/>
      <c r="AV171" s="1164"/>
      <c r="AW171" s="1164"/>
      <c r="AX171" s="1164"/>
      <c r="AY171" s="1164"/>
      <c r="AZ171" s="1164"/>
      <c r="BA171" s="1164"/>
      <c r="BB171" s="1164"/>
      <c r="BC171" s="1164"/>
      <c r="BD171" s="1164"/>
      <c r="BE171" s="1164"/>
      <c r="BF171" s="201"/>
      <c r="BG171" s="201"/>
      <c r="BH171" s="1165">
        <f t="shared" si="0"/>
        <v>18.156240962633746</v>
      </c>
      <c r="BI171" s="1165"/>
      <c r="BJ171" s="1165"/>
      <c r="BK171" s="1165"/>
      <c r="BL171" s="174"/>
      <c r="BM171" s="149"/>
      <c r="BN171" s="148"/>
      <c r="BO171" s="1064"/>
      <c r="BP171" s="1064"/>
      <c r="BQ171" s="1064"/>
      <c r="BR171" s="1064"/>
      <c r="BS171" s="1064"/>
      <c r="BT171" s="1064"/>
      <c r="BU171" s="1064"/>
      <c r="BV171" s="1064"/>
      <c r="BW171" s="1064"/>
      <c r="BX171" s="1064"/>
      <c r="BY171" s="1064"/>
      <c r="BZ171" s="1081"/>
      <c r="CA171" s="1081"/>
      <c r="CB171" s="1081"/>
      <c r="CC171" s="1081"/>
      <c r="CD171" s="1081"/>
      <c r="CE171" s="1081"/>
      <c r="CF171" s="1081"/>
      <c r="CG171" s="1081"/>
      <c r="CH171" s="1062"/>
      <c r="CI171" s="1062"/>
      <c r="CJ171" s="1062"/>
      <c r="CK171" s="1062"/>
      <c r="CL171" s="148"/>
      <c r="CM171" s="1180"/>
      <c r="CN171" s="1180"/>
      <c r="CO171" s="1180"/>
      <c r="CP171" s="1180"/>
      <c r="CQ171" s="1180"/>
      <c r="CR171" s="1180"/>
      <c r="CS171" s="1180"/>
      <c r="CT171" s="1180"/>
      <c r="CU171" s="175"/>
      <c r="CV171" s="1181"/>
      <c r="CW171" s="1181"/>
      <c r="CX171" s="1181"/>
      <c r="CY171" s="1181"/>
      <c r="CZ171" s="175"/>
      <c r="DA171" s="175"/>
      <c r="DB171" s="175"/>
      <c r="DC171" s="203"/>
      <c r="DD171" s="203"/>
      <c r="DE171" s="203"/>
      <c r="DF171" s="203"/>
      <c r="DG171" s="203"/>
      <c r="DH171" s="203"/>
      <c r="DI171" s="203"/>
      <c r="DJ171" s="203"/>
      <c r="DK171" s="203"/>
      <c r="DL171" s="203"/>
      <c r="DM171" s="203"/>
      <c r="DN171" s="203"/>
      <c r="DO171" s="40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</row>
    <row r="172" spans="1:130" ht="9" customHeight="1" x14ac:dyDescent="0.2">
      <c r="A172" s="2"/>
      <c r="B172" s="2"/>
      <c r="C172" s="2"/>
      <c r="D172" s="2"/>
      <c r="E172" s="2"/>
      <c r="F172" s="2"/>
      <c r="G172" s="7"/>
      <c r="H172" s="7"/>
      <c r="I172" s="7"/>
      <c r="J172" s="7"/>
      <c r="K172" s="10"/>
      <c r="L172" s="200"/>
      <c r="M172" s="201"/>
      <c r="N172" s="1162" t="s">
        <v>206</v>
      </c>
      <c r="O172" s="1162"/>
      <c r="P172" s="1162"/>
      <c r="Q172" s="1162"/>
      <c r="R172" s="1163" t="s">
        <v>207</v>
      </c>
      <c r="S172" s="1163"/>
      <c r="T172" s="1163"/>
      <c r="U172" s="1163"/>
      <c r="V172" s="1163"/>
      <c r="W172" s="1163"/>
      <c r="X172" s="1163"/>
      <c r="Y172" s="1163"/>
      <c r="Z172" s="1163"/>
      <c r="AA172" s="1163"/>
      <c r="AB172" s="1163"/>
      <c r="AC172" s="1163"/>
      <c r="AD172" s="1163"/>
      <c r="AE172" s="1163"/>
      <c r="AF172" s="1163"/>
      <c r="AG172" s="1163"/>
      <c r="AH172" s="1163"/>
      <c r="AI172" s="1163"/>
      <c r="AJ172" s="1163"/>
      <c r="AK172" s="1163"/>
      <c r="AL172" s="1163"/>
      <c r="AM172" s="1163"/>
      <c r="AN172" s="1164">
        <f>Lohn!FY19</f>
        <v>6.5</v>
      </c>
      <c r="AO172" s="1164"/>
      <c r="AP172" s="1164"/>
      <c r="AQ172" s="1164"/>
      <c r="AR172" s="1164"/>
      <c r="AS172" s="1164"/>
      <c r="AT172" s="1164"/>
      <c r="AU172" s="1164"/>
      <c r="AV172" s="1164"/>
      <c r="AW172" s="1164"/>
      <c r="AX172" s="1164"/>
      <c r="AY172" s="1164"/>
      <c r="AZ172" s="1164"/>
      <c r="BA172" s="1164"/>
      <c r="BB172" s="1164"/>
      <c r="BC172" s="1164"/>
      <c r="BD172" s="1164"/>
      <c r="BE172" s="1164"/>
      <c r="BF172" s="201"/>
      <c r="BG172" s="201"/>
      <c r="BH172" s="1165">
        <f t="shared" si="0"/>
        <v>12.569929249698845</v>
      </c>
      <c r="BI172" s="1165"/>
      <c r="BJ172" s="1165"/>
      <c r="BK172" s="1165"/>
      <c r="BL172" s="174"/>
      <c r="BM172" s="149"/>
      <c r="BN172" s="148"/>
      <c r="BO172" s="1064" t="s">
        <v>208</v>
      </c>
      <c r="BP172" s="1064"/>
      <c r="BQ172" s="1064"/>
      <c r="BR172" s="1064"/>
      <c r="BS172" s="1064"/>
      <c r="BT172" s="1064"/>
      <c r="BU172" s="1064"/>
      <c r="BV172" s="1064"/>
      <c r="BW172" s="1064"/>
      <c r="BX172" s="1064"/>
      <c r="BY172" s="1064"/>
      <c r="BZ172" s="1064"/>
      <c r="CA172" s="1064"/>
      <c r="CB172" s="1064"/>
      <c r="CC172" s="1064"/>
      <c r="CD172" s="1064"/>
      <c r="CE172" s="1064"/>
      <c r="CF172" s="1064"/>
      <c r="CG172" s="1064"/>
      <c r="CH172" s="1064"/>
      <c r="CI172" s="1064"/>
      <c r="CJ172" s="1064"/>
      <c r="CK172" s="1064"/>
      <c r="CL172" s="148"/>
      <c r="CM172" s="1182">
        <f>BZ170/CJ182</f>
        <v>0.98829854522454152</v>
      </c>
      <c r="CN172" s="1182"/>
      <c r="CO172" s="1182"/>
      <c r="CP172" s="1182"/>
      <c r="CQ172" s="1182"/>
      <c r="CR172" s="1182"/>
      <c r="CS172" s="1182"/>
      <c r="CT172" s="1182"/>
      <c r="CU172" s="175"/>
      <c r="CV172" s="340" t="s">
        <v>350</v>
      </c>
      <c r="CW172" s="175"/>
      <c r="CX172" s="175"/>
      <c r="CY172" s="175"/>
      <c r="CZ172" s="175"/>
      <c r="DA172" s="175"/>
      <c r="DB172" s="175"/>
      <c r="DC172" s="203"/>
      <c r="DD172" s="203"/>
      <c r="DE172" s="203"/>
      <c r="DF172" s="203"/>
      <c r="DG172" s="203"/>
      <c r="DH172" s="203"/>
      <c r="DI172" s="203"/>
      <c r="DJ172" s="203"/>
      <c r="DK172" s="203"/>
      <c r="DL172" s="203"/>
      <c r="DM172" s="203"/>
      <c r="DN172" s="203"/>
      <c r="DO172" s="40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</row>
    <row r="173" spans="1:130" ht="9" customHeight="1" x14ac:dyDescent="0.2">
      <c r="A173" s="2"/>
      <c r="B173" s="2"/>
      <c r="C173" s="2"/>
      <c r="D173" s="2"/>
      <c r="E173" s="2"/>
      <c r="F173" s="2"/>
      <c r="G173" s="7"/>
      <c r="H173" s="7"/>
      <c r="I173" s="7"/>
      <c r="J173" s="7"/>
      <c r="K173" s="10"/>
      <c r="L173" s="200"/>
      <c r="M173" s="201"/>
      <c r="N173" s="1162" t="s">
        <v>209</v>
      </c>
      <c r="O173" s="1162"/>
      <c r="P173" s="1162"/>
      <c r="Q173" s="1162"/>
      <c r="R173" s="1163" t="s">
        <v>210</v>
      </c>
      <c r="S173" s="1163"/>
      <c r="T173" s="1163"/>
      <c r="U173" s="1163"/>
      <c r="V173" s="1163"/>
      <c r="W173" s="1163"/>
      <c r="X173" s="1163"/>
      <c r="Y173" s="1163"/>
      <c r="Z173" s="1163"/>
      <c r="AA173" s="1163"/>
      <c r="AB173" s="1163"/>
      <c r="AC173" s="1163"/>
      <c r="AD173" s="1163"/>
      <c r="AE173" s="1163"/>
      <c r="AF173" s="1163"/>
      <c r="AG173" s="1163"/>
      <c r="AH173" s="1163"/>
      <c r="AI173" s="1163"/>
      <c r="AJ173" s="1163"/>
      <c r="AK173" s="1163"/>
      <c r="AL173" s="1163"/>
      <c r="AM173" s="1163"/>
      <c r="AN173" s="1184"/>
      <c r="AO173" s="1184"/>
      <c r="AP173" s="1184"/>
      <c r="AQ173" s="1184"/>
      <c r="AR173" s="1184"/>
      <c r="AS173" s="1184"/>
      <c r="AT173" s="1184"/>
      <c r="AU173" s="1184"/>
      <c r="AV173" s="1184"/>
      <c r="AW173" s="1184"/>
      <c r="AX173" s="1184"/>
      <c r="AY173" s="1184"/>
      <c r="AZ173" s="1184"/>
      <c r="BA173" s="1184"/>
      <c r="BB173" s="1184"/>
      <c r="BC173" s="1184"/>
      <c r="BD173" s="1184"/>
      <c r="BE173" s="1184"/>
      <c r="BF173" s="201" t="s">
        <v>211</v>
      </c>
      <c r="BG173" s="201"/>
      <c r="BH173" s="1185">
        <f t="shared" si="0"/>
        <v>0</v>
      </c>
      <c r="BI173" s="1185"/>
      <c r="BJ173" s="1185"/>
      <c r="BK173" s="1185"/>
      <c r="BL173" s="174"/>
      <c r="BM173" s="149"/>
      <c r="BN173" s="148"/>
      <c r="BO173" s="203"/>
      <c r="BP173" s="203"/>
      <c r="BQ173" s="203"/>
      <c r="BR173" s="203"/>
      <c r="BS173" s="203"/>
      <c r="BT173" s="203"/>
      <c r="BU173" s="203"/>
      <c r="BV173" s="203"/>
      <c r="BW173" s="203"/>
      <c r="BX173" s="203"/>
      <c r="BY173" s="203"/>
      <c r="BZ173" s="203"/>
      <c r="CA173" s="203"/>
      <c r="CB173" s="203"/>
      <c r="CC173" s="203"/>
      <c r="CD173" s="203"/>
      <c r="CE173" s="203"/>
      <c r="CF173" s="203"/>
      <c r="CG173" s="203"/>
      <c r="CH173" s="203"/>
      <c r="CI173" s="203"/>
      <c r="CJ173" s="203"/>
      <c r="CK173" s="203"/>
      <c r="CL173" s="148"/>
      <c r="CM173" s="203"/>
      <c r="CN173" s="203"/>
      <c r="CO173" s="203"/>
      <c r="CP173" s="203"/>
      <c r="CQ173" s="203"/>
      <c r="CR173" s="203"/>
      <c r="CS173" s="203"/>
      <c r="CT173" s="203"/>
      <c r="CU173" s="175"/>
      <c r="CV173" s="175"/>
      <c r="CW173" s="175"/>
      <c r="CX173" s="175"/>
      <c r="CY173" s="175"/>
      <c r="CZ173" s="175"/>
      <c r="DA173" s="175"/>
      <c r="DB173" s="175"/>
      <c r="DC173" s="203"/>
      <c r="DD173" s="203"/>
      <c r="DE173" s="203"/>
      <c r="DF173" s="203"/>
      <c r="DG173" s="203"/>
      <c r="DH173" s="203"/>
      <c r="DI173" s="203"/>
      <c r="DJ173" s="203"/>
      <c r="DK173" s="203"/>
      <c r="DL173" s="203"/>
      <c r="DM173" s="203"/>
      <c r="DN173" s="203"/>
      <c r="DO173" s="40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</row>
    <row r="174" spans="1:130" ht="9" customHeight="1" x14ac:dyDescent="0.2">
      <c r="A174" s="2"/>
      <c r="B174" s="2"/>
      <c r="C174" s="2"/>
      <c r="D174" s="2"/>
      <c r="E174" s="2"/>
      <c r="F174" s="2"/>
      <c r="G174" s="7"/>
      <c r="H174" s="7"/>
      <c r="I174" s="7"/>
      <c r="J174" s="7"/>
      <c r="K174" s="10"/>
      <c r="L174" s="200"/>
      <c r="M174" s="201"/>
      <c r="N174" s="1162" t="s">
        <v>212</v>
      </c>
      <c r="O174" s="1162"/>
      <c r="P174" s="1162"/>
      <c r="Q174" s="1162"/>
      <c r="R174" s="1163" t="s">
        <v>213</v>
      </c>
      <c r="S174" s="1163"/>
      <c r="T174" s="1163"/>
      <c r="U174" s="1163"/>
      <c r="V174" s="1163"/>
      <c r="W174" s="1163"/>
      <c r="X174" s="1163"/>
      <c r="Y174" s="1163"/>
      <c r="Z174" s="1163"/>
      <c r="AA174" s="1163"/>
      <c r="AB174" s="1163"/>
      <c r="AC174" s="1163"/>
      <c r="AD174" s="1163"/>
      <c r="AE174" s="1163"/>
      <c r="AF174" s="1163"/>
      <c r="AG174" s="1163"/>
      <c r="AH174" s="1163"/>
      <c r="AI174" s="1163"/>
      <c r="AJ174" s="1163"/>
      <c r="AK174" s="1163"/>
      <c r="AL174" s="1163"/>
      <c r="AM174" s="1163"/>
      <c r="AN174" s="1184"/>
      <c r="AO174" s="1184"/>
      <c r="AP174" s="1184"/>
      <c r="AQ174" s="1184"/>
      <c r="AR174" s="1184"/>
      <c r="AS174" s="1184"/>
      <c r="AT174" s="1184"/>
      <c r="AU174" s="1184"/>
      <c r="AV174" s="1184"/>
      <c r="AW174" s="1184"/>
      <c r="AX174" s="1184"/>
      <c r="AY174" s="1184"/>
      <c r="AZ174" s="1184"/>
      <c r="BA174" s="1184"/>
      <c r="BB174" s="1184"/>
      <c r="BC174" s="1184"/>
      <c r="BD174" s="1184"/>
      <c r="BE174" s="1184"/>
      <c r="BF174" s="201" t="s">
        <v>211</v>
      </c>
      <c r="BG174" s="201"/>
      <c r="BH174" s="1185">
        <f t="shared" si="0"/>
        <v>0</v>
      </c>
      <c r="BI174" s="1185"/>
      <c r="BJ174" s="1185"/>
      <c r="BK174" s="1185"/>
      <c r="BL174" s="174"/>
      <c r="BM174" s="1170" t="s">
        <v>214</v>
      </c>
      <c r="BN174" s="1171"/>
      <c r="BO174" s="1171"/>
      <c r="BP174" s="1171"/>
      <c r="BQ174" s="1171"/>
      <c r="BR174" s="1171"/>
      <c r="BS174" s="1171"/>
      <c r="BT174" s="1171"/>
      <c r="BU174" s="1171"/>
      <c r="BV174" s="1171"/>
      <c r="BW174" s="1171"/>
      <c r="BX174" s="1171"/>
      <c r="BY174" s="1171"/>
      <c r="BZ174" s="1171"/>
      <c r="CA174" s="1171"/>
      <c r="CB174" s="1171"/>
      <c r="CC174" s="1171"/>
      <c r="CD174" s="1171"/>
      <c r="CE174" s="1171"/>
      <c r="CF174" s="1171"/>
      <c r="CG174" s="1171"/>
      <c r="CH174" s="1171"/>
      <c r="CI174" s="1171"/>
      <c r="CJ174" s="1171"/>
      <c r="CK174" s="1171"/>
      <c r="CL174" s="1171"/>
      <c r="CM174" s="1171"/>
      <c r="CN174" s="1171"/>
      <c r="CO174" s="1171"/>
      <c r="CP174" s="1171"/>
      <c r="CQ174" s="1171"/>
      <c r="CR174" s="1171"/>
      <c r="CS174" s="1171"/>
      <c r="CT174" s="1171"/>
      <c r="CU174" s="1171"/>
      <c r="CV174" s="1171"/>
      <c r="CW174" s="1171"/>
      <c r="CX174" s="1171"/>
      <c r="CY174" s="1171"/>
      <c r="CZ174" s="1171"/>
      <c r="DA174" s="1171"/>
      <c r="DB174" s="1171"/>
      <c r="DC174" s="1171"/>
      <c r="DD174" s="1171"/>
      <c r="DE174" s="1171"/>
      <c r="DF174" s="1171"/>
      <c r="DG174" s="1171"/>
      <c r="DH174" s="1171"/>
      <c r="DI174" s="1171"/>
      <c r="DJ174" s="1171"/>
      <c r="DK174" s="1171"/>
      <c r="DL174" s="1171"/>
      <c r="DM174" s="1171"/>
      <c r="DN174" s="1171"/>
      <c r="DO174" s="117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</row>
    <row r="175" spans="1:130" ht="9" customHeight="1" x14ac:dyDescent="0.2">
      <c r="A175" s="2"/>
      <c r="B175" s="2"/>
      <c r="C175" s="2"/>
      <c r="D175" s="2"/>
      <c r="E175" s="2"/>
      <c r="F175" s="2"/>
      <c r="G175" s="7"/>
      <c r="H175" s="7"/>
      <c r="I175" s="7"/>
      <c r="J175" s="7"/>
      <c r="K175" s="10"/>
      <c r="L175" s="200"/>
      <c r="M175" s="201"/>
      <c r="N175" s="1162" t="s">
        <v>215</v>
      </c>
      <c r="O175" s="1162"/>
      <c r="P175" s="1162"/>
      <c r="Q175" s="1162"/>
      <c r="R175" s="1183"/>
      <c r="S175" s="1183"/>
      <c r="T175" s="1183"/>
      <c r="U175" s="1183"/>
      <c r="V175" s="1183"/>
      <c r="W175" s="1183"/>
      <c r="X175" s="1183"/>
      <c r="Y175" s="1183"/>
      <c r="Z175" s="1183"/>
      <c r="AA175" s="1183"/>
      <c r="AB175" s="1183"/>
      <c r="AC175" s="1183"/>
      <c r="AD175" s="1183"/>
      <c r="AE175" s="1183"/>
      <c r="AF175" s="1183"/>
      <c r="AG175" s="1183"/>
      <c r="AH175" s="1183"/>
      <c r="AI175" s="1183"/>
      <c r="AJ175" s="1183"/>
      <c r="AK175" s="1183"/>
      <c r="AL175" s="1183"/>
      <c r="AM175" s="1183"/>
      <c r="AN175" s="1184"/>
      <c r="AO175" s="1184"/>
      <c r="AP175" s="1184"/>
      <c r="AQ175" s="1184"/>
      <c r="AR175" s="1184"/>
      <c r="AS175" s="1184"/>
      <c r="AT175" s="1184"/>
      <c r="AU175" s="1184"/>
      <c r="AV175" s="1184"/>
      <c r="AW175" s="1184"/>
      <c r="AX175" s="1184"/>
      <c r="AY175" s="1184"/>
      <c r="AZ175" s="1184"/>
      <c r="BA175" s="1184"/>
      <c r="BB175" s="1184"/>
      <c r="BC175" s="1184"/>
      <c r="BD175" s="1184"/>
      <c r="BE175" s="1184"/>
      <c r="BF175" s="201" t="s">
        <v>211</v>
      </c>
      <c r="BG175" s="201"/>
      <c r="BH175" s="1185">
        <f t="shared" si="0"/>
        <v>0</v>
      </c>
      <c r="BI175" s="1185"/>
      <c r="BJ175" s="1185"/>
      <c r="BK175" s="1185"/>
      <c r="BL175" s="174"/>
      <c r="BM175" s="149"/>
      <c r="BN175" s="148"/>
      <c r="BO175" s="1064"/>
      <c r="BP175" s="1064"/>
      <c r="BQ175" s="1064"/>
      <c r="BR175" s="1064"/>
      <c r="BS175" s="1064"/>
      <c r="BT175" s="1064"/>
      <c r="BU175" s="1064"/>
      <c r="BV175" s="1064"/>
      <c r="BW175" s="1064"/>
      <c r="BX175" s="1064"/>
      <c r="BY175" s="1064"/>
      <c r="BZ175" s="1064"/>
      <c r="CA175" s="1064"/>
      <c r="CB175" s="1064"/>
      <c r="CC175" s="1064"/>
      <c r="CD175" s="1064"/>
      <c r="CE175" s="1064"/>
      <c r="CF175" s="1064"/>
      <c r="CG175" s="1064"/>
      <c r="CH175" s="1064"/>
      <c r="CI175" s="1064"/>
      <c r="CJ175" s="1064"/>
      <c r="CK175" s="1064"/>
      <c r="CL175" s="148"/>
      <c r="CM175" s="1186"/>
      <c r="CN175" s="1186"/>
      <c r="CO175" s="1186"/>
      <c r="CP175" s="1186"/>
      <c r="CQ175" s="1186"/>
      <c r="CR175" s="1186"/>
      <c r="CS175" s="1186"/>
      <c r="CT175" s="1186"/>
      <c r="CU175" s="175"/>
      <c r="CV175" s="1187"/>
      <c r="CW175" s="1187"/>
      <c r="CX175" s="1187"/>
      <c r="CY175" s="1187"/>
      <c r="CZ175" s="175"/>
      <c r="DA175" s="1187"/>
      <c r="DB175" s="1187"/>
      <c r="DC175" s="1187"/>
      <c r="DD175" s="1187"/>
      <c r="DE175" s="1187"/>
      <c r="DF175" s="1187"/>
      <c r="DG175" s="1187"/>
      <c r="DH175" s="1187"/>
      <c r="DI175" s="1187"/>
      <c r="DJ175" s="1187"/>
      <c r="DK175" s="1187"/>
      <c r="DL175" s="1187"/>
      <c r="DM175" s="1187"/>
      <c r="DN175" s="1187"/>
      <c r="DO175" s="40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</row>
    <row r="176" spans="1:130" ht="9" customHeight="1" x14ac:dyDescent="0.2">
      <c r="A176" s="2"/>
      <c r="B176" s="2"/>
      <c r="C176" s="2"/>
      <c r="D176" s="2"/>
      <c r="E176" s="2"/>
      <c r="F176" s="2"/>
      <c r="G176" s="7"/>
      <c r="H176" s="7"/>
      <c r="I176" s="7"/>
      <c r="J176" s="7"/>
      <c r="K176" s="10"/>
      <c r="L176" s="200"/>
      <c r="M176" s="201"/>
      <c r="N176" s="1162" t="s">
        <v>216</v>
      </c>
      <c r="O176" s="1162"/>
      <c r="P176" s="1162"/>
      <c r="Q176" s="1162"/>
      <c r="R176" s="1190" t="s">
        <v>217</v>
      </c>
      <c r="S176" s="1190"/>
      <c r="T176" s="1190"/>
      <c r="U176" s="1190"/>
      <c r="V176" s="1190"/>
      <c r="W176" s="1190"/>
      <c r="X176" s="1190"/>
      <c r="Y176" s="1190"/>
      <c r="Z176" s="1190"/>
      <c r="AA176" s="1190"/>
      <c r="AB176" s="1190"/>
      <c r="AC176" s="1190"/>
      <c r="AD176" s="1190"/>
      <c r="AE176" s="1190"/>
      <c r="AF176" s="1190"/>
      <c r="AG176" s="1190"/>
      <c r="AH176" s="1190"/>
      <c r="AI176" s="1190"/>
      <c r="AJ176" s="1190"/>
      <c r="AK176" s="1190"/>
      <c r="AL176" s="1190"/>
      <c r="AM176" s="1190"/>
      <c r="AN176" s="1191"/>
      <c r="AO176" s="1191"/>
      <c r="AP176" s="1191"/>
      <c r="AQ176" s="1191"/>
      <c r="AR176" s="1191"/>
      <c r="AS176" s="1191"/>
      <c r="AT176" s="1191"/>
      <c r="AU176" s="1191"/>
      <c r="AV176" s="1191"/>
      <c r="AW176" s="1191"/>
      <c r="AX176" s="1191"/>
      <c r="AY176" s="1191"/>
      <c r="AZ176" s="1191"/>
      <c r="BA176" s="1191"/>
      <c r="BB176" s="1191"/>
      <c r="BC176" s="1191"/>
      <c r="BD176" s="1191"/>
      <c r="BE176" s="1191"/>
      <c r="BF176" s="201" t="s">
        <v>211</v>
      </c>
      <c r="BG176" s="201"/>
      <c r="BH176" s="1185">
        <f>100/$AN$177*AN176</f>
        <v>0</v>
      </c>
      <c r="BI176" s="1185"/>
      <c r="BJ176" s="1185"/>
      <c r="BK176" s="1185"/>
      <c r="BL176" s="174"/>
      <c r="BM176" s="149"/>
      <c r="BN176" s="148"/>
      <c r="BO176" s="196" t="s">
        <v>263</v>
      </c>
      <c r="BP176" s="196"/>
      <c r="BQ176" s="196"/>
      <c r="BR176" s="196"/>
      <c r="BS176" s="196"/>
      <c r="BT176" s="196"/>
      <c r="BU176" s="196"/>
      <c r="BV176" s="196"/>
      <c r="BW176" s="196"/>
      <c r="BX176" s="196"/>
      <c r="BY176" s="196"/>
      <c r="BZ176" s="196"/>
      <c r="CA176" s="196"/>
      <c r="CB176" s="196"/>
      <c r="CC176" s="196"/>
      <c r="CD176" s="196"/>
      <c r="CE176" s="196"/>
      <c r="CF176" s="196"/>
      <c r="CG176" s="196"/>
      <c r="CH176" s="196"/>
      <c r="CI176" s="196"/>
      <c r="CJ176" s="1180">
        <f>Bez_Dim_cbm_KI</f>
        <v>0.14998196799999999</v>
      </c>
      <c r="CK176" s="1180"/>
      <c r="CL176" s="1180"/>
      <c r="CM176" s="1180"/>
      <c r="CN176" s="1180"/>
      <c r="CO176" s="1180"/>
      <c r="CP176" s="1180"/>
      <c r="CQ176" s="1180"/>
      <c r="CR176" s="1180"/>
      <c r="CS176" s="1180"/>
      <c r="CT176" s="1180"/>
      <c r="CU176" s="1180"/>
      <c r="CV176" s="339" t="s">
        <v>66</v>
      </c>
      <c r="CW176" s="339"/>
      <c r="CX176" s="339"/>
      <c r="CY176" s="339"/>
      <c r="CZ176" s="340"/>
      <c r="DA176" s="339" t="s">
        <v>218</v>
      </c>
      <c r="DB176" s="339"/>
      <c r="DC176" s="339"/>
      <c r="DD176" s="339"/>
      <c r="DE176" s="339"/>
      <c r="DF176" s="339"/>
      <c r="DG176" s="339"/>
      <c r="DH176" s="339"/>
      <c r="DI176" s="198"/>
      <c r="DJ176" s="198"/>
      <c r="DK176" s="198"/>
      <c r="DL176" s="198"/>
      <c r="DM176" s="203"/>
      <c r="DN176" s="203"/>
      <c r="DO176" s="40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</row>
    <row r="177" spans="1:130" ht="9" customHeight="1" x14ac:dyDescent="0.2">
      <c r="A177" s="2"/>
      <c r="B177" s="2"/>
      <c r="C177" s="2"/>
      <c r="D177" s="2"/>
      <c r="E177" s="2"/>
      <c r="F177" s="2"/>
      <c r="G177" s="7"/>
      <c r="H177" s="7"/>
      <c r="I177" s="7"/>
      <c r="J177" s="7"/>
      <c r="K177" s="10"/>
      <c r="L177" s="200"/>
      <c r="M177" s="201"/>
      <c r="N177" s="1086"/>
      <c r="O177" s="1086"/>
      <c r="P177" s="1086"/>
      <c r="Q177" s="1086"/>
      <c r="R177" s="1192" t="s">
        <v>219</v>
      </c>
      <c r="S177" s="1193"/>
      <c r="T177" s="1193"/>
      <c r="U177" s="1193"/>
      <c r="V177" s="1193"/>
      <c r="W177" s="1193"/>
      <c r="X177" s="1193"/>
      <c r="Y177" s="1193"/>
      <c r="Z177" s="1193"/>
      <c r="AA177" s="1193"/>
      <c r="AB177" s="1193"/>
      <c r="AC177" s="1193"/>
      <c r="AD177" s="1193"/>
      <c r="AE177" s="1193"/>
      <c r="AF177" s="1193"/>
      <c r="AG177" s="1193"/>
      <c r="AH177" s="1193"/>
      <c r="AI177" s="1193"/>
      <c r="AJ177" s="1193"/>
      <c r="AK177" s="1193"/>
      <c r="AL177" s="1193"/>
      <c r="AM177" s="1193"/>
      <c r="AN177" s="1188">
        <f>SUM(AN170:BE176)</f>
        <v>51.710712692800001</v>
      </c>
      <c r="AO177" s="1188"/>
      <c r="AP177" s="1188"/>
      <c r="AQ177" s="1188"/>
      <c r="AR177" s="1188"/>
      <c r="AS177" s="1188"/>
      <c r="AT177" s="1188"/>
      <c r="AU177" s="1188"/>
      <c r="AV177" s="1188"/>
      <c r="AW177" s="1188"/>
      <c r="AX177" s="1188"/>
      <c r="AY177" s="1188"/>
      <c r="AZ177" s="1188"/>
      <c r="BA177" s="1188"/>
      <c r="BB177" s="1188"/>
      <c r="BC177" s="1188"/>
      <c r="BD177" s="1188"/>
      <c r="BE177" s="1188"/>
      <c r="BF177" s="201"/>
      <c r="BG177" s="201"/>
      <c r="BH177" s="1194">
        <v>1</v>
      </c>
      <c r="BI177" s="1086"/>
      <c r="BJ177" s="1086"/>
      <c r="BK177" s="1086"/>
      <c r="BL177" s="174"/>
      <c r="BM177" s="149"/>
      <c r="BN177" s="148"/>
      <c r="BO177" s="196" t="s">
        <v>263</v>
      </c>
      <c r="BP177" s="196"/>
      <c r="BQ177" s="196"/>
      <c r="BR177" s="196"/>
      <c r="BS177" s="196"/>
      <c r="BT177" s="196"/>
      <c r="BU177" s="196"/>
      <c r="BV177" s="196"/>
      <c r="BW177" s="196"/>
      <c r="BX177" s="196"/>
      <c r="BY177" s="196"/>
      <c r="BZ177" s="196"/>
      <c r="CA177" s="196"/>
      <c r="CB177" s="196"/>
      <c r="CC177" s="196"/>
      <c r="CD177" s="196"/>
      <c r="CE177" s="196"/>
      <c r="CF177" s="196"/>
      <c r="CG177" s="196"/>
      <c r="CH177" s="196"/>
      <c r="CI177" s="196"/>
      <c r="CJ177" s="1180">
        <f>Bez_Dim_cbm_BA</f>
        <v>0.14998196799999999</v>
      </c>
      <c r="CK177" s="1180"/>
      <c r="CL177" s="1180"/>
      <c r="CM177" s="1180"/>
      <c r="CN177" s="1180"/>
      <c r="CO177" s="1180"/>
      <c r="CP177" s="1180"/>
      <c r="CQ177" s="1180"/>
      <c r="CR177" s="1180"/>
      <c r="CS177" s="1180"/>
      <c r="CT177" s="1180"/>
      <c r="CU177" s="1180"/>
      <c r="CV177" s="339" t="s">
        <v>66</v>
      </c>
      <c r="CW177" s="339"/>
      <c r="CX177" s="339"/>
      <c r="CY177" s="339"/>
      <c r="CZ177" s="340"/>
      <c r="DA177" s="339" t="s">
        <v>220</v>
      </c>
      <c r="DB177" s="339"/>
      <c r="DC177" s="339"/>
      <c r="DD177" s="339"/>
      <c r="DE177" s="339"/>
      <c r="DF177" s="339"/>
      <c r="DG177" s="339"/>
      <c r="DH177" s="339"/>
      <c r="DI177" s="198"/>
      <c r="DJ177" s="198"/>
      <c r="DK177" s="198"/>
      <c r="DL177" s="198"/>
      <c r="DM177" s="198"/>
      <c r="DN177" s="198"/>
      <c r="DO177" s="40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</row>
    <row r="178" spans="1:130" ht="9" customHeight="1" x14ac:dyDescent="0.2">
      <c r="A178" s="2"/>
      <c r="B178" s="2"/>
      <c r="C178" s="2"/>
      <c r="D178" s="2"/>
      <c r="E178" s="2"/>
      <c r="F178" s="2"/>
      <c r="G178" s="7"/>
      <c r="H178" s="7"/>
      <c r="I178" s="7"/>
      <c r="J178" s="7"/>
      <c r="K178" s="10"/>
      <c r="L178" s="200"/>
      <c r="M178" s="201"/>
      <c r="N178" s="1086"/>
      <c r="O178" s="1086"/>
      <c r="P178" s="1086"/>
      <c r="Q178" s="1086"/>
      <c r="R178" s="1163"/>
      <c r="S178" s="1163"/>
      <c r="T178" s="1163"/>
      <c r="U178" s="1163"/>
      <c r="V178" s="1163"/>
      <c r="W178" s="1163"/>
      <c r="X178" s="1163"/>
      <c r="Y178" s="1163"/>
      <c r="Z178" s="1163"/>
      <c r="AA178" s="1163"/>
      <c r="AB178" s="1163"/>
      <c r="AC178" s="1163"/>
      <c r="AD178" s="1163"/>
      <c r="AE178" s="1163"/>
      <c r="AF178" s="1163"/>
      <c r="AG178" s="1163"/>
      <c r="AH178" s="1163"/>
      <c r="AI178" s="1163"/>
      <c r="AJ178" s="1163"/>
      <c r="AK178" s="1163"/>
      <c r="AL178" s="1163"/>
      <c r="AM178" s="1163"/>
      <c r="AN178" s="1188"/>
      <c r="AO178" s="1188"/>
      <c r="AP178" s="1188"/>
      <c r="AQ178" s="1188"/>
      <c r="AR178" s="1188"/>
      <c r="AS178" s="1188"/>
      <c r="AT178" s="1188"/>
      <c r="AU178" s="1188"/>
      <c r="AV178" s="1188"/>
      <c r="AW178" s="1188"/>
      <c r="AX178" s="1188"/>
      <c r="AY178" s="1188"/>
      <c r="AZ178" s="1188"/>
      <c r="BA178" s="1188"/>
      <c r="BB178" s="1188"/>
      <c r="BC178" s="1188"/>
      <c r="BD178" s="1188"/>
      <c r="BE178" s="1188"/>
      <c r="BF178" s="201"/>
      <c r="BG178" s="201"/>
      <c r="BH178" s="201"/>
      <c r="BI178" s="148"/>
      <c r="BJ178" s="148"/>
      <c r="BK178" s="148"/>
      <c r="BL178" s="174"/>
      <c r="BM178" s="149"/>
      <c r="BN178" s="148"/>
      <c r="BO178" s="196"/>
      <c r="BP178" s="196"/>
      <c r="BQ178" s="196"/>
      <c r="BR178" s="196"/>
      <c r="BS178" s="196"/>
      <c r="BT178" s="196"/>
      <c r="BU178" s="196"/>
      <c r="BV178" s="196"/>
      <c r="BW178" s="196"/>
      <c r="BX178" s="196"/>
      <c r="BY178" s="196"/>
      <c r="BZ178" s="196"/>
      <c r="CA178" s="196"/>
      <c r="CB178" s="196"/>
      <c r="CC178" s="196"/>
      <c r="CD178" s="196"/>
      <c r="CE178" s="196"/>
      <c r="CF178" s="196"/>
      <c r="CG178" s="196"/>
      <c r="CH178" s="196"/>
      <c r="CI178" s="196"/>
      <c r="CJ178" s="439"/>
      <c r="CK178" s="439"/>
      <c r="CL178" s="440"/>
      <c r="CM178" s="441"/>
      <c r="CN178" s="441"/>
      <c r="CO178" s="441"/>
      <c r="CP178" s="441"/>
      <c r="CQ178" s="441"/>
      <c r="CR178" s="441"/>
      <c r="CS178" s="441"/>
      <c r="CT178" s="441"/>
      <c r="CU178" s="442"/>
      <c r="CV178" s="339"/>
      <c r="CW178" s="339"/>
      <c r="CX178" s="339"/>
      <c r="CY178" s="339"/>
      <c r="CZ178" s="340"/>
      <c r="DA178" s="339"/>
      <c r="DB178" s="339"/>
      <c r="DC178" s="339"/>
      <c r="DD178" s="339"/>
      <c r="DE178" s="339"/>
      <c r="DF178" s="339"/>
      <c r="DG178" s="339"/>
      <c r="DH178" s="339"/>
      <c r="DI178" s="198"/>
      <c r="DJ178" s="198"/>
      <c r="DK178" s="198"/>
      <c r="DL178" s="198"/>
      <c r="DM178" s="198"/>
      <c r="DN178" s="198"/>
      <c r="DO178" s="40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</row>
    <row r="179" spans="1:130" ht="9" customHeight="1" x14ac:dyDescent="0.2">
      <c r="A179" s="2"/>
      <c r="B179" s="2"/>
      <c r="C179" s="2"/>
      <c r="D179" s="2"/>
      <c r="E179" s="2"/>
      <c r="F179" s="2"/>
      <c r="G179" s="7"/>
      <c r="H179" s="7"/>
      <c r="I179" s="7"/>
      <c r="J179" s="7"/>
      <c r="K179" s="10"/>
      <c r="L179" s="200"/>
      <c r="M179" s="201"/>
      <c r="N179" s="1086"/>
      <c r="O179" s="1086"/>
      <c r="P179" s="1086"/>
      <c r="Q179" s="1086"/>
      <c r="R179" s="1163" t="s">
        <v>221</v>
      </c>
      <c r="S179" s="1163"/>
      <c r="T179" s="1163"/>
      <c r="U179" s="1163"/>
      <c r="V179" s="1163"/>
      <c r="W179" s="1163"/>
      <c r="X179" s="1163"/>
      <c r="Y179" s="1163"/>
      <c r="Z179" s="1163"/>
      <c r="AA179" s="1163"/>
      <c r="AB179" s="1163"/>
      <c r="AC179" s="1163"/>
      <c r="AD179" s="1163"/>
      <c r="AE179" s="1163"/>
      <c r="AF179" s="1163"/>
      <c r="AG179" s="1163"/>
      <c r="AH179" s="1163"/>
      <c r="AI179" s="1163"/>
      <c r="AJ179" s="1163"/>
      <c r="AK179" s="1163"/>
      <c r="AL179" s="1163"/>
      <c r="AM179" s="1163"/>
      <c r="AN179" s="194"/>
      <c r="AO179" s="1189">
        <v>0.06</v>
      </c>
      <c r="AP179" s="1189"/>
      <c r="AQ179" s="1189"/>
      <c r="AR179" s="1189"/>
      <c r="AS179" s="1164">
        <f>AN177*AO179</f>
        <v>3.1026427615680001</v>
      </c>
      <c r="AT179" s="1164"/>
      <c r="AU179" s="1164"/>
      <c r="AV179" s="1164"/>
      <c r="AW179" s="1164"/>
      <c r="AX179" s="1164"/>
      <c r="AY179" s="1164"/>
      <c r="AZ179" s="1164"/>
      <c r="BA179" s="1164"/>
      <c r="BB179" s="1164"/>
      <c r="BC179" s="1164"/>
      <c r="BD179" s="1164"/>
      <c r="BE179" s="1164"/>
      <c r="BF179" s="201"/>
      <c r="BG179" s="201"/>
      <c r="BH179" s="201"/>
      <c r="BI179" s="148"/>
      <c r="BJ179" s="148"/>
      <c r="BK179" s="148"/>
      <c r="BL179" s="174"/>
      <c r="BM179" s="149"/>
      <c r="BN179" s="148"/>
      <c r="BO179" s="196" t="s">
        <v>222</v>
      </c>
      <c r="BP179" s="196"/>
      <c r="BQ179" s="196"/>
      <c r="BR179" s="196"/>
      <c r="BS179" s="196"/>
      <c r="BT179" s="196"/>
      <c r="BU179" s="196"/>
      <c r="BV179" s="196"/>
      <c r="BW179" s="196"/>
      <c r="BX179" s="196"/>
      <c r="BY179" s="196"/>
      <c r="BZ179" s="196"/>
      <c r="CA179" s="196"/>
      <c r="CB179" s="196"/>
      <c r="CC179" s="196"/>
      <c r="CD179" s="196"/>
      <c r="CE179" s="196"/>
      <c r="CF179" s="196"/>
      <c r="CG179" s="196"/>
      <c r="CH179" s="196"/>
      <c r="CI179" s="196"/>
      <c r="CJ179" s="1180">
        <f>INNEN_m2</f>
        <v>3.58</v>
      </c>
      <c r="CK179" s="1180"/>
      <c r="CL179" s="1180"/>
      <c r="CM179" s="1180"/>
      <c r="CN179" s="1180"/>
      <c r="CO179" s="1180"/>
      <c r="CP179" s="1180"/>
      <c r="CQ179" s="1180"/>
      <c r="CR179" s="1180"/>
      <c r="CS179" s="1180"/>
      <c r="CT179" s="1180"/>
      <c r="CU179" s="1180"/>
      <c r="CV179" s="339" t="s">
        <v>223</v>
      </c>
      <c r="CW179" s="339"/>
      <c r="CX179" s="339"/>
      <c r="CY179" s="339"/>
      <c r="CZ179" s="340"/>
      <c r="DA179" s="339" t="s">
        <v>218</v>
      </c>
      <c r="DB179" s="339"/>
      <c r="DC179" s="339"/>
      <c r="DD179" s="339"/>
      <c r="DE179" s="339"/>
      <c r="DF179" s="339"/>
      <c r="DG179" s="339"/>
      <c r="DH179" s="339"/>
      <c r="DI179" s="198"/>
      <c r="DJ179" s="198"/>
      <c r="DK179" s="198"/>
      <c r="DL179" s="198"/>
      <c r="DM179" s="198"/>
      <c r="DN179" s="198"/>
      <c r="DO179" s="40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</row>
    <row r="180" spans="1:130" ht="9" customHeight="1" x14ac:dyDescent="0.2">
      <c r="A180" s="2"/>
      <c r="B180" s="2"/>
      <c r="C180" s="2"/>
      <c r="D180" s="2"/>
      <c r="E180" s="2"/>
      <c r="F180" s="2"/>
      <c r="G180" s="7"/>
      <c r="H180" s="7"/>
      <c r="I180" s="7"/>
      <c r="J180" s="7"/>
      <c r="K180" s="10"/>
      <c r="L180" s="200"/>
      <c r="M180" s="201"/>
      <c r="N180" s="1086"/>
      <c r="O180" s="1086"/>
      <c r="P180" s="1086"/>
      <c r="Q180" s="1086"/>
      <c r="R180" s="1163" t="s">
        <v>224</v>
      </c>
      <c r="S180" s="1163"/>
      <c r="T180" s="1163"/>
      <c r="U180" s="1163"/>
      <c r="V180" s="1163"/>
      <c r="W180" s="1163"/>
      <c r="X180" s="1163"/>
      <c r="Y180" s="1163"/>
      <c r="Z180" s="1163"/>
      <c r="AA180" s="1163"/>
      <c r="AB180" s="1163"/>
      <c r="AC180" s="1163"/>
      <c r="AD180" s="1163"/>
      <c r="AE180" s="1163"/>
      <c r="AF180" s="1163"/>
      <c r="AG180" s="1163"/>
      <c r="AH180" s="1163"/>
      <c r="AI180" s="1163"/>
      <c r="AJ180" s="1163"/>
      <c r="AK180" s="1163"/>
      <c r="AL180" s="1163"/>
      <c r="AM180" s="1163"/>
      <c r="AN180" s="194"/>
      <c r="AO180" s="1189">
        <v>0.1</v>
      </c>
      <c r="AP180" s="1189"/>
      <c r="AQ180" s="1189"/>
      <c r="AR180" s="1189"/>
      <c r="AS180" s="1164">
        <f>AN177*AO180</f>
        <v>5.1710712692800005</v>
      </c>
      <c r="AT180" s="1164"/>
      <c r="AU180" s="1164"/>
      <c r="AV180" s="1164"/>
      <c r="AW180" s="1164"/>
      <c r="AX180" s="1164"/>
      <c r="AY180" s="1164"/>
      <c r="AZ180" s="1164"/>
      <c r="BA180" s="1164"/>
      <c r="BB180" s="1164"/>
      <c r="BC180" s="1164"/>
      <c r="BD180" s="1164"/>
      <c r="BE180" s="1164"/>
      <c r="BF180" s="201"/>
      <c r="BG180" s="201"/>
      <c r="BH180" s="201"/>
      <c r="BI180" s="148"/>
      <c r="BJ180" s="148"/>
      <c r="BK180" s="148"/>
      <c r="BL180" s="174"/>
      <c r="BM180" s="149"/>
      <c r="BN180" s="148"/>
      <c r="BO180" s="196" t="s">
        <v>222</v>
      </c>
      <c r="BP180" s="196"/>
      <c r="BQ180" s="196"/>
      <c r="BR180" s="196"/>
      <c r="BS180" s="196"/>
      <c r="BT180" s="196"/>
      <c r="BU180" s="196"/>
      <c r="BV180" s="196"/>
      <c r="BW180" s="196"/>
      <c r="BX180" s="196"/>
      <c r="BY180" s="196"/>
      <c r="BZ180" s="196"/>
      <c r="CA180" s="196"/>
      <c r="CB180" s="196"/>
      <c r="CC180" s="196"/>
      <c r="CD180" s="196"/>
      <c r="CE180" s="196"/>
      <c r="CF180" s="196"/>
      <c r="CG180" s="196"/>
      <c r="CH180" s="196"/>
      <c r="CI180" s="196"/>
      <c r="CJ180" s="1180">
        <f>CJ179*KI_N</f>
        <v>3.58</v>
      </c>
      <c r="CK180" s="1180"/>
      <c r="CL180" s="1180"/>
      <c r="CM180" s="1180"/>
      <c r="CN180" s="1180"/>
      <c r="CO180" s="1180"/>
      <c r="CP180" s="1180"/>
      <c r="CQ180" s="1180"/>
      <c r="CR180" s="1180"/>
      <c r="CS180" s="1180"/>
      <c r="CT180" s="1180"/>
      <c r="CU180" s="1180"/>
      <c r="CV180" s="339" t="s">
        <v>223</v>
      </c>
      <c r="CW180" s="339"/>
      <c r="CX180" s="339"/>
      <c r="CY180" s="339"/>
      <c r="CZ180" s="340"/>
      <c r="DA180" s="339" t="s">
        <v>220</v>
      </c>
      <c r="DB180" s="339"/>
      <c r="DC180" s="339"/>
      <c r="DD180" s="339"/>
      <c r="DE180" s="339"/>
      <c r="DF180" s="339"/>
      <c r="DG180" s="339"/>
      <c r="DH180" s="339"/>
      <c r="DI180" s="198"/>
      <c r="DJ180" s="198"/>
      <c r="DK180" s="198"/>
      <c r="DL180" s="198"/>
      <c r="DM180" s="198"/>
      <c r="DN180" s="198"/>
      <c r="DO180" s="40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</row>
    <row r="181" spans="1:130" ht="9" customHeight="1" x14ac:dyDescent="0.2">
      <c r="A181" s="2"/>
      <c r="B181" s="2"/>
      <c r="C181" s="2"/>
      <c r="D181" s="2"/>
      <c r="E181" s="2"/>
      <c r="F181" s="2"/>
      <c r="G181" s="7"/>
      <c r="H181" s="7"/>
      <c r="I181" s="7"/>
      <c r="J181" s="7"/>
      <c r="K181" s="10"/>
      <c r="L181" s="200"/>
      <c r="M181" s="201"/>
      <c r="N181" s="1086"/>
      <c r="O181" s="1086"/>
      <c r="P181" s="1086"/>
      <c r="Q181" s="1086"/>
      <c r="R181" s="1190" t="s">
        <v>225</v>
      </c>
      <c r="S181" s="1190"/>
      <c r="T181" s="1190"/>
      <c r="U181" s="1190"/>
      <c r="V181" s="1190"/>
      <c r="W181" s="1190"/>
      <c r="X181" s="1190"/>
      <c r="Y181" s="1190"/>
      <c r="Z181" s="1190"/>
      <c r="AA181" s="1190"/>
      <c r="AB181" s="1190"/>
      <c r="AC181" s="1190"/>
      <c r="AD181" s="1190"/>
      <c r="AE181" s="1190"/>
      <c r="AF181" s="1190"/>
      <c r="AG181" s="1190"/>
      <c r="AH181" s="1190"/>
      <c r="AI181" s="1190"/>
      <c r="AJ181" s="1190"/>
      <c r="AK181" s="1190"/>
      <c r="AL181" s="1190"/>
      <c r="AM181" s="1190"/>
      <c r="AN181" s="176"/>
      <c r="AO181" s="1197">
        <v>0</v>
      </c>
      <c r="AP181" s="1197"/>
      <c r="AQ181" s="1197"/>
      <c r="AR181" s="1197"/>
      <c r="AS181" s="1198">
        <f>AN177*AO181</f>
        <v>0</v>
      </c>
      <c r="AT181" s="1198"/>
      <c r="AU181" s="1198"/>
      <c r="AV181" s="1198"/>
      <c r="AW181" s="1198"/>
      <c r="AX181" s="1198"/>
      <c r="AY181" s="1198"/>
      <c r="AZ181" s="1198"/>
      <c r="BA181" s="1198"/>
      <c r="BB181" s="1198"/>
      <c r="BC181" s="1198"/>
      <c r="BD181" s="1198"/>
      <c r="BE181" s="1198"/>
      <c r="BF181" s="201" t="s">
        <v>211</v>
      </c>
      <c r="BG181" s="201"/>
      <c r="BH181" s="201"/>
      <c r="BI181" s="148"/>
      <c r="BJ181" s="148"/>
      <c r="BK181" s="148"/>
      <c r="BL181" s="174"/>
      <c r="BM181" s="149"/>
      <c r="BN181" s="148"/>
      <c r="BO181" s="196"/>
      <c r="BP181" s="196"/>
      <c r="BQ181" s="196"/>
      <c r="BR181" s="196"/>
      <c r="BS181" s="196"/>
      <c r="BT181" s="196"/>
      <c r="BU181" s="196"/>
      <c r="BV181" s="196"/>
      <c r="BW181" s="196"/>
      <c r="BX181" s="196"/>
      <c r="BY181" s="196"/>
      <c r="BZ181" s="196"/>
      <c r="CA181" s="196"/>
      <c r="CB181" s="196"/>
      <c r="CC181" s="196"/>
      <c r="CD181" s="196"/>
      <c r="CE181" s="196"/>
      <c r="CF181" s="196"/>
      <c r="CG181" s="196"/>
      <c r="CH181" s="196"/>
      <c r="CI181" s="196"/>
      <c r="CJ181" s="439"/>
      <c r="CK181" s="439"/>
      <c r="CL181" s="440"/>
      <c r="CM181" s="441"/>
      <c r="CN181" s="441"/>
      <c r="CO181" s="441"/>
      <c r="CP181" s="441"/>
      <c r="CQ181" s="441"/>
      <c r="CR181" s="441"/>
      <c r="CS181" s="441"/>
      <c r="CT181" s="441"/>
      <c r="CU181" s="442"/>
      <c r="CV181" s="339"/>
      <c r="CW181" s="339"/>
      <c r="CX181" s="339"/>
      <c r="CY181" s="339"/>
      <c r="CZ181" s="340"/>
      <c r="DA181" s="339"/>
      <c r="DB181" s="339"/>
      <c r="DC181" s="339"/>
      <c r="DD181" s="339"/>
      <c r="DE181" s="339"/>
      <c r="DF181" s="339"/>
      <c r="DG181" s="339"/>
      <c r="DH181" s="339"/>
      <c r="DI181" s="198"/>
      <c r="DJ181" s="198"/>
      <c r="DK181" s="198"/>
      <c r="DL181" s="198"/>
      <c r="DM181" s="198"/>
      <c r="DN181" s="198"/>
      <c r="DO181" s="40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</row>
    <row r="182" spans="1:130" ht="9" customHeight="1" x14ac:dyDescent="0.2">
      <c r="A182" s="2"/>
      <c r="B182" s="2"/>
      <c r="C182" s="2"/>
      <c r="D182" s="2"/>
      <c r="E182" s="2"/>
      <c r="F182" s="2"/>
      <c r="G182" s="7"/>
      <c r="H182" s="7"/>
      <c r="I182" s="7"/>
      <c r="J182" s="7"/>
      <c r="K182" s="10"/>
      <c r="L182" s="200"/>
      <c r="M182" s="201"/>
      <c r="N182" s="1086"/>
      <c r="O182" s="1086"/>
      <c r="P182" s="1086"/>
      <c r="Q182" s="1086"/>
      <c r="R182" s="1192" t="s">
        <v>226</v>
      </c>
      <c r="S182" s="1193"/>
      <c r="T182" s="1193"/>
      <c r="U182" s="1193"/>
      <c r="V182" s="1193"/>
      <c r="W182" s="1193"/>
      <c r="X182" s="1193"/>
      <c r="Y182" s="1193"/>
      <c r="Z182" s="1193"/>
      <c r="AA182" s="1193"/>
      <c r="AB182" s="1193"/>
      <c r="AC182" s="1193"/>
      <c r="AD182" s="1193"/>
      <c r="AE182" s="1193"/>
      <c r="AF182" s="1193"/>
      <c r="AG182" s="1193"/>
      <c r="AH182" s="1193"/>
      <c r="AI182" s="1193"/>
      <c r="AJ182" s="1193"/>
      <c r="AK182" s="1193"/>
      <c r="AL182" s="1193"/>
      <c r="AM182" s="1193"/>
      <c r="AN182" s="1188">
        <f>AN177+AS179+AS180+AS181</f>
        <v>59.984426723647999</v>
      </c>
      <c r="AO182" s="1188"/>
      <c r="AP182" s="1188"/>
      <c r="AQ182" s="1188"/>
      <c r="AR182" s="1188"/>
      <c r="AS182" s="1188"/>
      <c r="AT182" s="1188"/>
      <c r="AU182" s="1188"/>
      <c r="AV182" s="1188"/>
      <c r="AW182" s="1188"/>
      <c r="AX182" s="1188"/>
      <c r="AY182" s="1188"/>
      <c r="AZ182" s="1188"/>
      <c r="BA182" s="1188"/>
      <c r="BB182" s="1188"/>
      <c r="BC182" s="1188"/>
      <c r="BD182" s="1188"/>
      <c r="BE182" s="1188"/>
      <c r="BF182" s="201"/>
      <c r="BG182" s="201"/>
      <c r="BH182" s="201"/>
      <c r="BI182" s="148"/>
      <c r="BJ182" s="148"/>
      <c r="BK182" s="148"/>
      <c r="BL182" s="174"/>
      <c r="BM182" s="149"/>
      <c r="BN182" s="148"/>
      <c r="BO182" s="196" t="s">
        <v>227</v>
      </c>
      <c r="BP182" s="196"/>
      <c r="BQ182" s="196"/>
      <c r="BR182" s="196"/>
      <c r="BS182" s="196"/>
      <c r="BT182" s="196"/>
      <c r="BU182" s="196"/>
      <c r="BV182" s="196"/>
      <c r="BW182" s="196"/>
      <c r="BX182" s="196"/>
      <c r="BY182" s="196"/>
      <c r="BZ182" s="196"/>
      <c r="CA182" s="196"/>
      <c r="CB182" s="196"/>
      <c r="CC182" s="196"/>
      <c r="CD182" s="196"/>
      <c r="CE182" s="196"/>
      <c r="CF182" s="196"/>
      <c r="CG182" s="196"/>
      <c r="CH182" s="196"/>
      <c r="CI182" s="196"/>
      <c r="CJ182" s="1207">
        <f>AUSSEN_RECH_M2</f>
        <v>5.0591999999999997</v>
      </c>
      <c r="CK182" s="1207"/>
      <c r="CL182" s="1207"/>
      <c r="CM182" s="1207"/>
      <c r="CN182" s="1207"/>
      <c r="CO182" s="1207"/>
      <c r="CP182" s="1207"/>
      <c r="CQ182" s="1207"/>
      <c r="CR182" s="1207"/>
      <c r="CS182" s="1207"/>
      <c r="CT182" s="1207"/>
      <c r="CU182" s="1207"/>
      <c r="CV182" s="339" t="s">
        <v>223</v>
      </c>
      <c r="CW182" s="339"/>
      <c r="CX182" s="339"/>
      <c r="CY182" s="339"/>
      <c r="CZ182" s="340"/>
      <c r="DA182" s="339" t="s">
        <v>218</v>
      </c>
      <c r="DB182" s="339"/>
      <c r="DC182" s="339"/>
      <c r="DD182" s="339"/>
      <c r="DE182" s="339"/>
      <c r="DF182" s="339"/>
      <c r="DG182" s="339"/>
      <c r="DH182" s="339"/>
      <c r="DI182" s="198"/>
      <c r="DJ182" s="198"/>
      <c r="DK182" s="198"/>
      <c r="DL182" s="198"/>
      <c r="DM182" s="198"/>
      <c r="DN182" s="198"/>
      <c r="DO182" s="40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</row>
    <row r="183" spans="1:130" ht="9" customHeight="1" x14ac:dyDescent="0.2">
      <c r="A183" s="2"/>
      <c r="B183" s="2"/>
      <c r="C183" s="2"/>
      <c r="D183" s="2"/>
      <c r="E183" s="2"/>
      <c r="F183" s="2"/>
      <c r="G183" s="7"/>
      <c r="H183" s="7"/>
      <c r="I183" s="7"/>
      <c r="J183" s="7"/>
      <c r="K183" s="10"/>
      <c r="L183" s="200"/>
      <c r="M183" s="201"/>
      <c r="N183" s="1086"/>
      <c r="O183" s="1086"/>
      <c r="P183" s="1086"/>
      <c r="Q183" s="1086"/>
      <c r="R183" s="1163"/>
      <c r="S183" s="1163"/>
      <c r="T183" s="1163"/>
      <c r="U183" s="1163"/>
      <c r="V183" s="1163"/>
      <c r="W183" s="1163"/>
      <c r="X183" s="1163"/>
      <c r="Y183" s="1163"/>
      <c r="Z183" s="1163"/>
      <c r="AA183" s="1163"/>
      <c r="AB183" s="1163"/>
      <c r="AC183" s="1163"/>
      <c r="AD183" s="1163"/>
      <c r="AE183" s="1163"/>
      <c r="AF183" s="1163"/>
      <c r="AG183" s="1163"/>
      <c r="AH183" s="1163"/>
      <c r="AI183" s="1163"/>
      <c r="AJ183" s="1163"/>
      <c r="AK183" s="1163"/>
      <c r="AL183" s="1163"/>
      <c r="AM183" s="1163"/>
      <c r="AN183" s="1188"/>
      <c r="AO183" s="1188"/>
      <c r="AP183" s="1188"/>
      <c r="AQ183" s="1188"/>
      <c r="AR183" s="1188"/>
      <c r="AS183" s="1188"/>
      <c r="AT183" s="1188"/>
      <c r="AU183" s="1188"/>
      <c r="AV183" s="1188"/>
      <c r="AW183" s="1188"/>
      <c r="AX183" s="1188"/>
      <c r="AY183" s="1188"/>
      <c r="AZ183" s="1188"/>
      <c r="BA183" s="1188"/>
      <c r="BB183" s="1188"/>
      <c r="BC183" s="1188"/>
      <c r="BD183" s="1188"/>
      <c r="BE183" s="1188"/>
      <c r="BF183" s="201"/>
      <c r="BG183" s="201"/>
      <c r="BH183" s="201"/>
      <c r="BI183" s="148"/>
      <c r="BJ183" s="148"/>
      <c r="BK183" s="148"/>
      <c r="BL183" s="174"/>
      <c r="BM183" s="149"/>
      <c r="BN183" s="148"/>
      <c r="BO183" s="196" t="s">
        <v>227</v>
      </c>
      <c r="BP183" s="196"/>
      <c r="BQ183" s="196"/>
      <c r="BR183" s="196"/>
      <c r="BS183" s="196"/>
      <c r="BT183" s="196"/>
      <c r="BU183" s="196"/>
      <c r="BV183" s="196"/>
      <c r="BW183" s="196"/>
      <c r="BX183" s="196"/>
      <c r="BY183" s="196"/>
      <c r="BZ183" s="196"/>
      <c r="CA183" s="196"/>
      <c r="CB183" s="196"/>
      <c r="CC183" s="196"/>
      <c r="CD183" s="196"/>
      <c r="CE183" s="196"/>
      <c r="CF183" s="196"/>
      <c r="CG183" s="196"/>
      <c r="CH183" s="196"/>
      <c r="CI183" s="196"/>
      <c r="CJ183" s="1180">
        <f>AUSSEN_RECH_M2 * KI_N</f>
        <v>5.0591999999999997</v>
      </c>
      <c r="CK183" s="1180"/>
      <c r="CL183" s="1180"/>
      <c r="CM183" s="1180"/>
      <c r="CN183" s="1180"/>
      <c r="CO183" s="1180"/>
      <c r="CP183" s="1180"/>
      <c r="CQ183" s="1180"/>
      <c r="CR183" s="1180"/>
      <c r="CS183" s="1180"/>
      <c r="CT183" s="1180"/>
      <c r="CU183" s="1180"/>
      <c r="CV183" s="339" t="s">
        <v>223</v>
      </c>
      <c r="CW183" s="339"/>
      <c r="CX183" s="339"/>
      <c r="CY183" s="339"/>
      <c r="CZ183" s="340"/>
      <c r="DA183" s="339" t="s">
        <v>220</v>
      </c>
      <c r="DB183" s="339"/>
      <c r="DC183" s="339"/>
      <c r="DD183" s="339"/>
      <c r="DE183" s="339"/>
      <c r="DF183" s="339"/>
      <c r="DG183" s="339"/>
      <c r="DH183" s="339"/>
      <c r="DI183" s="198"/>
      <c r="DJ183" s="198"/>
      <c r="DK183" s="198"/>
      <c r="DL183" s="198"/>
      <c r="DM183" s="198"/>
      <c r="DN183" s="198"/>
      <c r="DO183" s="40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</row>
    <row r="184" spans="1:130" ht="9" customHeight="1" x14ac:dyDescent="0.2">
      <c r="A184" s="2"/>
      <c r="B184" s="2"/>
      <c r="C184" s="2"/>
      <c r="D184" s="2"/>
      <c r="E184" s="2"/>
      <c r="F184" s="2"/>
      <c r="G184" s="7"/>
      <c r="H184" s="7"/>
      <c r="I184" s="7"/>
      <c r="J184" s="7"/>
      <c r="K184" s="10"/>
      <c r="L184" s="200"/>
      <c r="M184" s="201"/>
      <c r="N184" s="201"/>
      <c r="O184" s="201"/>
      <c r="P184" s="201"/>
      <c r="Q184" s="201"/>
      <c r="R184" s="1163" t="s">
        <v>228</v>
      </c>
      <c r="S184" s="1163"/>
      <c r="T184" s="1163"/>
      <c r="U184" s="1163"/>
      <c r="V184" s="1163"/>
      <c r="W184" s="1163"/>
      <c r="X184" s="1163"/>
      <c r="Y184" s="1163"/>
      <c r="Z184" s="1163"/>
      <c r="AA184" s="1163"/>
      <c r="AB184" s="1163"/>
      <c r="AC184" s="1163"/>
      <c r="AD184" s="1163"/>
      <c r="AE184" s="1163"/>
      <c r="AF184" s="1163"/>
      <c r="AG184" s="1163"/>
      <c r="AH184" s="1163"/>
      <c r="AI184" s="1163"/>
      <c r="AJ184" s="1163"/>
      <c r="AK184" s="1163"/>
      <c r="AL184" s="1163"/>
      <c r="AM184" s="1163"/>
      <c r="AN184" s="194"/>
      <c r="AO184" s="1195"/>
      <c r="AP184" s="1195"/>
      <c r="AQ184" s="1195"/>
      <c r="AR184" s="1195"/>
      <c r="AS184" s="1196">
        <f>AN182/(1-AO184)*AO184</f>
        <v>0</v>
      </c>
      <c r="AT184" s="1196"/>
      <c r="AU184" s="1196"/>
      <c r="AV184" s="1196"/>
      <c r="AW184" s="1196"/>
      <c r="AX184" s="1196"/>
      <c r="AY184" s="1196"/>
      <c r="AZ184" s="1196"/>
      <c r="BA184" s="1196"/>
      <c r="BB184" s="1196"/>
      <c r="BC184" s="1196"/>
      <c r="BD184" s="1196"/>
      <c r="BE184" s="1196"/>
      <c r="BF184" s="201" t="s">
        <v>211</v>
      </c>
      <c r="BG184" s="201"/>
      <c r="BH184" s="201"/>
      <c r="BI184" s="148"/>
      <c r="BJ184" s="148"/>
      <c r="BK184" s="148"/>
      <c r="BL184" s="174"/>
      <c r="BM184" s="149"/>
      <c r="BN184" s="148"/>
      <c r="BO184" s="144"/>
      <c r="BP184" s="144"/>
      <c r="BQ184" s="144"/>
      <c r="BR184" s="144"/>
      <c r="BS184" s="144"/>
      <c r="BT184" s="144"/>
      <c r="BU184" s="144"/>
      <c r="BV184" s="144"/>
      <c r="BW184" s="144"/>
      <c r="BX184" s="144"/>
      <c r="BY184" s="144"/>
      <c r="BZ184" s="144"/>
      <c r="CA184" s="144"/>
      <c r="CB184" s="144"/>
      <c r="CC184" s="144"/>
      <c r="CD184" s="144"/>
      <c r="CE184" s="144"/>
      <c r="CF184" s="144"/>
      <c r="CG184" s="144"/>
      <c r="CH184" s="144"/>
      <c r="CI184" s="144"/>
      <c r="CJ184" s="195"/>
      <c r="CK184" s="195"/>
      <c r="CL184" s="195"/>
      <c r="CM184" s="197"/>
      <c r="CN184" s="197"/>
      <c r="CO184" s="197"/>
      <c r="CP184" s="197"/>
      <c r="CQ184" s="197"/>
      <c r="CR184" s="197"/>
      <c r="CS184" s="197"/>
      <c r="CT184" s="197"/>
      <c r="CU184" s="204"/>
      <c r="CV184" s="339"/>
      <c r="CW184" s="339"/>
      <c r="CX184" s="339"/>
      <c r="CY184" s="339"/>
      <c r="CZ184" s="340"/>
      <c r="DA184" s="339"/>
      <c r="DB184" s="339"/>
      <c r="DC184" s="339"/>
      <c r="DD184" s="339"/>
      <c r="DE184" s="339"/>
      <c r="DF184" s="339"/>
      <c r="DG184" s="339"/>
      <c r="DH184" s="339"/>
      <c r="DI184" s="198"/>
      <c r="DJ184" s="198"/>
      <c r="DK184" s="198"/>
      <c r="DL184" s="198"/>
      <c r="DM184" s="198"/>
      <c r="DN184" s="198"/>
      <c r="DO184" s="40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</row>
    <row r="185" spans="1:130" ht="9" customHeight="1" x14ac:dyDescent="0.2">
      <c r="A185" s="2"/>
      <c r="B185" s="2"/>
      <c r="C185" s="2"/>
      <c r="D185" s="2"/>
      <c r="E185" s="2"/>
      <c r="F185" s="2"/>
      <c r="G185" s="7"/>
      <c r="H185" s="7"/>
      <c r="I185" s="7"/>
      <c r="J185" s="7"/>
      <c r="K185" s="10"/>
      <c r="L185" s="200"/>
      <c r="M185" s="201"/>
      <c r="N185" s="201"/>
      <c r="O185" s="201"/>
      <c r="P185" s="201"/>
      <c r="Q185" s="201"/>
      <c r="R185" s="1163" t="s">
        <v>229</v>
      </c>
      <c r="S185" s="1163"/>
      <c r="T185" s="1163"/>
      <c r="U185" s="1163"/>
      <c r="V185" s="1163"/>
      <c r="W185" s="1163"/>
      <c r="X185" s="1163"/>
      <c r="Y185" s="1163"/>
      <c r="Z185" s="1163"/>
      <c r="AA185" s="1163"/>
      <c r="AB185" s="1163"/>
      <c r="AC185" s="1163"/>
      <c r="AD185" s="1163"/>
      <c r="AE185" s="1163"/>
      <c r="AF185" s="1163"/>
      <c r="AG185" s="1163"/>
      <c r="AH185" s="1163"/>
      <c r="AI185" s="1163"/>
      <c r="AJ185" s="1163"/>
      <c r="AK185" s="1163"/>
      <c r="AL185" s="1163"/>
      <c r="AM185" s="1163"/>
      <c r="AN185" s="194"/>
      <c r="AO185" s="1203">
        <v>0.03</v>
      </c>
      <c r="AP185" s="1203"/>
      <c r="AQ185" s="1203"/>
      <c r="AR185" s="1203"/>
      <c r="AS185" s="1196">
        <f>((AN182+AS184)/(1-AO185))*AO185</f>
        <v>1.8551884553705567</v>
      </c>
      <c r="AT185" s="1196"/>
      <c r="AU185" s="1196"/>
      <c r="AV185" s="1196"/>
      <c r="AW185" s="1196"/>
      <c r="AX185" s="1196"/>
      <c r="AY185" s="1196"/>
      <c r="AZ185" s="1196"/>
      <c r="BA185" s="1196"/>
      <c r="BB185" s="1196"/>
      <c r="BC185" s="1196"/>
      <c r="BD185" s="1196"/>
      <c r="BE185" s="1196"/>
      <c r="BF185" s="201" t="s">
        <v>211</v>
      </c>
      <c r="BG185" s="201"/>
      <c r="BH185" s="201"/>
      <c r="BI185" s="148"/>
      <c r="BJ185" s="148"/>
      <c r="BK185" s="148"/>
      <c r="BL185" s="174"/>
      <c r="BM185" s="149"/>
      <c r="BN185" s="148"/>
      <c r="BO185" s="196" t="s">
        <v>230</v>
      </c>
      <c r="BP185" s="196"/>
      <c r="BQ185" s="196"/>
      <c r="BR185" s="196"/>
      <c r="BS185" s="196"/>
      <c r="BT185" s="196"/>
      <c r="BU185" s="196"/>
      <c r="BV185" s="196"/>
      <c r="BW185" s="196"/>
      <c r="BX185" s="196"/>
      <c r="BY185" s="196"/>
      <c r="BZ185" s="196"/>
      <c r="CA185" s="196"/>
      <c r="CB185" s="196"/>
      <c r="CC185" s="196"/>
      <c r="CD185" s="196"/>
      <c r="CE185" s="196"/>
      <c r="CF185" s="196"/>
      <c r="CG185" s="196"/>
      <c r="CH185" s="196"/>
      <c r="CI185" s="196"/>
      <c r="CJ185" s="1199">
        <f>AU187/CJ179</f>
        <v>17.318435754189945</v>
      </c>
      <c r="CK185" s="1199"/>
      <c r="CL185" s="1199"/>
      <c r="CM185" s="1199"/>
      <c r="CN185" s="1199"/>
      <c r="CO185" s="1199"/>
      <c r="CP185" s="1199"/>
      <c r="CQ185" s="1199"/>
      <c r="CR185" s="1199"/>
      <c r="CS185" s="1199"/>
      <c r="CT185" s="1199"/>
      <c r="CU185" s="1199"/>
      <c r="CV185" s="339" t="s">
        <v>231</v>
      </c>
      <c r="CW185" s="339"/>
      <c r="CX185" s="339"/>
      <c r="CY185" s="339"/>
      <c r="CZ185" s="339"/>
      <c r="DA185" s="339"/>
      <c r="DB185" s="339"/>
      <c r="DC185" s="339"/>
      <c r="DD185" s="339"/>
      <c r="DE185" s="339"/>
      <c r="DF185" s="339"/>
      <c r="DG185" s="339"/>
      <c r="DH185" s="339"/>
      <c r="DI185" s="198"/>
      <c r="DJ185" s="198"/>
      <c r="DK185" s="198"/>
      <c r="DL185" s="198"/>
      <c r="DM185" s="198"/>
      <c r="DN185" s="198"/>
      <c r="DO185" s="40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</row>
    <row r="186" spans="1:130" ht="9" customHeight="1" x14ac:dyDescent="0.2">
      <c r="A186" s="2"/>
      <c r="B186" s="2"/>
      <c r="C186" s="2"/>
      <c r="D186" s="2"/>
      <c r="E186" s="2"/>
      <c r="F186" s="2"/>
      <c r="G186" s="7"/>
      <c r="H186" s="7"/>
      <c r="I186" s="7"/>
      <c r="J186" s="7"/>
      <c r="K186" s="10"/>
      <c r="L186" s="200"/>
      <c r="M186" s="201"/>
      <c r="N186" s="201"/>
      <c r="O186" s="201"/>
      <c r="P186" s="201"/>
      <c r="Q186" s="201"/>
      <c r="R186" s="1200" t="s">
        <v>232</v>
      </c>
      <c r="S186" s="1200"/>
      <c r="T186" s="1200"/>
      <c r="U186" s="1200"/>
      <c r="V186" s="1200"/>
      <c r="W186" s="1200"/>
      <c r="X186" s="1200"/>
      <c r="Y186" s="1200"/>
      <c r="Z186" s="1200"/>
      <c r="AA186" s="1200"/>
      <c r="AB186" s="1200"/>
      <c r="AC186" s="1200"/>
      <c r="AD186" s="1200"/>
      <c r="AE186" s="1200"/>
      <c r="AF186" s="1200"/>
      <c r="AG186" s="1200"/>
      <c r="AH186" s="1200"/>
      <c r="AI186" s="1200"/>
      <c r="AJ186" s="1200"/>
      <c r="AK186" s="1200"/>
      <c r="AL186" s="1200"/>
      <c r="AM186" s="1200"/>
      <c r="AN186" s="177"/>
      <c r="AO186" s="1204"/>
      <c r="AP186" s="1204"/>
      <c r="AQ186" s="1204"/>
      <c r="AR186" s="1204"/>
      <c r="AS186" s="1205">
        <f>((AN182+AS184+AS185)/(1-AO186))*AO186</f>
        <v>0</v>
      </c>
      <c r="AT186" s="1205"/>
      <c r="AU186" s="1205"/>
      <c r="AV186" s="1205"/>
      <c r="AW186" s="1205"/>
      <c r="AX186" s="1205"/>
      <c r="AY186" s="1205"/>
      <c r="AZ186" s="1205"/>
      <c r="BA186" s="1205"/>
      <c r="BB186" s="1205"/>
      <c r="BC186" s="1205"/>
      <c r="BD186" s="1205"/>
      <c r="BE186" s="1205"/>
      <c r="BF186" s="201" t="s">
        <v>211</v>
      </c>
      <c r="BG186" s="201"/>
      <c r="BH186" s="201"/>
      <c r="BI186" s="148"/>
      <c r="BJ186" s="148"/>
      <c r="BK186" s="148"/>
      <c r="BL186" s="174"/>
      <c r="BM186" s="149"/>
      <c r="BN186" s="148"/>
      <c r="BO186" s="196" t="s">
        <v>233</v>
      </c>
      <c r="BP186" s="196"/>
      <c r="BQ186" s="196"/>
      <c r="BR186" s="196"/>
      <c r="BS186" s="196"/>
      <c r="BT186" s="196"/>
      <c r="BU186" s="196"/>
      <c r="BV186" s="196"/>
      <c r="BW186" s="196"/>
      <c r="BX186" s="196"/>
      <c r="BY186" s="196"/>
      <c r="BZ186" s="196"/>
      <c r="CA186" s="196"/>
      <c r="CB186" s="196"/>
      <c r="CC186" s="196"/>
      <c r="CD186" s="196"/>
      <c r="CE186" s="196"/>
      <c r="CF186" s="196"/>
      <c r="CG186" s="196"/>
      <c r="CH186" s="196"/>
      <c r="CI186" s="196"/>
      <c r="CJ186" s="1206">
        <f>AU187/CJ182</f>
        <v>12.254901960784315</v>
      </c>
      <c r="CK186" s="1206"/>
      <c r="CL186" s="1206"/>
      <c r="CM186" s="1206"/>
      <c r="CN186" s="1206"/>
      <c r="CO186" s="1206"/>
      <c r="CP186" s="1206"/>
      <c r="CQ186" s="1206"/>
      <c r="CR186" s="1206"/>
      <c r="CS186" s="1206"/>
      <c r="CT186" s="1206"/>
      <c r="CU186" s="1206"/>
      <c r="CV186" s="339" t="s">
        <v>231</v>
      </c>
      <c r="CW186" s="339"/>
      <c r="CX186" s="339"/>
      <c r="CY186" s="339"/>
      <c r="CZ186" s="339"/>
      <c r="DA186" s="339"/>
      <c r="DB186" s="339"/>
      <c r="DC186" s="339"/>
      <c r="DD186" s="339"/>
      <c r="DE186" s="339"/>
      <c r="DF186" s="339"/>
      <c r="DG186" s="339"/>
      <c r="DH186" s="339"/>
      <c r="DI186" s="198"/>
      <c r="DJ186" s="198"/>
      <c r="DK186" s="198"/>
      <c r="DL186" s="198"/>
      <c r="DM186" s="198"/>
      <c r="DN186" s="198"/>
      <c r="DO186" s="178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</row>
    <row r="187" spans="1:130" ht="9" customHeight="1" thickBot="1" x14ac:dyDescent="0.2">
      <c r="A187" s="2"/>
      <c r="B187" s="2"/>
      <c r="C187" s="2"/>
      <c r="D187" s="2"/>
      <c r="E187" s="2"/>
      <c r="F187" s="2"/>
      <c r="G187" s="7"/>
      <c r="H187" s="7"/>
      <c r="I187" s="7"/>
      <c r="J187" s="7"/>
      <c r="K187" s="10"/>
      <c r="L187" s="200"/>
      <c r="M187" s="201"/>
      <c r="N187" s="201"/>
      <c r="O187" s="201"/>
      <c r="P187" s="201"/>
      <c r="Q187" s="201"/>
      <c r="R187" s="1208" t="str">
        <f xml:space="preserve"> "= " &amp;BM12&amp;" Preis per Stück"</f>
        <v>= Testkalkulation Preis per Stück</v>
      </c>
      <c r="S187" s="1208"/>
      <c r="T187" s="1208"/>
      <c r="U187" s="1208"/>
      <c r="V187" s="1208"/>
      <c r="W187" s="1208"/>
      <c r="X187" s="1208"/>
      <c r="Y187" s="1208"/>
      <c r="Z187" s="1208"/>
      <c r="AA187" s="1208"/>
      <c r="AB187" s="1208"/>
      <c r="AC187" s="1208"/>
      <c r="AD187" s="1208"/>
      <c r="AE187" s="1208"/>
      <c r="AF187" s="1208"/>
      <c r="AG187" s="1208"/>
      <c r="AH187" s="1208"/>
      <c r="AI187" s="1208"/>
      <c r="AJ187" s="1208"/>
      <c r="AK187" s="1208"/>
      <c r="AL187" s="1208"/>
      <c r="AM187" s="1208"/>
      <c r="AN187" s="1208"/>
      <c r="AO187" s="1208"/>
      <c r="AP187" s="1208"/>
      <c r="AQ187" s="1208"/>
      <c r="AR187" s="1208"/>
      <c r="AS187" s="1208"/>
      <c r="AT187" s="1208"/>
      <c r="AU187" s="1209">
        <f>ROUNDUP(AN182+AS184+AS185+AS186,0)</f>
        <v>62</v>
      </c>
      <c r="AV187" s="1209"/>
      <c r="AW187" s="1209"/>
      <c r="AX187" s="1209"/>
      <c r="AY187" s="1209"/>
      <c r="AZ187" s="1209"/>
      <c r="BA187" s="1209"/>
      <c r="BB187" s="1209"/>
      <c r="BC187" s="1209"/>
      <c r="BD187" s="1209"/>
      <c r="BE187" s="1209"/>
      <c r="BF187" s="186"/>
      <c r="BG187" s="201"/>
      <c r="BH187" s="201"/>
      <c r="BI187" s="148"/>
      <c r="BJ187" s="148"/>
      <c r="BK187" s="148"/>
      <c r="BL187" s="174"/>
      <c r="BM187" s="149"/>
      <c r="BN187" s="148"/>
      <c r="BO187" s="196" t="s">
        <v>234</v>
      </c>
      <c r="BP187" s="196"/>
      <c r="BQ187" s="196"/>
      <c r="BR187" s="196"/>
      <c r="BS187" s="196"/>
      <c r="BT187" s="196"/>
      <c r="BU187" s="196"/>
      <c r="BV187" s="196"/>
      <c r="BW187" s="196"/>
      <c r="BX187" s="196"/>
      <c r="BY187" s="196"/>
      <c r="BZ187" s="196"/>
      <c r="CA187" s="196"/>
      <c r="CB187" s="196"/>
      <c r="CC187" s="196"/>
      <c r="CD187" s="196"/>
      <c r="CE187" s="196"/>
      <c r="CF187" s="196"/>
      <c r="CG187" s="196"/>
      <c r="CH187" s="196"/>
      <c r="CI187" s="196"/>
      <c r="CJ187" s="1199" t="str">
        <f>IF(DC61=0,"k.A.",AU187/DC61)</f>
        <v>k.A.</v>
      </c>
      <c r="CK187" s="1199"/>
      <c r="CL187" s="1199"/>
      <c r="CM187" s="1199"/>
      <c r="CN187" s="1199"/>
      <c r="CO187" s="1199"/>
      <c r="CP187" s="1199"/>
      <c r="CQ187" s="1199"/>
      <c r="CR187" s="1199"/>
      <c r="CS187" s="1199"/>
      <c r="CT187" s="1199"/>
      <c r="CU187" s="1199"/>
      <c r="CV187" s="339" t="s">
        <v>235</v>
      </c>
      <c r="CW187" s="339"/>
      <c r="CX187" s="339"/>
      <c r="CY187" s="339"/>
      <c r="CZ187" s="339"/>
      <c r="DA187" s="339"/>
      <c r="DB187" s="339"/>
      <c r="DC187" s="339"/>
      <c r="DD187" s="339"/>
      <c r="DE187" s="339"/>
      <c r="DF187" s="339"/>
      <c r="DG187" s="339"/>
      <c r="DH187" s="339"/>
      <c r="DI187" s="198"/>
      <c r="DJ187" s="198"/>
      <c r="DK187" s="198"/>
      <c r="DL187" s="198"/>
      <c r="DM187" s="198"/>
      <c r="DN187" s="198"/>
      <c r="DO187" s="178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</row>
    <row r="188" spans="1:130" ht="9" customHeight="1" thickTop="1" x14ac:dyDescent="0.2">
      <c r="A188" s="2"/>
      <c r="B188" s="2"/>
      <c r="C188" s="2"/>
      <c r="D188" s="2"/>
      <c r="E188" s="2"/>
      <c r="F188" s="2"/>
      <c r="G188" s="7"/>
      <c r="H188" s="7"/>
      <c r="I188" s="7"/>
      <c r="J188" s="7"/>
      <c r="K188" s="10"/>
      <c r="L188" s="200"/>
      <c r="M188" s="201"/>
      <c r="N188" s="201"/>
      <c r="O188" s="201"/>
      <c r="P188" s="201"/>
      <c r="Q188" s="201"/>
      <c r="R188" s="179"/>
      <c r="S188" s="180"/>
      <c r="T188" s="180"/>
      <c r="U188" s="180"/>
      <c r="V188" s="180"/>
      <c r="W188" s="180"/>
      <c r="X188" s="180"/>
      <c r="Y188" s="180"/>
      <c r="Z188" s="180"/>
      <c r="AA188" s="180"/>
      <c r="AB188" s="180"/>
      <c r="AC188" s="180"/>
      <c r="AD188" s="180"/>
      <c r="AE188" s="180"/>
      <c r="AF188" s="180"/>
      <c r="AG188" s="180"/>
      <c r="AH188" s="180"/>
      <c r="AI188" s="180"/>
      <c r="AJ188" s="180"/>
      <c r="AK188" s="180"/>
      <c r="AL188" s="180"/>
      <c r="AM188" s="180"/>
      <c r="AN188" s="181"/>
      <c r="AO188" s="181"/>
      <c r="AP188" s="181"/>
      <c r="AQ188" s="181"/>
      <c r="AR188" s="181"/>
      <c r="AS188" s="181"/>
      <c r="AT188" s="181"/>
      <c r="AU188" s="181"/>
      <c r="AV188" s="181"/>
      <c r="AW188" s="181"/>
      <c r="AX188" s="181"/>
      <c r="AY188" s="181"/>
      <c r="AZ188" s="181"/>
      <c r="BA188" s="181"/>
      <c r="BB188" s="181"/>
      <c r="BC188" s="181"/>
      <c r="BD188" s="181"/>
      <c r="BE188" s="181"/>
      <c r="BF188" s="201"/>
      <c r="BG188" s="201"/>
      <c r="BH188" s="201"/>
      <c r="BI188" s="148"/>
      <c r="BJ188" s="148"/>
      <c r="BK188" s="148"/>
      <c r="BL188" s="174"/>
      <c r="BM188" s="149"/>
      <c r="BN188" s="148"/>
      <c r="BO188" s="196" t="s">
        <v>236</v>
      </c>
      <c r="BP188" s="196"/>
      <c r="BQ188" s="196"/>
      <c r="BR188" s="196"/>
      <c r="BS188" s="196"/>
      <c r="BT188" s="196"/>
      <c r="BU188" s="196"/>
      <c r="BV188" s="196"/>
      <c r="BW188" s="196"/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CJ188" s="1199">
        <f>AU187/DC67</f>
        <v>0.88571428571428568</v>
      </c>
      <c r="CK188" s="1199"/>
      <c r="CL188" s="1199"/>
      <c r="CM188" s="1199"/>
      <c r="CN188" s="1199"/>
      <c r="CO188" s="1199"/>
      <c r="CP188" s="1199"/>
      <c r="CQ188" s="1199"/>
      <c r="CR188" s="1199"/>
      <c r="CS188" s="1199"/>
      <c r="CT188" s="1199"/>
      <c r="CU188" s="1199"/>
      <c r="CV188" s="339" t="s">
        <v>235</v>
      </c>
      <c r="CW188" s="339"/>
      <c r="CX188" s="339"/>
      <c r="CY188" s="339"/>
      <c r="CZ188" s="339"/>
      <c r="DA188" s="339"/>
      <c r="DB188" s="339"/>
      <c r="DC188" s="339"/>
      <c r="DD188" s="339"/>
      <c r="DE188" s="339"/>
      <c r="DF188" s="339"/>
      <c r="DG188" s="339"/>
      <c r="DH188" s="339"/>
      <c r="DI188" s="198"/>
      <c r="DJ188" s="198"/>
      <c r="DK188" s="198"/>
      <c r="DL188" s="198"/>
      <c r="DM188" s="198"/>
      <c r="DN188" s="198"/>
      <c r="DO188" s="178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</row>
    <row r="189" spans="1:130" ht="9" customHeight="1" x14ac:dyDescent="0.2">
      <c r="A189" s="2"/>
      <c r="B189" s="2"/>
      <c r="C189" s="2"/>
      <c r="D189" s="2"/>
      <c r="E189" s="2"/>
      <c r="F189" s="2"/>
      <c r="G189" s="7"/>
      <c r="H189" s="7"/>
      <c r="I189" s="7"/>
      <c r="J189" s="7"/>
      <c r="K189" s="10"/>
      <c r="L189" s="200"/>
      <c r="M189" s="201"/>
      <c r="N189" s="201"/>
      <c r="O189" s="201"/>
      <c r="P189" s="201"/>
      <c r="Q189" s="201"/>
      <c r="R189" s="1200" t="s">
        <v>237</v>
      </c>
      <c r="S189" s="1200"/>
      <c r="T189" s="1200"/>
      <c r="U189" s="1200"/>
      <c r="V189" s="1200"/>
      <c r="W189" s="1200"/>
      <c r="X189" s="1200"/>
      <c r="Y189" s="1200"/>
      <c r="Z189" s="1200"/>
      <c r="AA189" s="1200"/>
      <c r="AB189" s="1200"/>
      <c r="AC189" s="1200"/>
      <c r="AD189" s="1200"/>
      <c r="AE189" s="1200"/>
      <c r="AF189" s="1200"/>
      <c r="AG189" s="1200"/>
      <c r="AH189" s="1200"/>
      <c r="AI189" s="1200"/>
      <c r="AJ189" s="1200"/>
      <c r="AK189" s="1200"/>
      <c r="AL189" s="1200"/>
      <c r="AM189" s="1200"/>
      <c r="AN189" s="177"/>
      <c r="AO189" s="1201">
        <v>0</v>
      </c>
      <c r="AP189" s="1201"/>
      <c r="AQ189" s="1201"/>
      <c r="AR189" s="1201"/>
      <c r="AS189" s="1202">
        <f>KI_N</f>
        <v>1</v>
      </c>
      <c r="AT189" s="1202"/>
      <c r="AU189" s="1202"/>
      <c r="AV189" s="1202"/>
      <c r="AW189" s="1202"/>
      <c r="AX189" s="1202"/>
      <c r="AY189" s="1202"/>
      <c r="AZ189" s="1202"/>
      <c r="BA189" s="1202"/>
      <c r="BB189" s="1202"/>
      <c r="BC189" s="1202"/>
      <c r="BD189" s="1202"/>
      <c r="BE189" s="1202"/>
      <c r="BF189" s="167"/>
      <c r="BG189" s="167"/>
      <c r="BH189" s="167"/>
      <c r="BI189" s="148"/>
      <c r="BJ189" s="148"/>
      <c r="BK189" s="148"/>
      <c r="BL189" s="174"/>
      <c r="BM189" s="149"/>
      <c r="BN189" s="148"/>
      <c r="BO189" s="196" t="s">
        <v>238</v>
      </c>
      <c r="BP189" s="196"/>
      <c r="BQ189" s="196"/>
      <c r="BR189" s="196"/>
      <c r="BS189" s="196"/>
      <c r="BT189" s="196"/>
      <c r="BU189" s="196"/>
      <c r="BV189" s="196"/>
      <c r="BW189" s="196"/>
      <c r="BX189" s="196"/>
      <c r="BY189" s="196"/>
      <c r="BZ189" s="196"/>
      <c r="CA189" s="196"/>
      <c r="CB189" s="196"/>
      <c r="CC189" s="196"/>
      <c r="CD189" s="196"/>
      <c r="CE189" s="196"/>
      <c r="CF189" s="196"/>
      <c r="CG189" s="196"/>
      <c r="CH189" s="196"/>
      <c r="CI189" s="196"/>
      <c r="CJ189" s="1199" t="str">
        <f>IF(DC61=0,"k.A.",AU187/DC69)</f>
        <v>k.A.</v>
      </c>
      <c r="CK189" s="1199"/>
      <c r="CL189" s="1199"/>
      <c r="CM189" s="1199"/>
      <c r="CN189" s="1199"/>
      <c r="CO189" s="1199"/>
      <c r="CP189" s="1199"/>
      <c r="CQ189" s="1199"/>
      <c r="CR189" s="1199"/>
      <c r="CS189" s="1199"/>
      <c r="CT189" s="1199"/>
      <c r="CU189" s="1199"/>
      <c r="CV189" s="339" t="s">
        <v>235</v>
      </c>
      <c r="CW189" s="339"/>
      <c r="CX189" s="339"/>
      <c r="CY189" s="339"/>
      <c r="CZ189" s="339"/>
      <c r="DA189" s="339"/>
      <c r="DB189" s="339"/>
      <c r="DC189" s="339"/>
      <c r="DD189" s="339"/>
      <c r="DE189" s="339"/>
      <c r="DF189" s="339"/>
      <c r="DG189" s="339"/>
      <c r="DH189" s="339"/>
      <c r="DI189" s="198"/>
      <c r="DJ189" s="198"/>
      <c r="DK189" s="198"/>
      <c r="DL189" s="198"/>
      <c r="DM189" s="198"/>
      <c r="DN189" s="198"/>
      <c r="DO189" s="178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</row>
    <row r="190" spans="1:130" ht="9" customHeight="1" thickBot="1" x14ac:dyDescent="0.25">
      <c r="A190" s="2"/>
      <c r="B190" s="2"/>
      <c r="C190" s="2"/>
      <c r="D190" s="2"/>
      <c r="E190" s="2"/>
      <c r="F190" s="2"/>
      <c r="G190" s="7"/>
      <c r="H190" s="7"/>
      <c r="I190" s="7"/>
      <c r="J190" s="7"/>
      <c r="K190" s="10"/>
      <c r="L190" s="200"/>
      <c r="M190" s="201"/>
      <c r="N190" s="201"/>
      <c r="O190" s="201"/>
      <c r="P190" s="201"/>
      <c r="Q190" s="201"/>
      <c r="R190" s="182" t="s">
        <v>239</v>
      </c>
      <c r="S190" s="183"/>
      <c r="T190" s="183"/>
      <c r="U190" s="183"/>
      <c r="V190" s="183"/>
      <c r="W190" s="183"/>
      <c r="X190" s="183"/>
      <c r="Y190" s="183"/>
      <c r="Z190" s="183"/>
      <c r="AA190" s="183"/>
      <c r="AB190" s="183"/>
      <c r="AC190" s="183"/>
      <c r="AD190" s="183"/>
      <c r="AE190" s="183"/>
      <c r="AF190" s="183"/>
      <c r="AG190" s="183"/>
      <c r="AH190" s="183"/>
      <c r="AI190" s="183"/>
      <c r="AJ190" s="183"/>
      <c r="AK190" s="183"/>
      <c r="AL190" s="183"/>
      <c r="AM190" s="183"/>
      <c r="AN190" s="184">
        <f>AS189*AN187</f>
        <v>0</v>
      </c>
      <c r="AO190" s="1210">
        <f>AS189*AU187</f>
        <v>62</v>
      </c>
      <c r="AP190" s="1210"/>
      <c r="AQ190" s="1210"/>
      <c r="AR190" s="1210"/>
      <c r="AS190" s="1210"/>
      <c r="AT190" s="1210"/>
      <c r="AU190" s="1210"/>
      <c r="AV190" s="1210"/>
      <c r="AW190" s="1210"/>
      <c r="AX190" s="1210"/>
      <c r="AY190" s="1210"/>
      <c r="AZ190" s="1210"/>
      <c r="BA190" s="1210"/>
      <c r="BB190" s="1210"/>
      <c r="BC190" s="1210"/>
      <c r="BD190" s="1210"/>
      <c r="BE190" s="1210"/>
      <c r="BF190" s="167"/>
      <c r="BG190" s="167"/>
      <c r="BH190" s="167"/>
      <c r="BI190" s="148"/>
      <c r="BJ190" s="148"/>
      <c r="BK190" s="148"/>
      <c r="BL190" s="174"/>
      <c r="BM190" s="149"/>
      <c r="BN190" s="148"/>
      <c r="BO190" s="196"/>
      <c r="BP190" s="196"/>
      <c r="BQ190" s="196"/>
      <c r="BR190" s="196"/>
      <c r="BS190" s="196"/>
      <c r="BT190" s="196"/>
      <c r="BU190" s="196"/>
      <c r="BV190" s="196"/>
      <c r="BW190" s="196"/>
      <c r="BX190" s="196"/>
      <c r="BY190" s="196"/>
      <c r="BZ190" s="196"/>
      <c r="CA190" s="196"/>
      <c r="CB190" s="196"/>
      <c r="CC190" s="196"/>
      <c r="CD190" s="196"/>
      <c r="CE190" s="196"/>
      <c r="CF190" s="196"/>
      <c r="CG190" s="196"/>
      <c r="CH190" s="196"/>
      <c r="CI190" s="196"/>
      <c r="CJ190" s="196"/>
      <c r="CK190" s="196"/>
      <c r="CL190" s="148"/>
      <c r="CM190" s="197"/>
      <c r="CN190" s="197"/>
      <c r="CO190" s="197"/>
      <c r="CP190" s="197"/>
      <c r="CQ190" s="197"/>
      <c r="CR190" s="197"/>
      <c r="CS190" s="197"/>
      <c r="CT190" s="197"/>
      <c r="CU190" s="175"/>
      <c r="CV190" s="339"/>
      <c r="CW190" s="339"/>
      <c r="CX190" s="339"/>
      <c r="CY190" s="339"/>
      <c r="CZ190" s="339"/>
      <c r="DA190" s="339"/>
      <c r="DB190" s="339"/>
      <c r="DC190" s="339"/>
      <c r="DD190" s="339"/>
      <c r="DE190" s="339"/>
      <c r="DF190" s="339"/>
      <c r="DG190" s="339"/>
      <c r="DH190" s="339"/>
      <c r="DI190" s="198"/>
      <c r="DJ190" s="198"/>
      <c r="DK190" s="198"/>
      <c r="DL190" s="198"/>
      <c r="DM190" s="198"/>
      <c r="DN190" s="198"/>
      <c r="DO190" s="178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</row>
    <row r="191" spans="1:130" ht="9" customHeight="1" thickTop="1" x14ac:dyDescent="0.2">
      <c r="A191" s="2"/>
      <c r="B191" s="2"/>
      <c r="C191" s="2"/>
      <c r="D191" s="2"/>
      <c r="E191" s="2"/>
      <c r="F191" s="2"/>
      <c r="G191" s="7"/>
      <c r="H191" s="7"/>
      <c r="I191" s="7"/>
      <c r="J191" s="7"/>
      <c r="K191" s="10"/>
      <c r="L191" s="171"/>
      <c r="M191" s="53"/>
      <c r="N191" s="167"/>
      <c r="O191" s="167"/>
      <c r="P191" s="167"/>
      <c r="Q191" s="167"/>
      <c r="R191" s="1211" t="s">
        <v>240</v>
      </c>
      <c r="S191" s="1211"/>
      <c r="T191" s="1211"/>
      <c r="U191" s="1211"/>
      <c r="V191" s="1211"/>
      <c r="W191" s="1211"/>
      <c r="X191" s="1211"/>
      <c r="Y191" s="1211"/>
      <c r="Z191" s="1211"/>
      <c r="AA191" s="1211"/>
      <c r="AB191" s="1211"/>
      <c r="AC191" s="1211"/>
      <c r="AD191" s="1211"/>
      <c r="AE191" s="1211"/>
      <c r="AF191" s="1211"/>
      <c r="AG191" s="1211"/>
      <c r="AH191" s="1211"/>
      <c r="AI191" s="1211"/>
      <c r="AJ191" s="1211"/>
      <c r="AK191" s="1211"/>
      <c r="AL191" s="1211"/>
      <c r="AM191" s="1211"/>
      <c r="AN191" s="1211"/>
      <c r="AO191" s="1211"/>
      <c r="AP191" s="1211"/>
      <c r="AQ191" s="1211"/>
      <c r="AR191" s="1211"/>
      <c r="AS191" s="1211"/>
      <c r="AT191" s="1211"/>
      <c r="AU191" s="1211"/>
      <c r="AV191" s="1211"/>
      <c r="AW191" s="1211"/>
      <c r="AX191" s="1211"/>
      <c r="AY191" s="1211"/>
      <c r="AZ191" s="1211"/>
      <c r="BA191" s="1211"/>
      <c r="BB191" s="1211"/>
      <c r="BC191" s="1211"/>
      <c r="BD191" s="1211"/>
      <c r="BE191" s="1211"/>
      <c r="BF191" s="201" t="s">
        <v>211</v>
      </c>
      <c r="BG191" s="201"/>
      <c r="BH191" s="201"/>
      <c r="BI191" s="167"/>
      <c r="BJ191" s="167"/>
      <c r="BK191" s="167"/>
      <c r="BL191" s="167"/>
      <c r="BM191" s="161"/>
      <c r="BN191" s="167"/>
      <c r="BO191" s="167"/>
      <c r="BP191" s="167"/>
      <c r="BQ191" s="167"/>
      <c r="BR191" s="167"/>
      <c r="BS191" s="167"/>
      <c r="BT191" s="248"/>
      <c r="BU191" s="248"/>
      <c r="BV191" s="167"/>
      <c r="BW191" s="167"/>
      <c r="BX191" s="167"/>
      <c r="BY191" s="167"/>
      <c r="BZ191" s="167"/>
      <c r="CA191" s="167"/>
      <c r="CB191" s="167"/>
      <c r="CC191" s="167"/>
      <c r="CD191" s="167"/>
      <c r="CE191" s="167"/>
      <c r="CF191" s="167"/>
      <c r="CG191" s="167"/>
      <c r="CH191" s="167"/>
      <c r="CI191" s="167"/>
      <c r="CJ191" s="167"/>
      <c r="CK191" s="167"/>
      <c r="CL191" s="167"/>
      <c r="CM191" s="167"/>
      <c r="CN191" s="167"/>
      <c r="CO191" s="167"/>
      <c r="CP191" s="167"/>
      <c r="CQ191" s="167"/>
      <c r="CR191" s="167"/>
      <c r="CS191" s="167"/>
      <c r="CT191" s="167"/>
      <c r="CU191" s="316"/>
      <c r="CV191" s="316"/>
      <c r="CW191" s="316"/>
      <c r="CX191" s="316"/>
      <c r="CY191" s="316"/>
      <c r="CZ191" s="316"/>
      <c r="DA191" s="316"/>
      <c r="DB191" s="316"/>
      <c r="DC191" s="167"/>
      <c r="DD191" s="167"/>
      <c r="DE191" s="167"/>
      <c r="DF191" s="167"/>
      <c r="DG191" s="167"/>
      <c r="DH191" s="167"/>
      <c r="DI191" s="167"/>
      <c r="DJ191" s="167"/>
      <c r="DK191" s="167"/>
      <c r="DL191" s="167"/>
      <c r="DM191" s="167"/>
      <c r="DN191" s="167"/>
      <c r="DO191" s="216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</row>
    <row r="192" spans="1:130" ht="9" customHeight="1" x14ac:dyDescent="0.2">
      <c r="A192" s="2"/>
      <c r="B192" s="2"/>
      <c r="C192" s="2"/>
      <c r="D192" s="2"/>
      <c r="E192" s="2"/>
      <c r="F192" s="2"/>
      <c r="G192" s="7"/>
      <c r="H192" s="7"/>
      <c r="I192" s="7"/>
      <c r="J192" s="7"/>
      <c r="K192" s="10"/>
      <c r="L192" s="171"/>
      <c r="M192" s="53"/>
      <c r="N192" s="167"/>
      <c r="O192" s="167"/>
      <c r="P192" s="167"/>
      <c r="Q192" s="167"/>
      <c r="R192" s="1211"/>
      <c r="S192" s="1211"/>
      <c r="T192" s="1211"/>
      <c r="U192" s="1211"/>
      <c r="V192" s="1211"/>
      <c r="W192" s="1211"/>
      <c r="X192" s="1211"/>
      <c r="Y192" s="1211"/>
      <c r="Z192" s="1211"/>
      <c r="AA192" s="1211"/>
      <c r="AB192" s="1211"/>
      <c r="AC192" s="1211"/>
      <c r="AD192" s="1211"/>
      <c r="AE192" s="1211"/>
      <c r="AF192" s="1211"/>
      <c r="AG192" s="1211"/>
      <c r="AH192" s="1211"/>
      <c r="AI192" s="1211"/>
      <c r="AJ192" s="1211"/>
      <c r="AK192" s="1211"/>
      <c r="AL192" s="1211"/>
      <c r="AM192" s="1211"/>
      <c r="AN192" s="1211"/>
      <c r="AO192" s="1211"/>
      <c r="AP192" s="1211"/>
      <c r="AQ192" s="1211"/>
      <c r="AR192" s="1211"/>
      <c r="AS192" s="1211"/>
      <c r="AT192" s="1211"/>
      <c r="AU192" s="1211"/>
      <c r="AV192" s="1211"/>
      <c r="AW192" s="1211"/>
      <c r="AX192" s="1211"/>
      <c r="AY192" s="1211"/>
      <c r="AZ192" s="1211"/>
      <c r="BA192" s="1211"/>
      <c r="BB192" s="1211"/>
      <c r="BC192" s="1211"/>
      <c r="BD192" s="1211"/>
      <c r="BE192" s="1211"/>
      <c r="BF192" s="201" t="s">
        <v>211</v>
      </c>
      <c r="BG192" s="201"/>
      <c r="BH192" s="201"/>
      <c r="BI192" s="167"/>
      <c r="BJ192" s="167"/>
      <c r="BK192" s="167"/>
      <c r="BL192" s="167"/>
      <c r="BM192" s="161"/>
      <c r="BN192" s="167"/>
      <c r="BO192" s="167"/>
      <c r="BP192" s="167"/>
      <c r="BQ192" s="167"/>
      <c r="BR192" s="167"/>
      <c r="BS192" s="167"/>
      <c r="BT192" s="248"/>
      <c r="BU192" s="248"/>
      <c r="BV192" s="167"/>
      <c r="BW192" s="167"/>
      <c r="BX192" s="167"/>
      <c r="BY192" s="167"/>
      <c r="BZ192" s="167"/>
      <c r="CA192" s="167"/>
      <c r="CB192" s="167"/>
      <c r="CC192" s="167"/>
      <c r="CD192" s="167"/>
      <c r="CE192" s="167"/>
      <c r="CF192" s="167"/>
      <c r="CG192" s="167"/>
      <c r="CH192" s="167"/>
      <c r="CI192" s="167"/>
      <c r="CJ192" s="167"/>
      <c r="CK192" s="167"/>
      <c r="CL192" s="167"/>
      <c r="CM192" s="167"/>
      <c r="CN192" s="167"/>
      <c r="CO192" s="167"/>
      <c r="CP192" s="167"/>
      <c r="CQ192" s="167"/>
      <c r="CR192" s="167"/>
      <c r="CS192" s="167"/>
      <c r="CT192" s="167"/>
      <c r="CU192" s="316"/>
      <c r="CV192" s="316"/>
      <c r="CW192" s="316"/>
      <c r="CX192" s="316"/>
      <c r="CY192" s="316"/>
      <c r="CZ192" s="316"/>
      <c r="DA192" s="316"/>
      <c r="DB192" s="316"/>
      <c r="DC192" s="167"/>
      <c r="DD192" s="167"/>
      <c r="DE192" s="167"/>
      <c r="DF192" s="167"/>
      <c r="DG192" s="167"/>
      <c r="DH192" s="167"/>
      <c r="DI192" s="167"/>
      <c r="DJ192" s="167"/>
      <c r="DK192" s="167"/>
      <c r="DL192" s="167"/>
      <c r="DM192" s="167"/>
      <c r="DN192" s="167"/>
      <c r="DO192" s="216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</row>
    <row r="193" spans="1:130" ht="9" customHeight="1" x14ac:dyDescent="0.2">
      <c r="A193" s="2"/>
      <c r="B193" s="2"/>
      <c r="C193" s="2"/>
      <c r="D193" s="2"/>
      <c r="E193" s="2"/>
      <c r="F193" s="2"/>
      <c r="G193" s="7"/>
      <c r="H193" s="7"/>
      <c r="I193" s="7"/>
      <c r="J193" s="7"/>
      <c r="K193" s="10"/>
      <c r="L193" s="171"/>
      <c r="M193" s="53"/>
      <c r="N193" s="167"/>
      <c r="O193" s="186" t="s">
        <v>241</v>
      </c>
      <c r="P193" s="186"/>
      <c r="Q193" s="186"/>
      <c r="R193" s="186"/>
      <c r="S193" s="186"/>
      <c r="T193" s="186"/>
      <c r="U193" s="186"/>
      <c r="V193" s="186"/>
      <c r="W193" s="186"/>
      <c r="X193" s="186"/>
      <c r="Y193" s="186"/>
      <c r="Z193" s="186"/>
      <c r="AA193" s="186"/>
      <c r="AB193" s="1086" t="s">
        <v>355</v>
      </c>
      <c r="AC193" s="1086"/>
      <c r="AD193" s="1086"/>
      <c r="AE193" s="1086"/>
      <c r="AF193" s="1086"/>
      <c r="AG193" s="1086"/>
      <c r="AH193" s="1086"/>
      <c r="AI193" s="1086"/>
      <c r="AJ193" s="1086"/>
      <c r="AK193" s="1086"/>
      <c r="AL193" s="1086"/>
      <c r="AM193" s="1086"/>
      <c r="AN193" s="1086"/>
      <c r="AO193" s="1086"/>
      <c r="AP193" s="1086"/>
      <c r="AQ193" s="1086"/>
      <c r="AR193" s="1212"/>
      <c r="AS193" s="1212"/>
      <c r="AT193" s="1212"/>
      <c r="AU193" s="1212"/>
      <c r="AV193" s="1212"/>
      <c r="AW193" s="1212"/>
      <c r="AX193" s="1212"/>
      <c r="AY193" s="1212"/>
      <c r="AZ193" s="1212"/>
      <c r="BA193" s="1212"/>
      <c r="BB193" s="1212"/>
      <c r="BC193" s="1212"/>
      <c r="BD193" s="1212"/>
      <c r="BE193" s="1212"/>
      <c r="BF193" s="329" t="s">
        <v>211</v>
      </c>
      <c r="BG193" s="186"/>
      <c r="BH193" s="186"/>
      <c r="BI193" s="186"/>
      <c r="BJ193" s="186"/>
      <c r="BK193" s="186"/>
      <c r="BL193" s="206"/>
      <c r="BM193" s="161"/>
      <c r="BN193" s="167"/>
      <c r="BO193" s="167"/>
      <c r="BP193" s="167"/>
      <c r="BQ193" s="167"/>
      <c r="BR193" s="167"/>
      <c r="BS193" s="167"/>
      <c r="BT193" s="167"/>
      <c r="BU193" s="167"/>
      <c r="BV193" s="167"/>
      <c r="BW193" s="167"/>
      <c r="BX193" s="167"/>
      <c r="BY193" s="167"/>
      <c r="BZ193" s="167"/>
      <c r="CA193" s="167"/>
      <c r="CB193" s="167"/>
      <c r="CC193" s="167"/>
      <c r="CD193" s="167"/>
      <c r="CE193" s="167"/>
      <c r="CF193" s="167"/>
      <c r="CG193" s="167"/>
      <c r="CH193" s="167"/>
      <c r="CI193" s="317"/>
      <c r="CJ193" s="317"/>
      <c r="CK193" s="317"/>
      <c r="CL193" s="317"/>
      <c r="CM193" s="317"/>
      <c r="CN193" s="317"/>
      <c r="CO193" s="317"/>
      <c r="CP193" s="167"/>
      <c r="CQ193" s="167"/>
      <c r="CR193" s="167"/>
      <c r="CS193" s="167"/>
      <c r="CT193" s="167"/>
      <c r="CU193" s="167"/>
      <c r="CV193" s="167"/>
      <c r="CW193" s="167"/>
      <c r="CX193" s="167"/>
      <c r="CY193" s="167"/>
      <c r="CZ193" s="167"/>
      <c r="DA193" s="167"/>
      <c r="DB193" s="167"/>
      <c r="DC193" s="167"/>
      <c r="DD193" s="167"/>
      <c r="DE193" s="167"/>
      <c r="DF193" s="167"/>
      <c r="DG193" s="167"/>
      <c r="DH193" s="167"/>
      <c r="DI193" s="167"/>
      <c r="DJ193" s="167"/>
      <c r="DK193" s="167"/>
      <c r="DL193" s="167"/>
      <c r="DM193" s="167"/>
      <c r="DN193" s="167"/>
      <c r="DO193" s="216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</row>
    <row r="194" spans="1:130" ht="13.5" customHeight="1" x14ac:dyDescent="0.25">
      <c r="A194" s="2"/>
      <c r="B194" s="2"/>
      <c r="C194" s="2"/>
      <c r="D194" s="2"/>
      <c r="E194" s="2"/>
      <c r="F194" s="2"/>
      <c r="G194" s="7"/>
      <c r="H194" s="7"/>
      <c r="I194" s="7"/>
      <c r="J194" s="7"/>
      <c r="K194" s="10"/>
      <c r="L194" s="171"/>
      <c r="M194" s="53"/>
      <c r="N194" s="167"/>
      <c r="O194" s="186"/>
      <c r="P194" s="186"/>
      <c r="Q194" s="186"/>
      <c r="R194" s="186"/>
      <c r="S194" s="186"/>
      <c r="T194" s="186"/>
      <c r="U194" s="186"/>
      <c r="V194" s="186"/>
      <c r="W194" s="186"/>
      <c r="X194" s="186"/>
      <c r="Y194" s="186"/>
      <c r="Z194" s="186"/>
      <c r="AA194" s="186"/>
      <c r="AB194" s="1086" t="s">
        <v>356</v>
      </c>
      <c r="AC194" s="1086"/>
      <c r="AD194" s="1086"/>
      <c r="AE194" s="1086"/>
      <c r="AF194" s="1086"/>
      <c r="AG194" s="1086"/>
      <c r="AH194" s="1086"/>
      <c r="AI194" s="1086"/>
      <c r="AJ194" s="1086"/>
      <c r="AK194" s="1086"/>
      <c r="AL194" s="1086"/>
      <c r="AM194" s="1086"/>
      <c r="AN194" s="1086"/>
      <c r="AO194" s="1086"/>
      <c r="AP194" s="1086"/>
      <c r="AQ194" s="1086"/>
      <c r="AR194" s="1213" t="str">
        <f>IF(AR193="","",AR193-AU187)</f>
        <v/>
      </c>
      <c r="AS194" s="1213"/>
      <c r="AT194" s="1213"/>
      <c r="AU194" s="1213"/>
      <c r="AV194" s="1213"/>
      <c r="AW194" s="1213"/>
      <c r="AX194" s="1213"/>
      <c r="AY194" s="1213"/>
      <c r="AZ194" s="1213"/>
      <c r="BA194" s="1213"/>
      <c r="BB194" s="1213"/>
      <c r="BC194" s="1213"/>
      <c r="BD194" s="1213"/>
      <c r="BE194" s="1213"/>
      <c r="BF194" s="186"/>
      <c r="BG194" s="186"/>
      <c r="BH194" s="186"/>
      <c r="BI194" s="186"/>
      <c r="BJ194" s="186"/>
      <c r="BK194" s="186"/>
      <c r="BL194" s="186"/>
      <c r="BM194" s="161"/>
      <c r="BN194" s="167"/>
      <c r="BO194" s="167"/>
      <c r="BP194" s="167"/>
      <c r="BQ194" s="167"/>
      <c r="BR194" s="167"/>
      <c r="BS194" s="167"/>
      <c r="BT194" s="167"/>
      <c r="BU194" s="167"/>
      <c r="BV194" s="167"/>
      <c r="BW194" s="167"/>
      <c r="BX194" s="167"/>
      <c r="BY194" s="167"/>
      <c r="BZ194" s="167"/>
      <c r="CA194" s="167"/>
      <c r="CB194" s="167"/>
      <c r="CC194" s="167"/>
      <c r="CD194" s="167"/>
      <c r="CE194" s="167"/>
      <c r="CF194" s="167"/>
      <c r="CG194" s="167"/>
      <c r="CH194" s="167"/>
      <c r="CI194" s="317"/>
      <c r="CJ194" s="317"/>
      <c r="CK194" s="317"/>
      <c r="CL194" s="317"/>
      <c r="CM194" s="317"/>
      <c r="CN194" s="317"/>
      <c r="CO194" s="317"/>
      <c r="CP194" s="167"/>
      <c r="CQ194" s="167"/>
      <c r="CR194" s="167"/>
      <c r="CS194" s="167"/>
      <c r="CT194" s="167"/>
      <c r="CU194" s="167"/>
      <c r="CV194" s="167"/>
      <c r="CW194" s="167"/>
      <c r="CX194" s="167"/>
      <c r="CY194" s="167"/>
      <c r="CZ194" s="167"/>
      <c r="DA194" s="167"/>
      <c r="DB194" s="167"/>
      <c r="DC194" s="167"/>
      <c r="DD194" s="167"/>
      <c r="DE194" s="167"/>
      <c r="DF194" s="167"/>
      <c r="DG194" s="167"/>
      <c r="DH194" s="167"/>
      <c r="DI194" s="167"/>
      <c r="DJ194" s="167"/>
      <c r="DK194" s="167"/>
      <c r="DL194" s="167"/>
      <c r="DM194" s="167"/>
      <c r="DN194" s="167"/>
      <c r="DO194" s="216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</row>
    <row r="195" spans="1:130" ht="7.5" customHeight="1" x14ac:dyDescent="0.2">
      <c r="A195" s="2"/>
      <c r="B195" s="2"/>
      <c r="C195" s="2"/>
      <c r="D195" s="2"/>
      <c r="E195" s="2"/>
      <c r="F195" s="2"/>
      <c r="G195" s="7"/>
      <c r="H195" s="7"/>
      <c r="I195" s="7"/>
      <c r="J195" s="7"/>
      <c r="K195" s="11"/>
      <c r="L195" s="272"/>
      <c r="M195" s="273"/>
      <c r="N195" s="225"/>
      <c r="O195" s="187"/>
      <c r="P195" s="187"/>
      <c r="Q195" s="187"/>
      <c r="R195" s="187"/>
      <c r="S195" s="187"/>
      <c r="T195" s="187"/>
      <c r="U195" s="187"/>
      <c r="V195" s="187"/>
      <c r="W195" s="187"/>
      <c r="X195" s="187"/>
      <c r="Y195" s="187"/>
      <c r="Z195" s="187"/>
      <c r="AA195" s="187"/>
      <c r="AB195" s="187"/>
      <c r="AC195" s="187"/>
      <c r="AD195" s="187"/>
      <c r="AE195" s="187"/>
      <c r="AF195" s="193"/>
      <c r="AG195" s="193"/>
      <c r="AH195" s="193"/>
      <c r="AI195" s="193"/>
      <c r="AJ195" s="193"/>
      <c r="AK195" s="193"/>
      <c r="AL195" s="193"/>
      <c r="AM195" s="193"/>
      <c r="AN195" s="193"/>
      <c r="AO195" s="193"/>
      <c r="AP195" s="193"/>
      <c r="AQ195" s="193"/>
      <c r="AR195" s="207"/>
      <c r="AS195" s="207"/>
      <c r="AT195" s="207"/>
      <c r="AU195" s="207"/>
      <c r="AV195" s="207"/>
      <c r="AW195" s="207"/>
      <c r="AX195" s="207"/>
      <c r="AY195" s="207"/>
      <c r="AZ195" s="207"/>
      <c r="BA195" s="207"/>
      <c r="BB195" s="207"/>
      <c r="BC195" s="207"/>
      <c r="BD195" s="207"/>
      <c r="BE195" s="207"/>
      <c r="BF195" s="208"/>
      <c r="BG195" s="187"/>
      <c r="BH195" s="187"/>
      <c r="BI195" s="187"/>
      <c r="BJ195" s="187"/>
      <c r="BK195" s="187"/>
      <c r="BL195" s="187"/>
      <c r="BM195" s="225"/>
      <c r="BN195" s="225"/>
      <c r="BO195" s="225"/>
      <c r="BP195" s="225"/>
      <c r="BQ195" s="225"/>
      <c r="BR195" s="225"/>
      <c r="BS195" s="225"/>
      <c r="BT195" s="225"/>
      <c r="BU195" s="225"/>
      <c r="BV195" s="225"/>
      <c r="BW195" s="225"/>
      <c r="BX195" s="225"/>
      <c r="BY195" s="225"/>
      <c r="BZ195" s="225"/>
      <c r="CA195" s="225"/>
      <c r="CB195" s="225"/>
      <c r="CC195" s="225"/>
      <c r="CD195" s="225"/>
      <c r="CE195" s="225"/>
      <c r="CF195" s="225"/>
      <c r="CG195" s="225"/>
      <c r="CH195" s="225"/>
      <c r="CI195" s="318"/>
      <c r="CJ195" s="318"/>
      <c r="CK195" s="318"/>
      <c r="CL195" s="318"/>
      <c r="CM195" s="318"/>
      <c r="CN195" s="318"/>
      <c r="CO195" s="318"/>
      <c r="CP195" s="225"/>
      <c r="CQ195" s="225"/>
      <c r="CR195" s="225"/>
      <c r="CS195" s="225"/>
      <c r="CT195" s="225"/>
      <c r="CU195" s="225"/>
      <c r="CV195" s="225"/>
      <c r="CW195" s="225"/>
      <c r="CX195" s="225"/>
      <c r="CY195" s="225"/>
      <c r="CZ195" s="225"/>
      <c r="DA195" s="225"/>
      <c r="DB195" s="225"/>
      <c r="DC195" s="225"/>
      <c r="DD195" s="225"/>
      <c r="DE195" s="225"/>
      <c r="DF195" s="225"/>
      <c r="DG195" s="225"/>
      <c r="DH195" s="225"/>
      <c r="DI195" s="225"/>
      <c r="DJ195" s="225"/>
      <c r="DK195" s="225"/>
      <c r="DL195" s="225"/>
      <c r="DM195" s="225"/>
      <c r="DN195" s="225"/>
      <c r="DO195" s="309"/>
      <c r="DP195" s="12"/>
      <c r="DQ195" s="2"/>
      <c r="DR195" s="2"/>
      <c r="DS195" s="2"/>
      <c r="DT195" s="2"/>
      <c r="DU195" s="2"/>
      <c r="DV195" s="2"/>
      <c r="DW195" s="2"/>
      <c r="DX195" s="2"/>
      <c r="DY195" s="2"/>
      <c r="DZ195" s="2"/>
    </row>
    <row r="196" spans="1:130" ht="8.25" customHeight="1" x14ac:dyDescent="0.15">
      <c r="A196" s="2"/>
      <c r="B196" s="2"/>
      <c r="C196" s="2"/>
      <c r="D196" s="2"/>
      <c r="E196" s="2"/>
      <c r="F196" s="2"/>
      <c r="G196" s="7"/>
      <c r="H196" s="7"/>
      <c r="I196" s="7"/>
      <c r="J196" s="7"/>
      <c r="K196" s="11"/>
      <c r="L196" s="185">
        <v>1</v>
      </c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185">
        <v>108</v>
      </c>
      <c r="DP196" s="12"/>
      <c r="DQ196" s="2"/>
      <c r="DR196" s="2"/>
      <c r="DS196" s="2"/>
      <c r="DT196" s="2"/>
      <c r="DU196" s="2"/>
      <c r="DV196" s="2"/>
      <c r="DW196" s="2"/>
      <c r="DX196" s="2"/>
      <c r="DY196" s="2"/>
      <c r="DZ196" s="2"/>
    </row>
    <row r="197" spans="1:130" ht="8.25" customHeight="1" x14ac:dyDescent="0.15">
      <c r="A197" s="2"/>
      <c r="B197" s="2"/>
      <c r="C197" s="2"/>
      <c r="D197" s="2"/>
      <c r="E197" s="2"/>
      <c r="F197" s="2"/>
      <c r="G197" s="7"/>
      <c r="H197" s="7"/>
      <c r="I197" s="7"/>
      <c r="J197" s="7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</row>
    <row r="198" spans="1:130" ht="8.25" hidden="1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</row>
    <row r="199" spans="1:130" ht="8.25" hidden="1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</row>
    <row r="200" spans="1:130" ht="8.25" hidden="1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</row>
    <row r="201" spans="1:130" ht="8.25" hidden="1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</row>
    <row r="202" spans="1:130" ht="8.25" hidden="1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</row>
    <row r="203" spans="1:130" ht="8.25" hidden="1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</row>
    <row r="204" spans="1:130" ht="8.25" hidden="1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</row>
    <row r="205" spans="1:130" ht="8.25" hidden="1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</row>
    <row r="206" spans="1:130" ht="8.25" hidden="1" customHeight="1" x14ac:dyDescent="0.15">
      <c r="G206" s="21"/>
      <c r="H206" s="21"/>
      <c r="I206" s="21"/>
      <c r="J206" s="21"/>
      <c r="K206" s="23"/>
      <c r="CE206" s="88"/>
      <c r="CF206" s="88"/>
      <c r="CG206" s="88"/>
      <c r="CH206" s="88"/>
      <c r="CI206" s="88"/>
      <c r="CJ206" s="191"/>
      <c r="CK206" s="83"/>
      <c r="CL206" s="83"/>
      <c r="CM206" s="83"/>
      <c r="CN206" s="83"/>
      <c r="CP206" s="88"/>
      <c r="CQ206" s="88"/>
      <c r="CR206" s="88"/>
      <c r="CS206" s="88"/>
      <c r="CT206" s="88"/>
      <c r="CU206" s="88"/>
      <c r="CV206" s="21"/>
      <c r="CW206" s="21"/>
      <c r="CX206" s="21"/>
      <c r="CY206" s="21"/>
      <c r="CZ206" s="21"/>
      <c r="DA206" s="21"/>
      <c r="DB206" s="21"/>
    </row>
    <row r="207" spans="1:130" ht="8.25" hidden="1" customHeight="1" x14ac:dyDescent="0.15">
      <c r="G207" s="21"/>
      <c r="H207" s="21"/>
      <c r="I207" s="21"/>
      <c r="J207" s="21"/>
      <c r="K207" s="23"/>
      <c r="CE207" s="88"/>
      <c r="CF207" s="88"/>
      <c r="CG207" s="88"/>
      <c r="CH207" s="88"/>
      <c r="CI207" s="88"/>
      <c r="CJ207" s="191"/>
      <c r="CK207" s="83"/>
      <c r="CL207" s="83"/>
      <c r="CM207" s="83"/>
      <c r="CN207" s="83"/>
      <c r="CP207" s="88"/>
      <c r="CQ207" s="88"/>
      <c r="CR207" s="88"/>
      <c r="CS207" s="88"/>
      <c r="CT207" s="88"/>
      <c r="CU207" s="88"/>
      <c r="CV207" s="21"/>
      <c r="CW207" s="21"/>
      <c r="CX207" s="21"/>
      <c r="CY207" s="21"/>
      <c r="CZ207" s="21"/>
      <c r="DA207" s="21"/>
      <c r="DB207" s="21"/>
    </row>
    <row r="208" spans="1:130" ht="8.25" hidden="1" customHeight="1" x14ac:dyDescent="0.15">
      <c r="G208" s="21"/>
      <c r="H208" s="21"/>
      <c r="I208" s="21"/>
      <c r="J208" s="21"/>
      <c r="K208" s="23"/>
      <c r="L208" s="191"/>
      <c r="M208" s="191"/>
      <c r="N208" s="191"/>
      <c r="O208" s="191"/>
      <c r="P208" s="191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27"/>
      <c r="AH208" s="191"/>
      <c r="AI208" s="191"/>
      <c r="AJ208" s="191"/>
      <c r="AK208" s="191"/>
      <c r="AL208" s="191"/>
      <c r="AM208" s="191"/>
      <c r="AN208" s="191"/>
      <c r="AO208" s="191"/>
      <c r="AP208" s="191"/>
      <c r="CE208" s="88"/>
      <c r="CF208" s="88"/>
      <c r="CG208" s="88"/>
      <c r="CH208" s="88"/>
      <c r="CI208" s="88"/>
      <c r="CK208" s="83"/>
      <c r="CL208" s="83"/>
      <c r="CM208" s="83"/>
      <c r="CN208" s="83"/>
      <c r="CP208" s="88"/>
      <c r="CQ208" s="88"/>
      <c r="CR208" s="88"/>
      <c r="CS208" s="88"/>
      <c r="CT208" s="88"/>
      <c r="CU208" s="88"/>
      <c r="CV208" s="21"/>
      <c r="CW208" s="21"/>
      <c r="CX208" s="21"/>
      <c r="CY208" s="21"/>
      <c r="CZ208" s="21"/>
      <c r="DA208" s="21"/>
      <c r="DB208" s="21"/>
    </row>
    <row r="209" spans="7:106" ht="8.25" hidden="1" customHeight="1" x14ac:dyDescent="0.15">
      <c r="G209" s="21"/>
      <c r="H209" s="21"/>
      <c r="I209" s="21"/>
      <c r="J209" s="21"/>
      <c r="K209" s="23"/>
      <c r="CE209" s="88"/>
      <c r="CF209" s="88"/>
      <c r="CG209" s="88"/>
      <c r="CH209" s="88"/>
      <c r="CI209" s="88"/>
      <c r="CJ209" s="51"/>
      <c r="CK209" s="83"/>
      <c r="CL209" s="83"/>
      <c r="CM209" s="83"/>
      <c r="CN209" s="83"/>
      <c r="CP209" s="88"/>
      <c r="CQ209" s="88"/>
      <c r="CR209" s="88"/>
      <c r="CS209" s="88"/>
      <c r="CT209" s="88"/>
      <c r="CU209" s="88"/>
      <c r="CV209" s="21"/>
      <c r="CW209" s="21"/>
      <c r="CX209" s="21"/>
      <c r="CY209" s="21"/>
      <c r="CZ209" s="21"/>
      <c r="DA209" s="21"/>
      <c r="DB209" s="21"/>
    </row>
    <row r="210" spans="7:106" ht="8.25" hidden="1" customHeight="1" x14ac:dyDescent="0.15">
      <c r="G210" s="21"/>
      <c r="H210" s="21"/>
      <c r="I210" s="21"/>
      <c r="J210" s="21"/>
      <c r="K210" s="23"/>
      <c r="CE210" s="88"/>
      <c r="CF210" s="88"/>
      <c r="CG210" s="88"/>
      <c r="CH210" s="88"/>
      <c r="CI210" s="88"/>
      <c r="CJ210" s="51"/>
      <c r="CK210" s="83"/>
      <c r="CL210" s="83"/>
      <c r="CM210" s="83"/>
      <c r="CN210" s="83"/>
      <c r="CP210" s="88"/>
      <c r="CQ210" s="88"/>
      <c r="CR210" s="88"/>
      <c r="CS210" s="88"/>
      <c r="CT210" s="88"/>
      <c r="CU210" s="88"/>
      <c r="CV210" s="21"/>
      <c r="CW210" s="21"/>
      <c r="CX210" s="21"/>
      <c r="CY210" s="21"/>
      <c r="CZ210" s="21"/>
      <c r="DA210" s="21"/>
      <c r="DB210" s="21"/>
    </row>
    <row r="211" spans="7:106" ht="8.25" hidden="1" customHeight="1" x14ac:dyDescent="0.15">
      <c r="G211" s="21"/>
      <c r="H211" s="21"/>
      <c r="I211" s="21"/>
      <c r="J211" s="21"/>
      <c r="K211" s="23"/>
      <c r="CE211" s="88"/>
      <c r="CF211" s="88"/>
      <c r="CG211" s="88"/>
      <c r="CH211" s="88"/>
      <c r="CI211" s="88"/>
      <c r="CJ211" s="51"/>
      <c r="CK211" s="83"/>
      <c r="CL211" s="83"/>
      <c r="CM211" s="83"/>
      <c r="CN211" s="83"/>
      <c r="CP211" s="88"/>
      <c r="CQ211" s="88"/>
      <c r="CR211" s="88"/>
      <c r="CS211" s="88"/>
      <c r="CT211" s="88"/>
      <c r="CU211" s="88"/>
      <c r="CV211" s="21"/>
      <c r="CW211" s="21"/>
      <c r="CX211" s="21"/>
      <c r="CY211" s="21"/>
      <c r="CZ211" s="21"/>
      <c r="DA211" s="21"/>
      <c r="DB211" s="21"/>
    </row>
    <row r="212" spans="7:106" ht="8.25" hidden="1" customHeight="1" x14ac:dyDescent="0.15">
      <c r="G212" s="21"/>
      <c r="H212" s="21"/>
      <c r="I212" s="21"/>
      <c r="J212" s="21"/>
      <c r="K212" s="23"/>
      <c r="CE212" s="88"/>
      <c r="CF212" s="88"/>
      <c r="CG212" s="88"/>
      <c r="CH212" s="88"/>
      <c r="CI212" s="88"/>
      <c r="CJ212" s="51"/>
      <c r="CK212" s="83"/>
      <c r="CL212" s="83"/>
      <c r="CM212" s="83"/>
      <c r="CN212" s="83"/>
      <c r="CP212" s="88"/>
      <c r="CQ212" s="88"/>
      <c r="CR212" s="88"/>
      <c r="CS212" s="88"/>
      <c r="CT212" s="88"/>
      <c r="CU212" s="88"/>
      <c r="CV212" s="21"/>
      <c r="CW212" s="21"/>
      <c r="CX212" s="21"/>
      <c r="CY212" s="21"/>
      <c r="CZ212" s="21"/>
      <c r="DA212" s="21"/>
      <c r="DB212" s="21"/>
    </row>
    <row r="213" spans="7:106" ht="8.25" hidden="1" customHeight="1" x14ac:dyDescent="0.15">
      <c r="G213" s="21"/>
      <c r="H213" s="21"/>
      <c r="I213" s="21"/>
      <c r="J213" s="21"/>
      <c r="K213" s="23"/>
      <c r="CE213" s="88"/>
      <c r="CF213" s="88"/>
      <c r="CG213" s="88"/>
      <c r="CH213" s="88"/>
      <c r="CI213" s="88"/>
      <c r="CJ213" s="51"/>
      <c r="CK213" s="83"/>
      <c r="CL213" s="83"/>
      <c r="CM213" s="83"/>
      <c r="CN213" s="83"/>
      <c r="CP213" s="88"/>
      <c r="CQ213" s="88"/>
      <c r="CR213" s="88"/>
      <c r="CS213" s="88"/>
      <c r="CT213" s="88"/>
      <c r="CU213" s="88"/>
      <c r="CV213" s="21"/>
      <c r="CW213" s="21"/>
      <c r="CX213" s="21"/>
      <c r="CY213" s="21"/>
      <c r="CZ213" s="21"/>
      <c r="DA213" s="21"/>
      <c r="DB213" s="21"/>
    </row>
    <row r="214" spans="7:106" ht="8.25" hidden="1" customHeight="1" x14ac:dyDescent="0.15">
      <c r="G214" s="21"/>
      <c r="H214" s="21"/>
      <c r="I214" s="21"/>
      <c r="J214" s="21"/>
      <c r="K214" s="23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</row>
    <row r="215" spans="7:106" ht="8.25" hidden="1" customHeight="1" x14ac:dyDescent="0.15">
      <c r="G215" s="21"/>
      <c r="H215" s="21"/>
      <c r="I215" s="21"/>
      <c r="J215" s="21"/>
      <c r="K215" s="23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</row>
    <row r="216" spans="7:106" ht="8.25" hidden="1" customHeight="1" x14ac:dyDescent="0.15">
      <c r="G216" s="21"/>
      <c r="H216" s="21"/>
      <c r="I216" s="21"/>
      <c r="J216" s="21"/>
      <c r="K216" s="23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</row>
    <row r="217" spans="7:106" ht="8.25" hidden="1" customHeight="1" x14ac:dyDescent="0.15">
      <c r="G217" s="21"/>
      <c r="H217" s="21"/>
      <c r="I217" s="21"/>
      <c r="J217" s="21"/>
      <c r="K217" s="23"/>
      <c r="N217" s="893"/>
      <c r="O217" s="893"/>
      <c r="P217" s="893"/>
      <c r="Q217" s="893"/>
      <c r="R217" s="893"/>
      <c r="S217" s="893"/>
      <c r="T217" s="893"/>
      <c r="U217" s="893"/>
      <c r="V217" s="893"/>
      <c r="W217" s="893"/>
      <c r="X217" s="893"/>
      <c r="Y217" s="893"/>
      <c r="Z217" s="893"/>
      <c r="AA217" s="893"/>
      <c r="AB217" s="893"/>
      <c r="AC217" s="893"/>
      <c r="AD217" s="893"/>
      <c r="AE217" s="893"/>
      <c r="AF217" s="893"/>
      <c r="AG217" s="893"/>
      <c r="AH217" s="893"/>
      <c r="AI217" s="893"/>
      <c r="AJ217" s="893"/>
      <c r="AK217" s="893"/>
      <c r="AL217" s="893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</row>
    <row r="218" spans="7:106" ht="8.25" hidden="1" customHeight="1" x14ac:dyDescent="0.15">
      <c r="G218" s="21"/>
      <c r="H218" s="21"/>
      <c r="I218" s="21"/>
      <c r="J218" s="21"/>
      <c r="K218" s="23"/>
      <c r="N218" s="893"/>
      <c r="O218" s="893"/>
      <c r="P218" s="893"/>
      <c r="Q218" s="893"/>
      <c r="R218" s="893"/>
      <c r="S218" s="893"/>
      <c r="T218" s="893"/>
      <c r="U218" s="893"/>
      <c r="V218" s="893"/>
      <c r="W218" s="893"/>
      <c r="X218" s="893"/>
      <c r="Y218" s="893"/>
      <c r="Z218" s="893"/>
      <c r="AA218" s="893"/>
      <c r="AB218" s="893"/>
      <c r="AC218" s="893"/>
      <c r="AD218" s="893"/>
      <c r="AE218" s="893"/>
      <c r="AF218" s="893"/>
      <c r="AG218" s="893"/>
      <c r="AH218" s="893"/>
      <c r="AI218" s="893"/>
      <c r="AJ218" s="893"/>
      <c r="AK218" s="893"/>
      <c r="AL218" s="893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</row>
    <row r="219" spans="7:106" ht="8.25" hidden="1" customHeight="1" x14ac:dyDescent="0.15">
      <c r="G219" s="21"/>
      <c r="H219" s="21"/>
      <c r="I219" s="21"/>
      <c r="J219" s="21"/>
      <c r="K219" s="23"/>
      <c r="N219" s="895"/>
      <c r="O219" s="895"/>
      <c r="P219" s="895"/>
      <c r="Q219" s="895"/>
      <c r="R219" s="895"/>
      <c r="S219" s="895"/>
      <c r="Y219" s="895"/>
      <c r="Z219" s="895"/>
      <c r="AA219" s="895"/>
      <c r="AB219" s="895"/>
      <c r="AC219" s="895"/>
      <c r="AD219" s="895"/>
      <c r="AE219" s="896"/>
      <c r="AF219" s="896"/>
      <c r="AG219" s="896"/>
      <c r="AH219" s="896"/>
      <c r="AI219" s="896"/>
      <c r="AJ219" s="896"/>
      <c r="AK219" s="896"/>
      <c r="AL219" s="896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</row>
    <row r="220" spans="7:106" ht="8.25" hidden="1" customHeight="1" x14ac:dyDescent="0.15">
      <c r="G220" s="21"/>
      <c r="H220" s="21"/>
      <c r="I220" s="21"/>
      <c r="J220" s="21"/>
      <c r="K220" s="23"/>
      <c r="N220" s="895"/>
      <c r="O220" s="895"/>
      <c r="P220" s="895"/>
      <c r="Q220" s="895"/>
      <c r="R220" s="895"/>
      <c r="S220" s="895"/>
      <c r="Y220" s="895"/>
      <c r="Z220" s="895"/>
      <c r="AA220" s="895"/>
      <c r="AB220" s="895"/>
      <c r="AC220" s="895"/>
      <c r="AD220" s="895"/>
      <c r="AE220" s="896"/>
      <c r="AF220" s="896"/>
      <c r="AG220" s="896"/>
      <c r="AH220" s="896"/>
      <c r="AI220" s="896"/>
      <c r="AJ220" s="896"/>
      <c r="AK220" s="896"/>
      <c r="AL220" s="896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</row>
    <row r="221" spans="7:106" ht="8.25" hidden="1" customHeight="1" x14ac:dyDescent="0.15">
      <c r="G221" s="21"/>
      <c r="H221" s="21"/>
      <c r="I221" s="21"/>
      <c r="J221" s="21"/>
      <c r="K221" s="23"/>
      <c r="N221" s="895"/>
      <c r="O221" s="895"/>
      <c r="P221" s="895"/>
      <c r="Q221" s="895"/>
      <c r="R221" s="895"/>
      <c r="S221" s="895"/>
      <c r="Y221" s="895"/>
      <c r="Z221" s="895"/>
      <c r="AA221" s="895"/>
      <c r="AB221" s="895"/>
      <c r="AC221" s="895"/>
      <c r="AD221" s="895"/>
      <c r="AE221" s="896"/>
      <c r="AF221" s="896"/>
      <c r="AG221" s="896"/>
      <c r="AH221" s="896"/>
      <c r="AI221" s="896"/>
      <c r="AJ221" s="896"/>
      <c r="AK221" s="896"/>
      <c r="AL221" s="896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</row>
    <row r="222" spans="7:106" ht="8.25" hidden="1" customHeight="1" x14ac:dyDescent="0.15">
      <c r="G222" s="21"/>
      <c r="H222" s="21"/>
      <c r="I222" s="21"/>
      <c r="J222" s="21"/>
      <c r="K222" s="23"/>
      <c r="N222" s="895"/>
      <c r="O222" s="895"/>
      <c r="P222" s="895"/>
      <c r="Q222" s="895"/>
      <c r="R222" s="895"/>
      <c r="S222" s="895"/>
      <c r="Y222" s="895"/>
      <c r="Z222" s="895"/>
      <c r="AA222" s="895"/>
      <c r="AB222" s="895"/>
      <c r="AC222" s="895"/>
      <c r="AD222" s="895"/>
      <c r="AE222" s="896"/>
      <c r="AF222" s="896"/>
      <c r="AG222" s="896"/>
      <c r="AH222" s="896"/>
      <c r="AI222" s="896"/>
      <c r="AJ222" s="896"/>
      <c r="AK222" s="896"/>
      <c r="AL222" s="896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</row>
    <row r="223" spans="7:106" ht="8.25" hidden="1" customHeight="1" x14ac:dyDescent="0.15">
      <c r="G223" s="21"/>
      <c r="H223" s="21"/>
      <c r="I223" s="21"/>
      <c r="J223" s="21"/>
      <c r="K223" s="23"/>
      <c r="N223" s="895"/>
      <c r="O223" s="895"/>
      <c r="P223" s="895"/>
      <c r="Q223" s="895"/>
      <c r="R223" s="895"/>
      <c r="S223" s="895"/>
      <c r="Y223" s="895"/>
      <c r="Z223" s="895"/>
      <c r="AA223" s="895"/>
      <c r="AB223" s="895"/>
      <c r="AC223" s="895"/>
      <c r="AD223" s="895"/>
      <c r="AE223" s="896"/>
      <c r="AF223" s="896"/>
      <c r="AG223" s="896"/>
      <c r="AH223" s="896"/>
      <c r="AI223" s="896"/>
      <c r="AJ223" s="896"/>
      <c r="AK223" s="896"/>
      <c r="AL223" s="896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</row>
    <row r="224" spans="7:106" ht="8.25" hidden="1" customHeight="1" x14ac:dyDescent="0.15">
      <c r="G224" s="21"/>
      <c r="H224" s="21"/>
      <c r="I224" s="21"/>
      <c r="J224" s="21"/>
      <c r="K224" s="23"/>
      <c r="N224" s="895"/>
      <c r="O224" s="895"/>
      <c r="P224" s="895"/>
      <c r="Q224" s="895"/>
      <c r="R224" s="895"/>
      <c r="S224" s="895"/>
      <c r="Y224" s="895"/>
      <c r="Z224" s="895"/>
      <c r="AA224" s="895"/>
      <c r="AB224" s="895"/>
      <c r="AC224" s="895"/>
      <c r="AD224" s="895"/>
      <c r="AE224" s="896"/>
      <c r="AF224" s="896"/>
      <c r="AG224" s="896"/>
      <c r="AH224" s="896"/>
      <c r="AI224" s="896"/>
      <c r="AJ224" s="896"/>
      <c r="AK224" s="896"/>
      <c r="AL224" s="896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</row>
    <row r="225" spans="1:106" ht="8.25" hidden="1" customHeight="1" x14ac:dyDescent="0.15">
      <c r="G225" s="21"/>
      <c r="H225" s="21"/>
      <c r="I225" s="21"/>
      <c r="J225" s="21"/>
      <c r="K225" s="23"/>
      <c r="N225" s="895"/>
      <c r="O225" s="895"/>
      <c r="P225" s="895"/>
      <c r="Q225" s="895"/>
      <c r="R225" s="895"/>
      <c r="S225" s="895"/>
      <c r="Y225" s="895"/>
      <c r="Z225" s="895"/>
      <c r="AA225" s="895"/>
      <c r="AB225" s="895"/>
      <c r="AC225" s="895"/>
      <c r="AD225" s="895"/>
      <c r="AE225" s="896"/>
      <c r="AF225" s="896"/>
      <c r="AG225" s="896"/>
      <c r="AH225" s="896"/>
      <c r="AI225" s="896"/>
      <c r="AJ225" s="896"/>
      <c r="AK225" s="896"/>
      <c r="AL225" s="896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</row>
    <row r="226" spans="1:106" ht="8.25" hidden="1" customHeight="1" x14ac:dyDescent="0.15">
      <c r="G226" s="21"/>
      <c r="H226" s="21"/>
      <c r="I226" s="21"/>
      <c r="J226" s="21"/>
      <c r="K226" s="23"/>
      <c r="N226" s="895"/>
      <c r="O226" s="895"/>
      <c r="P226" s="895"/>
      <c r="Q226" s="895"/>
      <c r="R226" s="895"/>
      <c r="S226" s="895"/>
      <c r="Y226" s="895"/>
      <c r="Z226" s="895"/>
      <c r="AA226" s="895"/>
      <c r="AB226" s="895"/>
      <c r="AC226" s="895"/>
      <c r="AD226" s="895"/>
      <c r="AE226" s="896"/>
      <c r="AF226" s="896"/>
      <c r="AG226" s="896"/>
      <c r="AH226" s="896"/>
      <c r="AI226" s="896"/>
      <c r="AJ226" s="896"/>
      <c r="AK226" s="896"/>
      <c r="AL226" s="896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</row>
    <row r="227" spans="1:106" ht="8.25" hidden="1" customHeight="1" x14ac:dyDescent="0.15">
      <c r="G227" s="21"/>
      <c r="H227" s="21"/>
      <c r="I227" s="21"/>
      <c r="J227" s="21"/>
      <c r="K227" s="23"/>
      <c r="N227" s="895"/>
      <c r="O227" s="895"/>
      <c r="P227" s="895"/>
      <c r="Q227" s="895"/>
      <c r="R227" s="895"/>
      <c r="S227" s="895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</row>
    <row r="228" spans="1:106" ht="8.25" hidden="1" customHeight="1" x14ac:dyDescent="0.15">
      <c r="G228" s="21"/>
      <c r="H228" s="21"/>
      <c r="I228" s="21"/>
      <c r="J228" s="21"/>
      <c r="K228" s="23"/>
      <c r="N228" s="895"/>
      <c r="O228" s="895"/>
      <c r="P228" s="895"/>
      <c r="Q228" s="895"/>
      <c r="R228" s="895"/>
      <c r="S228" s="895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</row>
    <row r="229" spans="1:106" ht="8.25" hidden="1" customHeight="1" x14ac:dyDescent="0.15">
      <c r="G229" s="21"/>
      <c r="H229" s="21"/>
      <c r="I229" s="21"/>
      <c r="J229" s="21"/>
      <c r="K229" s="23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</row>
    <row r="230" spans="1:106" ht="8.25" hidden="1" customHeight="1" x14ac:dyDescent="0.15">
      <c r="G230" s="21"/>
      <c r="H230" s="21"/>
      <c r="I230" s="21"/>
      <c r="J230" s="21"/>
      <c r="K230" s="23"/>
      <c r="L230" s="21"/>
      <c r="M230" s="21"/>
      <c r="N230" s="21"/>
      <c r="O230" s="21"/>
    </row>
    <row r="231" spans="1:106" ht="8.25" hidden="1" customHeight="1" x14ac:dyDescent="0.15">
      <c r="G231" s="21"/>
      <c r="H231" s="21"/>
      <c r="I231" s="21"/>
      <c r="J231" s="21"/>
      <c r="K231" s="23"/>
      <c r="L231" s="21"/>
      <c r="M231" s="21"/>
      <c r="N231" s="21"/>
      <c r="O231" s="21"/>
    </row>
    <row r="232" spans="1:106" ht="8.25" hidden="1" customHeight="1" x14ac:dyDescent="0.15">
      <c r="G232" s="21"/>
      <c r="H232" s="21"/>
      <c r="I232" s="21"/>
      <c r="J232" s="21"/>
      <c r="K232" s="23"/>
    </row>
    <row r="233" spans="1:106" ht="8.25" hidden="1" customHeight="1" x14ac:dyDescent="0.15">
      <c r="G233" s="21"/>
      <c r="H233" s="21"/>
      <c r="I233" s="21"/>
      <c r="J233" s="21"/>
      <c r="K233" s="23"/>
    </row>
    <row r="234" spans="1:106" ht="8.25" hidden="1" customHeight="1" x14ac:dyDescent="0.15">
      <c r="G234" s="21"/>
      <c r="H234" s="21"/>
      <c r="I234" s="21"/>
      <c r="J234" s="21"/>
      <c r="K234" s="23"/>
    </row>
    <row r="235" spans="1:106" ht="8.25" hidden="1" customHeight="1" x14ac:dyDescent="0.2">
      <c r="A235" s="56"/>
      <c r="B235" s="56"/>
      <c r="C235" s="56"/>
      <c r="D235" s="56"/>
      <c r="E235" s="56"/>
      <c r="F235" s="56"/>
      <c r="G235" s="48"/>
      <c r="H235" s="48"/>
      <c r="I235" s="48"/>
      <c r="J235" s="48"/>
      <c r="K235" s="45"/>
    </row>
    <row r="236" spans="1:106" ht="8.25" hidden="1" customHeight="1" x14ac:dyDescent="0.2">
      <c r="A236" s="56"/>
      <c r="B236" s="56"/>
      <c r="C236" s="56"/>
      <c r="D236" s="56"/>
      <c r="E236" s="56"/>
      <c r="F236" s="56"/>
      <c r="G236" s="48"/>
      <c r="H236" s="48"/>
      <c r="I236" s="48"/>
      <c r="J236" s="48"/>
      <c r="K236" s="45"/>
    </row>
    <row r="237" spans="1:106" ht="8.25" hidden="1" customHeight="1" x14ac:dyDescent="0.15">
      <c r="G237" s="21"/>
      <c r="H237" s="21"/>
      <c r="I237" s="21"/>
      <c r="J237" s="21"/>
      <c r="K237" s="23"/>
    </row>
    <row r="238" spans="1:106" ht="8.25" hidden="1" customHeight="1" x14ac:dyDescent="0.15">
      <c r="G238" s="21"/>
      <c r="H238" s="21"/>
      <c r="I238" s="21"/>
      <c r="J238" s="21"/>
      <c r="K238" s="23"/>
    </row>
    <row r="239" spans="1:106" ht="8.25" hidden="1" customHeight="1" x14ac:dyDescent="0.15">
      <c r="G239" s="21"/>
      <c r="H239" s="21"/>
      <c r="I239" s="21"/>
      <c r="J239" s="21"/>
      <c r="K239" s="23"/>
    </row>
    <row r="240" spans="1:106" ht="8.25" hidden="1" customHeight="1" x14ac:dyDescent="0.15">
      <c r="K240" s="23"/>
    </row>
    <row r="241" spans="11:11" ht="8.25" hidden="1" customHeight="1" x14ac:dyDescent="0.15">
      <c r="K241" s="23"/>
    </row>
    <row r="242" spans="11:11" ht="8.25" hidden="1" customHeight="1" x14ac:dyDescent="0.15">
      <c r="K242" s="23"/>
    </row>
    <row r="243" spans="11:11" ht="8.25" hidden="1" customHeight="1" x14ac:dyDescent="0.15">
      <c r="K243" s="23"/>
    </row>
    <row r="244" spans="11:11" ht="8.25" hidden="1" customHeight="1" x14ac:dyDescent="0.15">
      <c r="K244" s="23"/>
    </row>
    <row r="245" spans="11:11" ht="8.25" hidden="1" customHeight="1" x14ac:dyDescent="0.15">
      <c r="K245" s="23"/>
    </row>
    <row r="246" spans="11:11" ht="8.25" hidden="1" customHeight="1" x14ac:dyDescent="0.15">
      <c r="K246" s="23"/>
    </row>
    <row r="247" spans="11:11" ht="8.25" hidden="1" customHeight="1" x14ac:dyDescent="0.15">
      <c r="K247" s="23"/>
    </row>
    <row r="248" spans="11:11" ht="8.25" hidden="1" customHeight="1" x14ac:dyDescent="0.15">
      <c r="K248" s="23"/>
    </row>
    <row r="249" spans="11:11" ht="8.25" hidden="1" customHeight="1" x14ac:dyDescent="0.15">
      <c r="K249" s="23"/>
    </row>
    <row r="250" spans="11:11" ht="8.25" hidden="1" customHeight="1" x14ac:dyDescent="0.15">
      <c r="K250" s="23"/>
    </row>
    <row r="251" spans="11:11" ht="8.25" hidden="1" customHeight="1" x14ac:dyDescent="0.15">
      <c r="K251" s="23"/>
    </row>
    <row r="252" spans="11:11" ht="8.25" hidden="1" customHeight="1" x14ac:dyDescent="0.15">
      <c r="K252" s="23"/>
    </row>
    <row r="253" spans="11:11" ht="8.25" hidden="1" customHeight="1" x14ac:dyDescent="0.15">
      <c r="K253" s="23"/>
    </row>
    <row r="254" spans="11:11" ht="8.25" hidden="1" customHeight="1" x14ac:dyDescent="0.15">
      <c r="K254" s="23"/>
    </row>
    <row r="255" spans="11:11" ht="8.25" hidden="1" customHeight="1" x14ac:dyDescent="0.15">
      <c r="K255" s="23"/>
    </row>
    <row r="256" spans="11:11" ht="8.25" hidden="1" customHeight="1" x14ac:dyDescent="0.15">
      <c r="K256" s="23"/>
    </row>
    <row r="257" spans="11:11" ht="8.25" hidden="1" customHeight="1" x14ac:dyDescent="0.15">
      <c r="K257" s="23"/>
    </row>
    <row r="258" spans="11:11" ht="8.25" hidden="1" customHeight="1" x14ac:dyDescent="0.15">
      <c r="K258" s="23"/>
    </row>
    <row r="259" spans="11:11" ht="8.25" hidden="1" customHeight="1" x14ac:dyDescent="0.15">
      <c r="K259" s="23"/>
    </row>
    <row r="260" spans="11:11" ht="8.25" hidden="1" customHeight="1" x14ac:dyDescent="0.15">
      <c r="K260" s="23"/>
    </row>
    <row r="261" spans="11:11" ht="8.25" hidden="1" customHeight="1" x14ac:dyDescent="0.15">
      <c r="K261" s="23"/>
    </row>
    <row r="262" spans="11:11" ht="8.25" hidden="1" customHeight="1" x14ac:dyDescent="0.15">
      <c r="K262" s="23"/>
    </row>
    <row r="263" spans="11:11" ht="8.25" hidden="1" customHeight="1" x14ac:dyDescent="0.15">
      <c r="K263" s="23"/>
    </row>
    <row r="264" spans="11:11" ht="8.25" hidden="1" customHeight="1" x14ac:dyDescent="0.15">
      <c r="K264" s="23"/>
    </row>
    <row r="265" spans="11:11" ht="8.25" hidden="1" customHeight="1" x14ac:dyDescent="0.15">
      <c r="K265" s="23"/>
    </row>
    <row r="266" spans="11:11" ht="8.25" hidden="1" customHeight="1" x14ac:dyDescent="0.15">
      <c r="K266" s="23"/>
    </row>
    <row r="267" spans="11:11" ht="8.25" hidden="1" customHeight="1" x14ac:dyDescent="0.15">
      <c r="K267" s="23"/>
    </row>
    <row r="268" spans="11:11" ht="8.25" hidden="1" customHeight="1" x14ac:dyDescent="0.15">
      <c r="K268" s="23"/>
    </row>
    <row r="269" spans="11:11" ht="8.25" hidden="1" customHeight="1" x14ac:dyDescent="0.15">
      <c r="K269" s="23"/>
    </row>
    <row r="270" spans="11:11" ht="8.25" hidden="1" customHeight="1" x14ac:dyDescent="0.15">
      <c r="K270" s="23"/>
    </row>
    <row r="271" spans="11:11" ht="8.25" hidden="1" customHeight="1" x14ac:dyDescent="0.15">
      <c r="K271" s="23"/>
    </row>
    <row r="272" spans="11:11" ht="8.25" hidden="1" customHeight="1" x14ac:dyDescent="0.15">
      <c r="K272" s="23"/>
    </row>
    <row r="273" spans="11:11" ht="8.25" hidden="1" customHeight="1" x14ac:dyDescent="0.15">
      <c r="K273" s="23"/>
    </row>
    <row r="274" spans="11:11" ht="8.25" hidden="1" customHeight="1" x14ac:dyDescent="0.15">
      <c r="K274" s="23"/>
    </row>
    <row r="275" spans="11:11" ht="8.25" hidden="1" customHeight="1" x14ac:dyDescent="0.15">
      <c r="K275" s="23"/>
    </row>
    <row r="276" spans="11:11" ht="8.25" hidden="1" customHeight="1" x14ac:dyDescent="0.15">
      <c r="K276" s="23"/>
    </row>
    <row r="277" spans="11:11" ht="8.25" hidden="1" customHeight="1" x14ac:dyDescent="0.15">
      <c r="K277" s="23"/>
    </row>
    <row r="278" spans="11:11" ht="8.25" hidden="1" customHeight="1" x14ac:dyDescent="0.15">
      <c r="K278" s="23"/>
    </row>
    <row r="279" spans="11:11" ht="8.25" hidden="1" customHeight="1" x14ac:dyDescent="0.15">
      <c r="K279" s="23"/>
    </row>
    <row r="280" spans="11:11" ht="8.25" hidden="1" customHeight="1" x14ac:dyDescent="0.15">
      <c r="K280" s="23"/>
    </row>
    <row r="281" spans="11:11" ht="8.25" hidden="1" customHeight="1" x14ac:dyDescent="0.15">
      <c r="K281" s="23"/>
    </row>
    <row r="282" spans="11:11" ht="8.25" hidden="1" customHeight="1" x14ac:dyDescent="0.15">
      <c r="K282" s="23"/>
    </row>
    <row r="283" spans="11:11" ht="8.25" hidden="1" customHeight="1" x14ac:dyDescent="0.15">
      <c r="K283" s="23"/>
    </row>
    <row r="284" spans="11:11" ht="8.25" hidden="1" customHeight="1" x14ac:dyDescent="0.15">
      <c r="K284" s="23"/>
    </row>
    <row r="285" spans="11:11" ht="8.25" hidden="1" customHeight="1" x14ac:dyDescent="0.15">
      <c r="K285" s="23"/>
    </row>
    <row r="286" spans="11:11" ht="8.25" hidden="1" customHeight="1" x14ac:dyDescent="0.15">
      <c r="K286" s="23"/>
    </row>
    <row r="287" spans="11:11" ht="8.25" hidden="1" customHeight="1" x14ac:dyDescent="0.15">
      <c r="K287" s="23"/>
    </row>
    <row r="288" spans="11:11" ht="8.25" hidden="1" customHeight="1" x14ac:dyDescent="0.15">
      <c r="K288" s="23"/>
    </row>
    <row r="289" spans="11:11" ht="8.25" hidden="1" customHeight="1" x14ac:dyDescent="0.15">
      <c r="K289" s="23"/>
    </row>
    <row r="290" spans="11:11" ht="8.25" hidden="1" customHeight="1" x14ac:dyDescent="0.15">
      <c r="K290" s="23"/>
    </row>
    <row r="291" spans="11:11" ht="8.25" hidden="1" customHeight="1" x14ac:dyDescent="0.15">
      <c r="K291" s="23"/>
    </row>
    <row r="292" spans="11:11" ht="8.25" hidden="1" customHeight="1" x14ac:dyDescent="0.15">
      <c r="K292" s="23"/>
    </row>
    <row r="293" spans="11:11" ht="8.25" hidden="1" customHeight="1" x14ac:dyDescent="0.15">
      <c r="K293" s="23"/>
    </row>
    <row r="294" spans="11:11" ht="8.25" hidden="1" customHeight="1" x14ac:dyDescent="0.15">
      <c r="K294" s="23"/>
    </row>
    <row r="295" spans="11:11" ht="8.25" hidden="1" customHeight="1" x14ac:dyDescent="0.15">
      <c r="K295" s="23"/>
    </row>
    <row r="296" spans="11:11" ht="8.25" hidden="1" customHeight="1" x14ac:dyDescent="0.15">
      <c r="K296" s="23"/>
    </row>
    <row r="297" spans="11:11" ht="8.25" hidden="1" customHeight="1" x14ac:dyDescent="0.15">
      <c r="K297" s="23"/>
    </row>
    <row r="298" spans="11:11" ht="8.25" hidden="1" customHeight="1" x14ac:dyDescent="0.15">
      <c r="K298" s="23"/>
    </row>
    <row r="299" spans="11:11" ht="8.25" hidden="1" customHeight="1" x14ac:dyDescent="0.15">
      <c r="K299" s="23"/>
    </row>
    <row r="300" spans="11:11" ht="8.25" hidden="1" customHeight="1" x14ac:dyDescent="0.15">
      <c r="K300" s="23"/>
    </row>
    <row r="301" spans="11:11" ht="8.25" hidden="1" customHeight="1" x14ac:dyDescent="0.15">
      <c r="K301" s="23"/>
    </row>
    <row r="302" spans="11:11" ht="8.25" hidden="1" customHeight="1" x14ac:dyDescent="0.15">
      <c r="K302" s="23"/>
    </row>
    <row r="303" spans="11:11" ht="8.25" hidden="1" customHeight="1" x14ac:dyDescent="0.15">
      <c r="K303" s="23"/>
    </row>
    <row r="304" spans="11:11" ht="8.25" hidden="1" customHeight="1" x14ac:dyDescent="0.15">
      <c r="K304" s="23"/>
    </row>
    <row r="305" spans="11:11" ht="8.25" hidden="1" customHeight="1" x14ac:dyDescent="0.15">
      <c r="K305" s="23"/>
    </row>
    <row r="306" spans="11:11" ht="8.25" hidden="1" customHeight="1" x14ac:dyDescent="0.15">
      <c r="K306" s="23"/>
    </row>
    <row r="307" spans="11:11" ht="8.25" hidden="1" customHeight="1" x14ac:dyDescent="0.15">
      <c r="K307" s="23"/>
    </row>
    <row r="308" spans="11:11" ht="8.25" hidden="1" customHeight="1" x14ac:dyDescent="0.15">
      <c r="K308" s="23"/>
    </row>
    <row r="309" spans="11:11" ht="8.25" hidden="1" customHeight="1" x14ac:dyDescent="0.15">
      <c r="K309" s="23"/>
    </row>
    <row r="310" spans="11:11" ht="8.25" hidden="1" customHeight="1" x14ac:dyDescent="0.15">
      <c r="K310" s="23"/>
    </row>
    <row r="311" spans="11:11" ht="8.25" hidden="1" customHeight="1" x14ac:dyDescent="0.15">
      <c r="K311" s="23"/>
    </row>
    <row r="312" spans="11:11" ht="8.25" hidden="1" customHeight="1" x14ac:dyDescent="0.15">
      <c r="K312" s="23"/>
    </row>
    <row r="313" spans="11:11" ht="8.25" hidden="1" customHeight="1" x14ac:dyDescent="0.15">
      <c r="K313" s="23"/>
    </row>
    <row r="314" spans="11:11" ht="8.25" hidden="1" customHeight="1" x14ac:dyDescent="0.15">
      <c r="K314" s="23"/>
    </row>
    <row r="315" spans="11:11" ht="8.25" hidden="1" customHeight="1" x14ac:dyDescent="0.15">
      <c r="K315" s="23"/>
    </row>
    <row r="316" spans="11:11" ht="8.25" hidden="1" customHeight="1" x14ac:dyDescent="0.15">
      <c r="K316" s="23"/>
    </row>
    <row r="317" spans="11:11" ht="8.25" hidden="1" customHeight="1" x14ac:dyDescent="0.15">
      <c r="K317" s="23"/>
    </row>
    <row r="318" spans="11:11" ht="8.25" hidden="1" customHeight="1" x14ac:dyDescent="0.15">
      <c r="K318" s="23"/>
    </row>
    <row r="319" spans="11:11" ht="8.25" hidden="1" customHeight="1" x14ac:dyDescent="0.15">
      <c r="K319" s="23"/>
    </row>
    <row r="320" spans="11:11" ht="8.25" hidden="1" customHeight="1" x14ac:dyDescent="0.15">
      <c r="K320" s="23"/>
    </row>
    <row r="321" spans="11:11" ht="8.25" hidden="1" customHeight="1" x14ac:dyDescent="0.15">
      <c r="K321" s="23"/>
    </row>
    <row r="322" spans="11:11" ht="8.25" hidden="1" customHeight="1" x14ac:dyDescent="0.15">
      <c r="K322" s="23"/>
    </row>
    <row r="323" spans="11:11" ht="8.25" hidden="1" customHeight="1" x14ac:dyDescent="0.15">
      <c r="K323" s="23"/>
    </row>
    <row r="324" spans="11:11" ht="8.25" hidden="1" customHeight="1" x14ac:dyDescent="0.15">
      <c r="K324" s="23"/>
    </row>
    <row r="325" spans="11:11" ht="8.25" hidden="1" customHeight="1" x14ac:dyDescent="0.15">
      <c r="K325" s="23"/>
    </row>
    <row r="326" spans="11:11" ht="8.25" hidden="1" customHeight="1" x14ac:dyDescent="0.15">
      <c r="K326" s="23"/>
    </row>
    <row r="327" spans="11:11" ht="8.25" hidden="1" customHeight="1" x14ac:dyDescent="0.15">
      <c r="K327" s="23"/>
    </row>
    <row r="328" spans="11:11" ht="8.25" hidden="1" customHeight="1" x14ac:dyDescent="0.15">
      <c r="K328" s="23"/>
    </row>
    <row r="329" spans="11:11" ht="8.25" hidden="1" customHeight="1" x14ac:dyDescent="0.15">
      <c r="K329" s="23"/>
    </row>
    <row r="330" spans="11:11" ht="8.25" hidden="1" customHeight="1" x14ac:dyDescent="0.15">
      <c r="K330" s="23"/>
    </row>
    <row r="331" spans="11:11" ht="8.25" hidden="1" customHeight="1" x14ac:dyDescent="0.15">
      <c r="K331" s="23"/>
    </row>
    <row r="332" spans="11:11" ht="8.25" hidden="1" customHeight="1" x14ac:dyDescent="0.15">
      <c r="K332" s="23"/>
    </row>
    <row r="333" spans="11:11" ht="8.25" hidden="1" customHeight="1" x14ac:dyDescent="0.15">
      <c r="K333" s="23"/>
    </row>
    <row r="334" spans="11:11" ht="8.25" hidden="1" customHeight="1" x14ac:dyDescent="0.15">
      <c r="K334" s="23"/>
    </row>
    <row r="335" spans="11:11" ht="8.25" hidden="1" customHeight="1" x14ac:dyDescent="0.15">
      <c r="K335" s="23"/>
    </row>
    <row r="336" spans="11:11" ht="8.25" hidden="1" customHeight="1" x14ac:dyDescent="0.15">
      <c r="K336" s="23"/>
    </row>
    <row r="337" spans="11:11" ht="8.25" hidden="1" customHeight="1" x14ac:dyDescent="0.15">
      <c r="K337" s="23"/>
    </row>
    <row r="338" spans="11:11" ht="8.25" hidden="1" customHeight="1" x14ac:dyDescent="0.15">
      <c r="K338" s="23"/>
    </row>
    <row r="339" spans="11:11" ht="8.25" hidden="1" customHeight="1" x14ac:dyDescent="0.15">
      <c r="K339" s="23"/>
    </row>
    <row r="340" spans="11:11" ht="8.25" hidden="1" customHeight="1" x14ac:dyDescent="0.15">
      <c r="K340" s="23"/>
    </row>
    <row r="341" spans="11:11" ht="8.25" hidden="1" customHeight="1" x14ac:dyDescent="0.15">
      <c r="K341" s="23"/>
    </row>
    <row r="342" spans="11:11" ht="8.25" hidden="1" customHeight="1" x14ac:dyDescent="0.15">
      <c r="K342" s="23"/>
    </row>
    <row r="343" spans="11:11" ht="8.25" hidden="1" customHeight="1" x14ac:dyDescent="0.15">
      <c r="K343" s="23"/>
    </row>
    <row r="344" spans="11:11" ht="8.25" hidden="1" customHeight="1" x14ac:dyDescent="0.15">
      <c r="K344" s="23"/>
    </row>
    <row r="345" spans="11:11" ht="8.25" hidden="1" customHeight="1" x14ac:dyDescent="0.15">
      <c r="K345" s="23"/>
    </row>
    <row r="346" spans="11:11" ht="8.25" hidden="1" customHeight="1" x14ac:dyDescent="0.15">
      <c r="K346" s="23"/>
    </row>
    <row r="347" spans="11:11" ht="8.25" hidden="1" customHeight="1" x14ac:dyDescent="0.15">
      <c r="K347" s="23"/>
    </row>
    <row r="348" spans="11:11" ht="8.25" hidden="1" customHeight="1" x14ac:dyDescent="0.15">
      <c r="K348" s="23"/>
    </row>
    <row r="349" spans="11:11" ht="8.25" hidden="1" customHeight="1" x14ac:dyDescent="0.15">
      <c r="K349" s="23"/>
    </row>
    <row r="350" spans="11:11" ht="8.25" hidden="1" customHeight="1" x14ac:dyDescent="0.15">
      <c r="K350" s="23"/>
    </row>
    <row r="351" spans="11:11" ht="8.25" hidden="1" customHeight="1" x14ac:dyDescent="0.15">
      <c r="K351" s="23"/>
    </row>
    <row r="352" spans="11:11" ht="8.25" hidden="1" customHeight="1" x14ac:dyDescent="0.15">
      <c r="K352" s="23"/>
    </row>
    <row r="353" spans="11:11" ht="8.25" hidden="1" customHeight="1" x14ac:dyDescent="0.15">
      <c r="K353" s="23"/>
    </row>
    <row r="354" spans="11:11" ht="8.25" hidden="1" customHeight="1" x14ac:dyDescent="0.15">
      <c r="K354" s="23"/>
    </row>
    <row r="355" spans="11:11" ht="8.25" hidden="1" customHeight="1" x14ac:dyDescent="0.15">
      <c r="K355" s="23"/>
    </row>
    <row r="356" spans="11:11" ht="8.25" hidden="1" customHeight="1" x14ac:dyDescent="0.15">
      <c r="K356" s="23"/>
    </row>
    <row r="357" spans="11:11" ht="8.25" hidden="1" customHeight="1" x14ac:dyDescent="0.15">
      <c r="K357" s="23"/>
    </row>
    <row r="358" spans="11:11" ht="8.25" hidden="1" customHeight="1" x14ac:dyDescent="0.15">
      <c r="K358" s="23"/>
    </row>
    <row r="359" spans="11:11" ht="8.25" hidden="1" customHeight="1" x14ac:dyDescent="0.15">
      <c r="K359" s="23"/>
    </row>
    <row r="360" spans="11:11" ht="8.25" hidden="1" customHeight="1" x14ac:dyDescent="0.15">
      <c r="K360" s="23"/>
    </row>
    <row r="361" spans="11:11" ht="8.25" hidden="1" customHeight="1" x14ac:dyDescent="0.15">
      <c r="K361" s="23"/>
    </row>
    <row r="362" spans="11:11" ht="8.25" hidden="1" customHeight="1" x14ac:dyDescent="0.15">
      <c r="K362" s="23"/>
    </row>
    <row r="363" spans="11:11" ht="8.25" hidden="1" customHeight="1" x14ac:dyDescent="0.15">
      <c r="K363" s="23"/>
    </row>
    <row r="364" spans="11:11" ht="8.25" hidden="1" customHeight="1" x14ac:dyDescent="0.15">
      <c r="K364" s="23"/>
    </row>
    <row r="365" spans="11:11" ht="8.25" hidden="1" customHeight="1" x14ac:dyDescent="0.15">
      <c r="K365" s="23"/>
    </row>
    <row r="366" spans="11:11" ht="8.25" hidden="1" customHeight="1" x14ac:dyDescent="0.15">
      <c r="K366" s="23"/>
    </row>
    <row r="367" spans="11:11" ht="8.25" hidden="1" customHeight="1" x14ac:dyDescent="0.15">
      <c r="K367" s="23"/>
    </row>
    <row r="368" spans="11:11" ht="8.25" hidden="1" customHeight="1" x14ac:dyDescent="0.15">
      <c r="K368" s="23"/>
    </row>
    <row r="369" spans="11:11" ht="8.25" hidden="1" customHeight="1" x14ac:dyDescent="0.15">
      <c r="K369" s="23"/>
    </row>
    <row r="370" spans="11:11" ht="8.25" hidden="1" customHeight="1" x14ac:dyDescent="0.15">
      <c r="K370" s="23"/>
    </row>
    <row r="371" spans="11:11" ht="8.25" hidden="1" customHeight="1" x14ac:dyDescent="0.15">
      <c r="K371" s="23"/>
    </row>
    <row r="372" spans="11:11" ht="8.25" hidden="1" customHeight="1" x14ac:dyDescent="0.15">
      <c r="K372" s="23"/>
    </row>
    <row r="373" spans="11:11" ht="8.25" hidden="1" customHeight="1" x14ac:dyDescent="0.15">
      <c r="K373" s="23"/>
    </row>
    <row r="374" spans="11:11" ht="8.25" hidden="1" customHeight="1" x14ac:dyDescent="0.15">
      <c r="K374" s="23"/>
    </row>
    <row r="375" spans="11:11" ht="8.25" hidden="1" customHeight="1" x14ac:dyDescent="0.15">
      <c r="K375" s="23"/>
    </row>
    <row r="376" spans="11:11" ht="8.25" hidden="1" customHeight="1" x14ac:dyDescent="0.15">
      <c r="K376" s="23"/>
    </row>
    <row r="377" spans="11:11" ht="8.25" hidden="1" customHeight="1" x14ac:dyDescent="0.15">
      <c r="K377" s="23"/>
    </row>
    <row r="378" spans="11:11" ht="8.25" hidden="1" customHeight="1" x14ac:dyDescent="0.15">
      <c r="K378" s="23"/>
    </row>
    <row r="379" spans="11:11" ht="8.25" hidden="1" customHeight="1" x14ac:dyDescent="0.15">
      <c r="K379" s="23"/>
    </row>
    <row r="380" spans="11:11" ht="8.25" hidden="1" customHeight="1" x14ac:dyDescent="0.15">
      <c r="K380" s="23"/>
    </row>
    <row r="381" spans="11:11" ht="8.25" hidden="1" customHeight="1" x14ac:dyDescent="0.15">
      <c r="K381" s="23"/>
    </row>
    <row r="382" spans="11:11" ht="8.25" hidden="1" customHeight="1" x14ac:dyDescent="0.15">
      <c r="K382" s="23"/>
    </row>
    <row r="383" spans="11:11" ht="8.25" hidden="1" customHeight="1" x14ac:dyDescent="0.15">
      <c r="K383" s="23"/>
    </row>
    <row r="384" spans="11:11" ht="8.25" hidden="1" customHeight="1" x14ac:dyDescent="0.15">
      <c r="K384" s="23"/>
    </row>
    <row r="385" spans="11:11" ht="8.25" hidden="1" customHeight="1" x14ac:dyDescent="0.15">
      <c r="K385" s="23"/>
    </row>
    <row r="386" spans="11:11" ht="8.25" hidden="1" customHeight="1" x14ac:dyDescent="0.15">
      <c r="K386" s="23"/>
    </row>
    <row r="387" spans="11:11" ht="8.25" hidden="1" customHeight="1" x14ac:dyDescent="0.15">
      <c r="K387" s="23"/>
    </row>
    <row r="388" spans="11:11" ht="8.25" hidden="1" customHeight="1" x14ac:dyDescent="0.15">
      <c r="K388" s="23"/>
    </row>
    <row r="389" spans="11:11" ht="8.25" hidden="1" customHeight="1" x14ac:dyDescent="0.15">
      <c r="K389" s="23"/>
    </row>
    <row r="390" spans="11:11" ht="8.25" hidden="1" customHeight="1" x14ac:dyDescent="0.15">
      <c r="K390" s="23"/>
    </row>
    <row r="391" spans="11:11" ht="8.25" hidden="1" customHeight="1" x14ac:dyDescent="0.15">
      <c r="K391" s="23"/>
    </row>
    <row r="392" spans="11:11" ht="8.25" hidden="1" customHeight="1" x14ac:dyDescent="0.15">
      <c r="K392" s="23"/>
    </row>
    <row r="393" spans="11:11" ht="8.25" hidden="1" customHeight="1" x14ac:dyDescent="0.15">
      <c r="K393" s="23"/>
    </row>
    <row r="394" spans="11:11" ht="8.25" hidden="1" customHeight="1" x14ac:dyDescent="0.15">
      <c r="K394" s="23"/>
    </row>
    <row r="395" spans="11:11" ht="8.25" hidden="1" customHeight="1" x14ac:dyDescent="0.15">
      <c r="K395" s="23"/>
    </row>
    <row r="396" spans="11:11" ht="8.25" hidden="1" customHeight="1" x14ac:dyDescent="0.15">
      <c r="K396" s="23"/>
    </row>
    <row r="397" spans="11:11" ht="8.25" hidden="1" customHeight="1" x14ac:dyDescent="0.15">
      <c r="K397" s="23"/>
    </row>
    <row r="398" spans="11:11" ht="8.25" hidden="1" customHeight="1" x14ac:dyDescent="0.15">
      <c r="K398" s="23"/>
    </row>
    <row r="399" spans="11:11" ht="8.25" hidden="1" customHeight="1" x14ac:dyDescent="0.15">
      <c r="K399" s="23"/>
    </row>
    <row r="400" spans="11:11" ht="8.25" hidden="1" customHeight="1" x14ac:dyDescent="0.15">
      <c r="K400" s="23"/>
    </row>
    <row r="401" spans="11:11" ht="8.25" hidden="1" customHeight="1" x14ac:dyDescent="0.15">
      <c r="K401" s="23"/>
    </row>
    <row r="402" spans="11:11" ht="8.25" hidden="1" customHeight="1" x14ac:dyDescent="0.15">
      <c r="K402" s="23"/>
    </row>
    <row r="403" spans="11:11" ht="8.25" hidden="1" customHeight="1" x14ac:dyDescent="0.15"/>
    <row r="404" spans="11:11" ht="8.25" hidden="1" customHeight="1" x14ac:dyDescent="0.15"/>
    <row r="405" spans="11:11" ht="8.25" hidden="1" customHeight="1" x14ac:dyDescent="0.15"/>
    <row r="406" spans="11:11" ht="8.25" hidden="1" customHeight="1" x14ac:dyDescent="0.15"/>
    <row r="407" spans="11:11" ht="8.25" hidden="1" customHeight="1" x14ac:dyDescent="0.15"/>
    <row r="408" spans="11:11" ht="8.25" hidden="1" customHeight="1" x14ac:dyDescent="0.15"/>
    <row r="409" spans="11:11" ht="8.25" hidden="1" customHeight="1" x14ac:dyDescent="0.15"/>
    <row r="410" spans="11:11" ht="8.25" hidden="1" customHeight="1" x14ac:dyDescent="0.15"/>
    <row r="411" spans="11:11" ht="8.25" hidden="1" customHeight="1" x14ac:dyDescent="0.15"/>
    <row r="412" spans="11:11" ht="8.25" hidden="1" customHeight="1" x14ac:dyDescent="0.15"/>
    <row r="413" spans="11:11" ht="8.25" hidden="1" customHeight="1" x14ac:dyDescent="0.15"/>
    <row r="414" spans="11:11" ht="8.25" hidden="1" customHeight="1" x14ac:dyDescent="0.15"/>
    <row r="415" spans="11:11" ht="8.25" hidden="1" customHeight="1" x14ac:dyDescent="0.15"/>
    <row r="416" spans="11:11" ht="8.25" hidden="1" customHeight="1" x14ac:dyDescent="0.15"/>
    <row r="417" ht="8.25" hidden="1" customHeight="1" x14ac:dyDescent="0.15"/>
    <row r="418" ht="8.25" hidden="1" customHeight="1" x14ac:dyDescent="0.15"/>
    <row r="419" ht="8.25" hidden="1" customHeight="1" x14ac:dyDescent="0.15"/>
    <row r="420" ht="8.25" hidden="1" customHeight="1" x14ac:dyDescent="0.15"/>
    <row r="421" ht="8.25" hidden="1" customHeight="1" x14ac:dyDescent="0.15"/>
    <row r="422" ht="8.25" hidden="1" customHeight="1" x14ac:dyDescent="0.15"/>
    <row r="423" ht="8.25" hidden="1" customHeight="1" x14ac:dyDescent="0.15"/>
    <row r="424" ht="8.25" hidden="1" customHeight="1" x14ac:dyDescent="0.15"/>
    <row r="425" ht="8.25" hidden="1" customHeight="1" x14ac:dyDescent="0.15"/>
    <row r="426" ht="8.25" hidden="1" customHeight="1" x14ac:dyDescent="0.15"/>
    <row r="427" ht="8.25" hidden="1" customHeight="1" x14ac:dyDescent="0.15"/>
    <row r="428" ht="8.25" hidden="1" customHeight="1" x14ac:dyDescent="0.15"/>
    <row r="429" ht="8.25" hidden="1" customHeight="1" x14ac:dyDescent="0.15"/>
    <row r="430" ht="8.25" hidden="1" customHeight="1" x14ac:dyDescent="0.15"/>
    <row r="431" ht="8.25" hidden="1" customHeight="1" x14ac:dyDescent="0.15"/>
    <row r="432" ht="8.25" hidden="1" customHeight="1" x14ac:dyDescent="0.15"/>
    <row r="433" ht="8.25" hidden="1" customHeight="1" x14ac:dyDescent="0.15"/>
    <row r="434" ht="8.25" hidden="1" customHeight="1" x14ac:dyDescent="0.15"/>
    <row r="435" ht="8.25" hidden="1" customHeight="1" x14ac:dyDescent="0.15"/>
    <row r="436" ht="8.25" hidden="1" customHeight="1" x14ac:dyDescent="0.15"/>
    <row r="437" ht="8.25" hidden="1" customHeight="1" x14ac:dyDescent="0.15"/>
    <row r="438" ht="8.25" hidden="1" customHeight="1" x14ac:dyDescent="0.15"/>
    <row r="439" ht="8.25" hidden="1" customHeight="1" x14ac:dyDescent="0.15"/>
    <row r="440" ht="8.25" hidden="1" customHeight="1" x14ac:dyDescent="0.15"/>
    <row r="441" ht="8.25" hidden="1" customHeight="1" x14ac:dyDescent="0.15"/>
    <row r="442" ht="8.25" hidden="1" customHeight="1" x14ac:dyDescent="0.15"/>
    <row r="443" ht="8.25" hidden="1" customHeight="1" x14ac:dyDescent="0.15"/>
    <row r="444" ht="8.25" hidden="1" customHeight="1" x14ac:dyDescent="0.15"/>
    <row r="445" ht="8.25" hidden="1" customHeight="1" x14ac:dyDescent="0.15"/>
    <row r="446" ht="8.25" hidden="1" customHeight="1" x14ac:dyDescent="0.15"/>
    <row r="447" ht="8.25" hidden="1" customHeight="1" x14ac:dyDescent="0.15"/>
    <row r="448" ht="8.25" hidden="1" customHeight="1" x14ac:dyDescent="0.15"/>
    <row r="449" ht="8.25" hidden="1" customHeight="1" x14ac:dyDescent="0.15"/>
    <row r="450" ht="8.25" hidden="1" customHeight="1" x14ac:dyDescent="0.15"/>
    <row r="451" ht="8.25" hidden="1" customHeight="1" x14ac:dyDescent="0.15"/>
    <row r="452" ht="8.25" hidden="1" customHeight="1" x14ac:dyDescent="0.15"/>
    <row r="453" ht="8.25" hidden="1" customHeight="1" x14ac:dyDescent="0.15"/>
    <row r="454" ht="8.25" hidden="1" customHeight="1" x14ac:dyDescent="0.15"/>
    <row r="455" ht="8.25" hidden="1" customHeight="1" x14ac:dyDescent="0.15"/>
    <row r="456" ht="8.25" hidden="1" customHeight="1" x14ac:dyDescent="0.15"/>
    <row r="457" ht="8.25" hidden="1" customHeight="1" x14ac:dyDescent="0.15"/>
    <row r="458" ht="8.25" hidden="1" customHeight="1" x14ac:dyDescent="0.15"/>
    <row r="459" ht="8.25" hidden="1" customHeight="1" x14ac:dyDescent="0.15"/>
    <row r="460" ht="8.25" hidden="1" customHeight="1" x14ac:dyDescent="0.15"/>
    <row r="461" ht="8.25" hidden="1" customHeight="1" x14ac:dyDescent="0.15"/>
    <row r="462" ht="8.25" hidden="1" customHeight="1" x14ac:dyDescent="0.15"/>
    <row r="463" ht="8.25" hidden="1" customHeight="1" x14ac:dyDescent="0.15"/>
    <row r="464" ht="8.25" hidden="1" customHeight="1" x14ac:dyDescent="0.15"/>
    <row r="465" ht="8.25" hidden="1" customHeight="1" x14ac:dyDescent="0.15"/>
    <row r="466" ht="8.25" hidden="1" customHeight="1" x14ac:dyDescent="0.15"/>
    <row r="467" ht="8.25" hidden="1" customHeight="1" x14ac:dyDescent="0.15"/>
    <row r="468" ht="8.25" hidden="1" customHeight="1" x14ac:dyDescent="0.15"/>
    <row r="469" ht="8.25" hidden="1" customHeight="1" x14ac:dyDescent="0.15"/>
    <row r="470" ht="8.25" hidden="1" customHeight="1" x14ac:dyDescent="0.15"/>
    <row r="471" ht="8.25" hidden="1" customHeight="1" x14ac:dyDescent="0.15"/>
    <row r="472" ht="8.25" hidden="1" customHeight="1" x14ac:dyDescent="0.15"/>
    <row r="473" ht="8.25" hidden="1" customHeight="1" x14ac:dyDescent="0.15"/>
    <row r="474" ht="8.25" hidden="1" customHeight="1" x14ac:dyDescent="0.15"/>
    <row r="475" ht="8.25" hidden="1" customHeight="1" x14ac:dyDescent="0.15"/>
    <row r="476" ht="8.25" hidden="1" customHeight="1" x14ac:dyDescent="0.15"/>
    <row r="477" ht="8.25" hidden="1" customHeight="1" x14ac:dyDescent="0.15"/>
    <row r="478" ht="8.25" hidden="1" customHeight="1" x14ac:dyDescent="0.15"/>
    <row r="479" ht="8.25" hidden="1" customHeight="1" x14ac:dyDescent="0.15"/>
    <row r="480" ht="8.25" hidden="1" customHeight="1" x14ac:dyDescent="0.15"/>
    <row r="481" ht="8.25" hidden="1" customHeight="1" x14ac:dyDescent="0.15"/>
    <row r="482" ht="8.25" hidden="1" customHeight="1" x14ac:dyDescent="0.15"/>
    <row r="483" ht="8.25" hidden="1" customHeight="1" x14ac:dyDescent="0.15"/>
  </sheetData>
  <mergeCells count="1438">
    <mergeCell ref="DA100:DD100"/>
    <mergeCell ref="BJ101:BM101"/>
    <mergeCell ref="BO101:BT101"/>
    <mergeCell ref="BW101:CC101"/>
    <mergeCell ref="CE101:CK101"/>
    <mergeCell ref="CL101:CS101"/>
    <mergeCell ref="CT101:CZ101"/>
    <mergeCell ref="DA101:DD101"/>
    <mergeCell ref="BJ95:BM95"/>
    <mergeCell ref="BO95:BT95"/>
    <mergeCell ref="BW95:CC95"/>
    <mergeCell ref="CE95:CK95"/>
    <mergeCell ref="CL95:CS95"/>
    <mergeCell ref="CT95:CZ95"/>
    <mergeCell ref="DA95:DD95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DA97:DD97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CT80:CZ80"/>
    <mergeCell ref="DA80:DD80"/>
    <mergeCell ref="BJ81:BM81"/>
    <mergeCell ref="BO81:BT81"/>
    <mergeCell ref="BW81:CC81"/>
    <mergeCell ref="CE81:CK81"/>
    <mergeCell ref="CL81:CS81"/>
    <mergeCell ref="CT81:CZ81"/>
    <mergeCell ref="DA81:DD81"/>
    <mergeCell ref="N227:S228"/>
    <mergeCell ref="N223:S224"/>
    <mergeCell ref="Y223:AD224"/>
    <mergeCell ref="AE223:AL224"/>
    <mergeCell ref="N225:S226"/>
    <mergeCell ref="Y225:AD226"/>
    <mergeCell ref="AE225:AL226"/>
    <mergeCell ref="N219:S220"/>
    <mergeCell ref="Y219:AD220"/>
    <mergeCell ref="AE219:AL220"/>
    <mergeCell ref="N221:S222"/>
    <mergeCell ref="Y221:AD222"/>
    <mergeCell ref="AE221:AL222"/>
    <mergeCell ref="AO190:BE190"/>
    <mergeCell ref="R191:BE191"/>
    <mergeCell ref="R192:BE192"/>
    <mergeCell ref="AR193:BE193"/>
    <mergeCell ref="N217:X218"/>
    <mergeCell ref="Y217:AL218"/>
    <mergeCell ref="AR194:BE194"/>
    <mergeCell ref="AB194:AQ194"/>
    <mergeCell ref="AB193:AQ193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CJ182:CU182"/>
    <mergeCell ref="R187:AT187"/>
    <mergeCell ref="AU187:BE187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79:CU179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N176:Q176"/>
    <mergeCell ref="R176:AM176"/>
    <mergeCell ref="AN176:BE176"/>
    <mergeCell ref="BH176:BK176"/>
    <mergeCell ref="CJ176:CU176"/>
    <mergeCell ref="N177:Q177"/>
    <mergeCell ref="R177:AM177"/>
    <mergeCell ref="AN177:BE177"/>
    <mergeCell ref="BH177:BK177"/>
    <mergeCell ref="CJ177:CU177"/>
    <mergeCell ref="BM174:DO174"/>
    <mergeCell ref="N175:Q175"/>
    <mergeCell ref="R175:AM175"/>
    <mergeCell ref="AN175:BE175"/>
    <mergeCell ref="BH175:BK175"/>
    <mergeCell ref="BO175:CK175"/>
    <mergeCell ref="CM175:CT175"/>
    <mergeCell ref="CV175:CY175"/>
    <mergeCell ref="DA175:DN175"/>
    <mergeCell ref="N173:Q173"/>
    <mergeCell ref="R173:AM173"/>
    <mergeCell ref="AN173:BE173"/>
    <mergeCell ref="BH173:BK173"/>
    <mergeCell ref="N174:Q174"/>
    <mergeCell ref="R174:AM174"/>
    <mergeCell ref="AN174:BE174"/>
    <mergeCell ref="BH174:BK174"/>
    <mergeCell ref="CH171:CK171"/>
    <mergeCell ref="CM171:CT171"/>
    <mergeCell ref="CV171:CY171"/>
    <mergeCell ref="N172:Q172"/>
    <mergeCell ref="R172:AM172"/>
    <mergeCell ref="AN172:BE172"/>
    <mergeCell ref="BH172:BK172"/>
    <mergeCell ref="BO172:CK172"/>
    <mergeCell ref="CM172:CT172"/>
    <mergeCell ref="BZ170:CG170"/>
    <mergeCell ref="CH170:CK170"/>
    <mergeCell ref="CM170:CT170"/>
    <mergeCell ref="CV170:CY170"/>
    <mergeCell ref="N171:Q171"/>
    <mergeCell ref="R171:AM171"/>
    <mergeCell ref="AN171:BE171"/>
    <mergeCell ref="BH171:BK171"/>
    <mergeCell ref="BO171:BY171"/>
    <mergeCell ref="BZ171:CG171"/>
    <mergeCell ref="N169:Q169"/>
    <mergeCell ref="N170:Q170"/>
    <mergeCell ref="R170:AM170"/>
    <mergeCell ref="AN170:BE170"/>
    <mergeCell ref="BH170:BK170"/>
    <mergeCell ref="BO170:BY170"/>
    <mergeCell ref="CB166:CH166"/>
    <mergeCell ref="CI166:CQ166"/>
    <mergeCell ref="CR166:CY166"/>
    <mergeCell ref="CZ166:DG166"/>
    <mergeCell ref="DH166:DO166"/>
    <mergeCell ref="L167:BL168"/>
    <mergeCell ref="BM167:DO168"/>
    <mergeCell ref="CZ165:DG165"/>
    <mergeCell ref="DH165:DO165"/>
    <mergeCell ref="L166:N166"/>
    <mergeCell ref="O166:S166"/>
    <mergeCell ref="T166:AR166"/>
    <mergeCell ref="AS166:AV166"/>
    <mergeCell ref="AW166:BG166"/>
    <mergeCell ref="BH166:BO166"/>
    <mergeCell ref="BP166:BU166"/>
    <mergeCell ref="BV166:CA166"/>
    <mergeCell ref="BH165:BO165"/>
    <mergeCell ref="BP165:BU165"/>
    <mergeCell ref="BV165:CA165"/>
    <mergeCell ref="CB165:CH165"/>
    <mergeCell ref="CI165:CQ165"/>
    <mergeCell ref="CR165:CY165"/>
    <mergeCell ref="CB164:CH164"/>
    <mergeCell ref="CI164:CQ164"/>
    <mergeCell ref="CR164:CY164"/>
    <mergeCell ref="CZ164:DG164"/>
    <mergeCell ref="DH164:DO164"/>
    <mergeCell ref="L165:N165"/>
    <mergeCell ref="O165:S165"/>
    <mergeCell ref="T165:AR165"/>
    <mergeCell ref="AS165:AV165"/>
    <mergeCell ref="AW165:BG165"/>
    <mergeCell ref="CZ163:DG163"/>
    <mergeCell ref="DH163:DO163"/>
    <mergeCell ref="L164:N164"/>
    <mergeCell ref="O164:S164"/>
    <mergeCell ref="T164:AR164"/>
    <mergeCell ref="AS164:AV164"/>
    <mergeCell ref="AW164:BG164"/>
    <mergeCell ref="BH164:BO164"/>
    <mergeCell ref="BP164:BU164"/>
    <mergeCell ref="BV164:CA164"/>
    <mergeCell ref="BH163:BO163"/>
    <mergeCell ref="BP163:BU163"/>
    <mergeCell ref="BV163:CA163"/>
    <mergeCell ref="CB163:CH163"/>
    <mergeCell ref="CI163:CQ163"/>
    <mergeCell ref="CR163:CY163"/>
    <mergeCell ref="CB162:CH162"/>
    <mergeCell ref="CI162:CQ162"/>
    <mergeCell ref="CR162:CY162"/>
    <mergeCell ref="CZ162:DG162"/>
    <mergeCell ref="DH162:DO162"/>
    <mergeCell ref="L163:N163"/>
    <mergeCell ref="O163:S163"/>
    <mergeCell ref="T163:AR163"/>
    <mergeCell ref="AS163:AV163"/>
    <mergeCell ref="AW163:BG163"/>
    <mergeCell ref="CZ161:DG161"/>
    <mergeCell ref="DH161:DO161"/>
    <mergeCell ref="L162:N162"/>
    <mergeCell ref="O162:S162"/>
    <mergeCell ref="T162:AR162"/>
    <mergeCell ref="AS162:AV162"/>
    <mergeCell ref="AW162:BG162"/>
    <mergeCell ref="BH162:BO162"/>
    <mergeCell ref="BP162:BU162"/>
    <mergeCell ref="BV162:CA162"/>
    <mergeCell ref="BH161:BO161"/>
    <mergeCell ref="BP161:BU161"/>
    <mergeCell ref="BV161:CA161"/>
    <mergeCell ref="CB161:CH161"/>
    <mergeCell ref="CI161:CQ161"/>
    <mergeCell ref="CR161:CY161"/>
    <mergeCell ref="CB160:CH160"/>
    <mergeCell ref="CI160:CQ160"/>
    <mergeCell ref="CR160:CY160"/>
    <mergeCell ref="CZ160:DG160"/>
    <mergeCell ref="DH160:DO160"/>
    <mergeCell ref="L161:N161"/>
    <mergeCell ref="O161:S161"/>
    <mergeCell ref="T161:AR161"/>
    <mergeCell ref="AS161:AV161"/>
    <mergeCell ref="AW161:BG161"/>
    <mergeCell ref="CZ159:DG159"/>
    <mergeCell ref="DH159:DO159"/>
    <mergeCell ref="L160:N160"/>
    <mergeCell ref="O160:S160"/>
    <mergeCell ref="T160:AR160"/>
    <mergeCell ref="AS160:AV160"/>
    <mergeCell ref="AW160:BG160"/>
    <mergeCell ref="BH160:BO160"/>
    <mergeCell ref="BP160:BU160"/>
    <mergeCell ref="BV160:CA160"/>
    <mergeCell ref="BH159:BO159"/>
    <mergeCell ref="BP159:BU159"/>
    <mergeCell ref="BV159:CA159"/>
    <mergeCell ref="CB159:CH159"/>
    <mergeCell ref="CI159:CQ159"/>
    <mergeCell ref="CR159:CY159"/>
    <mergeCell ref="CB158:CH158"/>
    <mergeCell ref="CI158:CQ158"/>
    <mergeCell ref="CR158:CY158"/>
    <mergeCell ref="CZ158:DG158"/>
    <mergeCell ref="DH158:DO158"/>
    <mergeCell ref="L159:N159"/>
    <mergeCell ref="O159:S159"/>
    <mergeCell ref="T159:AR159"/>
    <mergeCell ref="AS159:AV159"/>
    <mergeCell ref="AW159:BG159"/>
    <mergeCell ref="CZ157:DG157"/>
    <mergeCell ref="DH157:DO157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BH157:BO157"/>
    <mergeCell ref="BP157:BU157"/>
    <mergeCell ref="BV157:CA157"/>
    <mergeCell ref="CB157:CH157"/>
    <mergeCell ref="CI157:CQ157"/>
    <mergeCell ref="CR157:CY157"/>
    <mergeCell ref="CB156:CH156"/>
    <mergeCell ref="CI156:CQ156"/>
    <mergeCell ref="CR156:CY156"/>
    <mergeCell ref="CZ156:DG156"/>
    <mergeCell ref="DH156:DO156"/>
    <mergeCell ref="L157:N157"/>
    <mergeCell ref="O157:S157"/>
    <mergeCell ref="T157:AR157"/>
    <mergeCell ref="AS157:AV157"/>
    <mergeCell ref="AW157:BG157"/>
    <mergeCell ref="CZ155:DG155"/>
    <mergeCell ref="DH155:DO155"/>
    <mergeCell ref="L156:N156"/>
    <mergeCell ref="O156:S156"/>
    <mergeCell ref="T156:AR156"/>
    <mergeCell ref="AS156:AV156"/>
    <mergeCell ref="AW156:BG156"/>
    <mergeCell ref="BH156:BO156"/>
    <mergeCell ref="BP156:BU156"/>
    <mergeCell ref="BV156:CA156"/>
    <mergeCell ref="BH155:BO155"/>
    <mergeCell ref="BP155:BU155"/>
    <mergeCell ref="BV155:CA155"/>
    <mergeCell ref="CB155:CH155"/>
    <mergeCell ref="CI155:CQ155"/>
    <mergeCell ref="CR155:CY155"/>
    <mergeCell ref="CB154:CH154"/>
    <mergeCell ref="CI154:CQ154"/>
    <mergeCell ref="CR154:CY154"/>
    <mergeCell ref="CZ154:DG154"/>
    <mergeCell ref="DH154:DO154"/>
    <mergeCell ref="L155:N155"/>
    <mergeCell ref="O155:S155"/>
    <mergeCell ref="T155:AR155"/>
    <mergeCell ref="AS155:AV155"/>
    <mergeCell ref="AW155:BG155"/>
    <mergeCell ref="CZ153:DG153"/>
    <mergeCell ref="DH153:DO153"/>
    <mergeCell ref="L154:N154"/>
    <mergeCell ref="O154:S154"/>
    <mergeCell ref="T154:AR154"/>
    <mergeCell ref="AS154:AV154"/>
    <mergeCell ref="AW154:BG154"/>
    <mergeCell ref="BH154:BO154"/>
    <mergeCell ref="BP154:BU154"/>
    <mergeCell ref="BV154:CA154"/>
    <mergeCell ref="BH153:BO153"/>
    <mergeCell ref="BP153:BU153"/>
    <mergeCell ref="BV153:CA153"/>
    <mergeCell ref="CB153:CH153"/>
    <mergeCell ref="CI153:CQ153"/>
    <mergeCell ref="CR153:CY153"/>
    <mergeCell ref="CB152:CH152"/>
    <mergeCell ref="CI152:CQ152"/>
    <mergeCell ref="CR152:CY152"/>
    <mergeCell ref="CZ152:DG152"/>
    <mergeCell ref="DH152:DO152"/>
    <mergeCell ref="L153:N153"/>
    <mergeCell ref="O153:S153"/>
    <mergeCell ref="T153:AR153"/>
    <mergeCell ref="AS153:AV153"/>
    <mergeCell ref="AW153:BG153"/>
    <mergeCell ref="CZ151:DG151"/>
    <mergeCell ref="DH151:DO151"/>
    <mergeCell ref="L152:N152"/>
    <mergeCell ref="O152:S152"/>
    <mergeCell ref="T152:AR152"/>
    <mergeCell ref="AS152:AV152"/>
    <mergeCell ref="AW152:BG152"/>
    <mergeCell ref="BH152:BO152"/>
    <mergeCell ref="BP152:BU152"/>
    <mergeCell ref="BV152:CA152"/>
    <mergeCell ref="BH151:BO151"/>
    <mergeCell ref="BP151:BU151"/>
    <mergeCell ref="BV151:CA151"/>
    <mergeCell ref="CB151:CH151"/>
    <mergeCell ref="CI151:CQ151"/>
    <mergeCell ref="CR151:CY151"/>
    <mergeCell ref="CB150:CH150"/>
    <mergeCell ref="CI150:CQ150"/>
    <mergeCell ref="CR150:CY150"/>
    <mergeCell ref="CZ150:DG150"/>
    <mergeCell ref="DH150:DO150"/>
    <mergeCell ref="L151:N151"/>
    <mergeCell ref="O151:S151"/>
    <mergeCell ref="T151:AR151"/>
    <mergeCell ref="AS151:AV151"/>
    <mergeCell ref="AW151:BG151"/>
    <mergeCell ref="CZ149:DG149"/>
    <mergeCell ref="DH149:DO149"/>
    <mergeCell ref="L150:N150"/>
    <mergeCell ref="O150:S150"/>
    <mergeCell ref="T150:AR150"/>
    <mergeCell ref="AS150:AV150"/>
    <mergeCell ref="AW150:BG150"/>
    <mergeCell ref="BH150:BO150"/>
    <mergeCell ref="BP150:BU150"/>
    <mergeCell ref="BV150:CA150"/>
    <mergeCell ref="BH149:BO149"/>
    <mergeCell ref="BP149:BU149"/>
    <mergeCell ref="BV149:CA149"/>
    <mergeCell ref="CB149:CH149"/>
    <mergeCell ref="CI149:CQ149"/>
    <mergeCell ref="CR149:CY149"/>
    <mergeCell ref="CB148:CH148"/>
    <mergeCell ref="CI148:CQ148"/>
    <mergeCell ref="CR148:CY148"/>
    <mergeCell ref="CZ148:DG148"/>
    <mergeCell ref="DH148:DO148"/>
    <mergeCell ref="L149:N149"/>
    <mergeCell ref="O149:S149"/>
    <mergeCell ref="T149:AR149"/>
    <mergeCell ref="AS149:AV149"/>
    <mergeCell ref="AW149:BG149"/>
    <mergeCell ref="CZ147:DG147"/>
    <mergeCell ref="DH147:DO147"/>
    <mergeCell ref="L148:N148"/>
    <mergeCell ref="O148:S148"/>
    <mergeCell ref="T148:AR148"/>
    <mergeCell ref="AS148:AV148"/>
    <mergeCell ref="AW148:BG148"/>
    <mergeCell ref="BH148:BO148"/>
    <mergeCell ref="BP148:BU148"/>
    <mergeCell ref="BV148:CA148"/>
    <mergeCell ref="BH147:BO147"/>
    <mergeCell ref="BP147:BU147"/>
    <mergeCell ref="BV147:CA147"/>
    <mergeCell ref="CB147:CH147"/>
    <mergeCell ref="CI147:CQ147"/>
    <mergeCell ref="CR147:CY147"/>
    <mergeCell ref="CB146:CH146"/>
    <mergeCell ref="CI146:CQ146"/>
    <mergeCell ref="CR146:CY146"/>
    <mergeCell ref="CZ146:DG146"/>
    <mergeCell ref="DH146:DO146"/>
    <mergeCell ref="L147:N147"/>
    <mergeCell ref="O147:S147"/>
    <mergeCell ref="T147:AR147"/>
    <mergeCell ref="AS147:AV147"/>
    <mergeCell ref="AW147:BG147"/>
    <mergeCell ref="CZ145:DG145"/>
    <mergeCell ref="DH145:DO145"/>
    <mergeCell ref="L146:N146"/>
    <mergeCell ref="O146:S146"/>
    <mergeCell ref="T146:AR146"/>
    <mergeCell ref="AS146:AV146"/>
    <mergeCell ref="AW146:BG146"/>
    <mergeCell ref="BH146:BO146"/>
    <mergeCell ref="BP146:BU146"/>
    <mergeCell ref="BV146:CA146"/>
    <mergeCell ref="BH145:BO145"/>
    <mergeCell ref="BP145:BU145"/>
    <mergeCell ref="BV145:CA145"/>
    <mergeCell ref="CB145:CH145"/>
    <mergeCell ref="CI145:CQ145"/>
    <mergeCell ref="CR145:CY145"/>
    <mergeCell ref="CB144:CH144"/>
    <mergeCell ref="CI144:CQ144"/>
    <mergeCell ref="CR144:CY144"/>
    <mergeCell ref="CZ144:DG144"/>
    <mergeCell ref="DH144:DO144"/>
    <mergeCell ref="L145:N145"/>
    <mergeCell ref="O145:S145"/>
    <mergeCell ref="T145:AR145"/>
    <mergeCell ref="AS145:AV145"/>
    <mergeCell ref="AW145:BG145"/>
    <mergeCell ref="CZ143:DG143"/>
    <mergeCell ref="DH143:DO143"/>
    <mergeCell ref="L144:N144"/>
    <mergeCell ref="O144:S144"/>
    <mergeCell ref="T144:AR144"/>
    <mergeCell ref="AS144:AV144"/>
    <mergeCell ref="AW144:BG144"/>
    <mergeCell ref="BH144:BO144"/>
    <mergeCell ref="BP144:BU144"/>
    <mergeCell ref="BV144:CA144"/>
    <mergeCell ref="BH143:BO143"/>
    <mergeCell ref="BP143:BU143"/>
    <mergeCell ref="BV143:CA143"/>
    <mergeCell ref="CB143:CH143"/>
    <mergeCell ref="CI143:CQ143"/>
    <mergeCell ref="CR143:CY143"/>
    <mergeCell ref="CB142:CH142"/>
    <mergeCell ref="CI142:CQ142"/>
    <mergeCell ref="CR142:CY142"/>
    <mergeCell ref="CZ142:DG142"/>
    <mergeCell ref="DH142:DO142"/>
    <mergeCell ref="L143:N143"/>
    <mergeCell ref="O143:S143"/>
    <mergeCell ref="T143:AR143"/>
    <mergeCell ref="AS143:AV143"/>
    <mergeCell ref="AW143:BG143"/>
    <mergeCell ref="CZ141:DG141"/>
    <mergeCell ref="DH141:DO141"/>
    <mergeCell ref="L142:N142"/>
    <mergeCell ref="O142:S142"/>
    <mergeCell ref="T142:AR142"/>
    <mergeCell ref="AS142:AV142"/>
    <mergeCell ref="AW142:BG142"/>
    <mergeCell ref="BH142:BO142"/>
    <mergeCell ref="BP142:BU142"/>
    <mergeCell ref="BV142:CA142"/>
    <mergeCell ref="BH141:BO141"/>
    <mergeCell ref="BP141:BU141"/>
    <mergeCell ref="BV141:CA141"/>
    <mergeCell ref="CB141:CH141"/>
    <mergeCell ref="CI141:CQ141"/>
    <mergeCell ref="CR141:CY141"/>
    <mergeCell ref="CB140:CH140"/>
    <mergeCell ref="CI140:CQ140"/>
    <mergeCell ref="CR140:CY140"/>
    <mergeCell ref="CZ140:DG140"/>
    <mergeCell ref="DH140:DO140"/>
    <mergeCell ref="L141:N141"/>
    <mergeCell ref="O141:S141"/>
    <mergeCell ref="T141:AR141"/>
    <mergeCell ref="AS141:AV141"/>
    <mergeCell ref="AW141:BG141"/>
    <mergeCell ref="CZ139:DG139"/>
    <mergeCell ref="DH139:DO139"/>
    <mergeCell ref="L140:N140"/>
    <mergeCell ref="O140:S140"/>
    <mergeCell ref="T140:AR140"/>
    <mergeCell ref="AS140:AV140"/>
    <mergeCell ref="AW140:BG140"/>
    <mergeCell ref="BH140:BO140"/>
    <mergeCell ref="BP140:BU140"/>
    <mergeCell ref="BV140:CA140"/>
    <mergeCell ref="BH139:BO139"/>
    <mergeCell ref="BP139:BU139"/>
    <mergeCell ref="BV139:CA139"/>
    <mergeCell ref="CB139:CH139"/>
    <mergeCell ref="CI139:CQ139"/>
    <mergeCell ref="CR139:CY139"/>
    <mergeCell ref="CB138:CH138"/>
    <mergeCell ref="CI138:CQ138"/>
    <mergeCell ref="CR138:CY138"/>
    <mergeCell ref="CZ138:DG138"/>
    <mergeCell ref="DH138:DO138"/>
    <mergeCell ref="L139:N139"/>
    <mergeCell ref="O139:S139"/>
    <mergeCell ref="T139:AR139"/>
    <mergeCell ref="AS139:AV139"/>
    <mergeCell ref="AW139:BG139"/>
    <mergeCell ref="DI136:DO136"/>
    <mergeCell ref="L137:DO137"/>
    <mergeCell ref="L138:N138"/>
    <mergeCell ref="O138:S138"/>
    <mergeCell ref="T138:AR138"/>
    <mergeCell ref="AS138:AV138"/>
    <mergeCell ref="AW138:BG138"/>
    <mergeCell ref="BH138:BO138"/>
    <mergeCell ref="BP138:BU138"/>
    <mergeCell ref="BV138:CA138"/>
    <mergeCell ref="BS136:BY136"/>
    <mergeCell ref="BZ136:CF136"/>
    <mergeCell ref="CG136:CM136"/>
    <mergeCell ref="CN136:CT136"/>
    <mergeCell ref="CU136:DA136"/>
    <mergeCell ref="DB136:DH136"/>
    <mergeCell ref="CN135:CT135"/>
    <mergeCell ref="CU135:DA135"/>
    <mergeCell ref="DB135:DH135"/>
    <mergeCell ref="DI135:DO135"/>
    <mergeCell ref="L136:N136"/>
    <mergeCell ref="O136:S136"/>
    <mergeCell ref="T136:AY136"/>
    <mergeCell ref="AZ136:BF136"/>
    <mergeCell ref="BG136:BM136"/>
    <mergeCell ref="BN136:BR136"/>
    <mergeCell ref="DI134:DO134"/>
    <mergeCell ref="L135:N135"/>
    <mergeCell ref="O135:S135"/>
    <mergeCell ref="T135:AY135"/>
    <mergeCell ref="AZ135:BF135"/>
    <mergeCell ref="BG135:BM135"/>
    <mergeCell ref="BN135:BR135"/>
    <mergeCell ref="BS135:BY135"/>
    <mergeCell ref="BZ135:CF135"/>
    <mergeCell ref="CG135:CM135"/>
    <mergeCell ref="BS134:BY134"/>
    <mergeCell ref="BZ134:CF134"/>
    <mergeCell ref="CG134:CM134"/>
    <mergeCell ref="CN134:CT134"/>
    <mergeCell ref="CU134:DA134"/>
    <mergeCell ref="DB134:DH134"/>
    <mergeCell ref="CN133:CT133"/>
    <mergeCell ref="CU133:DA133"/>
    <mergeCell ref="DB133:DH133"/>
    <mergeCell ref="DI133:DO133"/>
    <mergeCell ref="L134:N134"/>
    <mergeCell ref="O134:S134"/>
    <mergeCell ref="T134:AY134"/>
    <mergeCell ref="AZ134:BF134"/>
    <mergeCell ref="BG134:BM134"/>
    <mergeCell ref="BN134:BR134"/>
    <mergeCell ref="DI132:DO132"/>
    <mergeCell ref="L133:N133"/>
    <mergeCell ref="O133:S133"/>
    <mergeCell ref="T133:AY133"/>
    <mergeCell ref="AZ133:BF133"/>
    <mergeCell ref="BG133:BM133"/>
    <mergeCell ref="BN133:BR133"/>
    <mergeCell ref="BS133:BY133"/>
    <mergeCell ref="BZ133:CF133"/>
    <mergeCell ref="CG133:CM133"/>
    <mergeCell ref="BS132:BY132"/>
    <mergeCell ref="BZ132:CF132"/>
    <mergeCell ref="CG132:CM132"/>
    <mergeCell ref="CN132:CT132"/>
    <mergeCell ref="CU132:DA132"/>
    <mergeCell ref="DB132:DH132"/>
    <mergeCell ref="CN131:CT131"/>
    <mergeCell ref="CU131:DA131"/>
    <mergeCell ref="DB131:DH131"/>
    <mergeCell ref="DI131:DO131"/>
    <mergeCell ref="L132:N132"/>
    <mergeCell ref="O132:S132"/>
    <mergeCell ref="T132:AY132"/>
    <mergeCell ref="AZ132:BF132"/>
    <mergeCell ref="BG132:BM132"/>
    <mergeCell ref="BN132:BR132"/>
    <mergeCell ref="DI130:DO130"/>
    <mergeCell ref="L131:N131"/>
    <mergeCell ref="O131:S131"/>
    <mergeCell ref="T131:AY131"/>
    <mergeCell ref="AZ131:BF131"/>
    <mergeCell ref="BG131:BM131"/>
    <mergeCell ref="BN131:BR131"/>
    <mergeCell ref="BS131:BY131"/>
    <mergeCell ref="BZ131:CF131"/>
    <mergeCell ref="CG131:CM131"/>
    <mergeCell ref="BS130:BY130"/>
    <mergeCell ref="BZ130:CF130"/>
    <mergeCell ref="CG130:CM130"/>
    <mergeCell ref="CN130:CT130"/>
    <mergeCell ref="CU130:DA130"/>
    <mergeCell ref="DB130:DH130"/>
    <mergeCell ref="CN129:CT129"/>
    <mergeCell ref="CU129:DA129"/>
    <mergeCell ref="DB129:DH129"/>
    <mergeCell ref="DI129:DO129"/>
    <mergeCell ref="L130:N130"/>
    <mergeCell ref="O130:S130"/>
    <mergeCell ref="T130:AY130"/>
    <mergeCell ref="AZ130:BF130"/>
    <mergeCell ref="BG130:BM130"/>
    <mergeCell ref="BN130:BR130"/>
    <mergeCell ref="DI128:DO128"/>
    <mergeCell ref="L129:N129"/>
    <mergeCell ref="O129:S129"/>
    <mergeCell ref="T129:AY129"/>
    <mergeCell ref="AZ129:BF129"/>
    <mergeCell ref="BG129:BM129"/>
    <mergeCell ref="BN129:BR129"/>
    <mergeCell ref="BS129:BY129"/>
    <mergeCell ref="BZ129:CF129"/>
    <mergeCell ref="CG129:CM129"/>
    <mergeCell ref="BS128:BY128"/>
    <mergeCell ref="BZ128:CF128"/>
    <mergeCell ref="CG128:CM128"/>
    <mergeCell ref="CN128:CT128"/>
    <mergeCell ref="CU128:DA128"/>
    <mergeCell ref="DB128:DH128"/>
    <mergeCell ref="CN127:CT127"/>
    <mergeCell ref="CU127:DA127"/>
    <mergeCell ref="DB127:DH127"/>
    <mergeCell ref="DI127:DO127"/>
    <mergeCell ref="L128:N128"/>
    <mergeCell ref="O128:S128"/>
    <mergeCell ref="T128:AY128"/>
    <mergeCell ref="AZ128:BF128"/>
    <mergeCell ref="BG128:BM128"/>
    <mergeCell ref="BN128:BR128"/>
    <mergeCell ref="DI126:DO126"/>
    <mergeCell ref="L127:N127"/>
    <mergeCell ref="O127:S127"/>
    <mergeCell ref="T127:AY127"/>
    <mergeCell ref="AZ127:BF127"/>
    <mergeCell ref="BG127:BM127"/>
    <mergeCell ref="BN127:BR127"/>
    <mergeCell ref="BS127:BY127"/>
    <mergeCell ref="BZ127:CF127"/>
    <mergeCell ref="CG127:CM127"/>
    <mergeCell ref="BS126:BY126"/>
    <mergeCell ref="BZ126:CF126"/>
    <mergeCell ref="CG126:CM126"/>
    <mergeCell ref="CN126:CT126"/>
    <mergeCell ref="CU126:DA126"/>
    <mergeCell ref="DB126:DH126"/>
    <mergeCell ref="CN125:CT125"/>
    <mergeCell ref="CU125:DA125"/>
    <mergeCell ref="DB125:DH125"/>
    <mergeCell ref="DI125:DO125"/>
    <mergeCell ref="L126:N126"/>
    <mergeCell ref="O126:S126"/>
    <mergeCell ref="T126:AY126"/>
    <mergeCell ref="AZ126:BF126"/>
    <mergeCell ref="BG126:BM126"/>
    <mergeCell ref="BN126:BR126"/>
    <mergeCell ref="DI124:DO124"/>
    <mergeCell ref="L125:N125"/>
    <mergeCell ref="O125:S125"/>
    <mergeCell ref="T125:AY125"/>
    <mergeCell ref="AZ125:BF125"/>
    <mergeCell ref="BG125:BM125"/>
    <mergeCell ref="BN125:BR125"/>
    <mergeCell ref="BS125:BY125"/>
    <mergeCell ref="BZ125:CF125"/>
    <mergeCell ref="CG125:CM125"/>
    <mergeCell ref="BS124:BY124"/>
    <mergeCell ref="BZ124:CF124"/>
    <mergeCell ref="CG124:CM124"/>
    <mergeCell ref="CN124:CT124"/>
    <mergeCell ref="CU124:DA124"/>
    <mergeCell ref="DB124:DH124"/>
    <mergeCell ref="CN123:CT123"/>
    <mergeCell ref="CU123:DA123"/>
    <mergeCell ref="DB123:DH123"/>
    <mergeCell ref="DI123:DO123"/>
    <mergeCell ref="L124:N124"/>
    <mergeCell ref="O124:S124"/>
    <mergeCell ref="T124:AY124"/>
    <mergeCell ref="AZ124:BF124"/>
    <mergeCell ref="BG124:BM124"/>
    <mergeCell ref="BN124:BR124"/>
    <mergeCell ref="DI122:DO122"/>
    <mergeCell ref="L123:N123"/>
    <mergeCell ref="O123:S123"/>
    <mergeCell ref="T123:AY123"/>
    <mergeCell ref="AZ123:BF123"/>
    <mergeCell ref="BG123:BM123"/>
    <mergeCell ref="BN123:BR123"/>
    <mergeCell ref="BS123:BY123"/>
    <mergeCell ref="BZ123:CF123"/>
    <mergeCell ref="CG123:CM123"/>
    <mergeCell ref="BS122:BY122"/>
    <mergeCell ref="BZ122:CF122"/>
    <mergeCell ref="CG122:CM122"/>
    <mergeCell ref="CN122:CT122"/>
    <mergeCell ref="CU122:DA122"/>
    <mergeCell ref="DB122:DH122"/>
    <mergeCell ref="CN121:CT121"/>
    <mergeCell ref="CU121:DA121"/>
    <mergeCell ref="DB121:DH121"/>
    <mergeCell ref="DI121:DO121"/>
    <mergeCell ref="L122:N122"/>
    <mergeCell ref="O122:S122"/>
    <mergeCell ref="T122:AY122"/>
    <mergeCell ref="AZ122:BF122"/>
    <mergeCell ref="BG122:BM122"/>
    <mergeCell ref="BN122:BR122"/>
    <mergeCell ref="DI120:DO120"/>
    <mergeCell ref="L121:N121"/>
    <mergeCell ref="O121:S121"/>
    <mergeCell ref="T121:AY121"/>
    <mergeCell ref="AZ121:BF121"/>
    <mergeCell ref="BG121:BM121"/>
    <mergeCell ref="BN121:BR121"/>
    <mergeCell ref="BS121:BY121"/>
    <mergeCell ref="BZ121:CF121"/>
    <mergeCell ref="CG121:CM121"/>
    <mergeCell ref="BS120:BY120"/>
    <mergeCell ref="BZ120:CF120"/>
    <mergeCell ref="CG120:CM120"/>
    <mergeCell ref="CN120:CT120"/>
    <mergeCell ref="CU120:DA120"/>
    <mergeCell ref="DB120:DH120"/>
    <mergeCell ref="CN119:CT119"/>
    <mergeCell ref="CU119:DA119"/>
    <mergeCell ref="DB119:DH119"/>
    <mergeCell ref="DI119:DO119"/>
    <mergeCell ref="L120:N120"/>
    <mergeCell ref="O120:S120"/>
    <mergeCell ref="T120:AY120"/>
    <mergeCell ref="AZ120:BF120"/>
    <mergeCell ref="BG120:BM120"/>
    <mergeCell ref="BN120:BR120"/>
    <mergeCell ref="DI118:DO118"/>
    <mergeCell ref="L119:N119"/>
    <mergeCell ref="O119:S119"/>
    <mergeCell ref="T119:AY119"/>
    <mergeCell ref="AZ119:BF119"/>
    <mergeCell ref="BG119:BM119"/>
    <mergeCell ref="BN119:BR119"/>
    <mergeCell ref="BS119:BY119"/>
    <mergeCell ref="BZ119:CF119"/>
    <mergeCell ref="CG119:CM119"/>
    <mergeCell ref="BS118:BY118"/>
    <mergeCell ref="BZ118:CF118"/>
    <mergeCell ref="CG118:CM118"/>
    <mergeCell ref="CN118:CT118"/>
    <mergeCell ref="CU118:DA118"/>
    <mergeCell ref="DB118:DH118"/>
    <mergeCell ref="CN117:CT117"/>
    <mergeCell ref="CU117:DA117"/>
    <mergeCell ref="DB117:DH117"/>
    <mergeCell ref="DI117:DO117"/>
    <mergeCell ref="L118:N118"/>
    <mergeCell ref="O118:S118"/>
    <mergeCell ref="T118:AY118"/>
    <mergeCell ref="AZ118:BF118"/>
    <mergeCell ref="BG118:BM118"/>
    <mergeCell ref="BN118:BR118"/>
    <mergeCell ref="DI116:DO116"/>
    <mergeCell ref="L117:N117"/>
    <mergeCell ref="O117:S117"/>
    <mergeCell ref="T117:AY117"/>
    <mergeCell ref="AZ117:BF117"/>
    <mergeCell ref="BG117:BM117"/>
    <mergeCell ref="BN117:BR117"/>
    <mergeCell ref="BS117:BY117"/>
    <mergeCell ref="BZ117:CF117"/>
    <mergeCell ref="CG117:CM117"/>
    <mergeCell ref="BS116:BY116"/>
    <mergeCell ref="BZ116:CF116"/>
    <mergeCell ref="CG116:CM116"/>
    <mergeCell ref="CN116:CT116"/>
    <mergeCell ref="CU116:DA116"/>
    <mergeCell ref="DB116:DH116"/>
    <mergeCell ref="CN115:CT115"/>
    <mergeCell ref="CU115:DA115"/>
    <mergeCell ref="DB115:DH115"/>
    <mergeCell ref="DI115:DO115"/>
    <mergeCell ref="L116:N116"/>
    <mergeCell ref="O116:S116"/>
    <mergeCell ref="T116:AY116"/>
    <mergeCell ref="AZ116:BF116"/>
    <mergeCell ref="BG116:BM116"/>
    <mergeCell ref="BN116:BR116"/>
    <mergeCell ref="DI114:DO114"/>
    <mergeCell ref="L115:N115"/>
    <mergeCell ref="O115:S115"/>
    <mergeCell ref="T115:AY115"/>
    <mergeCell ref="AZ115:BF115"/>
    <mergeCell ref="BG115:BM115"/>
    <mergeCell ref="BN115:BR115"/>
    <mergeCell ref="BS115:BY115"/>
    <mergeCell ref="BZ115:CF115"/>
    <mergeCell ref="CG115:CM115"/>
    <mergeCell ref="BS114:BY114"/>
    <mergeCell ref="BZ114:CF114"/>
    <mergeCell ref="CG114:CM114"/>
    <mergeCell ref="CN114:CT114"/>
    <mergeCell ref="CU114:DA114"/>
    <mergeCell ref="DB114:DH114"/>
    <mergeCell ref="CN113:CT113"/>
    <mergeCell ref="CU113:DA113"/>
    <mergeCell ref="DB113:DH113"/>
    <mergeCell ref="DI113:DO113"/>
    <mergeCell ref="L114:N114"/>
    <mergeCell ref="O114:S114"/>
    <mergeCell ref="T114:AY114"/>
    <mergeCell ref="AZ114:BF114"/>
    <mergeCell ref="BG114:BM114"/>
    <mergeCell ref="BN114:BR114"/>
    <mergeCell ref="DI112:DO112"/>
    <mergeCell ref="L113:N113"/>
    <mergeCell ref="O113:S113"/>
    <mergeCell ref="T113:AY113"/>
    <mergeCell ref="AZ113:BF113"/>
    <mergeCell ref="BG113:BM113"/>
    <mergeCell ref="BN113:BR113"/>
    <mergeCell ref="BS113:BY113"/>
    <mergeCell ref="BZ113:CF113"/>
    <mergeCell ref="CG113:CM113"/>
    <mergeCell ref="BS112:BY112"/>
    <mergeCell ref="BZ112:CF112"/>
    <mergeCell ref="CG112:CM112"/>
    <mergeCell ref="CN112:CT112"/>
    <mergeCell ref="CU112:DA112"/>
    <mergeCell ref="DB112:DH112"/>
    <mergeCell ref="CN111:CT111"/>
    <mergeCell ref="CU111:DA111"/>
    <mergeCell ref="DB111:DH111"/>
    <mergeCell ref="DI111:DO111"/>
    <mergeCell ref="L112:N112"/>
    <mergeCell ref="O112:S112"/>
    <mergeCell ref="T112:AY112"/>
    <mergeCell ref="AZ112:BF112"/>
    <mergeCell ref="BG112:BM112"/>
    <mergeCell ref="BN112:BR112"/>
    <mergeCell ref="DI110:DO110"/>
    <mergeCell ref="L111:N111"/>
    <mergeCell ref="O111:S111"/>
    <mergeCell ref="T111:AY111"/>
    <mergeCell ref="AZ111:BF111"/>
    <mergeCell ref="BG111:BM111"/>
    <mergeCell ref="BN111:BR111"/>
    <mergeCell ref="BS111:BY111"/>
    <mergeCell ref="BZ111:CF111"/>
    <mergeCell ref="CG111:CM111"/>
    <mergeCell ref="BS110:BY110"/>
    <mergeCell ref="BZ110:CF110"/>
    <mergeCell ref="CG110:CM110"/>
    <mergeCell ref="CN110:CT110"/>
    <mergeCell ref="CU110:DA110"/>
    <mergeCell ref="DB110:DH110"/>
    <mergeCell ref="CN109:CT109"/>
    <mergeCell ref="CU109:DA109"/>
    <mergeCell ref="DB109:DH109"/>
    <mergeCell ref="DI109:DO109"/>
    <mergeCell ref="L110:N110"/>
    <mergeCell ref="O110:S110"/>
    <mergeCell ref="T110:AY110"/>
    <mergeCell ref="AZ110:BF110"/>
    <mergeCell ref="BG110:BM110"/>
    <mergeCell ref="BN110:BR110"/>
    <mergeCell ref="DI108:DO108"/>
    <mergeCell ref="L109:N109"/>
    <mergeCell ref="O109:S109"/>
    <mergeCell ref="T109:AY109"/>
    <mergeCell ref="AZ109:BF109"/>
    <mergeCell ref="BG109:BM109"/>
    <mergeCell ref="BN109:BR109"/>
    <mergeCell ref="BS109:BY109"/>
    <mergeCell ref="BZ109:CF109"/>
    <mergeCell ref="CG109:CM109"/>
    <mergeCell ref="BS108:BY108"/>
    <mergeCell ref="BZ108:CF108"/>
    <mergeCell ref="CG108:CM108"/>
    <mergeCell ref="CN108:CT108"/>
    <mergeCell ref="CU108:DA108"/>
    <mergeCell ref="DB108:DH108"/>
    <mergeCell ref="CN107:CT107"/>
    <mergeCell ref="CU107:DA107"/>
    <mergeCell ref="DB107:DH107"/>
    <mergeCell ref="DI107:DO107"/>
    <mergeCell ref="L108:N108"/>
    <mergeCell ref="O108:S108"/>
    <mergeCell ref="T108:AY108"/>
    <mergeCell ref="AZ108:BF108"/>
    <mergeCell ref="BG108:BM108"/>
    <mergeCell ref="BN108:BR108"/>
    <mergeCell ref="DI106:DO106"/>
    <mergeCell ref="L107:N107"/>
    <mergeCell ref="O107:S107"/>
    <mergeCell ref="T107:AY107"/>
    <mergeCell ref="AZ107:BF107"/>
    <mergeCell ref="BG107:BM107"/>
    <mergeCell ref="BN107:BR107"/>
    <mergeCell ref="BS107:BY107"/>
    <mergeCell ref="BZ107:CF107"/>
    <mergeCell ref="CG107:CM107"/>
    <mergeCell ref="BS106:BY106"/>
    <mergeCell ref="BZ106:CF106"/>
    <mergeCell ref="CG106:CM106"/>
    <mergeCell ref="CN106:CT106"/>
    <mergeCell ref="CU106:DA106"/>
    <mergeCell ref="DB106:DH106"/>
    <mergeCell ref="DE104:DK104"/>
    <mergeCell ref="DL104:DO104"/>
    <mergeCell ref="L105:DO105"/>
    <mergeCell ref="L106:N106"/>
    <mergeCell ref="O106:S106"/>
    <mergeCell ref="T106:AY106"/>
    <mergeCell ref="AZ106:BF106"/>
    <mergeCell ref="BG106:BM106"/>
    <mergeCell ref="BN106:BR106"/>
    <mergeCell ref="DL103:DO103"/>
    <mergeCell ref="L104:O104"/>
    <mergeCell ref="P104:S104"/>
    <mergeCell ref="T104:AI104"/>
    <mergeCell ref="AJ104:AL104"/>
    <mergeCell ref="DE103:DK103"/>
    <mergeCell ref="BJ103:BM103"/>
    <mergeCell ref="BO103:BT103"/>
    <mergeCell ref="BW103:CC103"/>
    <mergeCell ref="CE103:CK103"/>
    <mergeCell ref="CL103:CS103"/>
    <mergeCell ref="CT103:CZ103"/>
    <mergeCell ref="BJ104:BM104"/>
    <mergeCell ref="BO104:BT104"/>
    <mergeCell ref="BW104:CC104"/>
    <mergeCell ref="CE104:CK104"/>
    <mergeCell ref="CL104:CS104"/>
    <mergeCell ref="CT104:CZ104"/>
    <mergeCell ref="DA104:DD104"/>
    <mergeCell ref="DE102:DK102"/>
    <mergeCell ref="DL102:DO102"/>
    <mergeCell ref="L103:O103"/>
    <mergeCell ref="P103:S103"/>
    <mergeCell ref="T103:AI103"/>
    <mergeCell ref="AJ103:AL103"/>
    <mergeCell ref="DE101:DK101"/>
    <mergeCell ref="DL101:DO101"/>
    <mergeCell ref="L102:O102"/>
    <mergeCell ref="P102:S102"/>
    <mergeCell ref="T102:AI102"/>
    <mergeCell ref="AJ102:AL102"/>
    <mergeCell ref="BJ102:BM102"/>
    <mergeCell ref="BO102:BT102"/>
    <mergeCell ref="BW102:CC102"/>
    <mergeCell ref="CE102:CK102"/>
    <mergeCell ref="CL102:CS102"/>
    <mergeCell ref="CT102:CZ102"/>
    <mergeCell ref="DA102:DD102"/>
    <mergeCell ref="DA103:DD103"/>
    <mergeCell ref="DL100:DO100"/>
    <mergeCell ref="L101:O101"/>
    <mergeCell ref="P101:S101"/>
    <mergeCell ref="T101:AI101"/>
    <mergeCell ref="AJ101:AL101"/>
    <mergeCell ref="DE100:DK100"/>
    <mergeCell ref="DE99:DK99"/>
    <mergeCell ref="DL99:DO99"/>
    <mergeCell ref="L100:O100"/>
    <mergeCell ref="P100:S100"/>
    <mergeCell ref="T100:AI100"/>
    <mergeCell ref="AJ100:AL100"/>
    <mergeCell ref="DE98:DK98"/>
    <mergeCell ref="DL98:DO98"/>
    <mergeCell ref="L99:O99"/>
    <mergeCell ref="P99:S99"/>
    <mergeCell ref="T99:AI99"/>
    <mergeCell ref="AJ99:AL99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BJ100:BM100"/>
    <mergeCell ref="BO100:BT100"/>
    <mergeCell ref="BW100:CC100"/>
    <mergeCell ref="CE100:CK100"/>
    <mergeCell ref="CL100:CS100"/>
    <mergeCell ref="CT100:CZ100"/>
    <mergeCell ref="BW93:CC93"/>
    <mergeCell ref="CE93:CK93"/>
    <mergeCell ref="CL93:CS93"/>
    <mergeCell ref="CT93:CZ93"/>
    <mergeCell ref="DA93:DD93"/>
    <mergeCell ref="DA94:DD94"/>
    <mergeCell ref="DL97:DO97"/>
    <mergeCell ref="L98:O98"/>
    <mergeCell ref="P98:S98"/>
    <mergeCell ref="T98:AI98"/>
    <mergeCell ref="AJ98:AL98"/>
    <mergeCell ref="DE97:DK97"/>
    <mergeCell ref="BJ98:BM98"/>
    <mergeCell ref="BO98:BT98"/>
    <mergeCell ref="BW98:CC98"/>
    <mergeCell ref="CE98:CK98"/>
    <mergeCell ref="CL98:CS98"/>
    <mergeCell ref="CT98:CZ98"/>
    <mergeCell ref="DE96:DK96"/>
    <mergeCell ref="DL96:DO96"/>
    <mergeCell ref="L97:O97"/>
    <mergeCell ref="P97:S97"/>
    <mergeCell ref="T97:AI97"/>
    <mergeCell ref="AJ97:AL97"/>
    <mergeCell ref="BJ92:BM92"/>
    <mergeCell ref="BO92:BT92"/>
    <mergeCell ref="BW92:CC92"/>
    <mergeCell ref="CE92:CK92"/>
    <mergeCell ref="CL92:CS92"/>
    <mergeCell ref="CT92:CZ92"/>
    <mergeCell ref="DE95:DK95"/>
    <mergeCell ref="DL95:DO95"/>
    <mergeCell ref="L96:O96"/>
    <mergeCell ref="P96:S96"/>
    <mergeCell ref="T96:AI96"/>
    <mergeCell ref="AJ96:AL96"/>
    <mergeCell ref="DL94:DO94"/>
    <mergeCell ref="L95:O95"/>
    <mergeCell ref="P95:S95"/>
    <mergeCell ref="T95:AI95"/>
    <mergeCell ref="AJ95:AL95"/>
    <mergeCell ref="DE94:DK94"/>
    <mergeCell ref="DE93:DK93"/>
    <mergeCell ref="DL93:DO93"/>
    <mergeCell ref="L94:O94"/>
    <mergeCell ref="P94:S94"/>
    <mergeCell ref="T94:AI94"/>
    <mergeCell ref="AJ94:AL94"/>
    <mergeCell ref="BJ94:BM94"/>
    <mergeCell ref="BO94:BT94"/>
    <mergeCell ref="BW94:CC94"/>
    <mergeCell ref="CE94:CK94"/>
    <mergeCell ref="CL94:CS94"/>
    <mergeCell ref="CT94:CZ94"/>
    <mergeCell ref="BJ93:BM93"/>
    <mergeCell ref="BO93:BT93"/>
    <mergeCell ref="DE92:DK92"/>
    <mergeCell ref="DA92:DD92"/>
    <mergeCell ref="L89:O89"/>
    <mergeCell ref="P89:S89"/>
    <mergeCell ref="T89:AI89"/>
    <mergeCell ref="AJ89:AL89"/>
    <mergeCell ref="DL92:DO92"/>
    <mergeCell ref="L93:O93"/>
    <mergeCell ref="P93:S93"/>
    <mergeCell ref="T93:AI93"/>
    <mergeCell ref="AJ93:AL93"/>
    <mergeCell ref="DL91:DO91"/>
    <mergeCell ref="L92:O92"/>
    <mergeCell ref="P92:S92"/>
    <mergeCell ref="T92:AI92"/>
    <mergeCell ref="AJ92:AL92"/>
    <mergeCell ref="DE91:DK91"/>
    <mergeCell ref="DE90:DK90"/>
    <mergeCell ref="DL90:DO90"/>
    <mergeCell ref="L91:O91"/>
    <mergeCell ref="P91:S91"/>
    <mergeCell ref="T91:AI91"/>
    <mergeCell ref="AJ91:AL91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L90:O90"/>
    <mergeCell ref="P90:S90"/>
    <mergeCell ref="T90:AI90"/>
    <mergeCell ref="AJ90:AL90"/>
    <mergeCell ref="BJ89:BM89"/>
    <mergeCell ref="BO89:BT89"/>
    <mergeCell ref="BW89:CC89"/>
    <mergeCell ref="CE89:CK89"/>
    <mergeCell ref="CL89:CS89"/>
    <mergeCell ref="CT89:CZ89"/>
    <mergeCell ref="DA89:DD89"/>
    <mergeCell ref="BJ90:BM90"/>
    <mergeCell ref="BO90:BT90"/>
    <mergeCell ref="BW90:CC90"/>
    <mergeCell ref="CE90:CK90"/>
    <mergeCell ref="CL90:CS90"/>
    <mergeCell ref="T87:AI87"/>
    <mergeCell ref="AJ87:AL87"/>
    <mergeCell ref="DE89:DK89"/>
    <mergeCell ref="DL89:DO89"/>
    <mergeCell ref="BJ86:BM86"/>
    <mergeCell ref="BO86:BT86"/>
    <mergeCell ref="BW86:CC86"/>
    <mergeCell ref="CE86:CK86"/>
    <mergeCell ref="CL86:CS86"/>
    <mergeCell ref="CT86:CZ86"/>
    <mergeCell ref="DA86:DD86"/>
    <mergeCell ref="BJ87:BM87"/>
    <mergeCell ref="BO87:BT87"/>
    <mergeCell ref="BW87:CC87"/>
    <mergeCell ref="CE87:CK87"/>
    <mergeCell ref="CL87:CS87"/>
    <mergeCell ref="CT87:CZ87"/>
    <mergeCell ref="AJ85:AL85"/>
    <mergeCell ref="DL88:DO88"/>
    <mergeCell ref="DA87:DD87"/>
    <mergeCell ref="BJ88:BM88"/>
    <mergeCell ref="BO88:BT88"/>
    <mergeCell ref="BW88:CC88"/>
    <mergeCell ref="CE88:CK88"/>
    <mergeCell ref="CL88:CS88"/>
    <mergeCell ref="CT88:CZ88"/>
    <mergeCell ref="DA88:DD88"/>
    <mergeCell ref="AJ86:AL86"/>
    <mergeCell ref="L85:O85"/>
    <mergeCell ref="P85:S85"/>
    <mergeCell ref="T85:AI85"/>
    <mergeCell ref="DL84:DO84"/>
    <mergeCell ref="L84:O84"/>
    <mergeCell ref="P84:S84"/>
    <mergeCell ref="T84:AI84"/>
    <mergeCell ref="AJ84:AL84"/>
    <mergeCell ref="BJ84:BM84"/>
    <mergeCell ref="BO84:BT84"/>
    <mergeCell ref="BW84:CC84"/>
    <mergeCell ref="CE84:CK84"/>
    <mergeCell ref="CL84:CS84"/>
    <mergeCell ref="CT84:CZ84"/>
    <mergeCell ref="DE88:DK88"/>
    <mergeCell ref="DE87:DK87"/>
    <mergeCell ref="DL87:DO87"/>
    <mergeCell ref="L88:O88"/>
    <mergeCell ref="P88:S88"/>
    <mergeCell ref="T88:AI88"/>
    <mergeCell ref="AJ88:AL88"/>
    <mergeCell ref="DE86:DK86"/>
    <mergeCell ref="DL86:DO86"/>
    <mergeCell ref="L87:O87"/>
    <mergeCell ref="P87:S87"/>
    <mergeCell ref="DA84:DD84"/>
    <mergeCell ref="DA85:DD85"/>
    <mergeCell ref="L86:O86"/>
    <mergeCell ref="P86:S86"/>
    <mergeCell ref="T86:AI86"/>
    <mergeCell ref="DE82:DK82"/>
    <mergeCell ref="DL85:DO85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DE85:DK85"/>
    <mergeCell ref="BJ85:BM85"/>
    <mergeCell ref="BO85:BT85"/>
    <mergeCell ref="BW85:CC85"/>
    <mergeCell ref="CE85:CK85"/>
    <mergeCell ref="CL85:CS85"/>
    <mergeCell ref="CT85:CZ85"/>
    <mergeCell ref="DE84:DK84"/>
    <mergeCell ref="DE81:DK81"/>
    <mergeCell ref="L82:O82"/>
    <mergeCell ref="P82:S82"/>
    <mergeCell ref="T82:AI82"/>
    <mergeCell ref="AJ82:AL82"/>
    <mergeCell ref="DL83:DO83"/>
    <mergeCell ref="DE80:DK80"/>
    <mergeCell ref="DL81:DO81"/>
    <mergeCell ref="L81:O81"/>
    <mergeCell ref="P81:S81"/>
    <mergeCell ref="T81:AI81"/>
    <mergeCell ref="AJ81:AL81"/>
    <mergeCell ref="DL79:DO79"/>
    <mergeCell ref="L80:O80"/>
    <mergeCell ref="P80:S80"/>
    <mergeCell ref="T80:AI80"/>
    <mergeCell ref="AJ80:AL80"/>
    <mergeCell ref="DE79:DK79"/>
    <mergeCell ref="DL80:DO80"/>
    <mergeCell ref="BJ80:BM80"/>
    <mergeCell ref="BO80:BT80"/>
    <mergeCell ref="BW80:CC80"/>
    <mergeCell ref="CE80:CK80"/>
    <mergeCell ref="CL80:CS80"/>
    <mergeCell ref="DE83:DK83"/>
    <mergeCell ref="CT83:CZ83"/>
    <mergeCell ref="DA83:DD83"/>
    <mergeCell ref="DL82:DO82"/>
    <mergeCell ref="L83:O83"/>
    <mergeCell ref="P83:S83"/>
    <mergeCell ref="T83:AI83"/>
    <mergeCell ref="AJ83:AL83"/>
    <mergeCell ref="DE78:DK78"/>
    <mergeCell ref="DL78:DO78"/>
    <mergeCell ref="L79:O79"/>
    <mergeCell ref="P79:S79"/>
    <mergeCell ref="T79:AI79"/>
    <mergeCell ref="AJ79:AL79"/>
    <mergeCell ref="AN79:BF79"/>
    <mergeCell ref="DL77:DO77"/>
    <mergeCell ref="L78:O78"/>
    <mergeCell ref="P78:S78"/>
    <mergeCell ref="T78:AI78"/>
    <mergeCell ref="AJ78:AL78"/>
    <mergeCell ref="AN78:BF78"/>
    <mergeCell ref="DE77:DK77"/>
    <mergeCell ref="L77:O77"/>
    <mergeCell ref="P77:S77"/>
    <mergeCell ref="T77:AI77"/>
    <mergeCell ref="AJ77:AL77"/>
    <mergeCell ref="AN77:BF77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E76:DK76"/>
    <mergeCell ref="DL76:DO76"/>
    <mergeCell ref="L76:O76"/>
    <mergeCell ref="P76:S76"/>
    <mergeCell ref="T76:AI76"/>
    <mergeCell ref="AJ76:AL76"/>
    <mergeCell ref="DE75:DK75"/>
    <mergeCell ref="DL75:DO75"/>
    <mergeCell ref="BJ75:BM75"/>
    <mergeCell ref="BO75:BT75"/>
    <mergeCell ref="BW75:CC75"/>
    <mergeCell ref="CE75:CK75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DE74:DK74"/>
    <mergeCell ref="DL74:DO74"/>
    <mergeCell ref="L75:O75"/>
    <mergeCell ref="P75:S75"/>
    <mergeCell ref="T75:AI75"/>
    <mergeCell ref="AJ75:AL75"/>
    <mergeCell ref="L72:DO73"/>
    <mergeCell ref="L74:O74"/>
    <mergeCell ref="P74:S74"/>
    <mergeCell ref="T74:AI74"/>
    <mergeCell ref="AJ74:AM74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BJ61:BK62"/>
    <mergeCell ref="BL61:BR62"/>
    <mergeCell ref="BS61:BU62"/>
    <mergeCell ref="BX61:CE62"/>
    <mergeCell ref="CF61:CJ62"/>
    <mergeCell ref="CK61:CP62"/>
    <mergeCell ref="DC67:DJ68"/>
    <mergeCell ref="DK67:DM68"/>
    <mergeCell ref="CS59:DB60"/>
    <mergeCell ref="DC59:DJ60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W56:CQ57"/>
    <mergeCell ref="CR56:DO57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AD28:BK29"/>
    <mergeCell ref="BN28:CD29"/>
    <mergeCell ref="CF28:DM29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O8:DO8"/>
    <mergeCell ref="AJ12:BL18"/>
    <mergeCell ref="BM12:CP18"/>
    <mergeCell ref="CU13:DM15"/>
    <mergeCell ref="CU16:DM18"/>
    <mergeCell ref="L19:AB20"/>
    <mergeCell ref="AD19:BK20"/>
    <mergeCell ref="BN19:CD20"/>
    <mergeCell ref="CF19:DM20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md_SA_DB_schreiben">
          <controlPr defaultSize="0" autoLine="0" r:id="rId5">
            <anchor moveWithCells="1">
              <from>
                <xdr:col>119</xdr:col>
                <xdr:colOff>28575</xdr:colOff>
                <xdr:row>45</xdr:row>
                <xdr:rowOff>9525</xdr:rowOff>
              </from>
              <to>
                <xdr:col>16383</xdr:col>
                <xdr:colOff>28575</xdr:colOff>
                <xdr:row>55</xdr:row>
                <xdr:rowOff>0</xdr:rowOff>
              </to>
            </anchor>
          </controlPr>
        </control>
      </mc:Choice>
      <mc:Fallback>
        <control shapeId="10244" r:id="rId4" name="cmd_SA_DB_schreiben"/>
      </mc:Fallback>
    </mc:AlternateContent>
    <mc:AlternateContent xmlns:mc="http://schemas.openxmlformats.org/markup-compatibility/2006">
      <mc:Choice Requires="x14">
        <control shapeId="10243" r:id="rId6" name="cmd_Leere_Zeilen_Einblenden">
          <controlPr defaultSize="0" autoLine="0" r:id="rId7">
            <anchor moveWithCells="1">
              <from>
                <xdr:col>119</xdr:col>
                <xdr:colOff>28575</xdr:colOff>
                <xdr:row>34</xdr:row>
                <xdr:rowOff>38100</xdr:rowOff>
              </from>
              <to>
                <xdr:col>16383</xdr:col>
                <xdr:colOff>28575</xdr:colOff>
                <xdr:row>44</xdr:row>
                <xdr:rowOff>19050</xdr:rowOff>
              </to>
            </anchor>
          </controlPr>
        </control>
      </mc:Choice>
      <mc:Fallback>
        <control shapeId="10243" r:id="rId6" name="cmd_Leere_Zeilen_Einblenden"/>
      </mc:Fallback>
    </mc:AlternateContent>
    <mc:AlternateContent xmlns:mc="http://schemas.openxmlformats.org/markup-compatibility/2006">
      <mc:Choice Requires="x14">
        <control shapeId="10242" r:id="rId8" name="cmd_Leere_Zeilen_Ausblenden">
          <controlPr defaultSize="0" autoLine="0" r:id="rId9">
            <anchor moveWithCells="1">
              <from>
                <xdr:col>119</xdr:col>
                <xdr:colOff>28575</xdr:colOff>
                <xdr:row>22</xdr:row>
                <xdr:rowOff>19050</xdr:rowOff>
              </from>
              <to>
                <xdr:col>16383</xdr:col>
                <xdr:colOff>28575</xdr:colOff>
                <xdr:row>31</xdr:row>
                <xdr:rowOff>28575</xdr:rowOff>
              </to>
            </anchor>
          </controlPr>
        </control>
      </mc:Choice>
      <mc:Fallback>
        <control shapeId="10242" r:id="rId8" name="cmd_Leere_Zeilen_Ausblenden"/>
      </mc:Fallback>
    </mc:AlternateContent>
    <mc:AlternateContent xmlns:mc="http://schemas.openxmlformats.org/markup-compatibility/2006">
      <mc:Choice Requires="x14">
        <control shapeId="10241" r:id="rId10" name="CommandButton1">
          <controlPr defaultSize="0" autoLine="0" r:id="rId11">
            <anchor moveWithCells="1">
              <from>
                <xdr:col>119</xdr:col>
                <xdr:colOff>28575</xdr:colOff>
                <xdr:row>11</xdr:row>
                <xdr:rowOff>9525</xdr:rowOff>
              </from>
              <to>
                <xdr:col>16383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0241" r:id="rId10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Z61"/>
  <sheetViews>
    <sheetView topLeftCell="J1" workbookViewId="0">
      <selection activeCell="V10" sqref="V10"/>
    </sheetView>
  </sheetViews>
  <sheetFormatPr baseColWidth="10" defaultRowHeight="15" x14ac:dyDescent="0.25"/>
  <cols>
    <col min="1" max="9" width="11.7109375" style="375" hidden="1" customWidth="1"/>
    <col min="10" max="10" width="3.7109375" style="375" customWidth="1"/>
    <col min="11" max="11" width="4.42578125" style="376" customWidth="1"/>
    <col min="12" max="12" width="34.7109375" style="377" bestFit="1" customWidth="1"/>
    <col min="13" max="13" width="48.5703125" style="377" bestFit="1" customWidth="1"/>
    <col min="14" max="14" width="13.7109375" style="376" customWidth="1"/>
    <col min="15" max="16" width="10" style="426" bestFit="1" customWidth="1"/>
    <col min="17" max="19" width="8" style="426" bestFit="1" customWidth="1"/>
    <col min="20" max="20" width="5.140625" style="427" customWidth="1"/>
    <col min="21" max="21" width="3.42578125" style="375" customWidth="1"/>
    <col min="22" max="22" width="22.5703125" style="375" customWidth="1"/>
    <col min="23" max="23" width="22.28515625" style="375" bestFit="1" customWidth="1"/>
    <col min="24" max="24" width="19" style="375" bestFit="1" customWidth="1"/>
    <col min="25" max="16384" width="11.42578125" style="375"/>
  </cols>
  <sheetData>
    <row r="1" spans="1:26" ht="36" thickBot="1" x14ac:dyDescent="0.65">
      <c r="A1" s="375" t="s">
        <v>434</v>
      </c>
      <c r="B1" s="375" t="s">
        <v>151</v>
      </c>
      <c r="C1" s="375" t="s">
        <v>435</v>
      </c>
      <c r="D1" s="375" t="s">
        <v>436</v>
      </c>
      <c r="E1" s="375" t="s">
        <v>353</v>
      </c>
      <c r="F1" s="375" t="s">
        <v>437</v>
      </c>
      <c r="G1" s="375" t="s">
        <v>438</v>
      </c>
      <c r="H1" s="375" t="s">
        <v>439</v>
      </c>
      <c r="I1" s="375" t="s">
        <v>64</v>
      </c>
      <c r="M1" s="378"/>
      <c r="N1" s="378"/>
      <c r="O1" s="378"/>
      <c r="P1" s="378"/>
      <c r="Q1" s="378"/>
      <c r="R1" s="378"/>
      <c r="S1" s="378"/>
      <c r="T1" s="379"/>
    </row>
    <row r="2" spans="1:26" ht="36" thickBot="1" x14ac:dyDescent="0.65">
      <c r="A2" s="375" t="str">
        <f ca="1">INDIRECT("BEZ_Dim_" &amp; B2 &amp;"_MG")</f>
        <v>HO</v>
      </c>
      <c r="B2" s="375">
        <v>1</v>
      </c>
      <c r="C2" s="375" t="str">
        <f ca="1">INDIRECT("BEZ_Dim_"&amp; B2 &amp;"_MB")</f>
        <v>Bretter, IPPC-HT-KD</v>
      </c>
      <c r="D2" s="375" t="str">
        <f ca="1">INDIRECT("BEZ_Dim_"&amp;B2&amp;"_SAGEID")</f>
        <v>10001596</v>
      </c>
      <c r="E2" s="380">
        <f t="shared" ref="E2:E47" si="0">BEZ_Dim_1_Anz</f>
        <v>1</v>
      </c>
      <c r="F2" s="375">
        <f ca="1">INDIRECT("BEZ_Dim_" &amp; B2 &amp; "_L")</f>
        <v>1632</v>
      </c>
      <c r="G2" s="375">
        <f ca="1">INDIRECT("BEZ_Dim_" &amp; B2 &amp; "_B")</f>
        <v>544</v>
      </c>
      <c r="H2" s="375">
        <f ca="1">INDIRECT("BEZ_Dim_" &amp; B2 &amp; "_H")</f>
        <v>23</v>
      </c>
      <c r="I2" s="375" t="str">
        <f ca="1">INDIRECT("BEZ_Dim_" &amp;B2&amp;"_BT")</f>
        <v>Bo Fläche</v>
      </c>
      <c r="K2" s="381" t="s">
        <v>170</v>
      </c>
      <c r="L2" s="1214" t="s">
        <v>440</v>
      </c>
      <c r="M2" s="1214"/>
      <c r="N2" s="1214"/>
      <c r="O2" s="1214"/>
      <c r="P2" s="1214"/>
      <c r="Q2" s="1214"/>
      <c r="R2" s="1214"/>
      <c r="S2" s="1215"/>
      <c r="T2" s="382"/>
      <c r="U2" s="383"/>
      <c r="V2" s="384" t="s">
        <v>441</v>
      </c>
      <c r="W2" s="385"/>
      <c r="X2" s="385"/>
      <c r="Y2" s="385"/>
      <c r="Z2" s="386"/>
    </row>
    <row r="3" spans="1:26" x14ac:dyDescent="0.25">
      <c r="A3" s="375" t="str">
        <f ca="1">INDIRECT("BEZ_Dim_" &amp; B3 &amp;"_MG")</f>
        <v>HO</v>
      </c>
      <c r="B3" s="375">
        <v>2</v>
      </c>
      <c r="C3" s="375" t="str">
        <f ca="1">INDIRECT("BEZ_Dim_"&amp; B3 &amp;"_MB")</f>
        <v>Kanthölzer, IPPC-HT-KD</v>
      </c>
      <c r="D3" s="375" t="str">
        <f ca="1">INDIRECT("BEZ_Dim_"&amp;B3&amp;"_SAGEID")</f>
        <v>10001365</v>
      </c>
      <c r="E3" s="380">
        <f t="shared" si="0"/>
        <v>1</v>
      </c>
      <c r="F3" s="375">
        <f ca="1">INDIRECT("BEZ_Dim_" &amp; B3 &amp; "_L")</f>
        <v>544</v>
      </c>
      <c r="G3" s="375">
        <f ca="1">INDIRECT("BEZ_Dim_" &amp; B3 &amp; "_B")</f>
        <v>100</v>
      </c>
      <c r="H3" s="375">
        <f ca="1">INDIRECT("BEZ_Dim_" &amp; B3 &amp; "_H")</f>
        <v>120</v>
      </c>
      <c r="I3" s="375" t="str">
        <f ca="1">INDIRECT("BEZ_Dim_" &amp;B3&amp;"_BT")</f>
        <v>Bo Querkantholz</v>
      </c>
      <c r="K3" s="387" t="s">
        <v>151</v>
      </c>
      <c r="L3" s="388" t="s">
        <v>64</v>
      </c>
      <c r="M3" s="388" t="s">
        <v>442</v>
      </c>
      <c r="N3" s="389" t="s">
        <v>443</v>
      </c>
      <c r="O3" s="390" t="s">
        <v>444</v>
      </c>
      <c r="P3" s="390" t="s">
        <v>445</v>
      </c>
      <c r="Q3" s="390" t="s">
        <v>446</v>
      </c>
      <c r="R3" s="390" t="s">
        <v>447</v>
      </c>
      <c r="S3" s="391" t="s">
        <v>448</v>
      </c>
      <c r="T3" s="392"/>
      <c r="U3" s="393"/>
      <c r="V3" s="394"/>
      <c r="W3" s="394"/>
      <c r="X3" s="394"/>
      <c r="Y3" s="394"/>
      <c r="Z3" s="395"/>
    </row>
    <row r="4" spans="1:26" x14ac:dyDescent="0.25">
      <c r="A4" s="375" t="str">
        <f t="shared" ref="A4:A47" ca="1" si="1">INDIRECT("BEZ_Dim_" &amp; B4 &amp;"_MG")</f>
        <v>HO</v>
      </c>
      <c r="B4" s="375">
        <v>3</v>
      </c>
      <c r="C4" s="375" t="str">
        <f t="shared" ref="C4:C47" ca="1" si="2">INDIRECT("BEZ_Dim_"&amp; B4 &amp;"_MB")</f>
        <v>Bretter, IPPC-HT-KD</v>
      </c>
      <c r="D4" s="375" t="str">
        <f t="shared" ref="D4:D47" ca="1" si="3">INDIRECT("BEZ_Dim_"&amp;B4&amp;"_SAGEID")</f>
        <v>10001596</v>
      </c>
      <c r="E4" s="380">
        <f t="shared" si="0"/>
        <v>1</v>
      </c>
      <c r="F4" s="375">
        <f t="shared" ref="F4:F47" ca="1" si="4">INDIRECT("BEZ_Dim_" &amp; B4 &amp; "_L")</f>
        <v>500</v>
      </c>
      <c r="G4" s="375">
        <f t="shared" ref="G4:G47" ca="1" si="5">INDIRECT("BEZ_Dim_" &amp; B4 &amp; "_B")</f>
        <v>500</v>
      </c>
      <c r="H4" s="375">
        <f t="shared" ref="H4:H47" ca="1" si="6">INDIRECT("BEZ_Dim_" &amp; B4 &amp; "_H")</f>
        <v>23</v>
      </c>
      <c r="I4" s="375" t="str">
        <f t="shared" ref="I4:I47" ca="1" si="7">INDIRECT("BEZ_Dim_" &amp;B4&amp;"_BT")</f>
        <v>Ko Flächen</v>
      </c>
      <c r="K4" s="396">
        <f t="array" aca="1" ref="K4" ca="1">IFERROR(INDEX($B$2:$B$309,LARGE(($A$2:$A$309=$K$2)*(ROW($A$2:$A$309)-1),COUNTIF($A$2:$A$309,$K$2)+1-ROW(A1))),"")</f>
        <v>13</v>
      </c>
      <c r="L4" s="397" t="str">
        <f ca="1">IFERROR(VLOOKUP(K4,$B$2:$I$47,8,FALSE),"")</f>
        <v>Scheiben</v>
      </c>
      <c r="M4" s="397" t="str">
        <f ca="1">IFERROR(VLOOKUP($K4,$B$2:$I$47,2,FALSE),"")</f>
        <v>Nadelsperrholz Elliottis 2.Wahl 18mm</v>
      </c>
      <c r="N4" s="398" t="str">
        <f ca="1">IFERROR(VLOOKUP($K4,$B$2:$I$47,3,FALSE),"")</f>
        <v>10002232</v>
      </c>
      <c r="O4" s="399">
        <f t="shared" ref="O4:O48" ca="1" si="8">IF(N4="","",KI_N)</f>
        <v>1</v>
      </c>
      <c r="P4" s="399">
        <f ca="1">IFERROR(VLOOKUP($K4,$B$2:$I$47,4,FALSE),"")</f>
        <v>1</v>
      </c>
      <c r="Q4" s="399">
        <f ca="1">IFERROR(VLOOKUP($K4,$B$2:$I$47,5,FALSE),"")</f>
        <v>0</v>
      </c>
      <c r="R4" s="399">
        <f ca="1">IFERROR(VLOOKUP($K4,$B$2:$I$47,6,FALSE),"")</f>
        <v>0</v>
      </c>
      <c r="S4" s="400">
        <f t="shared" ref="S4:S48" ca="1" si="9">IF((ISERROR((R4*Q4*P4) / 10^6*KI_N)),"", (R4*Q4*P4) / 10^6 * KI_N)</f>
        <v>0</v>
      </c>
      <c r="T4" s="392"/>
      <c r="U4" s="393"/>
      <c r="V4" s="401" t="s">
        <v>449</v>
      </c>
      <c r="W4" s="401"/>
      <c r="X4" s="401"/>
      <c r="Y4" s="401"/>
      <c r="Z4" s="402"/>
    </row>
    <row r="5" spans="1:26" x14ac:dyDescent="0.25">
      <c r="A5" s="375" t="str">
        <f t="shared" ca="1" si="1"/>
        <v>HO</v>
      </c>
      <c r="B5" s="375">
        <v>4</v>
      </c>
      <c r="C5" s="375" t="str">
        <f t="shared" ca="1" si="2"/>
        <v>Bretter, IPPC-HT-KD</v>
      </c>
      <c r="D5" s="375" t="str">
        <f t="shared" ca="1" si="3"/>
        <v>10001596</v>
      </c>
      <c r="E5" s="380">
        <f t="shared" si="0"/>
        <v>1</v>
      </c>
      <c r="F5" s="375">
        <f t="shared" ca="1" si="4"/>
        <v>500</v>
      </c>
      <c r="G5" s="375">
        <f t="shared" ca="1" si="5"/>
        <v>100</v>
      </c>
      <c r="H5" s="375">
        <f t="shared" ca="1" si="6"/>
        <v>23</v>
      </c>
      <c r="I5" s="375" t="str">
        <f t="shared" ca="1" si="7"/>
        <v>KoSp !Längs</v>
      </c>
      <c r="K5" s="396">
        <f t="array" aca="1" ref="K5" ca="1">IFERROR(INDEX($B$2:$B$309,LARGE(($A$2:$A$309=$K$2)*(ROW($A$2:$A$309)-1),COUNTIF($A$2:$A$309,$K$2)+1-ROW(A2))),"")</f>
        <v>16</v>
      </c>
      <c r="L5" s="397" t="str">
        <f t="shared" ref="L5:L48" ca="1" si="10">IFERROR(VLOOKUP(K5,$B$2:$I$47,8,FALSE),"")</f>
        <v/>
      </c>
      <c r="M5" s="397" t="str">
        <f t="shared" ref="M5:M48" ca="1" si="11">IFERROR(VLOOKUP($K5,$B$2:$I$47,2,FALSE),"")</f>
        <v>Nadelsperrholz Radiata 1.Wahl 12mm</v>
      </c>
      <c r="N5" s="398">
        <f t="shared" ref="N5:N48" ca="1" si="12">IFERROR(VLOOKUP($K5,$B$2:$I$47,3,FALSE),"")</f>
        <v>10002643</v>
      </c>
      <c r="O5" s="399">
        <f t="shared" ca="1" si="8"/>
        <v>1</v>
      </c>
      <c r="P5" s="399">
        <f t="shared" ref="P5:P48" ca="1" si="13">IFERROR(VLOOKUP($K5,$B$2:$I$47,4,FALSE),"")</f>
        <v>1</v>
      </c>
      <c r="Q5" s="399">
        <f t="shared" ref="Q5:Q48" ca="1" si="14">IFERROR(VLOOKUP($K5,$B$2:$I$47,5,FALSE),"")</f>
        <v>0</v>
      </c>
      <c r="R5" s="399">
        <f t="shared" ref="R5:R48" ca="1" si="15">IFERROR(VLOOKUP($K5,$B$2:$I$47,6,FALSE),"")</f>
        <v>0</v>
      </c>
      <c r="S5" s="400">
        <f t="shared" ca="1" si="9"/>
        <v>0</v>
      </c>
      <c r="T5" s="392"/>
      <c r="U5" s="393"/>
      <c r="V5" s="403" t="s">
        <v>450</v>
      </c>
      <c r="W5" s="403" t="s">
        <v>451</v>
      </c>
      <c r="X5" s="403" t="s">
        <v>452</v>
      </c>
      <c r="Y5" s="401" t="s">
        <v>453</v>
      </c>
      <c r="Z5" s="402"/>
    </row>
    <row r="6" spans="1:26" x14ac:dyDescent="0.25">
      <c r="A6" s="375" t="str">
        <f t="shared" ca="1" si="1"/>
        <v>HO</v>
      </c>
      <c r="B6" s="375">
        <v>5</v>
      </c>
      <c r="C6" s="375" t="str">
        <f t="shared" ca="1" si="2"/>
        <v>Bretter, IPPC-HT-KD</v>
      </c>
      <c r="D6" s="375" t="str">
        <f t="shared" ca="1" si="3"/>
        <v>10001596</v>
      </c>
      <c r="E6" s="380">
        <f t="shared" si="0"/>
        <v>1</v>
      </c>
      <c r="F6" s="375">
        <f t="shared" ca="1" si="4"/>
        <v>1632</v>
      </c>
      <c r="G6" s="375">
        <f t="shared" ca="1" si="5"/>
        <v>544</v>
      </c>
      <c r="H6" s="375">
        <f t="shared" ca="1" si="6"/>
        <v>23</v>
      </c>
      <c r="I6" s="375" t="str">
        <f t="shared" ca="1" si="7"/>
        <v>De Fläche</v>
      </c>
      <c r="K6" s="396" t="str">
        <f t="array" aca="1" ref="K6" ca="1">IFERROR(INDEX($B$2:$B$309,LARGE(($A$2:$A$309=$K$2)*(ROW($A$2:$A$309)-1),COUNTIF($A$2:$A$309,$K$2)+1-ROW(A3))),"")</f>
        <v/>
      </c>
      <c r="L6" s="397" t="str">
        <f t="shared" ca="1" si="10"/>
        <v/>
      </c>
      <c r="M6" s="397" t="str">
        <f t="shared" ca="1" si="11"/>
        <v/>
      </c>
      <c r="N6" s="398" t="str">
        <f t="shared" ca="1" si="12"/>
        <v/>
      </c>
      <c r="O6" s="399" t="str">
        <f t="shared" ca="1" si="8"/>
        <v/>
      </c>
      <c r="P6" s="399" t="str">
        <f t="shared" ca="1" si="13"/>
        <v/>
      </c>
      <c r="Q6" s="399" t="str">
        <f t="shared" ca="1" si="14"/>
        <v/>
      </c>
      <c r="R6" s="399" t="str">
        <f t="shared" ca="1" si="15"/>
        <v/>
      </c>
      <c r="S6" s="400" t="str">
        <f t="shared" ca="1" si="9"/>
        <v/>
      </c>
      <c r="T6" s="392"/>
      <c r="U6" s="393"/>
      <c r="V6" s="404">
        <v>1</v>
      </c>
      <c r="W6" s="404">
        <v>2800</v>
      </c>
      <c r="X6" s="404">
        <v>2070</v>
      </c>
      <c r="Y6" s="401">
        <f>V6*W6*X6/10^6</f>
        <v>5.7960000000000003</v>
      </c>
      <c r="Z6" s="402" t="s">
        <v>454</v>
      </c>
    </row>
    <row r="7" spans="1:26" x14ac:dyDescent="0.25">
      <c r="A7" s="375" t="str">
        <f t="shared" ca="1" si="1"/>
        <v>HO</v>
      </c>
      <c r="B7" s="375">
        <v>6</v>
      </c>
      <c r="C7" s="375" t="str">
        <f t="shared" ca="1" si="2"/>
        <v>Bretter, IPPC-HT-KD</v>
      </c>
      <c r="D7" s="375" t="str">
        <f t="shared" ca="1" si="3"/>
        <v>10001596</v>
      </c>
      <c r="E7" s="380">
        <f t="shared" si="0"/>
        <v>1</v>
      </c>
      <c r="F7" s="375">
        <f t="shared" ca="1" si="4"/>
        <v>544</v>
      </c>
      <c r="G7" s="375">
        <f t="shared" ca="1" si="5"/>
        <v>100</v>
      </c>
      <c r="H7" s="375">
        <f t="shared" ca="1" si="6"/>
        <v>23</v>
      </c>
      <c r="I7" s="375" t="str">
        <f t="shared" ca="1" si="7"/>
        <v>De Spangen</v>
      </c>
      <c r="K7" s="396" t="str">
        <f t="array" aca="1" ref="K7" ca="1">IFERROR(INDEX($B$2:$B$309,LARGE(($A$2:$A$309=$K$2)*(ROW($A$2:$A$309)-1),COUNTIF($A$2:$A$309,$K$2)+1-ROW(A4))),"")</f>
        <v/>
      </c>
      <c r="L7" s="397" t="str">
        <f t="shared" ca="1" si="10"/>
        <v/>
      </c>
      <c r="M7" s="397" t="str">
        <f t="shared" ca="1" si="11"/>
        <v/>
      </c>
      <c r="N7" s="398" t="str">
        <f t="shared" ca="1" si="12"/>
        <v/>
      </c>
      <c r="O7" s="399" t="str">
        <f t="shared" ca="1" si="8"/>
        <v/>
      </c>
      <c r="P7" s="399" t="str">
        <f t="shared" ca="1" si="13"/>
        <v/>
      </c>
      <c r="Q7" s="399" t="str">
        <f t="shared" ca="1" si="14"/>
        <v/>
      </c>
      <c r="R7" s="399" t="str">
        <f t="shared" ca="1" si="15"/>
        <v/>
      </c>
      <c r="S7" s="400" t="str">
        <f t="shared" ca="1" si="9"/>
        <v/>
      </c>
      <c r="T7" s="392"/>
      <c r="U7" s="393"/>
      <c r="V7" s="401"/>
      <c r="W7" s="401"/>
      <c r="X7" s="401"/>
      <c r="Y7" s="401"/>
      <c r="Z7" s="402"/>
    </row>
    <row r="8" spans="1:26" x14ac:dyDescent="0.25">
      <c r="A8" s="375" t="str">
        <f t="shared" ca="1" si="1"/>
        <v>HO</v>
      </c>
      <c r="B8" s="375">
        <v>7</v>
      </c>
      <c r="C8" s="375" t="str">
        <f t="shared" ca="1" si="2"/>
        <v>Bretter, IPPC-HT-KD</v>
      </c>
      <c r="D8" s="375" t="str">
        <f t="shared" ca="1" si="3"/>
        <v>10001596</v>
      </c>
      <c r="E8" s="380">
        <f t="shared" si="0"/>
        <v>1</v>
      </c>
      <c r="F8" s="375">
        <f t="shared" ca="1" si="4"/>
        <v>1632</v>
      </c>
      <c r="G8" s="375">
        <f t="shared" ca="1" si="5"/>
        <v>500</v>
      </c>
      <c r="H8" s="375">
        <f t="shared" ca="1" si="6"/>
        <v>23</v>
      </c>
      <c r="I8" s="375" t="str">
        <f t="shared" ca="1" si="7"/>
        <v>Se Flächen</v>
      </c>
      <c r="J8" s="405"/>
      <c r="K8" s="396" t="str">
        <f t="array" aca="1" ref="K8" ca="1">IFERROR(INDEX($B$2:$B$309,LARGE(($A$2:$A$309=$K$2)*(ROW($A$2:$A$309)-1),COUNTIF($A$2:$A$309,$K$2)+1-ROW(A5))),"")</f>
        <v/>
      </c>
      <c r="L8" s="397" t="str">
        <f t="shared" ca="1" si="10"/>
        <v/>
      </c>
      <c r="M8" s="397" t="str">
        <f t="shared" ca="1" si="11"/>
        <v/>
      </c>
      <c r="N8" s="398" t="str">
        <f t="shared" ca="1" si="12"/>
        <v/>
      </c>
      <c r="O8" s="399" t="str">
        <f t="shared" ca="1" si="8"/>
        <v/>
      </c>
      <c r="P8" s="399" t="str">
        <f t="shared" ca="1" si="13"/>
        <v/>
      </c>
      <c r="Q8" s="399" t="str">
        <f t="shared" ca="1" si="14"/>
        <v/>
      </c>
      <c r="R8" s="399" t="str">
        <f t="shared" ca="1" si="15"/>
        <v/>
      </c>
      <c r="S8" s="400" t="str">
        <f t="shared" ca="1" si="9"/>
        <v/>
      </c>
      <c r="T8" s="392"/>
      <c r="U8" s="393"/>
      <c r="V8" s="401" t="s">
        <v>455</v>
      </c>
      <c r="W8" s="401"/>
      <c r="X8" s="401"/>
      <c r="Y8" s="401"/>
      <c r="Z8" s="402"/>
    </row>
    <row r="9" spans="1:26" x14ac:dyDescent="0.25">
      <c r="A9" s="375" t="str">
        <f t="shared" ca="1" si="1"/>
        <v>HO</v>
      </c>
      <c r="B9" s="375">
        <v>8</v>
      </c>
      <c r="C9" s="375" t="str">
        <f t="shared" ca="1" si="2"/>
        <v>Bretter, IPPC-HT-KD</v>
      </c>
      <c r="D9" s="375" t="str">
        <f t="shared" ca="1" si="3"/>
        <v>10001596</v>
      </c>
      <c r="E9" s="380">
        <f t="shared" si="0"/>
        <v>1</v>
      </c>
      <c r="F9" s="375">
        <f t="shared" ca="1" si="4"/>
        <v>672</v>
      </c>
      <c r="G9" s="375">
        <f t="shared" ca="1" si="5"/>
        <v>100</v>
      </c>
      <c r="H9" s="375">
        <f t="shared" ca="1" si="6"/>
        <v>23</v>
      </c>
      <c r="I9" s="375" t="str">
        <f t="shared" ca="1" si="7"/>
        <v>Se Spangen</v>
      </c>
      <c r="J9" s="406"/>
      <c r="K9" s="396" t="str">
        <f t="array" aca="1" ref="K9" ca="1">IFERROR(INDEX($B$2:$B$309,LARGE(($A$2:$A$309=$K$2)*(ROW($A$2:$A$309)-1),COUNTIF($A$2:$A$309,$K$2)+1-ROW(A6))),"")</f>
        <v/>
      </c>
      <c r="L9" s="397" t="str">
        <f t="shared" ca="1" si="10"/>
        <v/>
      </c>
      <c r="M9" s="397" t="str">
        <f t="shared" ca="1" si="11"/>
        <v/>
      </c>
      <c r="N9" s="398" t="str">
        <f t="shared" ca="1" si="12"/>
        <v/>
      </c>
      <c r="O9" s="399" t="str">
        <f t="shared" ca="1" si="8"/>
        <v/>
      </c>
      <c r="P9" s="399" t="str">
        <f t="shared" ca="1" si="13"/>
        <v/>
      </c>
      <c r="Q9" s="399" t="str">
        <f t="shared" ca="1" si="14"/>
        <v/>
      </c>
      <c r="R9" s="399" t="str">
        <f t="shared" ca="1" si="15"/>
        <v/>
      </c>
      <c r="S9" s="400" t="str">
        <f t="shared" ca="1" si="9"/>
        <v/>
      </c>
      <c r="T9" s="392"/>
      <c r="U9" s="393"/>
      <c r="V9" s="407" t="s">
        <v>456</v>
      </c>
      <c r="W9" s="397" t="s">
        <v>457</v>
      </c>
      <c r="X9" s="401" t="s">
        <v>458</v>
      </c>
      <c r="Y9" s="408">
        <f ca="1">SUM(W10:W24)</f>
        <v>0</v>
      </c>
      <c r="Z9" s="402" t="s">
        <v>459</v>
      </c>
    </row>
    <row r="10" spans="1:26" x14ac:dyDescent="0.25">
      <c r="A10" s="375" t="str">
        <f t="shared" ca="1" si="1"/>
        <v>HO</v>
      </c>
      <c r="B10" s="375">
        <v>9</v>
      </c>
      <c r="C10" s="375" t="str">
        <f t="shared" ca="1" si="2"/>
        <v>Bretter, IPPC-HT-KD</v>
      </c>
      <c r="D10" s="375" t="str">
        <f t="shared" ca="1" si="3"/>
        <v>10001596</v>
      </c>
      <c r="E10" s="380">
        <f t="shared" si="0"/>
        <v>1</v>
      </c>
      <c r="F10" s="375">
        <f t="shared" ca="1" si="4"/>
        <v>490</v>
      </c>
      <c r="G10" s="375">
        <f t="shared" ca="1" si="5"/>
        <v>100</v>
      </c>
      <c r="H10" s="375">
        <f t="shared" ca="1" si="6"/>
        <v>23</v>
      </c>
      <c r="I10" s="375" t="str">
        <f t="shared" ca="1" si="7"/>
        <v xml:space="preserve">SeSp Transportsicherung </v>
      </c>
      <c r="J10" s="406"/>
      <c r="K10" s="396" t="str">
        <f t="array" aca="1" ref="K10" ca="1">IFERROR(INDEX($B$2:$B$309,LARGE(($A$2:$A$309=$K$2)*(ROW($A$2:$A$309)-1),COUNTIF($A$2:$A$309,$K$2)+1-ROW(A7))),"")</f>
        <v/>
      </c>
      <c r="L10" s="397" t="str">
        <f t="shared" ca="1" si="10"/>
        <v/>
      </c>
      <c r="M10" s="397" t="str">
        <f t="shared" ca="1" si="11"/>
        <v/>
      </c>
      <c r="N10" s="398" t="str">
        <f t="shared" ca="1" si="12"/>
        <v/>
      </c>
      <c r="O10" s="399" t="str">
        <f t="shared" ca="1" si="8"/>
        <v/>
      </c>
      <c r="P10" s="399" t="str">
        <f t="shared" ca="1" si="13"/>
        <v/>
      </c>
      <c r="Q10" s="399" t="str">
        <f t="shared" ca="1" si="14"/>
        <v/>
      </c>
      <c r="R10" s="399" t="str">
        <f t="shared" ca="1" si="15"/>
        <v/>
      </c>
      <c r="S10" s="400" t="str">
        <f t="shared" ca="1" si="9"/>
        <v/>
      </c>
      <c r="T10" s="392"/>
      <c r="U10" s="393"/>
      <c r="V10" s="404">
        <v>13</v>
      </c>
      <c r="W10" s="409">
        <f ca="1">IF(ISERROR(VLOOKUP(V10,$K$4:$S$48,9,FALSE)),"",VLOOKUP(V10,$K$4:$S$48,9,FALSE))</f>
        <v>0</v>
      </c>
      <c r="X10" s="401"/>
      <c r="Y10" s="401"/>
      <c r="Z10" s="402"/>
    </row>
    <row r="11" spans="1:26" x14ac:dyDescent="0.25">
      <c r="A11" s="375" t="str">
        <f t="shared" ca="1" si="1"/>
        <v>HO</v>
      </c>
      <c r="B11" s="375">
        <v>10</v>
      </c>
      <c r="C11" s="375" t="str">
        <f t="shared" ca="1" si="2"/>
        <v>Bohlen, IPPC-HT-KD</v>
      </c>
      <c r="D11" s="375" t="str">
        <f t="shared" ca="1" si="3"/>
        <v>10001250</v>
      </c>
      <c r="E11" s="380">
        <f t="shared" si="0"/>
        <v>1</v>
      </c>
      <c r="F11" s="375">
        <f t="shared" ca="1" si="4"/>
        <v>495</v>
      </c>
      <c r="G11" s="375">
        <f t="shared" ca="1" si="5"/>
        <v>250</v>
      </c>
      <c r="H11" s="375">
        <f t="shared" ca="1" si="6"/>
        <v>50</v>
      </c>
      <c r="I11" s="375" t="str">
        <f t="shared" ca="1" si="7"/>
        <v>Se Transportsicherung KH</v>
      </c>
      <c r="J11" s="406"/>
      <c r="K11" s="396" t="str">
        <f t="array" aca="1" ref="K11" ca="1">IFERROR(INDEX($B$2:$B$309,LARGE(($A$2:$A$309=$K$2)*(ROW($A$2:$A$309)-1),COUNTIF($A$2:$A$309,$K$2)+1-ROW(A8))),"")</f>
        <v/>
      </c>
      <c r="L11" s="397" t="str">
        <f t="shared" ca="1" si="10"/>
        <v/>
      </c>
      <c r="M11" s="397" t="str">
        <f t="shared" ca="1" si="11"/>
        <v/>
      </c>
      <c r="N11" s="398" t="str">
        <f t="shared" ca="1" si="12"/>
        <v/>
      </c>
      <c r="O11" s="399" t="str">
        <f t="shared" ca="1" si="8"/>
        <v/>
      </c>
      <c r="P11" s="399" t="str">
        <f t="shared" ca="1" si="13"/>
        <v/>
      </c>
      <c r="Q11" s="399" t="str">
        <f t="shared" ca="1" si="14"/>
        <v/>
      </c>
      <c r="R11" s="399" t="str">
        <f t="shared" ca="1" si="15"/>
        <v/>
      </c>
      <c r="S11" s="400" t="str">
        <f t="shared" ca="1" si="9"/>
        <v/>
      </c>
      <c r="T11" s="392"/>
      <c r="U11" s="393"/>
      <c r="V11" s="404">
        <v>15</v>
      </c>
      <c r="W11" s="409" t="str">
        <f t="shared" ref="W11:W24" ca="1" si="16">IF(ISERROR(VLOOKUP(V11,$K$4:$S$48,9,FALSE)),"",VLOOKUP(V11,$K$4:$S$48,9,FALSE))</f>
        <v/>
      </c>
      <c r="X11" s="401"/>
      <c r="Y11" s="401"/>
      <c r="Z11" s="402"/>
    </row>
    <row r="12" spans="1:26" x14ac:dyDescent="0.25">
      <c r="A12" s="375" t="str">
        <f t="shared" ca="1" si="1"/>
        <v>HO</v>
      </c>
      <c r="B12" s="375">
        <v>11</v>
      </c>
      <c r="C12" s="375" t="str">
        <f t="shared" ca="1" si="2"/>
        <v>Kantholz Fi (IPPC KD)</v>
      </c>
      <c r="D12" s="375">
        <f t="shared" ca="1" si="3"/>
        <v>0</v>
      </c>
      <c r="E12" s="380">
        <f t="shared" si="0"/>
        <v>1</v>
      </c>
      <c r="F12" s="375">
        <f t="shared" ca="1" si="4"/>
        <v>0</v>
      </c>
      <c r="G12" s="375">
        <f t="shared" ca="1" si="5"/>
        <v>0</v>
      </c>
      <c r="H12" s="375">
        <f t="shared" ca="1" si="6"/>
        <v>0</v>
      </c>
      <c r="I12" s="375" t="str">
        <f t="shared" ca="1" si="7"/>
        <v>Kantholz lose</v>
      </c>
      <c r="J12" s="406"/>
      <c r="K12" s="396" t="str">
        <f t="array" aca="1" ref="K12" ca="1">IFERROR(INDEX($B$2:$B$309,LARGE(($A$2:$A$309=$K$2)*(ROW($A$2:$A$309)-1),COUNTIF($A$2:$A$309,$K$2)+1-ROW(A9))),"")</f>
        <v/>
      </c>
      <c r="L12" s="397" t="str">
        <f t="shared" ca="1" si="10"/>
        <v/>
      </c>
      <c r="M12" s="397" t="str">
        <f t="shared" ca="1" si="11"/>
        <v/>
      </c>
      <c r="N12" s="398" t="str">
        <f t="shared" ca="1" si="12"/>
        <v/>
      </c>
      <c r="O12" s="399" t="str">
        <f t="shared" ca="1" si="8"/>
        <v/>
      </c>
      <c r="P12" s="399" t="str">
        <f t="shared" ca="1" si="13"/>
        <v/>
      </c>
      <c r="Q12" s="399" t="str">
        <f t="shared" ca="1" si="14"/>
        <v/>
      </c>
      <c r="R12" s="399" t="str">
        <f t="shared" ca="1" si="15"/>
        <v/>
      </c>
      <c r="S12" s="400" t="str">
        <f t="shared" ca="1" si="9"/>
        <v/>
      </c>
      <c r="T12" s="392"/>
      <c r="U12" s="393"/>
      <c r="V12" s="404"/>
      <c r="W12" s="409" t="str">
        <f t="shared" ca="1" si="16"/>
        <v/>
      </c>
      <c r="X12" s="401"/>
      <c r="Y12" s="401"/>
      <c r="Z12" s="402"/>
    </row>
    <row r="13" spans="1:26" x14ac:dyDescent="0.25">
      <c r="A13" s="375" t="str">
        <f t="shared" ca="1" si="1"/>
        <v>HO</v>
      </c>
      <c r="B13" s="375">
        <v>12</v>
      </c>
      <c r="C13" s="375" t="str">
        <f t="shared" ca="1" si="2"/>
        <v>Kanthölzer, IPPC-HT-KD</v>
      </c>
      <c r="D13" s="375" t="str">
        <f t="shared" ca="1" si="3"/>
        <v>10001403</v>
      </c>
      <c r="E13" s="380">
        <f t="shared" si="0"/>
        <v>1</v>
      </c>
      <c r="F13" s="375">
        <f t="shared" ca="1" si="4"/>
        <v>0</v>
      </c>
      <c r="G13" s="375">
        <f t="shared" ca="1" si="5"/>
        <v>0</v>
      </c>
      <c r="H13" s="375">
        <f t="shared" ca="1" si="6"/>
        <v>0</v>
      </c>
      <c r="I13" s="375" t="str">
        <f t="shared" ca="1" si="7"/>
        <v>Wellenkantholz</v>
      </c>
      <c r="J13" s="406"/>
      <c r="K13" s="396" t="str">
        <f t="array" aca="1" ref="K13" ca="1">IFERROR(INDEX($B$2:$B$309,LARGE(($A$2:$A$309=$K$2)*(ROW($A$2:$A$309)-1),COUNTIF($A$2:$A$309,$K$2)+1-ROW(A10))),"")</f>
        <v/>
      </c>
      <c r="L13" s="397" t="str">
        <f t="shared" ca="1" si="10"/>
        <v/>
      </c>
      <c r="M13" s="397" t="str">
        <f t="shared" ca="1" si="11"/>
        <v/>
      </c>
      <c r="N13" s="398" t="str">
        <f t="shared" ca="1" si="12"/>
        <v/>
      </c>
      <c r="O13" s="399" t="str">
        <f t="shared" ca="1" si="8"/>
        <v/>
      </c>
      <c r="P13" s="399" t="str">
        <f t="shared" ca="1" si="13"/>
        <v/>
      </c>
      <c r="Q13" s="399" t="str">
        <f t="shared" ca="1" si="14"/>
        <v/>
      </c>
      <c r="R13" s="399" t="str">
        <f t="shared" ca="1" si="15"/>
        <v/>
      </c>
      <c r="S13" s="400" t="str">
        <f t="shared" ca="1" si="9"/>
        <v/>
      </c>
      <c r="T13" s="392"/>
      <c r="U13" s="393"/>
      <c r="V13" s="404"/>
      <c r="W13" s="409" t="str">
        <f t="shared" ca="1" si="16"/>
        <v/>
      </c>
      <c r="X13" s="401"/>
      <c r="Y13" s="401"/>
      <c r="Z13" s="402"/>
    </row>
    <row r="14" spans="1:26" x14ac:dyDescent="0.25">
      <c r="A14" s="375" t="str">
        <f t="shared" ca="1" si="1"/>
        <v>PL</v>
      </c>
      <c r="B14" s="375">
        <v>13</v>
      </c>
      <c r="C14" s="375" t="str">
        <f t="shared" ca="1" si="2"/>
        <v>Nadelsperrholz Elliottis 2.Wahl 18mm</v>
      </c>
      <c r="D14" s="375" t="str">
        <f t="shared" ca="1" si="3"/>
        <v>10002232</v>
      </c>
      <c r="E14" s="380">
        <f t="shared" si="0"/>
        <v>1</v>
      </c>
      <c r="F14" s="375">
        <f t="shared" ca="1" si="4"/>
        <v>0</v>
      </c>
      <c r="G14" s="375">
        <f t="shared" ca="1" si="5"/>
        <v>0</v>
      </c>
      <c r="H14" s="375">
        <f t="shared" ca="1" si="6"/>
        <v>0</v>
      </c>
      <c r="I14" s="375" t="str">
        <f t="shared" ca="1" si="7"/>
        <v>Scheiben</v>
      </c>
      <c r="K14" s="396" t="str">
        <f t="array" aca="1" ref="K14" ca="1">IFERROR(INDEX($B$2:$B$309,LARGE(($A$2:$A$309=$K$2)*(ROW($A$2:$A$309)-1),COUNTIF($A$2:$A$309,$K$2)+1-ROW(A11))),"")</f>
        <v/>
      </c>
      <c r="L14" s="397" t="str">
        <f t="shared" ca="1" si="10"/>
        <v/>
      </c>
      <c r="M14" s="397" t="str">
        <f t="shared" ca="1" si="11"/>
        <v/>
      </c>
      <c r="N14" s="398" t="str">
        <f t="shared" ca="1" si="12"/>
        <v/>
      </c>
      <c r="O14" s="399" t="str">
        <f t="shared" ca="1" si="8"/>
        <v/>
      </c>
      <c r="P14" s="399" t="str">
        <f t="shared" ca="1" si="13"/>
        <v/>
      </c>
      <c r="Q14" s="399" t="str">
        <f t="shared" ca="1" si="14"/>
        <v/>
      </c>
      <c r="R14" s="399" t="str">
        <f t="shared" ca="1" si="15"/>
        <v/>
      </c>
      <c r="S14" s="400" t="str">
        <f t="shared" ca="1" si="9"/>
        <v/>
      </c>
      <c r="T14" s="392"/>
      <c r="U14" s="393"/>
      <c r="V14" s="404"/>
      <c r="W14" s="409" t="str">
        <f t="shared" ca="1" si="16"/>
        <v/>
      </c>
      <c r="X14" s="401"/>
      <c r="Y14" s="401"/>
      <c r="Z14" s="402"/>
    </row>
    <row r="15" spans="1:26" x14ac:dyDescent="0.25">
      <c r="A15" s="375" t="str">
        <f t="shared" ca="1" si="1"/>
        <v>HO</v>
      </c>
      <c r="B15" s="375">
        <v>14</v>
      </c>
      <c r="C15" s="375" t="str">
        <f t="shared" ca="1" si="2"/>
        <v>Kanthölzer, IPPC-HT-KD</v>
      </c>
      <c r="D15" s="375" t="str">
        <f t="shared" ca="1" si="3"/>
        <v>10001365</v>
      </c>
      <c r="E15" s="380">
        <f t="shared" si="0"/>
        <v>1</v>
      </c>
      <c r="F15" s="375">
        <f t="shared" ca="1" si="4"/>
        <v>0</v>
      </c>
      <c r="G15" s="375">
        <f t="shared" ca="1" si="5"/>
        <v>0</v>
      </c>
      <c r="H15" s="375">
        <f t="shared" ca="1" si="6"/>
        <v>0</v>
      </c>
      <c r="I15" s="375" t="str">
        <f t="shared" ca="1" si="7"/>
        <v>Längskantholz</v>
      </c>
      <c r="K15" s="396" t="str">
        <f t="array" aca="1" ref="K15" ca="1">IFERROR(INDEX($B$2:$B$309,LARGE(($A$2:$A$309=$K$2)*(ROW($A$2:$A$309)-1),COUNTIF($A$2:$A$309,$K$2)+1-ROW(A12))),"")</f>
        <v/>
      </c>
      <c r="L15" s="397" t="str">
        <f t="shared" ca="1" si="10"/>
        <v/>
      </c>
      <c r="M15" s="397" t="str">
        <f t="shared" ca="1" si="11"/>
        <v/>
      </c>
      <c r="N15" s="398" t="str">
        <f t="shared" ca="1" si="12"/>
        <v/>
      </c>
      <c r="O15" s="399" t="str">
        <f t="shared" ca="1" si="8"/>
        <v/>
      </c>
      <c r="P15" s="399" t="str">
        <f t="shared" ca="1" si="13"/>
        <v/>
      </c>
      <c r="Q15" s="399" t="str">
        <f t="shared" ca="1" si="14"/>
        <v/>
      </c>
      <c r="R15" s="399" t="str">
        <f t="shared" ca="1" si="15"/>
        <v/>
      </c>
      <c r="S15" s="400" t="str">
        <f t="shared" ca="1" si="9"/>
        <v/>
      </c>
      <c r="T15" s="392"/>
      <c r="U15" s="393"/>
      <c r="V15" s="404"/>
      <c r="W15" s="409" t="str">
        <f t="shared" ca="1" si="16"/>
        <v/>
      </c>
      <c r="X15" s="401"/>
      <c r="Y15" s="401"/>
      <c r="Z15" s="402"/>
    </row>
    <row r="16" spans="1:26" x14ac:dyDescent="0.25">
      <c r="A16" s="375">
        <f t="shared" ca="1" si="1"/>
        <v>0</v>
      </c>
      <c r="B16" s="375">
        <v>15</v>
      </c>
      <c r="C16" s="375">
        <f t="shared" ca="1" si="2"/>
        <v>0</v>
      </c>
      <c r="D16" s="375">
        <f t="shared" ca="1" si="3"/>
        <v>0</v>
      </c>
      <c r="E16" s="380">
        <f t="shared" si="0"/>
        <v>1</v>
      </c>
      <c r="F16" s="375">
        <f t="shared" ca="1" si="4"/>
        <v>0</v>
      </c>
      <c r="G16" s="375">
        <f t="shared" ca="1" si="5"/>
        <v>0</v>
      </c>
      <c r="H16" s="375">
        <f t="shared" ca="1" si="6"/>
        <v>0</v>
      </c>
      <c r="I16" s="375">
        <f t="shared" ca="1" si="7"/>
        <v>0</v>
      </c>
      <c r="K16" s="396" t="str">
        <f t="array" aca="1" ref="K16" ca="1">IFERROR(INDEX($B$2:$B$309,LARGE(($A$2:$A$309=$K$2)*(ROW($A$2:$A$309)-1),COUNTIF($A$2:$A$309,$K$2)+1-ROW(A13))),"")</f>
        <v/>
      </c>
      <c r="L16" s="397" t="str">
        <f t="shared" ca="1" si="10"/>
        <v/>
      </c>
      <c r="M16" s="397" t="str">
        <f t="shared" ca="1" si="11"/>
        <v/>
      </c>
      <c r="N16" s="398" t="str">
        <f t="shared" ca="1" si="12"/>
        <v/>
      </c>
      <c r="O16" s="399" t="str">
        <f t="shared" ca="1" si="8"/>
        <v/>
      </c>
      <c r="P16" s="399" t="str">
        <f t="shared" ca="1" si="13"/>
        <v/>
      </c>
      <c r="Q16" s="399" t="str">
        <f t="shared" ca="1" si="14"/>
        <v/>
      </c>
      <c r="R16" s="399" t="str">
        <f t="shared" ca="1" si="15"/>
        <v/>
      </c>
      <c r="S16" s="400" t="str">
        <f t="shared" ca="1" si="9"/>
        <v/>
      </c>
      <c r="T16" s="392"/>
      <c r="U16" s="393"/>
      <c r="V16" s="404"/>
      <c r="W16" s="409" t="str">
        <f t="shared" ca="1" si="16"/>
        <v/>
      </c>
      <c r="X16" s="401"/>
      <c r="Y16" s="401"/>
      <c r="Z16" s="402"/>
    </row>
    <row r="17" spans="1:26" x14ac:dyDescent="0.25">
      <c r="A17" s="375" t="str">
        <f t="shared" ca="1" si="1"/>
        <v>PL</v>
      </c>
      <c r="B17" s="375">
        <v>16</v>
      </c>
      <c r="C17" s="375" t="str">
        <f t="shared" ca="1" si="2"/>
        <v>Nadelsperrholz Radiata 1.Wahl 12mm</v>
      </c>
      <c r="D17" s="375">
        <f t="shared" ca="1" si="3"/>
        <v>10002643</v>
      </c>
      <c r="E17" s="380">
        <f t="shared" si="0"/>
        <v>1</v>
      </c>
      <c r="F17" s="375">
        <f t="shared" ca="1" si="4"/>
        <v>0</v>
      </c>
      <c r="G17" s="375">
        <f t="shared" ca="1" si="5"/>
        <v>0</v>
      </c>
      <c r="H17" s="375">
        <f t="shared" ca="1" si="6"/>
        <v>0</v>
      </c>
      <c r="I17" s="375" t="str">
        <f t="shared" ca="1" si="7"/>
        <v/>
      </c>
      <c r="K17" s="396" t="str">
        <f t="array" aca="1" ref="K17" ca="1">IFERROR(INDEX($B$2:$B$309,LARGE(($A$2:$A$309=$K$2)*(ROW($A$2:$A$309)-1),COUNTIF($A$2:$A$309,$K$2)+1-ROW(A14))),"")</f>
        <v/>
      </c>
      <c r="L17" s="397" t="str">
        <f t="shared" ca="1" si="10"/>
        <v/>
      </c>
      <c r="M17" s="397" t="str">
        <f t="shared" ca="1" si="11"/>
        <v/>
      </c>
      <c r="N17" s="398" t="str">
        <f t="shared" ca="1" si="12"/>
        <v/>
      </c>
      <c r="O17" s="399" t="str">
        <f t="shared" ca="1" si="8"/>
        <v/>
      </c>
      <c r="P17" s="399" t="str">
        <f t="shared" ca="1" si="13"/>
        <v/>
      </c>
      <c r="Q17" s="399" t="str">
        <f t="shared" ca="1" si="14"/>
        <v/>
      </c>
      <c r="R17" s="399" t="str">
        <f t="shared" ca="1" si="15"/>
        <v/>
      </c>
      <c r="S17" s="400" t="str">
        <f t="shared" ca="1" si="9"/>
        <v/>
      </c>
      <c r="T17" s="392"/>
      <c r="U17" s="393"/>
      <c r="V17" s="404"/>
      <c r="W17" s="409" t="str">
        <f t="shared" ca="1" si="16"/>
        <v/>
      </c>
      <c r="X17" s="401"/>
      <c r="Y17" s="401"/>
      <c r="Z17" s="402"/>
    </row>
    <row r="18" spans="1:26" x14ac:dyDescent="0.25">
      <c r="A18" s="375" t="str">
        <f t="shared" ca="1" si="1"/>
        <v/>
      </c>
      <c r="B18" s="375">
        <v>17</v>
      </c>
      <c r="C18" s="375" t="str">
        <f t="shared" ca="1" si="2"/>
        <v/>
      </c>
      <c r="D18" s="375" t="str">
        <f t="shared" ca="1" si="3"/>
        <v/>
      </c>
      <c r="E18" s="380">
        <f t="shared" si="0"/>
        <v>1</v>
      </c>
      <c r="F18" s="375" t="str">
        <f t="shared" ca="1" si="4"/>
        <v/>
      </c>
      <c r="G18" s="375" t="str">
        <f t="shared" ca="1" si="5"/>
        <v/>
      </c>
      <c r="H18" s="375" t="str">
        <f t="shared" ca="1" si="6"/>
        <v/>
      </c>
      <c r="I18" s="375" t="str">
        <f t="shared" ca="1" si="7"/>
        <v/>
      </c>
      <c r="K18" s="396" t="str">
        <f t="array" aca="1" ref="K18" ca="1">IFERROR(INDEX($B$2:$B$309,LARGE(($A$2:$A$309=$K$2)*(ROW($A$2:$A$309)-1),COUNTIF($A$2:$A$309,$K$2)+1-ROW(A15))),"")</f>
        <v/>
      </c>
      <c r="L18" s="397" t="str">
        <f t="shared" ca="1" si="10"/>
        <v/>
      </c>
      <c r="M18" s="397" t="str">
        <f t="shared" ca="1" si="11"/>
        <v/>
      </c>
      <c r="N18" s="398" t="str">
        <f t="shared" ca="1" si="12"/>
        <v/>
      </c>
      <c r="O18" s="399" t="str">
        <f t="shared" ca="1" si="8"/>
        <v/>
      </c>
      <c r="P18" s="399" t="str">
        <f t="shared" ca="1" si="13"/>
        <v/>
      </c>
      <c r="Q18" s="399" t="str">
        <f t="shared" ca="1" si="14"/>
        <v/>
      </c>
      <c r="R18" s="399" t="str">
        <f t="shared" ca="1" si="15"/>
        <v/>
      </c>
      <c r="S18" s="400" t="str">
        <f t="shared" ca="1" si="9"/>
        <v/>
      </c>
      <c r="T18" s="392"/>
      <c r="U18" s="393"/>
      <c r="V18" s="404"/>
      <c r="W18" s="409" t="str">
        <f t="shared" ca="1" si="16"/>
        <v/>
      </c>
      <c r="X18" s="401"/>
      <c r="Y18" s="401"/>
      <c r="Z18" s="402"/>
    </row>
    <row r="19" spans="1:26" x14ac:dyDescent="0.25">
      <c r="A19" s="375" t="str">
        <f t="shared" ca="1" si="1"/>
        <v/>
      </c>
      <c r="B19" s="375">
        <v>18</v>
      </c>
      <c r="C19" s="375" t="str">
        <f t="shared" ca="1" si="2"/>
        <v/>
      </c>
      <c r="D19" s="375" t="str">
        <f t="shared" ca="1" si="3"/>
        <v/>
      </c>
      <c r="E19" s="380">
        <f t="shared" si="0"/>
        <v>1</v>
      </c>
      <c r="F19" s="375" t="str">
        <f t="shared" ca="1" si="4"/>
        <v/>
      </c>
      <c r="G19" s="375" t="str">
        <f t="shared" ca="1" si="5"/>
        <v/>
      </c>
      <c r="H19" s="375" t="str">
        <f t="shared" ca="1" si="6"/>
        <v/>
      </c>
      <c r="I19" s="375" t="str">
        <f t="shared" ca="1" si="7"/>
        <v/>
      </c>
      <c r="K19" s="396" t="str">
        <f t="array" aca="1" ref="K19" ca="1">IFERROR(INDEX($B$2:$B$309,LARGE(($A$2:$A$309=$K$2)*(ROW($A$2:$A$309)-1),COUNTIF($A$2:$A$309,$K$2)+1-ROW(A16))),"")</f>
        <v/>
      </c>
      <c r="L19" s="397" t="str">
        <f t="shared" ca="1" si="10"/>
        <v/>
      </c>
      <c r="M19" s="397" t="str">
        <f t="shared" ca="1" si="11"/>
        <v/>
      </c>
      <c r="N19" s="398" t="str">
        <f t="shared" ca="1" si="12"/>
        <v/>
      </c>
      <c r="O19" s="399" t="str">
        <f t="shared" ca="1" si="8"/>
        <v/>
      </c>
      <c r="P19" s="399" t="str">
        <f t="shared" ca="1" si="13"/>
        <v/>
      </c>
      <c r="Q19" s="399" t="str">
        <f t="shared" ca="1" si="14"/>
        <v/>
      </c>
      <c r="R19" s="399" t="str">
        <f t="shared" ca="1" si="15"/>
        <v/>
      </c>
      <c r="S19" s="400" t="str">
        <f t="shared" ca="1" si="9"/>
        <v/>
      </c>
      <c r="T19" s="392"/>
      <c r="U19" s="393"/>
      <c r="V19" s="404"/>
      <c r="W19" s="409" t="str">
        <f t="shared" ca="1" si="16"/>
        <v/>
      </c>
      <c r="X19" s="401"/>
      <c r="Y19" s="401"/>
      <c r="Z19" s="402"/>
    </row>
    <row r="20" spans="1:26" x14ac:dyDescent="0.25">
      <c r="A20" s="375">
        <f t="shared" ca="1" si="1"/>
        <v>0</v>
      </c>
      <c r="B20" s="375">
        <v>19</v>
      </c>
      <c r="C20" s="375">
        <f t="shared" ca="1" si="2"/>
        <v>0</v>
      </c>
      <c r="D20" s="375">
        <f t="shared" ca="1" si="3"/>
        <v>0</v>
      </c>
      <c r="E20" s="380">
        <f t="shared" si="0"/>
        <v>1</v>
      </c>
      <c r="F20" s="375">
        <f t="shared" ca="1" si="4"/>
        <v>0</v>
      </c>
      <c r="G20" s="375">
        <f t="shared" ca="1" si="5"/>
        <v>0</v>
      </c>
      <c r="H20" s="375">
        <f t="shared" ca="1" si="6"/>
        <v>0</v>
      </c>
      <c r="I20" s="375">
        <f t="shared" ca="1" si="7"/>
        <v>0</v>
      </c>
      <c r="K20" s="396" t="str">
        <f t="array" aca="1" ref="K20" ca="1">IFERROR(INDEX($B$2:$B$309,LARGE(($A$2:$A$309=$K$2)*(ROW($A$2:$A$309)-1),COUNTIF($A$2:$A$309,$K$2)+1-ROW(A17))),"")</f>
        <v/>
      </c>
      <c r="L20" s="397" t="str">
        <f t="shared" ca="1" si="10"/>
        <v/>
      </c>
      <c r="M20" s="397" t="str">
        <f t="shared" ca="1" si="11"/>
        <v/>
      </c>
      <c r="N20" s="398" t="str">
        <f t="shared" ca="1" si="12"/>
        <v/>
      </c>
      <c r="O20" s="399" t="str">
        <f t="shared" ca="1" si="8"/>
        <v/>
      </c>
      <c r="P20" s="399" t="str">
        <f t="shared" ca="1" si="13"/>
        <v/>
      </c>
      <c r="Q20" s="399" t="str">
        <f t="shared" ca="1" si="14"/>
        <v/>
      </c>
      <c r="R20" s="399" t="str">
        <f t="shared" ca="1" si="15"/>
        <v/>
      </c>
      <c r="S20" s="400" t="str">
        <f t="shared" ca="1" si="9"/>
        <v/>
      </c>
      <c r="T20" s="392"/>
      <c r="U20" s="393"/>
      <c r="V20" s="404"/>
      <c r="W20" s="409" t="str">
        <f t="shared" ca="1" si="16"/>
        <v/>
      </c>
      <c r="X20" s="401"/>
      <c r="Y20" s="401"/>
      <c r="Z20" s="402"/>
    </row>
    <row r="21" spans="1:26" x14ac:dyDescent="0.25">
      <c r="A21" s="375">
        <f t="shared" ca="1" si="1"/>
        <v>0</v>
      </c>
      <c r="B21" s="375">
        <v>20</v>
      </c>
      <c r="C21" s="375">
        <f t="shared" ca="1" si="2"/>
        <v>0</v>
      </c>
      <c r="D21" s="375">
        <f t="shared" ca="1" si="3"/>
        <v>0</v>
      </c>
      <c r="E21" s="380">
        <f t="shared" si="0"/>
        <v>1</v>
      </c>
      <c r="F21" s="375">
        <f t="shared" ca="1" si="4"/>
        <v>0</v>
      </c>
      <c r="G21" s="375">
        <f t="shared" ca="1" si="5"/>
        <v>0</v>
      </c>
      <c r="H21" s="375">
        <f t="shared" ca="1" si="6"/>
        <v>0</v>
      </c>
      <c r="I21" s="375">
        <f t="shared" ca="1" si="7"/>
        <v>0</v>
      </c>
      <c r="K21" s="396" t="str">
        <f t="array" aca="1" ref="K21" ca="1">IFERROR(INDEX($B$2:$B$309,LARGE(($A$2:$A$309=$K$2)*(ROW($A$2:$A$309)-1),COUNTIF($A$2:$A$309,$K$2)+1-ROW(A18))),"")</f>
        <v/>
      </c>
      <c r="L21" s="397" t="str">
        <f t="shared" ca="1" si="10"/>
        <v/>
      </c>
      <c r="M21" s="397" t="str">
        <f t="shared" ca="1" si="11"/>
        <v/>
      </c>
      <c r="N21" s="398" t="str">
        <f t="shared" ca="1" si="12"/>
        <v/>
      </c>
      <c r="O21" s="399" t="str">
        <f t="shared" ca="1" si="8"/>
        <v/>
      </c>
      <c r="P21" s="399" t="str">
        <f t="shared" ca="1" si="13"/>
        <v/>
      </c>
      <c r="Q21" s="399" t="str">
        <f t="shared" ca="1" si="14"/>
        <v/>
      </c>
      <c r="R21" s="399" t="str">
        <f t="shared" ca="1" si="15"/>
        <v/>
      </c>
      <c r="S21" s="400" t="str">
        <f t="shared" ca="1" si="9"/>
        <v/>
      </c>
      <c r="T21" s="392"/>
      <c r="U21" s="393"/>
      <c r="V21" s="404"/>
      <c r="W21" s="409" t="str">
        <f t="shared" ca="1" si="16"/>
        <v/>
      </c>
      <c r="X21" s="401"/>
      <c r="Y21" s="401"/>
      <c r="Z21" s="402"/>
    </row>
    <row r="22" spans="1:26" x14ac:dyDescent="0.25">
      <c r="A22" s="375">
        <f t="shared" ca="1" si="1"/>
        <v>0</v>
      </c>
      <c r="B22" s="375">
        <v>21</v>
      </c>
      <c r="C22" s="375">
        <f t="shared" ca="1" si="2"/>
        <v>0</v>
      </c>
      <c r="D22" s="375">
        <f t="shared" ca="1" si="3"/>
        <v>0</v>
      </c>
      <c r="E22" s="380">
        <f t="shared" si="0"/>
        <v>1</v>
      </c>
      <c r="F22" s="375">
        <f t="shared" ca="1" si="4"/>
        <v>0</v>
      </c>
      <c r="G22" s="375">
        <f t="shared" ca="1" si="5"/>
        <v>0</v>
      </c>
      <c r="H22" s="375">
        <f t="shared" ca="1" si="6"/>
        <v>0</v>
      </c>
      <c r="I22" s="375">
        <f t="shared" ca="1" si="7"/>
        <v>0</v>
      </c>
      <c r="K22" s="396" t="str">
        <f t="array" aca="1" ref="K22" ca="1">IFERROR(INDEX($B$2:$B$309,LARGE(($A$2:$A$309=$K$2)*(ROW($A$2:$A$309)-1),COUNTIF($A$2:$A$309,$K$2)+1-ROW(A19))),"")</f>
        <v/>
      </c>
      <c r="L22" s="397" t="str">
        <f t="shared" ca="1" si="10"/>
        <v/>
      </c>
      <c r="M22" s="397" t="str">
        <f t="shared" ca="1" si="11"/>
        <v/>
      </c>
      <c r="N22" s="398" t="str">
        <f t="shared" ca="1" si="12"/>
        <v/>
      </c>
      <c r="O22" s="399" t="str">
        <f t="shared" ca="1" si="8"/>
        <v/>
      </c>
      <c r="P22" s="399" t="str">
        <f t="shared" ca="1" si="13"/>
        <v/>
      </c>
      <c r="Q22" s="399" t="str">
        <f t="shared" ca="1" si="14"/>
        <v/>
      </c>
      <c r="R22" s="399" t="str">
        <f t="shared" ca="1" si="15"/>
        <v/>
      </c>
      <c r="S22" s="400" t="str">
        <f t="shared" ca="1" si="9"/>
        <v/>
      </c>
      <c r="T22" s="392"/>
      <c r="U22" s="393"/>
      <c r="V22" s="404"/>
      <c r="W22" s="409" t="str">
        <f t="shared" ca="1" si="16"/>
        <v/>
      </c>
      <c r="X22" s="401"/>
      <c r="Y22" s="401"/>
      <c r="Z22" s="402"/>
    </row>
    <row r="23" spans="1:26" x14ac:dyDescent="0.25">
      <c r="A23" s="375">
        <f t="shared" ca="1" si="1"/>
        <v>0</v>
      </c>
      <c r="B23" s="375">
        <v>22</v>
      </c>
      <c r="C23" s="375">
        <f t="shared" ca="1" si="2"/>
        <v>0</v>
      </c>
      <c r="D23" s="375">
        <f t="shared" ca="1" si="3"/>
        <v>0</v>
      </c>
      <c r="E23" s="380">
        <f t="shared" si="0"/>
        <v>1</v>
      </c>
      <c r="F23" s="375">
        <f t="shared" ca="1" si="4"/>
        <v>0</v>
      </c>
      <c r="G23" s="375">
        <f t="shared" ca="1" si="5"/>
        <v>0</v>
      </c>
      <c r="H23" s="375">
        <f t="shared" ca="1" si="6"/>
        <v>0</v>
      </c>
      <c r="I23" s="375">
        <f t="shared" ca="1" si="7"/>
        <v>0</v>
      </c>
      <c r="K23" s="396" t="str">
        <f t="array" aca="1" ref="K23" ca="1">IFERROR(INDEX($B$2:$B$309,LARGE(($A$2:$A$309=$K$2)*(ROW($A$2:$A$309)-1),COUNTIF($A$2:$A$309,$K$2)+1-ROW(A20))),"")</f>
        <v/>
      </c>
      <c r="L23" s="397" t="str">
        <f t="shared" ca="1" si="10"/>
        <v/>
      </c>
      <c r="M23" s="397" t="str">
        <f t="shared" ca="1" si="11"/>
        <v/>
      </c>
      <c r="N23" s="398" t="str">
        <f t="shared" ca="1" si="12"/>
        <v/>
      </c>
      <c r="O23" s="399" t="str">
        <f t="shared" ca="1" si="8"/>
        <v/>
      </c>
      <c r="P23" s="399" t="str">
        <f t="shared" ca="1" si="13"/>
        <v/>
      </c>
      <c r="Q23" s="399" t="str">
        <f t="shared" ca="1" si="14"/>
        <v/>
      </c>
      <c r="R23" s="399" t="str">
        <f t="shared" ca="1" si="15"/>
        <v/>
      </c>
      <c r="S23" s="400" t="str">
        <f t="shared" ca="1" si="9"/>
        <v/>
      </c>
      <c r="T23" s="392"/>
      <c r="U23" s="393"/>
      <c r="V23" s="404"/>
      <c r="W23" s="409" t="str">
        <f t="shared" ca="1" si="16"/>
        <v/>
      </c>
      <c r="X23" s="401"/>
      <c r="Y23" s="401"/>
      <c r="Z23" s="402"/>
    </row>
    <row r="24" spans="1:26" x14ac:dyDescent="0.25">
      <c r="A24" s="375">
        <f t="shared" ca="1" si="1"/>
        <v>0</v>
      </c>
      <c r="B24" s="375">
        <v>23</v>
      </c>
      <c r="C24" s="375">
        <f t="shared" ca="1" si="2"/>
        <v>0</v>
      </c>
      <c r="D24" s="375">
        <f t="shared" ca="1" si="3"/>
        <v>0</v>
      </c>
      <c r="E24" s="380">
        <f t="shared" si="0"/>
        <v>1</v>
      </c>
      <c r="F24" s="375">
        <f t="shared" ca="1" si="4"/>
        <v>0</v>
      </c>
      <c r="G24" s="375">
        <f t="shared" ca="1" si="5"/>
        <v>0</v>
      </c>
      <c r="H24" s="375">
        <f t="shared" ca="1" si="6"/>
        <v>0</v>
      </c>
      <c r="I24" s="375">
        <f t="shared" ca="1" si="7"/>
        <v>0</v>
      </c>
      <c r="K24" s="396" t="str">
        <f t="array" aca="1" ref="K24" ca="1">IFERROR(INDEX($B$2:$B$309,LARGE(($A$2:$A$309=$K$2)*(ROW($A$2:$A$309)-1),COUNTIF($A$2:$A$309,$K$2)+1-ROW(A21))),"")</f>
        <v/>
      </c>
      <c r="L24" s="397" t="str">
        <f t="shared" ca="1" si="10"/>
        <v/>
      </c>
      <c r="M24" s="397" t="str">
        <f t="shared" ca="1" si="11"/>
        <v/>
      </c>
      <c r="N24" s="398" t="str">
        <f t="shared" ca="1" si="12"/>
        <v/>
      </c>
      <c r="O24" s="399" t="str">
        <f t="shared" ca="1" si="8"/>
        <v/>
      </c>
      <c r="P24" s="399" t="str">
        <f t="shared" ca="1" si="13"/>
        <v/>
      </c>
      <c r="Q24" s="399" t="str">
        <f t="shared" ca="1" si="14"/>
        <v/>
      </c>
      <c r="R24" s="399" t="str">
        <f t="shared" ca="1" si="15"/>
        <v/>
      </c>
      <c r="S24" s="400" t="str">
        <f t="shared" ca="1" si="9"/>
        <v/>
      </c>
      <c r="T24" s="392"/>
      <c r="U24" s="393"/>
      <c r="V24" s="404"/>
      <c r="W24" s="409" t="str">
        <f t="shared" ca="1" si="16"/>
        <v/>
      </c>
      <c r="X24" s="401"/>
      <c r="Y24" s="401"/>
      <c r="Z24" s="402"/>
    </row>
    <row r="25" spans="1:26" x14ac:dyDescent="0.25">
      <c r="A25" s="375">
        <f t="shared" ca="1" si="1"/>
        <v>0</v>
      </c>
      <c r="B25" s="375">
        <v>24</v>
      </c>
      <c r="C25" s="375">
        <f t="shared" ca="1" si="2"/>
        <v>0</v>
      </c>
      <c r="D25" s="375">
        <f t="shared" ca="1" si="3"/>
        <v>0</v>
      </c>
      <c r="E25" s="380">
        <f t="shared" si="0"/>
        <v>1</v>
      </c>
      <c r="F25" s="375">
        <f t="shared" ca="1" si="4"/>
        <v>0</v>
      </c>
      <c r="G25" s="375">
        <f t="shared" ca="1" si="5"/>
        <v>0</v>
      </c>
      <c r="H25" s="375">
        <f t="shared" ca="1" si="6"/>
        <v>0</v>
      </c>
      <c r="I25" s="375">
        <f t="shared" ca="1" si="7"/>
        <v>0</v>
      </c>
      <c r="K25" s="396" t="str">
        <f t="array" aca="1" ref="K25" ca="1">IFERROR(INDEX($B$2:$B$309,LARGE(($A$2:$A$309=$K$2)*(ROW($A$2:$A$309)-1),COUNTIF($A$2:$A$309,$K$2)+1-ROW(A22))),"")</f>
        <v/>
      </c>
      <c r="L25" s="397" t="str">
        <f t="shared" ca="1" si="10"/>
        <v/>
      </c>
      <c r="M25" s="397" t="str">
        <f t="shared" ca="1" si="11"/>
        <v/>
      </c>
      <c r="N25" s="398" t="str">
        <f t="shared" ca="1" si="12"/>
        <v/>
      </c>
      <c r="O25" s="399" t="str">
        <f t="shared" ca="1" si="8"/>
        <v/>
      </c>
      <c r="P25" s="399" t="str">
        <f t="shared" ca="1" si="13"/>
        <v/>
      </c>
      <c r="Q25" s="399" t="str">
        <f t="shared" ca="1" si="14"/>
        <v/>
      </c>
      <c r="R25" s="399" t="str">
        <f t="shared" ca="1" si="15"/>
        <v/>
      </c>
      <c r="S25" s="400" t="str">
        <f t="shared" ca="1" si="9"/>
        <v/>
      </c>
      <c r="T25" s="392"/>
      <c r="U25" s="393"/>
      <c r="V25" s="401"/>
      <c r="W25" s="401"/>
      <c r="X25" s="401"/>
      <c r="Y25" s="401"/>
      <c r="Z25" s="402"/>
    </row>
    <row r="26" spans="1:26" x14ac:dyDescent="0.25">
      <c r="A26" s="375">
        <f t="shared" ca="1" si="1"/>
        <v>0</v>
      </c>
      <c r="B26" s="375">
        <v>25</v>
      </c>
      <c r="C26" s="375">
        <f t="shared" ca="1" si="2"/>
        <v>0</v>
      </c>
      <c r="D26" s="375">
        <f t="shared" ca="1" si="3"/>
        <v>0</v>
      </c>
      <c r="E26" s="380">
        <f t="shared" si="0"/>
        <v>1</v>
      </c>
      <c r="F26" s="375">
        <f t="shared" ca="1" si="4"/>
        <v>0</v>
      </c>
      <c r="G26" s="375">
        <f t="shared" ca="1" si="5"/>
        <v>0</v>
      </c>
      <c r="H26" s="375">
        <f t="shared" ca="1" si="6"/>
        <v>0</v>
      </c>
      <c r="I26" s="375">
        <f t="shared" ca="1" si="7"/>
        <v>0</v>
      </c>
      <c r="K26" s="396" t="str">
        <f t="array" aca="1" ref="K26" ca="1">IFERROR(INDEX($B$2:$B$309,LARGE(($A$2:$A$309=$K$2)*(ROW($A$2:$A$309)-1),COUNTIF($A$2:$A$309,$K$2)+1-ROW(A23))),"")</f>
        <v/>
      </c>
      <c r="L26" s="397" t="str">
        <f t="shared" ca="1" si="10"/>
        <v/>
      </c>
      <c r="M26" s="397" t="str">
        <f t="shared" ca="1" si="11"/>
        <v/>
      </c>
      <c r="N26" s="398" t="str">
        <f t="shared" ca="1" si="12"/>
        <v/>
      </c>
      <c r="O26" s="399" t="str">
        <f t="shared" ca="1" si="8"/>
        <v/>
      </c>
      <c r="P26" s="399" t="str">
        <f t="shared" ca="1" si="13"/>
        <v/>
      </c>
      <c r="Q26" s="399" t="str">
        <f t="shared" ca="1" si="14"/>
        <v/>
      </c>
      <c r="R26" s="399" t="str">
        <f t="shared" ca="1" si="15"/>
        <v/>
      </c>
      <c r="S26" s="400" t="str">
        <f t="shared" ca="1" si="9"/>
        <v/>
      </c>
      <c r="T26" s="392"/>
      <c r="U26" s="393"/>
      <c r="V26" s="401" t="s">
        <v>460</v>
      </c>
      <c r="W26" s="401"/>
      <c r="X26" s="401"/>
      <c r="Y26" s="401"/>
      <c r="Z26" s="402"/>
    </row>
    <row r="27" spans="1:26" x14ac:dyDescent="0.25">
      <c r="A27" s="375">
        <f t="shared" ca="1" si="1"/>
        <v>0</v>
      </c>
      <c r="B27" s="375">
        <v>26</v>
      </c>
      <c r="C27" s="375">
        <f t="shared" ca="1" si="2"/>
        <v>0</v>
      </c>
      <c r="D27" s="375">
        <f t="shared" ca="1" si="3"/>
        <v>0</v>
      </c>
      <c r="E27" s="380">
        <f t="shared" si="0"/>
        <v>1</v>
      </c>
      <c r="F27" s="375">
        <f t="shared" ca="1" si="4"/>
        <v>0</v>
      </c>
      <c r="G27" s="375">
        <f t="shared" ca="1" si="5"/>
        <v>0</v>
      </c>
      <c r="H27" s="375">
        <f t="shared" ca="1" si="6"/>
        <v>0</v>
      </c>
      <c r="I27" s="375">
        <f t="shared" ca="1" si="7"/>
        <v>0</v>
      </c>
      <c r="K27" s="396" t="str">
        <f t="array" aca="1" ref="K27" ca="1">IFERROR(INDEX($B$2:$B$309,LARGE(($A$2:$A$309=$K$2)*(ROW($A$2:$A$309)-1),COUNTIF($A$2:$A$309,$K$2)+1-ROW(A24))),"")</f>
        <v/>
      </c>
      <c r="L27" s="397" t="str">
        <f t="shared" ca="1" si="10"/>
        <v/>
      </c>
      <c r="M27" s="397" t="str">
        <f t="shared" ca="1" si="11"/>
        <v/>
      </c>
      <c r="N27" s="398" t="str">
        <f t="shared" ca="1" si="12"/>
        <v/>
      </c>
      <c r="O27" s="399" t="str">
        <f t="shared" ca="1" si="8"/>
        <v/>
      </c>
      <c r="P27" s="399" t="str">
        <f t="shared" ca="1" si="13"/>
        <v/>
      </c>
      <c r="Q27" s="399" t="str">
        <f t="shared" ca="1" si="14"/>
        <v/>
      </c>
      <c r="R27" s="399" t="str">
        <f t="shared" ca="1" si="15"/>
        <v/>
      </c>
      <c r="S27" s="400" t="str">
        <f t="shared" ca="1" si="9"/>
        <v/>
      </c>
      <c r="T27" s="392"/>
      <c r="U27" s="393"/>
      <c r="V27" s="401" t="s">
        <v>461</v>
      </c>
      <c r="W27" s="401"/>
      <c r="X27" s="408">
        <f ca="1">Y6-Y9</f>
        <v>5.7960000000000003</v>
      </c>
      <c r="Y27" s="401" t="s">
        <v>448</v>
      </c>
      <c r="Z27" s="402" t="s">
        <v>462</v>
      </c>
    </row>
    <row r="28" spans="1:26" x14ac:dyDescent="0.25">
      <c r="A28" s="375">
        <f t="shared" ca="1" si="1"/>
        <v>0</v>
      </c>
      <c r="B28" s="375">
        <v>27</v>
      </c>
      <c r="C28" s="375">
        <f t="shared" ca="1" si="2"/>
        <v>0</v>
      </c>
      <c r="D28" s="375">
        <f t="shared" ca="1" si="3"/>
        <v>0</v>
      </c>
      <c r="E28" s="380">
        <f t="shared" si="0"/>
        <v>1</v>
      </c>
      <c r="F28" s="375">
        <f t="shared" ca="1" si="4"/>
        <v>0</v>
      </c>
      <c r="G28" s="375">
        <f t="shared" ca="1" si="5"/>
        <v>0</v>
      </c>
      <c r="H28" s="375">
        <f t="shared" ca="1" si="6"/>
        <v>0</v>
      </c>
      <c r="I28" s="375">
        <f t="shared" ca="1" si="7"/>
        <v>0</v>
      </c>
      <c r="K28" s="396" t="str">
        <f t="array" aca="1" ref="K28" ca="1">IFERROR(INDEX($B$2:$B$309,LARGE(($A$2:$A$309=$K$2)*(ROW($A$2:$A$309)-1),COUNTIF($A$2:$A$309,$K$2)+1-ROW(A25))),"")</f>
        <v/>
      </c>
      <c r="L28" s="397" t="str">
        <f t="shared" ca="1" si="10"/>
        <v/>
      </c>
      <c r="M28" s="397" t="str">
        <f t="shared" ca="1" si="11"/>
        <v/>
      </c>
      <c r="N28" s="398" t="str">
        <f t="shared" ca="1" si="12"/>
        <v/>
      </c>
      <c r="O28" s="399" t="str">
        <f t="shared" ca="1" si="8"/>
        <v/>
      </c>
      <c r="P28" s="399" t="str">
        <f t="shared" ca="1" si="13"/>
        <v/>
      </c>
      <c r="Q28" s="399" t="str">
        <f t="shared" ca="1" si="14"/>
        <v/>
      </c>
      <c r="R28" s="399" t="str">
        <f t="shared" ca="1" si="15"/>
        <v/>
      </c>
      <c r="S28" s="400" t="str">
        <f t="shared" ca="1" si="9"/>
        <v/>
      </c>
      <c r="T28" s="392"/>
      <c r="U28" s="393"/>
      <c r="V28" s="401"/>
      <c r="W28" s="401"/>
      <c r="X28" s="401"/>
      <c r="Y28" s="401"/>
      <c r="Z28" s="402"/>
    </row>
    <row r="29" spans="1:26" x14ac:dyDescent="0.25">
      <c r="A29" s="375">
        <f t="shared" ca="1" si="1"/>
        <v>0</v>
      </c>
      <c r="B29" s="375">
        <v>28</v>
      </c>
      <c r="C29" s="375">
        <f t="shared" ca="1" si="2"/>
        <v>0</v>
      </c>
      <c r="D29" s="375">
        <f t="shared" ca="1" si="3"/>
        <v>0</v>
      </c>
      <c r="E29" s="380">
        <f t="shared" si="0"/>
        <v>1</v>
      </c>
      <c r="F29" s="375">
        <f t="shared" ca="1" si="4"/>
        <v>0</v>
      </c>
      <c r="G29" s="375">
        <f t="shared" ca="1" si="5"/>
        <v>0</v>
      </c>
      <c r="H29" s="375">
        <f t="shared" ca="1" si="6"/>
        <v>0</v>
      </c>
      <c r="I29" s="375">
        <f t="shared" ca="1" si="7"/>
        <v>0</v>
      </c>
      <c r="K29" s="396" t="str">
        <f t="array" aca="1" ref="K29" ca="1">IFERROR(INDEX($B$2:$B$309,LARGE(($A$2:$A$309=$K$2)*(ROW($A$2:$A$309)-1),COUNTIF($A$2:$A$309,$K$2)+1-ROW(A26))),"")</f>
        <v/>
      </c>
      <c r="L29" s="397" t="str">
        <f t="shared" ca="1" si="10"/>
        <v/>
      </c>
      <c r="M29" s="397" t="str">
        <f t="shared" ca="1" si="11"/>
        <v/>
      </c>
      <c r="N29" s="398" t="str">
        <f t="shared" ca="1" si="12"/>
        <v/>
      </c>
      <c r="O29" s="399" t="str">
        <f t="shared" ca="1" si="8"/>
        <v/>
      </c>
      <c r="P29" s="399" t="str">
        <f t="shared" ca="1" si="13"/>
        <v/>
      </c>
      <c r="Q29" s="399" t="str">
        <f t="shared" ca="1" si="14"/>
        <v/>
      </c>
      <c r="R29" s="399" t="str">
        <f t="shared" ca="1" si="15"/>
        <v/>
      </c>
      <c r="S29" s="400" t="str">
        <f t="shared" ca="1" si="9"/>
        <v/>
      </c>
      <c r="T29" s="392"/>
      <c r="U29" s="393"/>
      <c r="V29" s="401"/>
      <c r="W29" s="401"/>
      <c r="X29" s="401"/>
      <c r="Y29" s="401"/>
      <c r="Z29" s="402"/>
    </row>
    <row r="30" spans="1:26" ht="15.75" thickBot="1" x14ac:dyDescent="0.3">
      <c r="A30" s="375">
        <f t="shared" ca="1" si="1"/>
        <v>0</v>
      </c>
      <c r="B30" s="375">
        <v>29</v>
      </c>
      <c r="C30" s="375">
        <f t="shared" ca="1" si="2"/>
        <v>0</v>
      </c>
      <c r="D30" s="375">
        <f t="shared" ca="1" si="3"/>
        <v>0</v>
      </c>
      <c r="E30" s="380">
        <f t="shared" si="0"/>
        <v>1</v>
      </c>
      <c r="F30" s="375">
        <f t="shared" ca="1" si="4"/>
        <v>0</v>
      </c>
      <c r="G30" s="375">
        <f t="shared" ca="1" si="5"/>
        <v>0</v>
      </c>
      <c r="H30" s="375">
        <f t="shared" ca="1" si="6"/>
        <v>0</v>
      </c>
      <c r="I30" s="375">
        <f t="shared" ca="1" si="7"/>
        <v>0</v>
      </c>
      <c r="K30" s="396" t="str">
        <f t="array" aca="1" ref="K30" ca="1">IFERROR(INDEX($B$2:$B$309,LARGE(($A$2:$A$309=$K$2)*(ROW($A$2:$A$309)-1),COUNTIF($A$2:$A$309,$K$2)+1-ROW(A27))),"")</f>
        <v/>
      </c>
      <c r="L30" s="397" t="str">
        <f t="shared" ca="1" si="10"/>
        <v/>
      </c>
      <c r="M30" s="397" t="str">
        <f t="shared" ca="1" si="11"/>
        <v/>
      </c>
      <c r="N30" s="398" t="str">
        <f t="shared" ca="1" si="12"/>
        <v/>
      </c>
      <c r="O30" s="399" t="str">
        <f t="shared" ca="1" si="8"/>
        <v/>
      </c>
      <c r="P30" s="399" t="str">
        <f t="shared" ca="1" si="13"/>
        <v/>
      </c>
      <c r="Q30" s="399" t="str">
        <f t="shared" ca="1" si="14"/>
        <v/>
      </c>
      <c r="R30" s="399" t="str">
        <f t="shared" ca="1" si="15"/>
        <v/>
      </c>
      <c r="S30" s="400" t="str">
        <f t="shared" ca="1" si="9"/>
        <v/>
      </c>
      <c r="T30" s="392"/>
      <c r="U30" s="410"/>
      <c r="V30" s="411" t="s">
        <v>463</v>
      </c>
      <c r="W30" s="412" t="s">
        <v>464</v>
      </c>
      <c r="X30" s="412" t="e">
        <f ca="1">X27/Y9</f>
        <v>#DIV/0!</v>
      </c>
      <c r="Y30" s="413"/>
      <c r="Z30" s="414" t="s">
        <v>465</v>
      </c>
    </row>
    <row r="31" spans="1:26" x14ac:dyDescent="0.25">
      <c r="A31" s="375">
        <f t="shared" ca="1" si="1"/>
        <v>0</v>
      </c>
      <c r="B31" s="375">
        <v>30</v>
      </c>
      <c r="C31" s="375">
        <f t="shared" ca="1" si="2"/>
        <v>0</v>
      </c>
      <c r="D31" s="375">
        <f t="shared" ca="1" si="3"/>
        <v>0</v>
      </c>
      <c r="E31" s="380">
        <f t="shared" si="0"/>
        <v>1</v>
      </c>
      <c r="F31" s="375">
        <f t="shared" ca="1" si="4"/>
        <v>0</v>
      </c>
      <c r="G31" s="375">
        <f t="shared" ca="1" si="5"/>
        <v>0</v>
      </c>
      <c r="H31" s="375">
        <f t="shared" ca="1" si="6"/>
        <v>0</v>
      </c>
      <c r="I31" s="375">
        <f t="shared" ca="1" si="7"/>
        <v>0</v>
      </c>
      <c r="K31" s="396" t="str">
        <f t="array" aca="1" ref="K31" ca="1">IFERROR(INDEX($B$2:$B$309,LARGE(($A$2:$A$309=$K$2)*(ROW($A$2:$A$309)-1),COUNTIF($A$2:$A$309,$K$2)+1-ROW(A28))),"")</f>
        <v/>
      </c>
      <c r="L31" s="397" t="str">
        <f t="shared" ca="1" si="10"/>
        <v/>
      </c>
      <c r="M31" s="397" t="str">
        <f t="shared" ca="1" si="11"/>
        <v/>
      </c>
      <c r="N31" s="398" t="str">
        <f t="shared" ca="1" si="12"/>
        <v/>
      </c>
      <c r="O31" s="399" t="str">
        <f t="shared" ca="1" si="8"/>
        <v/>
      </c>
      <c r="P31" s="399" t="str">
        <f t="shared" ca="1" si="13"/>
        <v/>
      </c>
      <c r="Q31" s="399" t="str">
        <f t="shared" ca="1" si="14"/>
        <v/>
      </c>
      <c r="R31" s="399" t="str">
        <f t="shared" ca="1" si="15"/>
        <v/>
      </c>
      <c r="S31" s="400" t="str">
        <f t="shared" ca="1" si="9"/>
        <v/>
      </c>
      <c r="T31" s="392"/>
      <c r="V31" s="377"/>
      <c r="W31" s="377"/>
      <c r="X31" s="377"/>
      <c r="Y31" s="377"/>
      <c r="Z31" s="377"/>
    </row>
    <row r="32" spans="1:26" ht="15.75" thickBot="1" x14ac:dyDescent="0.3">
      <c r="A32" s="375">
        <f t="shared" ca="1" si="1"/>
        <v>0</v>
      </c>
      <c r="B32" s="375">
        <v>31</v>
      </c>
      <c r="C32" s="375">
        <f t="shared" ca="1" si="2"/>
        <v>0</v>
      </c>
      <c r="D32" s="375">
        <f t="shared" ca="1" si="3"/>
        <v>0</v>
      </c>
      <c r="E32" s="380">
        <f t="shared" si="0"/>
        <v>1</v>
      </c>
      <c r="F32" s="375">
        <f t="shared" ca="1" si="4"/>
        <v>0</v>
      </c>
      <c r="G32" s="375">
        <f t="shared" ca="1" si="5"/>
        <v>0</v>
      </c>
      <c r="H32" s="375">
        <f t="shared" ca="1" si="6"/>
        <v>0</v>
      </c>
      <c r="I32" s="375">
        <f t="shared" ca="1" si="7"/>
        <v>0</v>
      </c>
      <c r="K32" s="396" t="str">
        <f t="array" aca="1" ref="K32" ca="1">IFERROR(INDEX($B$2:$B$309,LARGE(($A$2:$A$309=$K$2)*(ROW($A$2:$A$309)-1),COUNTIF($A$2:$A$309,$K$2)+1-ROW(A29))),"")</f>
        <v/>
      </c>
      <c r="L32" s="397" t="str">
        <f t="shared" ca="1" si="10"/>
        <v/>
      </c>
      <c r="M32" s="397" t="str">
        <f t="shared" ca="1" si="11"/>
        <v/>
      </c>
      <c r="N32" s="398" t="str">
        <f t="shared" ca="1" si="12"/>
        <v/>
      </c>
      <c r="O32" s="399" t="str">
        <f t="shared" ca="1" si="8"/>
        <v/>
      </c>
      <c r="P32" s="399" t="str">
        <f t="shared" ca="1" si="13"/>
        <v/>
      </c>
      <c r="Q32" s="399" t="str">
        <f t="shared" ca="1" si="14"/>
        <v/>
      </c>
      <c r="R32" s="399" t="str">
        <f t="shared" ca="1" si="15"/>
        <v/>
      </c>
      <c r="S32" s="400" t="str">
        <f t="shared" ca="1" si="9"/>
        <v/>
      </c>
      <c r="T32" s="392"/>
      <c r="V32" s="377"/>
      <c r="W32" s="377"/>
      <c r="X32" s="377"/>
      <c r="Y32" s="377"/>
      <c r="Z32" s="377"/>
    </row>
    <row r="33" spans="1:26" ht="22.5" customHeight="1" thickBot="1" x14ac:dyDescent="0.3">
      <c r="A33" s="375">
        <f t="shared" ca="1" si="1"/>
        <v>0</v>
      </c>
      <c r="B33" s="375">
        <v>32</v>
      </c>
      <c r="C33" s="375">
        <f t="shared" ca="1" si="2"/>
        <v>0</v>
      </c>
      <c r="D33" s="375">
        <f t="shared" ca="1" si="3"/>
        <v>0</v>
      </c>
      <c r="E33" s="380">
        <f t="shared" si="0"/>
        <v>1</v>
      </c>
      <c r="F33" s="375">
        <f t="shared" ca="1" si="4"/>
        <v>0</v>
      </c>
      <c r="G33" s="375">
        <f t="shared" ca="1" si="5"/>
        <v>0</v>
      </c>
      <c r="H33" s="375">
        <f t="shared" ca="1" si="6"/>
        <v>0</v>
      </c>
      <c r="I33" s="375">
        <f t="shared" ca="1" si="7"/>
        <v>0</v>
      </c>
      <c r="K33" s="396" t="str">
        <f t="array" aca="1" ref="K33" ca="1">IFERROR(INDEX($B$2:$B$309,LARGE(($A$2:$A$309=$K$2)*(ROW($A$2:$A$309)-1),COUNTIF($A$2:$A$309,$K$2)+1-ROW(A30))),"")</f>
        <v/>
      </c>
      <c r="L33" s="397" t="str">
        <f t="shared" ca="1" si="10"/>
        <v/>
      </c>
      <c r="M33" s="397" t="str">
        <f t="shared" ca="1" si="11"/>
        <v/>
      </c>
      <c r="N33" s="398" t="str">
        <f t="shared" ca="1" si="12"/>
        <v/>
      </c>
      <c r="O33" s="399" t="str">
        <f t="shared" ca="1" si="8"/>
        <v/>
      </c>
      <c r="P33" s="399" t="str">
        <f t="shared" ca="1" si="13"/>
        <v/>
      </c>
      <c r="Q33" s="399" t="str">
        <f t="shared" ca="1" si="14"/>
        <v/>
      </c>
      <c r="R33" s="399" t="str">
        <f t="shared" ca="1" si="15"/>
        <v/>
      </c>
      <c r="S33" s="400" t="str">
        <f t="shared" ca="1" si="9"/>
        <v/>
      </c>
      <c r="T33" s="392"/>
      <c r="U33" s="383"/>
      <c r="V33" s="415" t="s">
        <v>466</v>
      </c>
      <c r="W33" s="416"/>
      <c r="X33" s="416"/>
      <c r="Y33" s="416"/>
      <c r="Z33" s="417"/>
    </row>
    <row r="34" spans="1:26" x14ac:dyDescent="0.25">
      <c r="A34" s="375">
        <f t="shared" ca="1" si="1"/>
        <v>0</v>
      </c>
      <c r="B34" s="375">
        <v>33</v>
      </c>
      <c r="C34" s="375">
        <f t="shared" ca="1" si="2"/>
        <v>0</v>
      </c>
      <c r="D34" s="375">
        <f t="shared" ca="1" si="3"/>
        <v>0</v>
      </c>
      <c r="E34" s="380">
        <f t="shared" si="0"/>
        <v>1</v>
      </c>
      <c r="F34" s="375">
        <f t="shared" ca="1" si="4"/>
        <v>0</v>
      </c>
      <c r="G34" s="375">
        <f t="shared" ca="1" si="5"/>
        <v>0</v>
      </c>
      <c r="H34" s="375">
        <f t="shared" ca="1" si="6"/>
        <v>0</v>
      </c>
      <c r="I34" s="375">
        <f t="shared" ca="1" si="7"/>
        <v>0</v>
      </c>
      <c r="K34" s="396" t="str">
        <f t="array" aca="1" ref="K34" ca="1">IFERROR(INDEX($B$2:$B$309,LARGE(($A$2:$A$309=$K$2)*(ROW($A$2:$A$309)-1),COUNTIF($A$2:$A$309,$K$2)+1-ROW(A31))),"")</f>
        <v/>
      </c>
      <c r="L34" s="397" t="str">
        <f t="shared" ca="1" si="10"/>
        <v/>
      </c>
      <c r="M34" s="397" t="str">
        <f t="shared" ca="1" si="11"/>
        <v/>
      </c>
      <c r="N34" s="398" t="str">
        <f t="shared" ca="1" si="12"/>
        <v/>
      </c>
      <c r="O34" s="399" t="str">
        <f t="shared" ca="1" si="8"/>
        <v/>
      </c>
      <c r="P34" s="399" t="str">
        <f t="shared" ca="1" si="13"/>
        <v/>
      </c>
      <c r="Q34" s="399" t="str">
        <f t="shared" ca="1" si="14"/>
        <v/>
      </c>
      <c r="R34" s="399" t="str">
        <f t="shared" ca="1" si="15"/>
        <v/>
      </c>
      <c r="S34" s="400" t="str">
        <f t="shared" ca="1" si="9"/>
        <v/>
      </c>
      <c r="T34" s="392"/>
      <c r="U34" s="393"/>
      <c r="V34" s="401"/>
      <c r="W34" s="401"/>
      <c r="X34" s="401"/>
      <c r="Y34" s="401"/>
      <c r="Z34" s="402"/>
    </row>
    <row r="35" spans="1:26" x14ac:dyDescent="0.25">
      <c r="A35" s="375">
        <f t="shared" ca="1" si="1"/>
        <v>0</v>
      </c>
      <c r="B35" s="375">
        <v>34</v>
      </c>
      <c r="C35" s="375">
        <f t="shared" ca="1" si="2"/>
        <v>0</v>
      </c>
      <c r="D35" s="375">
        <f t="shared" ca="1" si="3"/>
        <v>0</v>
      </c>
      <c r="E35" s="380">
        <f t="shared" si="0"/>
        <v>1</v>
      </c>
      <c r="F35" s="375">
        <f t="shared" ca="1" si="4"/>
        <v>0</v>
      </c>
      <c r="G35" s="375">
        <f t="shared" ca="1" si="5"/>
        <v>0</v>
      </c>
      <c r="H35" s="375">
        <f t="shared" ca="1" si="6"/>
        <v>0</v>
      </c>
      <c r="I35" s="375">
        <f t="shared" ca="1" si="7"/>
        <v>0</v>
      </c>
      <c r="K35" s="396" t="str">
        <f t="array" aca="1" ref="K35" ca="1">IFERROR(INDEX($B$2:$B$309,LARGE(($A$2:$A$309=$K$2)*(ROW($A$2:$A$309)-1),COUNTIF($A$2:$A$309,$K$2)+1-ROW(A32))),"")</f>
        <v/>
      </c>
      <c r="L35" s="397" t="str">
        <f t="shared" ca="1" si="10"/>
        <v/>
      </c>
      <c r="M35" s="397" t="str">
        <f t="shared" ca="1" si="11"/>
        <v/>
      </c>
      <c r="N35" s="398" t="str">
        <f t="shared" ca="1" si="12"/>
        <v/>
      </c>
      <c r="O35" s="399" t="str">
        <f t="shared" ca="1" si="8"/>
        <v/>
      </c>
      <c r="P35" s="399" t="str">
        <f t="shared" ca="1" si="13"/>
        <v/>
      </c>
      <c r="Q35" s="399" t="str">
        <f t="shared" ca="1" si="14"/>
        <v/>
      </c>
      <c r="R35" s="399" t="str">
        <f t="shared" ca="1" si="15"/>
        <v/>
      </c>
      <c r="S35" s="400" t="str">
        <f t="shared" ca="1" si="9"/>
        <v/>
      </c>
      <c r="T35" s="392"/>
      <c r="U35" s="393"/>
      <c r="V35" s="401" t="s">
        <v>449</v>
      </c>
      <c r="W35" s="401"/>
      <c r="X35" s="401"/>
      <c r="Y35" s="401"/>
      <c r="Z35" s="402"/>
    </row>
    <row r="36" spans="1:26" x14ac:dyDescent="0.25">
      <c r="A36" s="375">
        <f t="shared" ca="1" si="1"/>
        <v>0</v>
      </c>
      <c r="B36" s="375">
        <v>35</v>
      </c>
      <c r="C36" s="375">
        <f t="shared" ca="1" si="2"/>
        <v>0</v>
      </c>
      <c r="D36" s="375">
        <f t="shared" ca="1" si="3"/>
        <v>0</v>
      </c>
      <c r="E36" s="380">
        <f t="shared" si="0"/>
        <v>1</v>
      </c>
      <c r="F36" s="375">
        <f t="shared" ca="1" si="4"/>
        <v>0</v>
      </c>
      <c r="G36" s="375">
        <f t="shared" ca="1" si="5"/>
        <v>0</v>
      </c>
      <c r="H36" s="375">
        <f t="shared" ca="1" si="6"/>
        <v>0</v>
      </c>
      <c r="I36" s="375">
        <f t="shared" ca="1" si="7"/>
        <v>0</v>
      </c>
      <c r="K36" s="396" t="str">
        <f t="array" aca="1" ref="K36" ca="1">IFERROR(INDEX($B$2:$B$309,LARGE(($A$2:$A$309=$K$2)*(ROW($A$2:$A$309)-1),COUNTIF($A$2:$A$309,$K$2)+1-ROW(A33))),"")</f>
        <v/>
      </c>
      <c r="L36" s="397" t="str">
        <f t="shared" ca="1" si="10"/>
        <v/>
      </c>
      <c r="M36" s="397" t="str">
        <f t="shared" ca="1" si="11"/>
        <v/>
      </c>
      <c r="N36" s="398" t="str">
        <f t="shared" ca="1" si="12"/>
        <v/>
      </c>
      <c r="O36" s="399" t="str">
        <f t="shared" ca="1" si="8"/>
        <v/>
      </c>
      <c r="P36" s="399" t="str">
        <f t="shared" ca="1" si="13"/>
        <v/>
      </c>
      <c r="Q36" s="399" t="str">
        <f t="shared" ca="1" si="14"/>
        <v/>
      </c>
      <c r="R36" s="399" t="str">
        <f t="shared" ca="1" si="15"/>
        <v/>
      </c>
      <c r="S36" s="400" t="str">
        <f t="shared" ca="1" si="9"/>
        <v/>
      </c>
      <c r="T36" s="392"/>
      <c r="U36" s="393"/>
      <c r="V36" s="403" t="s">
        <v>450</v>
      </c>
      <c r="W36" s="403" t="s">
        <v>451</v>
      </c>
      <c r="X36" s="403" t="s">
        <v>452</v>
      </c>
      <c r="Y36" s="401" t="s">
        <v>453</v>
      </c>
      <c r="Z36" s="402"/>
    </row>
    <row r="37" spans="1:26" x14ac:dyDescent="0.25">
      <c r="A37" s="375">
        <f t="shared" ca="1" si="1"/>
        <v>0</v>
      </c>
      <c r="B37" s="375">
        <v>36</v>
      </c>
      <c r="C37" s="375">
        <f t="shared" ca="1" si="2"/>
        <v>0</v>
      </c>
      <c r="D37" s="375">
        <f t="shared" ca="1" si="3"/>
        <v>0</v>
      </c>
      <c r="E37" s="380">
        <f t="shared" si="0"/>
        <v>1</v>
      </c>
      <c r="F37" s="375">
        <f t="shared" ca="1" si="4"/>
        <v>0</v>
      </c>
      <c r="G37" s="375">
        <f t="shared" ca="1" si="5"/>
        <v>0</v>
      </c>
      <c r="H37" s="375">
        <f t="shared" ca="1" si="6"/>
        <v>0</v>
      </c>
      <c r="I37" s="375">
        <f t="shared" ca="1" si="7"/>
        <v>0</v>
      </c>
      <c r="K37" s="396" t="str">
        <f t="array" aca="1" ref="K37" ca="1">IFERROR(INDEX($B$2:$B$309,LARGE(($A$2:$A$309=$K$2)*(ROW($A$2:$A$309)-1),COUNTIF($A$2:$A$309,$K$2)+1-ROW(A34))),"")</f>
        <v/>
      </c>
      <c r="L37" s="397" t="str">
        <f t="shared" ca="1" si="10"/>
        <v/>
      </c>
      <c r="M37" s="397" t="str">
        <f t="shared" ca="1" si="11"/>
        <v/>
      </c>
      <c r="N37" s="398" t="str">
        <f t="shared" ca="1" si="12"/>
        <v/>
      </c>
      <c r="O37" s="399" t="str">
        <f t="shared" ca="1" si="8"/>
        <v/>
      </c>
      <c r="P37" s="399" t="str">
        <f t="shared" ca="1" si="13"/>
        <v/>
      </c>
      <c r="Q37" s="399" t="str">
        <f t="shared" ca="1" si="14"/>
        <v/>
      </c>
      <c r="R37" s="399" t="str">
        <f t="shared" ca="1" si="15"/>
        <v/>
      </c>
      <c r="S37" s="400" t="str">
        <f t="shared" ca="1" si="9"/>
        <v/>
      </c>
      <c r="T37" s="392"/>
      <c r="U37" s="393"/>
      <c r="V37" s="404">
        <v>1</v>
      </c>
      <c r="W37" s="404">
        <v>2800</v>
      </c>
      <c r="X37" s="404">
        <v>2070</v>
      </c>
      <c r="Y37" s="401">
        <f>V37*W37*X37/10^6</f>
        <v>5.7960000000000003</v>
      </c>
      <c r="Z37" s="402" t="s">
        <v>454</v>
      </c>
    </row>
    <row r="38" spans="1:26" x14ac:dyDescent="0.25">
      <c r="A38" s="375">
        <f t="shared" ca="1" si="1"/>
        <v>0</v>
      </c>
      <c r="B38" s="375">
        <v>37</v>
      </c>
      <c r="C38" s="375">
        <f t="shared" ca="1" si="2"/>
        <v>0</v>
      </c>
      <c r="D38" s="375">
        <f t="shared" ca="1" si="3"/>
        <v>0</v>
      </c>
      <c r="E38" s="380">
        <f t="shared" si="0"/>
        <v>1</v>
      </c>
      <c r="F38" s="375">
        <f t="shared" ca="1" si="4"/>
        <v>0</v>
      </c>
      <c r="G38" s="375">
        <f t="shared" ca="1" si="5"/>
        <v>0</v>
      </c>
      <c r="H38" s="375">
        <f t="shared" ca="1" si="6"/>
        <v>0</v>
      </c>
      <c r="I38" s="375">
        <f t="shared" ca="1" si="7"/>
        <v>0</v>
      </c>
      <c r="K38" s="396" t="str">
        <f t="array" aca="1" ref="K38" ca="1">IFERROR(INDEX($B$2:$B$309,LARGE(($A$2:$A$309=$K$2)*(ROW($A$2:$A$309)-1),COUNTIF($A$2:$A$309,$K$2)+1-ROW(A35))),"")</f>
        <v/>
      </c>
      <c r="L38" s="397" t="str">
        <f t="shared" ca="1" si="10"/>
        <v/>
      </c>
      <c r="M38" s="397" t="str">
        <f t="shared" ca="1" si="11"/>
        <v/>
      </c>
      <c r="N38" s="398" t="str">
        <f t="shared" ca="1" si="12"/>
        <v/>
      </c>
      <c r="O38" s="399" t="str">
        <f t="shared" ca="1" si="8"/>
        <v/>
      </c>
      <c r="P38" s="399" t="str">
        <f t="shared" ca="1" si="13"/>
        <v/>
      </c>
      <c r="Q38" s="399" t="str">
        <f t="shared" ca="1" si="14"/>
        <v/>
      </c>
      <c r="R38" s="399" t="str">
        <f t="shared" ca="1" si="15"/>
        <v/>
      </c>
      <c r="S38" s="400" t="str">
        <f t="shared" ca="1" si="9"/>
        <v/>
      </c>
      <c r="T38" s="392"/>
      <c r="U38" s="393"/>
      <c r="V38" s="401"/>
      <c r="W38" s="401"/>
      <c r="X38" s="401"/>
      <c r="Y38" s="401"/>
      <c r="Z38" s="402"/>
    </row>
    <row r="39" spans="1:26" x14ac:dyDescent="0.25">
      <c r="A39" s="375">
        <f t="shared" ca="1" si="1"/>
        <v>0</v>
      </c>
      <c r="B39" s="375">
        <v>38</v>
      </c>
      <c r="C39" s="375">
        <f t="shared" ca="1" si="2"/>
        <v>0</v>
      </c>
      <c r="D39" s="375">
        <f t="shared" ca="1" si="3"/>
        <v>0</v>
      </c>
      <c r="E39" s="380">
        <f t="shared" si="0"/>
        <v>1</v>
      </c>
      <c r="F39" s="375">
        <f t="shared" ca="1" si="4"/>
        <v>0</v>
      </c>
      <c r="G39" s="375">
        <f t="shared" ca="1" si="5"/>
        <v>0</v>
      </c>
      <c r="H39" s="375">
        <f t="shared" ca="1" si="6"/>
        <v>0</v>
      </c>
      <c r="I39" s="375">
        <f t="shared" ca="1" si="7"/>
        <v>0</v>
      </c>
      <c r="K39" s="396" t="str">
        <f t="array" aca="1" ref="K39" ca="1">IFERROR(INDEX($B$2:$B$309,LARGE(($A$2:$A$309=$K$2)*(ROW($A$2:$A$309)-1),COUNTIF($A$2:$A$309,$K$2)+1-ROW(A36))),"")</f>
        <v/>
      </c>
      <c r="L39" s="397" t="str">
        <f t="shared" ca="1" si="10"/>
        <v/>
      </c>
      <c r="M39" s="397" t="str">
        <f t="shared" ca="1" si="11"/>
        <v/>
      </c>
      <c r="N39" s="398" t="str">
        <f t="shared" ca="1" si="12"/>
        <v/>
      </c>
      <c r="O39" s="399" t="str">
        <f t="shared" ca="1" si="8"/>
        <v/>
      </c>
      <c r="P39" s="399" t="str">
        <f t="shared" ca="1" si="13"/>
        <v/>
      </c>
      <c r="Q39" s="399" t="str">
        <f t="shared" ca="1" si="14"/>
        <v/>
      </c>
      <c r="R39" s="399" t="str">
        <f t="shared" ca="1" si="15"/>
        <v/>
      </c>
      <c r="S39" s="400" t="str">
        <f t="shared" ca="1" si="9"/>
        <v/>
      </c>
      <c r="T39" s="392"/>
      <c r="U39" s="393"/>
      <c r="V39" s="401" t="s">
        <v>455</v>
      </c>
      <c r="W39" s="401"/>
      <c r="X39" s="401"/>
      <c r="Y39" s="401"/>
      <c r="Z39" s="402"/>
    </row>
    <row r="40" spans="1:26" x14ac:dyDescent="0.25">
      <c r="A40" s="375">
        <f t="shared" ca="1" si="1"/>
        <v>0</v>
      </c>
      <c r="B40" s="375">
        <v>39</v>
      </c>
      <c r="C40" s="375">
        <f t="shared" ca="1" si="2"/>
        <v>0</v>
      </c>
      <c r="D40" s="375">
        <f t="shared" ca="1" si="3"/>
        <v>0</v>
      </c>
      <c r="E40" s="380">
        <f t="shared" si="0"/>
        <v>1</v>
      </c>
      <c r="F40" s="375">
        <f t="shared" ca="1" si="4"/>
        <v>0</v>
      </c>
      <c r="G40" s="375">
        <f t="shared" ca="1" si="5"/>
        <v>0</v>
      </c>
      <c r="H40" s="375">
        <f t="shared" ca="1" si="6"/>
        <v>0</v>
      </c>
      <c r="I40" s="375">
        <f t="shared" ca="1" si="7"/>
        <v>0</v>
      </c>
      <c r="K40" s="396" t="str">
        <f t="array" aca="1" ref="K40" ca="1">IFERROR(INDEX($B$2:$B$309,LARGE(($A$2:$A$309=$K$2)*(ROW($A$2:$A$309)-1),COUNTIF($A$2:$A$309,$K$2)+1-ROW(A37))),"")</f>
        <v/>
      </c>
      <c r="L40" s="397" t="str">
        <f t="shared" ca="1" si="10"/>
        <v/>
      </c>
      <c r="M40" s="397" t="str">
        <f t="shared" ca="1" si="11"/>
        <v/>
      </c>
      <c r="N40" s="398" t="str">
        <f t="shared" ca="1" si="12"/>
        <v/>
      </c>
      <c r="O40" s="399" t="str">
        <f t="shared" ca="1" si="8"/>
        <v/>
      </c>
      <c r="P40" s="399" t="str">
        <f t="shared" ca="1" si="13"/>
        <v/>
      </c>
      <c r="Q40" s="399" t="str">
        <f t="shared" ca="1" si="14"/>
        <v/>
      </c>
      <c r="R40" s="399" t="str">
        <f t="shared" ca="1" si="15"/>
        <v/>
      </c>
      <c r="S40" s="400" t="str">
        <f t="shared" ca="1" si="9"/>
        <v/>
      </c>
      <c r="T40" s="392"/>
      <c r="U40" s="393"/>
      <c r="V40" s="407" t="s">
        <v>456</v>
      </c>
      <c r="W40" s="397" t="s">
        <v>457</v>
      </c>
      <c r="X40" s="401" t="s">
        <v>458</v>
      </c>
      <c r="Y40" s="408">
        <f ca="1">SUM(W41:W55)</f>
        <v>0</v>
      </c>
      <c r="Z40" s="402" t="s">
        <v>459</v>
      </c>
    </row>
    <row r="41" spans="1:26" x14ac:dyDescent="0.25">
      <c r="A41" s="375">
        <f t="shared" ca="1" si="1"/>
        <v>0</v>
      </c>
      <c r="B41" s="375">
        <v>40</v>
      </c>
      <c r="C41" s="375">
        <f t="shared" ca="1" si="2"/>
        <v>0</v>
      </c>
      <c r="D41" s="375">
        <f t="shared" ca="1" si="3"/>
        <v>0</v>
      </c>
      <c r="E41" s="380">
        <f t="shared" si="0"/>
        <v>1</v>
      </c>
      <c r="F41" s="375">
        <f t="shared" ca="1" si="4"/>
        <v>0</v>
      </c>
      <c r="G41" s="375">
        <f t="shared" ca="1" si="5"/>
        <v>0</v>
      </c>
      <c r="H41" s="375">
        <f t="shared" ca="1" si="6"/>
        <v>0</v>
      </c>
      <c r="I41" s="375">
        <f t="shared" ca="1" si="7"/>
        <v>0</v>
      </c>
      <c r="K41" s="396" t="str">
        <f t="array" aca="1" ref="K41" ca="1">IFERROR(INDEX($B$2:$B$309,LARGE(($A$2:$A$309=$K$2)*(ROW($A$2:$A$309)-1),COUNTIF($A$2:$A$309,$K$2)+1-ROW(A38))),"")</f>
        <v/>
      </c>
      <c r="L41" s="397" t="str">
        <f t="shared" ca="1" si="10"/>
        <v/>
      </c>
      <c r="M41" s="397" t="str">
        <f t="shared" ca="1" si="11"/>
        <v/>
      </c>
      <c r="N41" s="398" t="str">
        <f t="shared" ca="1" si="12"/>
        <v/>
      </c>
      <c r="O41" s="399" t="str">
        <f t="shared" ca="1" si="8"/>
        <v/>
      </c>
      <c r="P41" s="399" t="str">
        <f t="shared" ca="1" si="13"/>
        <v/>
      </c>
      <c r="Q41" s="399" t="str">
        <f t="shared" ca="1" si="14"/>
        <v/>
      </c>
      <c r="R41" s="399" t="str">
        <f t="shared" ca="1" si="15"/>
        <v/>
      </c>
      <c r="S41" s="400" t="str">
        <f t="shared" ca="1" si="9"/>
        <v/>
      </c>
      <c r="T41" s="392"/>
      <c r="U41" s="393"/>
      <c r="V41" s="404">
        <v>16</v>
      </c>
      <c r="W41" s="409">
        <f ca="1">IF(ISERROR(VLOOKUP(V41,$K$4:$S$48,9,FALSE)),"",VLOOKUP(V41,$K$4:$S$48,9,FALSE))</f>
        <v>0</v>
      </c>
      <c r="X41" s="401"/>
      <c r="Y41" s="401"/>
      <c r="Z41" s="402"/>
    </row>
    <row r="42" spans="1:26" x14ac:dyDescent="0.25">
      <c r="A42" s="375">
        <f t="shared" ca="1" si="1"/>
        <v>0</v>
      </c>
      <c r="B42" s="375">
        <v>41</v>
      </c>
      <c r="C42" s="375">
        <f t="shared" ca="1" si="2"/>
        <v>0</v>
      </c>
      <c r="D42" s="375">
        <f t="shared" ca="1" si="3"/>
        <v>0</v>
      </c>
      <c r="E42" s="380">
        <f t="shared" si="0"/>
        <v>1</v>
      </c>
      <c r="F42" s="375">
        <f t="shared" ca="1" si="4"/>
        <v>0</v>
      </c>
      <c r="G42" s="375">
        <f t="shared" ca="1" si="5"/>
        <v>0</v>
      </c>
      <c r="H42" s="375">
        <f t="shared" ca="1" si="6"/>
        <v>0</v>
      </c>
      <c r="I42" s="375">
        <f t="shared" ca="1" si="7"/>
        <v>0</v>
      </c>
      <c r="K42" s="396" t="str">
        <f t="array" aca="1" ref="K42" ca="1">IFERROR(INDEX($B$2:$B$309,LARGE(($A$2:$A$309=$K$2)*(ROW($A$2:$A$309)-1),COUNTIF($A$2:$A$309,$K$2)+1-ROW(A39))),"")</f>
        <v/>
      </c>
      <c r="L42" s="397" t="str">
        <f t="shared" ca="1" si="10"/>
        <v/>
      </c>
      <c r="M42" s="397" t="str">
        <f t="shared" ca="1" si="11"/>
        <v/>
      </c>
      <c r="N42" s="398" t="str">
        <f t="shared" ca="1" si="12"/>
        <v/>
      </c>
      <c r="O42" s="399" t="str">
        <f t="shared" ca="1" si="8"/>
        <v/>
      </c>
      <c r="P42" s="399" t="str">
        <f t="shared" ca="1" si="13"/>
        <v/>
      </c>
      <c r="Q42" s="399" t="str">
        <f t="shared" ca="1" si="14"/>
        <v/>
      </c>
      <c r="R42" s="399" t="str">
        <f t="shared" ca="1" si="15"/>
        <v/>
      </c>
      <c r="S42" s="400" t="str">
        <f t="shared" ca="1" si="9"/>
        <v/>
      </c>
      <c r="T42" s="392"/>
      <c r="U42" s="393"/>
      <c r="V42" s="404"/>
      <c r="W42" s="409" t="str">
        <f t="shared" ref="W42:W55" ca="1" si="17">IF(ISERROR(VLOOKUP(V42,$K$4:$S$48,9,FALSE)),"",VLOOKUP(V42,$K$4:$S$48,9,FALSE))</f>
        <v/>
      </c>
      <c r="X42" s="401"/>
      <c r="Y42" s="401"/>
      <c r="Z42" s="402"/>
    </row>
    <row r="43" spans="1:26" x14ac:dyDescent="0.25">
      <c r="A43" s="375">
        <f t="shared" ca="1" si="1"/>
        <v>0</v>
      </c>
      <c r="B43" s="375">
        <v>38</v>
      </c>
      <c r="C43" s="375">
        <f t="shared" ca="1" si="2"/>
        <v>0</v>
      </c>
      <c r="D43" s="375">
        <f t="shared" ca="1" si="3"/>
        <v>0</v>
      </c>
      <c r="E43" s="380">
        <f t="shared" si="0"/>
        <v>1</v>
      </c>
      <c r="F43" s="375">
        <f t="shared" ca="1" si="4"/>
        <v>0</v>
      </c>
      <c r="G43" s="375">
        <f t="shared" ca="1" si="5"/>
        <v>0</v>
      </c>
      <c r="H43" s="375">
        <f t="shared" ca="1" si="6"/>
        <v>0</v>
      </c>
      <c r="I43" s="375">
        <f t="shared" ca="1" si="7"/>
        <v>0</v>
      </c>
      <c r="K43" s="396" t="str">
        <f t="array" aca="1" ref="K43" ca="1">IFERROR(INDEX($B$2:$B$309,LARGE(($A$2:$A$309=$K$2)*(ROW($A$2:$A$309)-1),COUNTIF($A$2:$A$309,$K$2)+1-ROW(A40))),"")</f>
        <v/>
      </c>
      <c r="L43" s="397" t="str">
        <f t="shared" ca="1" si="10"/>
        <v/>
      </c>
      <c r="M43" s="397" t="str">
        <f t="shared" ca="1" si="11"/>
        <v/>
      </c>
      <c r="N43" s="398" t="str">
        <f t="shared" ca="1" si="12"/>
        <v/>
      </c>
      <c r="O43" s="399" t="str">
        <f t="shared" ca="1" si="8"/>
        <v/>
      </c>
      <c r="P43" s="399" t="str">
        <f t="shared" ca="1" si="13"/>
        <v/>
      </c>
      <c r="Q43" s="399" t="str">
        <f t="shared" ca="1" si="14"/>
        <v/>
      </c>
      <c r="R43" s="399" t="str">
        <f t="shared" ca="1" si="15"/>
        <v/>
      </c>
      <c r="S43" s="400" t="str">
        <f t="shared" ca="1" si="9"/>
        <v/>
      </c>
      <c r="T43" s="392"/>
      <c r="U43" s="393"/>
      <c r="V43" s="404"/>
      <c r="W43" s="409" t="str">
        <f t="shared" ca="1" si="17"/>
        <v/>
      </c>
      <c r="X43" s="401"/>
      <c r="Y43" s="401"/>
      <c r="Z43" s="402"/>
    </row>
    <row r="44" spans="1:26" x14ac:dyDescent="0.25">
      <c r="A44" s="375">
        <f t="shared" ca="1" si="1"/>
        <v>0</v>
      </c>
      <c r="B44" s="375">
        <v>43</v>
      </c>
      <c r="C44" s="375">
        <f t="shared" ca="1" si="2"/>
        <v>0</v>
      </c>
      <c r="D44" s="375">
        <f t="shared" ca="1" si="3"/>
        <v>0</v>
      </c>
      <c r="E44" s="380">
        <f t="shared" si="0"/>
        <v>1</v>
      </c>
      <c r="F44" s="375">
        <f t="shared" ca="1" si="4"/>
        <v>0</v>
      </c>
      <c r="G44" s="375">
        <f t="shared" ca="1" si="5"/>
        <v>0</v>
      </c>
      <c r="H44" s="375">
        <f t="shared" ca="1" si="6"/>
        <v>0</v>
      </c>
      <c r="I44" s="375">
        <f t="shared" ca="1" si="7"/>
        <v>0</v>
      </c>
      <c r="J44" s="418"/>
      <c r="K44" s="419"/>
      <c r="L44" s="397" t="str">
        <f t="shared" si="10"/>
        <v/>
      </c>
      <c r="M44" s="397" t="str">
        <f t="shared" si="11"/>
        <v/>
      </c>
      <c r="N44" s="398" t="str">
        <f t="shared" si="12"/>
        <v/>
      </c>
      <c r="O44" s="399" t="str">
        <f t="shared" si="8"/>
        <v/>
      </c>
      <c r="P44" s="399" t="str">
        <f t="shared" si="13"/>
        <v/>
      </c>
      <c r="Q44" s="399" t="str">
        <f t="shared" si="14"/>
        <v/>
      </c>
      <c r="R44" s="399" t="str">
        <f t="shared" si="15"/>
        <v/>
      </c>
      <c r="S44" s="400" t="str">
        <f t="shared" si="9"/>
        <v/>
      </c>
      <c r="T44" s="392"/>
      <c r="U44" s="393"/>
      <c r="V44" s="404"/>
      <c r="W44" s="409" t="str">
        <f t="shared" ca="1" si="17"/>
        <v/>
      </c>
      <c r="X44" s="401"/>
      <c r="Y44" s="401"/>
      <c r="Z44" s="402"/>
    </row>
    <row r="45" spans="1:26" x14ac:dyDescent="0.25">
      <c r="A45" s="375">
        <f t="shared" ca="1" si="1"/>
        <v>0</v>
      </c>
      <c r="B45" s="375">
        <v>42</v>
      </c>
      <c r="C45" s="375">
        <f t="shared" ca="1" si="2"/>
        <v>0</v>
      </c>
      <c r="D45" s="375">
        <f t="shared" ca="1" si="3"/>
        <v>0</v>
      </c>
      <c r="E45" s="380">
        <f t="shared" si="0"/>
        <v>1</v>
      </c>
      <c r="F45" s="375">
        <f t="shared" ca="1" si="4"/>
        <v>0</v>
      </c>
      <c r="G45" s="375">
        <f t="shared" ca="1" si="5"/>
        <v>0</v>
      </c>
      <c r="H45" s="375">
        <f t="shared" ca="1" si="6"/>
        <v>0</v>
      </c>
      <c r="I45" s="375">
        <f t="shared" ca="1" si="7"/>
        <v>0</v>
      </c>
      <c r="K45" s="396" t="str">
        <f t="array" aca="1" ref="K45" ca="1">IFERROR(INDEX($B$2:$B$309,LARGE(($A$2:$A$309=$K$2)*(ROW($A$2:$A$309)-1),COUNTIF($A$2:$A$309,$K$2)+1-ROW(A42))),"")</f>
        <v/>
      </c>
      <c r="L45" s="397" t="str">
        <f t="shared" ca="1" si="10"/>
        <v/>
      </c>
      <c r="M45" s="397" t="str">
        <f t="shared" ca="1" si="11"/>
        <v/>
      </c>
      <c r="N45" s="398" t="str">
        <f t="shared" ca="1" si="12"/>
        <v/>
      </c>
      <c r="O45" s="399" t="str">
        <f t="shared" ca="1" si="8"/>
        <v/>
      </c>
      <c r="P45" s="399" t="str">
        <f t="shared" ca="1" si="13"/>
        <v/>
      </c>
      <c r="Q45" s="399" t="str">
        <f t="shared" ca="1" si="14"/>
        <v/>
      </c>
      <c r="R45" s="399" t="str">
        <f t="shared" ca="1" si="15"/>
        <v/>
      </c>
      <c r="S45" s="400" t="str">
        <f t="shared" ca="1" si="9"/>
        <v/>
      </c>
      <c r="T45" s="392"/>
      <c r="U45" s="393"/>
      <c r="V45" s="404"/>
      <c r="W45" s="409" t="str">
        <f t="shared" ca="1" si="17"/>
        <v/>
      </c>
      <c r="X45" s="401"/>
      <c r="Y45" s="401"/>
      <c r="Z45" s="402"/>
    </row>
    <row r="46" spans="1:26" x14ac:dyDescent="0.25">
      <c r="A46" s="375">
        <f t="shared" ca="1" si="1"/>
        <v>0</v>
      </c>
      <c r="B46" s="375">
        <v>45</v>
      </c>
      <c r="C46" s="375">
        <f t="shared" ca="1" si="2"/>
        <v>0</v>
      </c>
      <c r="D46" s="375">
        <f t="shared" ca="1" si="3"/>
        <v>0</v>
      </c>
      <c r="E46" s="380">
        <f t="shared" si="0"/>
        <v>1</v>
      </c>
      <c r="F46" s="375">
        <f t="shared" ca="1" si="4"/>
        <v>0</v>
      </c>
      <c r="G46" s="375">
        <f t="shared" ca="1" si="5"/>
        <v>0</v>
      </c>
      <c r="H46" s="375">
        <f t="shared" ca="1" si="6"/>
        <v>0</v>
      </c>
      <c r="I46" s="375">
        <f t="shared" ca="1" si="7"/>
        <v>0</v>
      </c>
      <c r="K46" s="396" t="str">
        <f t="array" aca="1" ref="K46" ca="1">IFERROR(INDEX($B$2:$B$309,LARGE(($A$2:$A$309=$K$2)*(ROW($A$2:$A$309)-1),COUNTIF($A$2:$A$309,$K$2)+1-ROW(A43))),"")</f>
        <v/>
      </c>
      <c r="L46" s="397" t="str">
        <f t="shared" ca="1" si="10"/>
        <v/>
      </c>
      <c r="M46" s="397" t="str">
        <f t="shared" ca="1" si="11"/>
        <v/>
      </c>
      <c r="N46" s="398" t="str">
        <f t="shared" ca="1" si="12"/>
        <v/>
      </c>
      <c r="O46" s="399" t="str">
        <f t="shared" ca="1" si="8"/>
        <v/>
      </c>
      <c r="P46" s="399" t="str">
        <f t="shared" ca="1" si="13"/>
        <v/>
      </c>
      <c r="Q46" s="399" t="str">
        <f t="shared" ca="1" si="14"/>
        <v/>
      </c>
      <c r="R46" s="399" t="str">
        <f t="shared" ca="1" si="15"/>
        <v/>
      </c>
      <c r="S46" s="400" t="str">
        <f t="shared" ca="1" si="9"/>
        <v/>
      </c>
      <c r="T46" s="392"/>
      <c r="U46" s="393"/>
      <c r="V46" s="404"/>
      <c r="W46" s="409" t="str">
        <f t="shared" ca="1" si="17"/>
        <v/>
      </c>
      <c r="X46" s="401"/>
      <c r="Y46" s="401"/>
      <c r="Z46" s="402"/>
    </row>
    <row r="47" spans="1:26" x14ac:dyDescent="0.25">
      <c r="A47" s="375">
        <f t="shared" ca="1" si="1"/>
        <v>0</v>
      </c>
      <c r="B47" s="375">
        <v>46</v>
      </c>
      <c r="C47" s="375">
        <f t="shared" ca="1" si="2"/>
        <v>0</v>
      </c>
      <c r="D47" s="375">
        <f t="shared" ca="1" si="3"/>
        <v>0</v>
      </c>
      <c r="E47" s="380">
        <f t="shared" si="0"/>
        <v>1</v>
      </c>
      <c r="F47" s="375">
        <f t="shared" ca="1" si="4"/>
        <v>0</v>
      </c>
      <c r="G47" s="375">
        <f t="shared" ca="1" si="5"/>
        <v>0</v>
      </c>
      <c r="H47" s="375">
        <f t="shared" ca="1" si="6"/>
        <v>0</v>
      </c>
      <c r="I47" s="375">
        <f t="shared" ca="1" si="7"/>
        <v>0</v>
      </c>
      <c r="K47" s="396" t="str">
        <f t="array" aca="1" ref="K47" ca="1">IFERROR(INDEX($B$2:$B$309,LARGE(($A$2:$A$309=$K$2)*(ROW($A$2:$A$309)-1),COUNTIF($A$2:$A$309,$K$2)+1-ROW(A44))),"")</f>
        <v/>
      </c>
      <c r="L47" s="397" t="str">
        <f t="shared" ca="1" si="10"/>
        <v/>
      </c>
      <c r="M47" s="397" t="str">
        <f t="shared" ca="1" si="11"/>
        <v/>
      </c>
      <c r="N47" s="398" t="str">
        <f t="shared" ca="1" si="12"/>
        <v/>
      </c>
      <c r="O47" s="399" t="str">
        <f t="shared" ca="1" si="8"/>
        <v/>
      </c>
      <c r="P47" s="399" t="str">
        <f t="shared" ca="1" si="13"/>
        <v/>
      </c>
      <c r="Q47" s="399" t="str">
        <f t="shared" ca="1" si="14"/>
        <v/>
      </c>
      <c r="R47" s="399" t="str">
        <f t="shared" ca="1" si="15"/>
        <v/>
      </c>
      <c r="S47" s="400" t="str">
        <f t="shared" ca="1" si="9"/>
        <v/>
      </c>
      <c r="T47" s="392"/>
      <c r="U47" s="393"/>
      <c r="V47" s="404"/>
      <c r="W47" s="409" t="str">
        <f t="shared" ca="1" si="17"/>
        <v/>
      </c>
      <c r="X47" s="401"/>
      <c r="Y47" s="401"/>
      <c r="Z47" s="402"/>
    </row>
    <row r="48" spans="1:26" ht="15.75" thickBot="1" x14ac:dyDescent="0.3">
      <c r="C48" s="380"/>
      <c r="E48" s="420"/>
      <c r="F48" s="420"/>
      <c r="K48" s="421" t="str">
        <f t="array" aca="1" ref="K48" ca="1">IFERROR(INDEX($B$2:$B$309,LARGE(($A$2:$A$309=$K$2)*(ROW($A$2:$A$309)-1),COUNTIF($A$2:$A$309,$K$2)+1-ROW(A45))),"")</f>
        <v/>
      </c>
      <c r="L48" s="422" t="str">
        <f t="shared" ca="1" si="10"/>
        <v/>
      </c>
      <c r="M48" s="422" t="str">
        <f t="shared" ca="1" si="11"/>
        <v/>
      </c>
      <c r="N48" s="423" t="str">
        <f t="shared" ca="1" si="12"/>
        <v/>
      </c>
      <c r="O48" s="424" t="str">
        <f t="shared" ca="1" si="8"/>
        <v/>
      </c>
      <c r="P48" s="424" t="str">
        <f t="shared" ca="1" si="13"/>
        <v/>
      </c>
      <c r="Q48" s="424" t="str">
        <f t="shared" ca="1" si="14"/>
        <v/>
      </c>
      <c r="R48" s="424" t="str">
        <f t="shared" ca="1" si="15"/>
        <v/>
      </c>
      <c r="S48" s="425" t="str">
        <f t="shared" ca="1" si="9"/>
        <v/>
      </c>
      <c r="T48" s="392"/>
      <c r="U48" s="393"/>
      <c r="V48" s="404"/>
      <c r="W48" s="409" t="str">
        <f t="shared" ca="1" si="17"/>
        <v/>
      </c>
      <c r="X48" s="401"/>
      <c r="Y48" s="401"/>
      <c r="Z48" s="402"/>
    </row>
    <row r="49" spans="3:26" x14ac:dyDescent="0.25">
      <c r="C49" s="380"/>
      <c r="E49" s="420"/>
      <c r="F49" s="420"/>
      <c r="U49" s="393"/>
      <c r="V49" s="404"/>
      <c r="W49" s="409" t="str">
        <f t="shared" ca="1" si="17"/>
        <v/>
      </c>
      <c r="X49" s="401"/>
      <c r="Y49" s="401"/>
      <c r="Z49" s="402"/>
    </row>
    <row r="50" spans="3:26" x14ac:dyDescent="0.25">
      <c r="C50" s="380"/>
      <c r="E50" s="420"/>
      <c r="F50" s="420"/>
      <c r="U50" s="393"/>
      <c r="V50" s="404"/>
      <c r="W50" s="409" t="str">
        <f t="shared" ca="1" si="17"/>
        <v/>
      </c>
      <c r="X50" s="401"/>
      <c r="Y50" s="401"/>
      <c r="Z50" s="402"/>
    </row>
    <row r="51" spans="3:26" x14ac:dyDescent="0.25">
      <c r="C51" s="380"/>
      <c r="E51" s="420"/>
      <c r="F51" s="420"/>
      <c r="U51" s="393"/>
      <c r="V51" s="404"/>
      <c r="W51" s="409" t="str">
        <f t="shared" ca="1" si="17"/>
        <v/>
      </c>
      <c r="X51" s="401"/>
      <c r="Y51" s="401"/>
      <c r="Z51" s="402"/>
    </row>
    <row r="52" spans="3:26" x14ac:dyDescent="0.25">
      <c r="C52" s="380"/>
      <c r="E52" s="420"/>
      <c r="F52" s="420"/>
      <c r="U52" s="393"/>
      <c r="V52" s="404"/>
      <c r="W52" s="409" t="str">
        <f t="shared" ca="1" si="17"/>
        <v/>
      </c>
      <c r="X52" s="401"/>
      <c r="Y52" s="401"/>
      <c r="Z52" s="402"/>
    </row>
    <row r="53" spans="3:26" x14ac:dyDescent="0.25">
      <c r="C53" s="380"/>
      <c r="E53" s="420"/>
      <c r="F53" s="420"/>
      <c r="U53" s="393"/>
      <c r="V53" s="404"/>
      <c r="W53" s="409" t="str">
        <f t="shared" ca="1" si="17"/>
        <v/>
      </c>
      <c r="X53" s="401"/>
      <c r="Y53" s="401"/>
      <c r="Z53" s="402"/>
    </row>
    <row r="54" spans="3:26" x14ac:dyDescent="0.25">
      <c r="U54" s="393"/>
      <c r="V54" s="404"/>
      <c r="W54" s="409" t="str">
        <f t="shared" ca="1" si="17"/>
        <v/>
      </c>
      <c r="X54" s="401"/>
      <c r="Y54" s="401"/>
      <c r="Z54" s="402"/>
    </row>
    <row r="55" spans="3:26" x14ac:dyDescent="0.25">
      <c r="U55" s="393"/>
      <c r="V55" s="404"/>
      <c r="W55" s="409" t="str">
        <f t="shared" ca="1" si="17"/>
        <v/>
      </c>
      <c r="X55" s="401"/>
      <c r="Y55" s="401"/>
      <c r="Z55" s="402"/>
    </row>
    <row r="56" spans="3:26" x14ac:dyDescent="0.25">
      <c r="U56" s="393"/>
      <c r="V56" s="401"/>
      <c r="W56" s="401"/>
      <c r="X56" s="401"/>
      <c r="Y56" s="401"/>
      <c r="Z56" s="402"/>
    </row>
    <row r="57" spans="3:26" x14ac:dyDescent="0.25">
      <c r="U57" s="393"/>
      <c r="V57" s="401" t="s">
        <v>467</v>
      </c>
      <c r="W57" s="401"/>
      <c r="X57" s="401"/>
      <c r="Y57" s="401"/>
      <c r="Z57" s="402"/>
    </row>
    <row r="58" spans="3:26" x14ac:dyDescent="0.25">
      <c r="U58" s="393"/>
      <c r="V58" s="401" t="s">
        <v>461</v>
      </c>
      <c r="W58" s="401"/>
      <c r="X58" s="408">
        <f ca="1">Y37-Y40</f>
        <v>5.7960000000000003</v>
      </c>
      <c r="Y58" s="401" t="s">
        <v>448</v>
      </c>
      <c r="Z58" s="402" t="s">
        <v>462</v>
      </c>
    </row>
    <row r="59" spans="3:26" x14ac:dyDescent="0.25">
      <c r="U59" s="393"/>
      <c r="V59" s="401"/>
      <c r="W59" s="401"/>
      <c r="X59" s="401"/>
      <c r="Y59" s="401"/>
      <c r="Z59" s="402"/>
    </row>
    <row r="60" spans="3:26" x14ac:dyDescent="0.25">
      <c r="U60" s="393"/>
      <c r="V60" s="401"/>
      <c r="W60" s="401"/>
      <c r="X60" s="401"/>
      <c r="Y60" s="401"/>
      <c r="Z60" s="402"/>
    </row>
    <row r="61" spans="3:26" ht="15.75" thickBot="1" x14ac:dyDescent="0.3">
      <c r="U61" s="410"/>
      <c r="V61" s="411" t="s">
        <v>468</v>
      </c>
      <c r="W61" s="412" t="s">
        <v>464</v>
      </c>
      <c r="X61" s="412" t="e">
        <f ca="1">X58/Y40</f>
        <v>#DIV/0!</v>
      </c>
      <c r="Y61" s="413"/>
      <c r="Z61" s="414" t="s">
        <v>465</v>
      </c>
    </row>
  </sheetData>
  <mergeCells count="1">
    <mergeCell ref="L2:S2"/>
  </mergeCells>
  <pageMargins left="0.78740157499999996" right="0.78740157499999996" top="0.98425196900000012" bottom="0.98425196900000012" header="0.49212598450000006" footer="0.49212598450000006"/>
  <pageSetup paperSize="9" scale="34" orientation="portrait" r:id="rId1"/>
  <headerFooter>
    <oddHeader>&amp;L                                                                 &amp;D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1901</vt:i4>
      </vt:variant>
    </vt:vector>
  </HeadingPairs>
  <TitlesOfParts>
    <vt:vector size="1908" baseType="lpstr">
      <vt:lpstr>EVA_Input</vt:lpstr>
      <vt:lpstr>Eingaben</vt:lpstr>
      <vt:lpstr>Dimensionsware</vt:lpstr>
      <vt:lpstr>Hilfsstoffe</vt:lpstr>
      <vt:lpstr>Lohn</vt:lpstr>
      <vt:lpstr>Kalkulation</vt:lpstr>
      <vt:lpstr>Plattenverschnitt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BEZ_VK_BA</vt:lpstr>
      <vt:lpstr>BEZ_VK_ST</vt:lpstr>
      <vt:lpstr>BO_ART</vt:lpstr>
      <vt:lpstr>BO_FL1_H</vt:lpstr>
      <vt:lpstr>BO_FL1_N</vt:lpstr>
      <vt:lpstr>BO_LKH_B</vt:lpstr>
      <vt:lpstr>BO_LKH_H</vt:lpstr>
      <vt:lpstr>BO_LKH_N</vt:lpstr>
      <vt:lpstr>BO_LKH_OPT</vt:lpstr>
      <vt:lpstr>BO_UKH1_B</vt:lpstr>
      <vt:lpstr>BO_UKH1_H</vt:lpstr>
      <vt:lpstr>BO_UKH1_N</vt:lpstr>
      <vt:lpstr>DE_FL1_H</vt:lpstr>
      <vt:lpstr>DE_FLW_BEZ</vt:lpstr>
      <vt:lpstr>DE_FLW_SOLL</vt:lpstr>
      <vt:lpstr>DE_FLW_VAL</vt:lpstr>
      <vt:lpstr>DE_SBS1_B</vt:lpstr>
      <vt:lpstr>DE_SBS1_H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HO_KHL_B</vt:lpstr>
      <vt:lpstr>HO_KHL_H</vt:lpstr>
      <vt:lpstr>HO_KHL_L</vt:lpstr>
      <vt:lpstr>HO_KHL_N</vt:lpstr>
      <vt:lpstr>HO_KHL_OPT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KO_SHS_B</vt:lpstr>
      <vt:lpstr>KO_SHS_H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SE_EI_L</vt:lpstr>
      <vt:lpstr>SE_EI_R</vt:lpstr>
      <vt:lpstr>SE_FHW_N</vt:lpstr>
      <vt:lpstr>SE_FHW_OPT</vt:lpstr>
      <vt:lpstr>SE_FL1_H</vt:lpstr>
      <vt:lpstr>SE_KTS_H</vt:lpstr>
      <vt:lpstr>SE_KTS_OPT</vt:lpstr>
      <vt:lpstr>SE_SHS_B</vt:lpstr>
      <vt:lpstr>SE_SHS_H</vt:lpstr>
      <vt:lpstr>SE_TSKW_H</vt:lpstr>
      <vt:lpstr>SE_TSLS_B</vt:lpstr>
      <vt:lpstr>SE_TSLS_H</vt:lpstr>
      <vt:lpstr>TS_N</vt:lpstr>
      <vt:lpstr>WKH_OPT</vt:lpstr>
      <vt:lpstr>WKH_SCH_OPT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Johannes Heming</cp:lastModifiedBy>
  <cp:lastPrinted>2017-09-22T08:39:49Z</cp:lastPrinted>
  <dcterms:created xsi:type="dcterms:W3CDTF">2014-01-20T15:30:05Z</dcterms:created>
  <dcterms:modified xsi:type="dcterms:W3CDTF">2018-02-08T12:18:50Z</dcterms:modified>
</cp:coreProperties>
</file>