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bernardusscholen1-my.sharepoint.com/personal/timo_meersschaut_bernardusscholen_be/Documents/Oefeningen HTML/Homepage/GIP-2022/"/>
    </mc:Choice>
  </mc:AlternateContent>
  <xr:revisionPtr revIDLastSave="8" documentId="8_{F2D7BDD3-24DE-4F6C-8C88-7CE402894E74}" xr6:coauthVersionLast="47" xr6:coauthVersionMax="47" xr10:uidLastSave="{4973ED07-D508-4A3F-AF0E-E16883A48496}"/>
  <bookViews>
    <workbookView xWindow="-120" yWindow="-120" windowWidth="29040" windowHeight="15720" activeTab="2" xr2:uid="{57BE068E-9937-45A1-B1AC-C6EC17DB54B3}"/>
  </bookViews>
  <sheets>
    <sheet name="Sinelco International H" sheetId="1" r:id="rId1"/>
    <sheet name="Sinelco International V" sheetId="2" r:id="rId2"/>
    <sheet name="Ratio"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2" i="3" l="1"/>
  <c r="D59" i="3"/>
  <c r="D56" i="3"/>
  <c r="D50" i="3"/>
  <c r="D47" i="3"/>
  <c r="D44" i="3"/>
  <c r="D41" i="3"/>
  <c r="D38" i="3"/>
  <c r="D53" i="3"/>
  <c r="D7" i="3"/>
  <c r="D10" i="3"/>
  <c r="D13" i="3"/>
  <c r="D16" i="3"/>
  <c r="D19" i="3"/>
  <c r="D22" i="3"/>
  <c r="D25" i="3"/>
  <c r="D28" i="3"/>
  <c r="D31" i="3"/>
  <c r="F39" i="2"/>
  <c r="F40" i="2"/>
  <c r="F41" i="2"/>
  <c r="F42" i="2"/>
  <c r="F43" i="2"/>
  <c r="F44" i="2"/>
  <c r="D39" i="2"/>
  <c r="D40" i="2"/>
  <c r="D41" i="2"/>
  <c r="D42" i="2"/>
  <c r="D43" i="2"/>
  <c r="D44" i="2"/>
  <c r="F38" i="2"/>
  <c r="D38" i="2"/>
  <c r="F21" i="2"/>
  <c r="F22" i="2"/>
  <c r="F23" i="2"/>
  <c r="F24" i="2"/>
  <c r="F25" i="2"/>
  <c r="F26" i="2"/>
  <c r="F27" i="2"/>
  <c r="F28" i="2"/>
  <c r="F29" i="2"/>
  <c r="F30" i="2"/>
  <c r="F31" i="2"/>
  <c r="F32" i="2"/>
  <c r="F33" i="2"/>
  <c r="F34" i="2"/>
  <c r="F20" i="2"/>
  <c r="D21" i="2"/>
  <c r="D22" i="2"/>
  <c r="D23" i="2"/>
  <c r="D24" i="2"/>
  <c r="D25" i="2"/>
  <c r="D26" i="2"/>
  <c r="D27" i="2"/>
  <c r="D28" i="2"/>
  <c r="D29" i="2"/>
  <c r="D30" i="2"/>
  <c r="D31" i="2"/>
  <c r="D32" i="2"/>
  <c r="D33" i="2"/>
  <c r="D34" i="2"/>
  <c r="D20" i="2"/>
  <c r="F16" i="2"/>
  <c r="F6" i="2"/>
  <c r="F7" i="2"/>
  <c r="F8" i="2"/>
  <c r="F9" i="2"/>
  <c r="F10" i="2"/>
  <c r="F11" i="2"/>
  <c r="F12" i="2"/>
  <c r="F13" i="2"/>
  <c r="F14" i="2"/>
  <c r="F15" i="2"/>
  <c r="F5" i="2"/>
  <c r="D6" i="2"/>
  <c r="D7" i="2"/>
  <c r="D8" i="2"/>
  <c r="D9" i="2"/>
  <c r="D10" i="2"/>
  <c r="D11" i="2"/>
  <c r="D12" i="2"/>
  <c r="D13" i="2"/>
  <c r="D14" i="2"/>
  <c r="D15" i="2"/>
  <c r="D16" i="2"/>
  <c r="D5" i="2"/>
  <c r="E42" i="2"/>
  <c r="E44" i="2" s="1"/>
  <c r="C42" i="2"/>
  <c r="C44" i="2" s="1"/>
  <c r="E39" i="2"/>
  <c r="C39" i="2"/>
  <c r="E30" i="2"/>
  <c r="C30" i="2"/>
  <c r="C34" i="2" s="1"/>
  <c r="E27" i="2"/>
  <c r="E34" i="2" s="1"/>
  <c r="C27" i="2"/>
  <c r="E20" i="2"/>
  <c r="C20" i="2"/>
  <c r="E16" i="2"/>
  <c r="E9" i="2"/>
  <c r="C9" i="2"/>
  <c r="C16" i="2" s="1"/>
  <c r="E5" i="2"/>
  <c r="C5" i="2"/>
  <c r="D43" i="1" l="1"/>
  <c r="D41" i="1"/>
  <c r="D40" i="1"/>
  <c r="D38" i="1"/>
  <c r="D37" i="1"/>
  <c r="D21" i="1"/>
  <c r="D14" i="1"/>
  <c r="C9" i="1"/>
  <c r="C5" i="1"/>
  <c r="E39" i="1"/>
  <c r="E42" i="1" s="1"/>
  <c r="E44" i="1" s="1"/>
  <c r="C39" i="1"/>
  <c r="C42" i="1" s="1"/>
  <c r="D33" i="1"/>
  <c r="D32" i="1"/>
  <c r="E30" i="1"/>
  <c r="C30" i="1"/>
  <c r="E27" i="1"/>
  <c r="C27" i="1"/>
  <c r="D25" i="1"/>
  <c r="D24" i="1"/>
  <c r="E20" i="1"/>
  <c r="C20" i="1"/>
  <c r="D12" i="1"/>
  <c r="D11" i="1"/>
  <c r="E9" i="1"/>
  <c r="D7" i="1"/>
  <c r="E5" i="1"/>
  <c r="C16" i="1" l="1"/>
  <c r="E16" i="1"/>
  <c r="D9" i="1"/>
  <c r="D20" i="1"/>
  <c r="E34" i="1"/>
  <c r="D30" i="1"/>
  <c r="D42" i="1"/>
  <c r="C44" i="1"/>
  <c r="D44" i="1" s="1"/>
  <c r="D5" i="1"/>
  <c r="D39" i="1"/>
  <c r="C34" i="1"/>
  <c r="D16" i="1" l="1"/>
  <c r="D34" i="1"/>
</calcChain>
</file>

<file path=xl/sharedStrings.xml><?xml version="1.0" encoding="utf-8"?>
<sst xmlns="http://schemas.openxmlformats.org/spreadsheetml/2006/main" count="196" uniqueCount="90">
  <si>
    <t>Horizontale analyse</t>
  </si>
  <si>
    <t>%</t>
  </si>
  <si>
    <t>oprichtingskosten</t>
  </si>
  <si>
    <t>VASTE ACTIVA</t>
  </si>
  <si>
    <t>immateriële vaste activa</t>
  </si>
  <si>
    <t>Materiële vaste activa</t>
  </si>
  <si>
    <t>Financiële vaste activa</t>
  </si>
  <si>
    <t>VLOTTENDE ACTIVA</t>
  </si>
  <si>
    <t>vorderingen&gt; 1jaar</t>
  </si>
  <si>
    <t>Voorraden</t>
  </si>
  <si>
    <t>Vorderingen&lt;1 jaar</t>
  </si>
  <si>
    <t>geldbellegingen</t>
  </si>
  <si>
    <t>liquide middelen</t>
  </si>
  <si>
    <t>overlopende rekeningen</t>
  </si>
  <si>
    <t>TOTAAL ACTIVA</t>
  </si>
  <si>
    <t>EIGEN VERMOGEN</t>
  </si>
  <si>
    <t>uitgiftepremies</t>
  </si>
  <si>
    <t>Herwaarderingsmeerwaarden</t>
  </si>
  <si>
    <t>reserves</t>
  </si>
  <si>
    <t>overgedragenwinst/verlies</t>
  </si>
  <si>
    <t>Kapitaalsubsidies</t>
  </si>
  <si>
    <t>VOORZIENINGEN &amp; UITG. BELAST.</t>
  </si>
  <si>
    <t xml:space="preserve">voorzieningen </t>
  </si>
  <si>
    <t>uitgestelde belastinegn</t>
  </si>
  <si>
    <t>SCHULDEN</t>
  </si>
  <si>
    <t>Schulden &gt; 1jaar</t>
  </si>
  <si>
    <t>Schulden&lt; jaar</t>
  </si>
  <si>
    <t>Overlopende  rekeningen</t>
  </si>
  <si>
    <t>TOTAAL PASSIVA</t>
  </si>
  <si>
    <t>Bedrijfsopbrengsten</t>
  </si>
  <si>
    <t>bedrijfskosten</t>
  </si>
  <si>
    <t>BEDRIJFSRESLUTAAT</t>
  </si>
  <si>
    <t>financiële opbrengsten</t>
  </si>
  <si>
    <t>finaciële kosten</t>
  </si>
  <si>
    <t>RESULAAT VOOR BELASTINGEN</t>
  </si>
  <si>
    <t>belastingen</t>
  </si>
  <si>
    <t>RESULTAAT BOEKJAAR</t>
  </si>
  <si>
    <t>Sinelco International</t>
  </si>
  <si>
    <t>Kapitaal</t>
  </si>
  <si>
    <t>horizontale analyse= we maken een evolutie van de cijfers doorheen de tijd en we stellen daarbij een basis percentage van 100%</t>
  </si>
  <si>
    <t>solvabiliteit:</t>
  </si>
  <si>
    <t>in woorden:</t>
  </si>
  <si>
    <t>(eigen vermogen/totaalvermogen)*100%</t>
  </si>
  <si>
    <t>cijfers invullen:</t>
  </si>
  <si>
    <t>Rentabiliteit eigen vermogen:</t>
  </si>
  <si>
    <t>(resultaat/eigen vermogen)*100</t>
  </si>
  <si>
    <t>Rentabiliteit totaal vermogen:</t>
  </si>
  <si>
    <t>(res vh bj na bel + fin kosten + belastingen/TV)*100</t>
  </si>
  <si>
    <t>cashflow</t>
  </si>
  <si>
    <t>resultaat na belastingen+niet -kaskosten</t>
  </si>
  <si>
    <t>ebit</t>
  </si>
  <si>
    <t xml:space="preserve">in woorden </t>
  </si>
  <si>
    <t>cijfers invullen</t>
  </si>
  <si>
    <t>ebita</t>
  </si>
  <si>
    <t>in woorden</t>
  </si>
  <si>
    <t>operationele cashflow</t>
  </si>
  <si>
    <t>liquiditeit</t>
  </si>
  <si>
    <t>liquiditeits ratio ruim</t>
  </si>
  <si>
    <t>liquiditeits ratio enge zin</t>
  </si>
  <si>
    <t>verticale analyse</t>
  </si>
  <si>
    <t>=(26987659/31794230)*100</t>
  </si>
  <si>
    <t>=(2414483/26987659)*100</t>
  </si>
  <si>
    <t>=(2414483+405498+1118623)/31794230 * 100</t>
  </si>
  <si>
    <t>= 2414483 + 550994+439</t>
  </si>
  <si>
    <t>=41500279-37805009</t>
  </si>
  <si>
    <t xml:space="preserve"> bedrijfsresultaat(bedrijfsopbrengsten - bedrijfskosten)</t>
  </si>
  <si>
    <t>=3695270+550994</t>
  </si>
  <si>
    <t>vlottende activa - vreemd vermogen op korte termijn -ooverlopende rek p</t>
  </si>
  <si>
    <t>=30554071-4730851-75720</t>
  </si>
  <si>
    <t>=(30554071-351737)/(4730851+75720)</t>
  </si>
  <si>
    <t>vlottende activa -overlopende rekeningen actief / schulden op kt termijn +overlopende rekeningen passief</t>
  </si>
  <si>
    <t>=(30554071-14644708-351737)/(4730851+75720)</t>
  </si>
  <si>
    <t>vlottende activa -voorraden-overlopende rekeningen actief / schulden op kt termijn +overlopende rekeningen passief</t>
  </si>
  <si>
    <t>De solvabiliteit is hoger dan 50% dus dit is heel goed.</t>
  </si>
  <si>
    <t>Ratio's</t>
  </si>
  <si>
    <t>Er is genoeg vlottende activa om de schulden op korte termijn terug te betalen</t>
  </si>
  <si>
    <t>Ja, het is interessant om investeringen te financiëren met vreemd vermogen.</t>
  </si>
  <si>
    <t>Het bedrijf genereert duidelijk meer cash in dan cash out.</t>
  </si>
  <si>
    <t>Net zoals het eigen vermogen is het interessant zelfs interessanter om investeringen te financiëren met vreemd vermogen</t>
  </si>
  <si>
    <t>verticale analyse = bij een verticale analyse is het de bedoeling om per boekjaar de balansstructuur en de samenstelling van het resulaat te achterhalen. Daarom worden de balanscomponenten van de resultatenrekening worden uitgedrukt in percentages van de omzet.</t>
  </si>
  <si>
    <t xml:space="preserve"> </t>
  </si>
  <si>
    <t>solvabiliteit</t>
  </si>
  <si>
    <t>=(24573176/29227266)*100</t>
  </si>
  <si>
    <t>=(3154572/24573176)*100</t>
  </si>
  <si>
    <t>=(3154572+192110+1250797)/29227266* 100</t>
  </si>
  <si>
    <t>= 3154572+ 553567+71588</t>
  </si>
  <si>
    <t>=45185547-41167188</t>
  </si>
  <si>
    <t>=27531409-4249618-75720</t>
  </si>
  <si>
    <t>=(27531409-243160)/(4249618+75720)</t>
  </si>
  <si>
    <t>=(27531409-13374334-243160)/(4249618+75720)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</si>
</sst>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sz val="14"/>
      <color theme="4"/>
      <name val="Calibri"/>
      <family val="2"/>
      <scheme val="minor"/>
    </font>
    <font>
      <sz val="14"/>
      <color rgb="FFFF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8"/>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2" fillId="0" borderId="0" xfId="0" applyFont="1"/>
    <xf numFmtId="0" fontId="3" fillId="0" borderId="0" xfId="0" applyFont="1"/>
    <xf numFmtId="0" fontId="0" fillId="2" borderId="0" xfId="0" applyFill="1"/>
    <xf numFmtId="0" fontId="0" fillId="2" borderId="0" xfId="0" applyFill="1" applyAlignment="1">
      <alignment horizontal="right"/>
    </xf>
    <xf numFmtId="9" fontId="0" fillId="2" borderId="0" xfId="1" applyFont="1" applyFill="1"/>
    <xf numFmtId="164" fontId="0" fillId="2" borderId="0" xfId="0" applyNumberFormat="1" applyFill="1"/>
    <xf numFmtId="0" fontId="0" fillId="3" borderId="0" xfId="0" applyFill="1"/>
    <xf numFmtId="2" fontId="0" fillId="0" borderId="0" xfId="0" applyNumberFormat="1" applyAlignment="1">
      <alignment horizontal="right"/>
    </xf>
    <xf numFmtId="9" fontId="0" fillId="0" borderId="0" xfId="1" applyFont="1"/>
    <xf numFmtId="2" fontId="0" fillId="0" borderId="0" xfId="0" applyNumberFormat="1"/>
    <xf numFmtId="0" fontId="0" fillId="4" borderId="0" xfId="0" applyFill="1"/>
    <xf numFmtId="2" fontId="0" fillId="4" borderId="0" xfId="0" applyNumberFormat="1" applyFill="1" applyAlignment="1">
      <alignment horizontal="right"/>
    </xf>
    <xf numFmtId="9" fontId="0" fillId="4" borderId="0" xfId="1" applyFont="1" applyFill="1"/>
    <xf numFmtId="2" fontId="0" fillId="4" borderId="0" xfId="0" applyNumberFormat="1" applyFill="1"/>
    <xf numFmtId="9" fontId="0" fillId="3" borderId="0" xfId="1" applyFont="1" applyFill="1"/>
    <xf numFmtId="2" fontId="0" fillId="0" borderId="0" xfId="0" applyNumberFormat="1" applyAlignment="1">
      <alignment horizontal="right" vertical="top"/>
    </xf>
    <xf numFmtId="0" fontId="0" fillId="5" borderId="0" xfId="0" applyFill="1"/>
    <xf numFmtId="2" fontId="0" fillId="5" borderId="0" xfId="0" applyNumberFormat="1" applyFill="1" applyAlignment="1">
      <alignment horizontal="right"/>
    </xf>
    <xf numFmtId="9" fontId="0" fillId="5" borderId="0" xfId="1" applyFont="1" applyFill="1"/>
    <xf numFmtId="2" fontId="0" fillId="5" borderId="0" xfId="0" applyNumberFormat="1" applyFill="1"/>
    <xf numFmtId="164" fontId="0" fillId="5" borderId="0" xfId="0" applyNumberFormat="1" applyFill="1"/>
    <xf numFmtId="0" fontId="0" fillId="6" borderId="0" xfId="0" applyFill="1"/>
    <xf numFmtId="2" fontId="0" fillId="6" borderId="0" xfId="0" applyNumberFormat="1" applyFill="1" applyAlignment="1">
      <alignment horizontal="right"/>
    </xf>
    <xf numFmtId="9" fontId="0" fillId="6" borderId="0" xfId="1" applyFont="1" applyFill="1" applyAlignment="1">
      <alignment horizontal="right"/>
    </xf>
    <xf numFmtId="2" fontId="0" fillId="6" borderId="0" xfId="0" applyNumberFormat="1" applyFill="1"/>
    <xf numFmtId="9" fontId="0" fillId="6" borderId="0" xfId="1" applyFont="1" applyFill="1"/>
    <xf numFmtId="9" fontId="0" fillId="5" borderId="0" xfId="1" applyFont="1" applyFill="1" applyAlignment="1">
      <alignment horizontal="right"/>
    </xf>
    <xf numFmtId="164" fontId="0" fillId="5" borderId="0" xfId="0" applyNumberFormat="1" applyFill="1" applyAlignment="1">
      <alignment horizontal="right"/>
    </xf>
    <xf numFmtId="9" fontId="0" fillId="4" borderId="0" xfId="1" applyFont="1" applyFill="1" applyAlignment="1">
      <alignment horizontal="right"/>
    </xf>
    <xf numFmtId="0" fontId="4" fillId="0" borderId="0" xfId="0" applyFont="1"/>
    <xf numFmtId="0" fontId="4" fillId="0" borderId="0" xfId="0" applyFont="1" applyAlignment="1">
      <alignment vertical="center"/>
    </xf>
    <xf numFmtId="3" fontId="0" fillId="0" borderId="0" xfId="0" quotePrefix="1" applyNumberFormat="1"/>
    <xf numFmtId="0" fontId="0" fillId="0" borderId="0" xfId="0" quotePrefix="1"/>
  </cellXfs>
  <cellStyles count="2">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51116-0E5A-411C-AB89-0D21B41CDEEF}">
  <dimension ref="A1:H47"/>
  <sheetViews>
    <sheetView topLeftCell="A10" zoomScale="85" zoomScaleNormal="85" workbookViewId="0">
      <selection activeCell="M17" sqref="M17"/>
    </sheetView>
  </sheetViews>
  <sheetFormatPr defaultRowHeight="15" x14ac:dyDescent="0.25"/>
  <cols>
    <col min="1" max="1" width="29.5703125" bestFit="1" customWidth="1"/>
    <col min="3" max="3" width="14.28515625" bestFit="1" customWidth="1"/>
    <col min="4" max="4" width="16.140625" bestFit="1" customWidth="1"/>
    <col min="5" max="5" width="14.28515625" bestFit="1" customWidth="1"/>
    <col min="6" max="6" width="6.42578125" bestFit="1" customWidth="1"/>
  </cols>
  <sheetData>
    <row r="1" spans="1:8" ht="18.75" x14ac:dyDescent="0.3">
      <c r="A1" s="1" t="s">
        <v>0</v>
      </c>
    </row>
    <row r="2" spans="1:8" ht="18.75" x14ac:dyDescent="0.3">
      <c r="A2" s="2"/>
    </row>
    <row r="3" spans="1:8" x14ac:dyDescent="0.25">
      <c r="A3" s="3" t="s">
        <v>37</v>
      </c>
      <c r="B3" s="3"/>
      <c r="C3" s="4">
        <v>20.100000000000001</v>
      </c>
      <c r="D3" s="5" t="s">
        <v>1</v>
      </c>
      <c r="E3" s="6">
        <v>20</v>
      </c>
      <c r="F3" s="5" t="s">
        <v>1</v>
      </c>
      <c r="G3" s="3"/>
      <c r="H3" s="3"/>
    </row>
    <row r="4" spans="1:8" x14ac:dyDescent="0.25">
      <c r="A4" s="7" t="s">
        <v>2</v>
      </c>
      <c r="B4" s="7"/>
      <c r="C4" s="8">
        <v>0</v>
      </c>
      <c r="D4" s="9"/>
      <c r="E4" s="10">
        <v>0</v>
      </c>
      <c r="F4" s="9">
        <v>1</v>
      </c>
    </row>
    <row r="5" spans="1:8" x14ac:dyDescent="0.25">
      <c r="A5" s="11" t="s">
        <v>3</v>
      </c>
      <c r="B5" s="11"/>
      <c r="C5" s="12">
        <f>C6+C7+C8</f>
        <v>1240159</v>
      </c>
      <c r="D5" s="13">
        <f>C5/E5</f>
        <v>0.73128748473485672</v>
      </c>
      <c r="E5" s="14">
        <f>E6+E7+E8</f>
        <v>1695857</v>
      </c>
      <c r="F5" s="13">
        <v>1</v>
      </c>
      <c r="G5" s="11"/>
      <c r="H5" s="11"/>
    </row>
    <row r="6" spans="1:8" x14ac:dyDescent="0.25">
      <c r="A6" t="s">
        <v>4</v>
      </c>
      <c r="C6" s="8">
        <v>222713</v>
      </c>
      <c r="D6" s="15">
        <v>1</v>
      </c>
      <c r="E6" s="10">
        <v>402334</v>
      </c>
      <c r="F6" s="9">
        <v>1</v>
      </c>
    </row>
    <row r="7" spans="1:8" x14ac:dyDescent="0.25">
      <c r="A7" t="s">
        <v>5</v>
      </c>
      <c r="C7" s="8">
        <v>620396</v>
      </c>
      <c r="D7" s="15">
        <f t="shared" ref="D7:D44" si="0">C7/E7</f>
        <v>0.73925223510851135</v>
      </c>
      <c r="E7" s="10">
        <v>839221</v>
      </c>
      <c r="F7" s="9">
        <v>1</v>
      </c>
    </row>
    <row r="8" spans="1:8" x14ac:dyDescent="0.25">
      <c r="A8" t="s">
        <v>6</v>
      </c>
      <c r="C8" s="8">
        <v>397050</v>
      </c>
      <c r="D8" s="15">
        <v>1</v>
      </c>
      <c r="E8" s="10">
        <v>454302</v>
      </c>
      <c r="F8" s="9">
        <v>1</v>
      </c>
    </row>
    <row r="9" spans="1:8" x14ac:dyDescent="0.25">
      <c r="A9" s="11" t="s">
        <v>7</v>
      </c>
      <c r="B9" s="11"/>
      <c r="C9" s="12">
        <f>C10+C11+C13+C12+C14+C15</f>
        <v>30554071</v>
      </c>
      <c r="D9" s="13">
        <f t="shared" si="0"/>
        <v>1.109789586141414</v>
      </c>
      <c r="E9" s="14">
        <f>E10+E11+E12+E13+E14+E15</f>
        <v>27531409</v>
      </c>
      <c r="F9" s="13">
        <v>1</v>
      </c>
      <c r="G9" s="11"/>
      <c r="H9" s="11"/>
    </row>
    <row r="10" spans="1:8" x14ac:dyDescent="0.25">
      <c r="A10" t="s">
        <v>8</v>
      </c>
      <c r="C10" s="8">
        <v>0</v>
      </c>
      <c r="D10" s="15">
        <v>1</v>
      </c>
      <c r="E10" s="10">
        <v>0</v>
      </c>
      <c r="F10" s="9">
        <v>1</v>
      </c>
    </row>
    <row r="11" spans="1:8" x14ac:dyDescent="0.25">
      <c r="A11" t="s">
        <v>9</v>
      </c>
      <c r="C11" s="8">
        <v>14644708</v>
      </c>
      <c r="D11" s="15">
        <f t="shared" si="0"/>
        <v>1.0949859634132062</v>
      </c>
      <c r="E11" s="10">
        <v>13374334</v>
      </c>
      <c r="F11" s="9">
        <v>1</v>
      </c>
    </row>
    <row r="12" spans="1:8" x14ac:dyDescent="0.25">
      <c r="A12" t="s">
        <v>10</v>
      </c>
      <c r="C12" s="8">
        <v>14883284</v>
      </c>
      <c r="D12" s="15">
        <f t="shared" si="0"/>
        <v>1.1983918681930983</v>
      </c>
      <c r="E12" s="10">
        <v>12419380</v>
      </c>
      <c r="F12" s="9">
        <v>1</v>
      </c>
    </row>
    <row r="13" spans="1:8" x14ac:dyDescent="0.25">
      <c r="A13" t="s">
        <v>11</v>
      </c>
      <c r="C13" s="16">
        <v>0</v>
      </c>
      <c r="D13" s="15">
        <v>0</v>
      </c>
      <c r="E13" s="10">
        <v>0</v>
      </c>
      <c r="F13" s="9">
        <v>1</v>
      </c>
    </row>
    <row r="14" spans="1:8" x14ac:dyDescent="0.25">
      <c r="A14" t="s">
        <v>12</v>
      </c>
      <c r="C14" s="8">
        <v>674342</v>
      </c>
      <c r="D14" s="15">
        <f>C14/E14</f>
        <v>0.45120522436744537</v>
      </c>
      <c r="E14" s="10">
        <v>1494535</v>
      </c>
      <c r="F14" s="9">
        <v>1</v>
      </c>
    </row>
    <row r="15" spans="1:8" x14ac:dyDescent="0.25">
      <c r="A15" t="s">
        <v>13</v>
      </c>
      <c r="C15" s="8">
        <v>351737</v>
      </c>
      <c r="D15" s="15">
        <v>1</v>
      </c>
      <c r="E15" s="10">
        <v>243160</v>
      </c>
      <c r="F15" s="9">
        <v>1</v>
      </c>
    </row>
    <row r="16" spans="1:8" x14ac:dyDescent="0.25">
      <c r="A16" s="17" t="s">
        <v>14</v>
      </c>
      <c r="B16" s="17"/>
      <c r="C16" s="18">
        <f>C9+C5</f>
        <v>31794230</v>
      </c>
      <c r="D16" s="19">
        <f t="shared" si="0"/>
        <v>1.0878277153942486</v>
      </c>
      <c r="E16" s="20">
        <f>E9+E5</f>
        <v>29227266</v>
      </c>
      <c r="F16" s="19">
        <v>1</v>
      </c>
      <c r="G16" s="17"/>
      <c r="H16" s="17"/>
    </row>
    <row r="17" spans="1:8" x14ac:dyDescent="0.25">
      <c r="C17" s="8"/>
      <c r="D17" s="10"/>
      <c r="E17" s="10"/>
      <c r="F17" s="9"/>
    </row>
    <row r="18" spans="1:8" x14ac:dyDescent="0.25">
      <c r="C18" s="8"/>
      <c r="D18" s="10"/>
      <c r="E18" s="10"/>
      <c r="F18" s="9"/>
    </row>
    <row r="19" spans="1:8" x14ac:dyDescent="0.25">
      <c r="A19" s="17" t="s">
        <v>37</v>
      </c>
      <c r="B19" s="17"/>
      <c r="C19" s="18">
        <v>20.100000000000001</v>
      </c>
      <c r="D19" s="18" t="s">
        <v>1</v>
      </c>
      <c r="E19" s="21">
        <v>20</v>
      </c>
      <c r="F19" s="19" t="s">
        <v>1</v>
      </c>
      <c r="G19" s="17"/>
      <c r="H19" s="17"/>
    </row>
    <row r="20" spans="1:8" x14ac:dyDescent="0.25">
      <c r="A20" s="11" t="s">
        <v>15</v>
      </c>
      <c r="B20" s="11"/>
      <c r="C20" s="12">
        <f>C21+C22+C23+C24+C25+C26</f>
        <v>26987659</v>
      </c>
      <c r="D20" s="29">
        <f t="shared" si="0"/>
        <v>1.0982568553613095</v>
      </c>
      <c r="E20" s="14">
        <f>E21+E22+E23+E24+E25+E26</f>
        <v>24573176</v>
      </c>
      <c r="F20" s="13">
        <v>1</v>
      </c>
      <c r="G20" s="11"/>
      <c r="H20" s="11"/>
    </row>
    <row r="21" spans="1:8" x14ac:dyDescent="0.25">
      <c r="A21" s="7" t="s">
        <v>38</v>
      </c>
      <c r="C21" s="8">
        <v>0</v>
      </c>
      <c r="D21" s="15">
        <f>C21/E21</f>
        <v>0</v>
      </c>
      <c r="E21" s="10">
        <v>2436341</v>
      </c>
      <c r="F21" s="9">
        <v>1</v>
      </c>
    </row>
    <row r="22" spans="1:8" x14ac:dyDescent="0.25">
      <c r="A22" t="s">
        <v>16</v>
      </c>
      <c r="C22" s="8">
        <v>2679976</v>
      </c>
      <c r="D22" s="15">
        <v>1</v>
      </c>
      <c r="E22" s="10">
        <v>0</v>
      </c>
      <c r="F22" s="9">
        <v>1</v>
      </c>
    </row>
    <row r="23" spans="1:8" x14ac:dyDescent="0.25">
      <c r="A23" t="s">
        <v>17</v>
      </c>
      <c r="C23" s="8">
        <v>0</v>
      </c>
      <c r="D23" s="15">
        <v>1</v>
      </c>
      <c r="E23" s="10">
        <v>0</v>
      </c>
      <c r="F23" s="9">
        <v>1</v>
      </c>
    </row>
    <row r="24" spans="1:8" x14ac:dyDescent="0.25">
      <c r="A24" t="s">
        <v>18</v>
      </c>
      <c r="C24" s="8">
        <v>2237087</v>
      </c>
      <c r="D24" s="15">
        <f t="shared" si="0"/>
        <v>0.90178867281380182</v>
      </c>
      <c r="E24" s="10">
        <v>2480722</v>
      </c>
      <c r="F24" s="9">
        <v>1</v>
      </c>
    </row>
    <row r="25" spans="1:8" x14ac:dyDescent="0.25">
      <c r="A25" t="s">
        <v>19</v>
      </c>
      <c r="C25" s="8">
        <v>22070596</v>
      </c>
      <c r="D25" s="15">
        <f t="shared" si="0"/>
        <v>1.122836239291054</v>
      </c>
      <c r="E25" s="10">
        <v>19656113</v>
      </c>
      <c r="F25" s="9">
        <v>1</v>
      </c>
    </row>
    <row r="26" spans="1:8" x14ac:dyDescent="0.25">
      <c r="A26" t="s">
        <v>20</v>
      </c>
      <c r="C26" s="8">
        <v>0</v>
      </c>
      <c r="D26" s="15">
        <v>1</v>
      </c>
      <c r="E26" s="10">
        <v>0</v>
      </c>
      <c r="F26" s="9">
        <v>1</v>
      </c>
    </row>
    <row r="27" spans="1:8" x14ac:dyDescent="0.25">
      <c r="A27" s="22" t="s">
        <v>21</v>
      </c>
      <c r="B27" s="22"/>
      <c r="C27" s="23">
        <f>C28+C29</f>
        <v>0</v>
      </c>
      <c r="D27" s="24">
        <v>1</v>
      </c>
      <c r="E27" s="25">
        <f>E28+E29</f>
        <v>328752</v>
      </c>
      <c r="F27" s="26">
        <v>1</v>
      </c>
      <c r="G27" s="22"/>
      <c r="H27" s="22"/>
    </row>
    <row r="28" spans="1:8" x14ac:dyDescent="0.25">
      <c r="A28" t="s">
        <v>22</v>
      </c>
      <c r="C28" s="8">
        <v>0</v>
      </c>
      <c r="D28" s="15">
        <v>1</v>
      </c>
      <c r="E28" s="10">
        <v>328752</v>
      </c>
      <c r="F28" s="9">
        <v>1</v>
      </c>
    </row>
    <row r="29" spans="1:8" x14ac:dyDescent="0.25">
      <c r="A29" t="s">
        <v>23</v>
      </c>
      <c r="C29" s="8">
        <v>0</v>
      </c>
      <c r="D29" s="15">
        <v>1</v>
      </c>
      <c r="E29" s="10">
        <v>0</v>
      </c>
      <c r="F29" s="9">
        <v>1</v>
      </c>
    </row>
    <row r="30" spans="1:8" x14ac:dyDescent="0.25">
      <c r="A30" s="22" t="s">
        <v>24</v>
      </c>
      <c r="B30" s="22"/>
      <c r="C30" s="23">
        <f>C31+C32+C33</f>
        <v>4806571</v>
      </c>
      <c r="D30" s="24">
        <f t="shared" si="0"/>
        <v>1.1112590507377689</v>
      </c>
      <c r="E30" s="25">
        <f>E31+E32+E33</f>
        <v>4325338</v>
      </c>
      <c r="F30" s="26">
        <v>1</v>
      </c>
      <c r="G30" s="22"/>
      <c r="H30" s="22"/>
    </row>
    <row r="31" spans="1:8" x14ac:dyDescent="0.25">
      <c r="A31" t="s">
        <v>25</v>
      </c>
      <c r="C31" s="8">
        <v>0</v>
      </c>
      <c r="D31" s="15">
        <v>0</v>
      </c>
      <c r="E31" s="10">
        <v>0</v>
      </c>
      <c r="F31" s="9">
        <v>1</v>
      </c>
    </row>
    <row r="32" spans="1:8" x14ac:dyDescent="0.25">
      <c r="A32" t="s">
        <v>26</v>
      </c>
      <c r="C32" s="8">
        <v>4730851</v>
      </c>
      <c r="D32" s="15">
        <f t="shared" si="0"/>
        <v>1.1132414725276483</v>
      </c>
      <c r="E32" s="10">
        <v>4249618</v>
      </c>
      <c r="F32" s="9">
        <v>1</v>
      </c>
    </row>
    <row r="33" spans="1:8" x14ac:dyDescent="0.25">
      <c r="A33" t="s">
        <v>27</v>
      </c>
      <c r="C33" s="8">
        <v>75720</v>
      </c>
      <c r="D33" s="15">
        <f t="shared" si="0"/>
        <v>1</v>
      </c>
      <c r="E33" s="10">
        <v>75720</v>
      </c>
      <c r="F33" s="9">
        <v>1</v>
      </c>
    </row>
    <row r="34" spans="1:8" x14ac:dyDescent="0.25">
      <c r="A34" s="17" t="s">
        <v>28</v>
      </c>
      <c r="B34" s="17"/>
      <c r="C34" s="18">
        <f>C30+C27+C20</f>
        <v>31794230</v>
      </c>
      <c r="D34" s="27">
        <f t="shared" si="0"/>
        <v>1.0878277153942486</v>
      </c>
      <c r="E34" s="20">
        <f>E30+E27+E20</f>
        <v>29227266</v>
      </c>
      <c r="F34" s="19">
        <v>1</v>
      </c>
      <c r="G34" s="17"/>
      <c r="H34" s="17"/>
    </row>
    <row r="35" spans="1:8" x14ac:dyDescent="0.25">
      <c r="C35" s="8"/>
      <c r="D35" s="15"/>
      <c r="E35" s="10"/>
      <c r="F35" s="9"/>
    </row>
    <row r="36" spans="1:8" x14ac:dyDescent="0.25">
      <c r="A36" s="17" t="s">
        <v>37</v>
      </c>
      <c r="B36" s="17"/>
      <c r="C36" s="28">
        <v>20.100000000000001</v>
      </c>
      <c r="D36" s="18" t="s">
        <v>1</v>
      </c>
      <c r="E36" s="21">
        <v>20</v>
      </c>
      <c r="F36" s="19" t="s">
        <v>1</v>
      </c>
      <c r="G36" s="17"/>
      <c r="H36" s="17"/>
    </row>
    <row r="37" spans="1:8" x14ac:dyDescent="0.25">
      <c r="A37" t="s">
        <v>29</v>
      </c>
      <c r="C37" s="8">
        <v>41500279</v>
      </c>
      <c r="D37" s="15">
        <f>C37/E37</f>
        <v>0.91844144323405008</v>
      </c>
      <c r="E37" s="10">
        <v>45185547</v>
      </c>
      <c r="F37" s="9">
        <v>1</v>
      </c>
    </row>
    <row r="38" spans="1:8" x14ac:dyDescent="0.25">
      <c r="A38" t="s">
        <v>30</v>
      </c>
      <c r="C38" s="8">
        <v>37805009</v>
      </c>
      <c r="D38" s="15">
        <f>C38/E38</f>
        <v>0.91832866991060935</v>
      </c>
      <c r="E38" s="10">
        <v>41167188</v>
      </c>
      <c r="F38" s="9">
        <v>1</v>
      </c>
    </row>
    <row r="39" spans="1:8" x14ac:dyDescent="0.25">
      <c r="A39" s="11" t="s">
        <v>31</v>
      </c>
      <c r="B39" s="11"/>
      <c r="C39" s="12">
        <f>C37-C38</f>
        <v>3695270</v>
      </c>
      <c r="D39" s="29">
        <f t="shared" si="0"/>
        <v>0.91959678067589279</v>
      </c>
      <c r="E39" s="14">
        <f>E37-E38</f>
        <v>4018359</v>
      </c>
      <c r="F39" s="13">
        <v>1</v>
      </c>
      <c r="G39" s="11"/>
      <c r="H39" s="11"/>
    </row>
    <row r="40" spans="1:8" x14ac:dyDescent="0.25">
      <c r="A40" t="s">
        <v>32</v>
      </c>
      <c r="C40" s="8">
        <v>243334</v>
      </c>
      <c r="D40" s="15">
        <f>C40/E40</f>
        <v>0.42017889211217019</v>
      </c>
      <c r="E40" s="10">
        <v>579120</v>
      </c>
      <c r="F40" s="9">
        <v>1</v>
      </c>
    </row>
    <row r="41" spans="1:8" x14ac:dyDescent="0.25">
      <c r="A41" t="s">
        <v>33</v>
      </c>
      <c r="C41" s="8">
        <v>405498</v>
      </c>
      <c r="D41" s="15">
        <f>C41/E41</f>
        <v>2.1107594607256259</v>
      </c>
      <c r="E41" s="10">
        <v>192110</v>
      </c>
      <c r="F41" s="9">
        <v>1</v>
      </c>
    </row>
    <row r="42" spans="1:8" x14ac:dyDescent="0.25">
      <c r="A42" s="11" t="s">
        <v>34</v>
      </c>
      <c r="B42" s="11"/>
      <c r="C42" s="12">
        <f>C39-C41+C40</f>
        <v>3533106</v>
      </c>
      <c r="D42" s="29">
        <f t="shared" si="0"/>
        <v>0.80200001407373589</v>
      </c>
      <c r="E42" s="14">
        <f>E39-E41+E40</f>
        <v>4405369</v>
      </c>
      <c r="F42" s="13">
        <v>1</v>
      </c>
      <c r="G42" s="11"/>
      <c r="H42" s="11"/>
    </row>
    <row r="43" spans="1:8" x14ac:dyDescent="0.25">
      <c r="A43" t="s">
        <v>35</v>
      </c>
      <c r="C43" s="8">
        <v>1118623</v>
      </c>
      <c r="D43" s="15">
        <f>C43/E43</f>
        <v>0.8681961589357714</v>
      </c>
      <c r="E43" s="10">
        <v>1288445</v>
      </c>
      <c r="F43" s="9">
        <v>1</v>
      </c>
    </row>
    <row r="44" spans="1:8" x14ac:dyDescent="0.25">
      <c r="A44" s="17" t="s">
        <v>36</v>
      </c>
      <c r="B44" s="17"/>
      <c r="C44" s="18">
        <f>C42-C43</f>
        <v>2414483</v>
      </c>
      <c r="D44" s="27">
        <f t="shared" si="0"/>
        <v>0.77463646851832124</v>
      </c>
      <c r="E44" s="20">
        <f>E42-E43</f>
        <v>3116924</v>
      </c>
      <c r="F44" s="19">
        <v>1</v>
      </c>
      <c r="G44" s="17"/>
      <c r="H44" s="17"/>
    </row>
    <row r="47" spans="1:8" x14ac:dyDescent="0.25">
      <c r="A47"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6433E-42C7-4A9A-93F3-75989D54AA61}">
  <dimension ref="A1:H47"/>
  <sheetViews>
    <sheetView topLeftCell="A16" workbookViewId="0">
      <selection activeCell="A47" sqref="A47"/>
    </sheetView>
  </sheetViews>
  <sheetFormatPr defaultRowHeight="15" x14ac:dyDescent="0.25"/>
  <cols>
    <col min="1" max="1" width="29.5703125" bestFit="1" customWidth="1"/>
    <col min="3" max="3" width="11.42578125" bestFit="1" customWidth="1"/>
    <col min="4" max="4" width="16.140625" bestFit="1" customWidth="1"/>
    <col min="5" max="5" width="11.42578125" bestFit="1" customWidth="1"/>
    <col min="6" max="6" width="5.42578125" bestFit="1" customWidth="1"/>
  </cols>
  <sheetData>
    <row r="1" spans="1:8" ht="18.75" x14ac:dyDescent="0.3">
      <c r="A1" s="1" t="s">
        <v>59</v>
      </c>
    </row>
    <row r="2" spans="1:8" ht="18.75" x14ac:dyDescent="0.3">
      <c r="A2" s="2"/>
    </row>
    <row r="3" spans="1:8" x14ac:dyDescent="0.25">
      <c r="A3" s="3" t="s">
        <v>37</v>
      </c>
      <c r="B3" s="3"/>
      <c r="C3" s="4">
        <v>20.100000000000001</v>
      </c>
      <c r="D3" s="5" t="s">
        <v>1</v>
      </c>
      <c r="E3" s="6">
        <v>20</v>
      </c>
      <c r="F3" s="5" t="s">
        <v>1</v>
      </c>
      <c r="G3" s="3"/>
      <c r="H3" s="3"/>
    </row>
    <row r="4" spans="1:8" x14ac:dyDescent="0.25">
      <c r="A4" s="7" t="s">
        <v>2</v>
      </c>
      <c r="B4" s="7"/>
      <c r="C4" s="8">
        <v>0</v>
      </c>
      <c r="D4" s="9"/>
      <c r="E4" s="10">
        <v>0</v>
      </c>
      <c r="F4" s="9"/>
    </row>
    <row r="5" spans="1:8" x14ac:dyDescent="0.25">
      <c r="A5" s="11" t="s">
        <v>3</v>
      </c>
      <c r="B5" s="11"/>
      <c r="C5" s="12">
        <f>C6+C7+C8</f>
        <v>1240159</v>
      </c>
      <c r="D5" s="13">
        <f>C5/$C$16</f>
        <v>3.9005788157159334E-2</v>
      </c>
      <c r="E5" s="14">
        <f>E6+E7+E8</f>
        <v>1695857</v>
      </c>
      <c r="F5" s="13">
        <f>E5/$E$16</f>
        <v>5.8023114443889481E-2</v>
      </c>
      <c r="G5" s="11"/>
      <c r="H5" s="11"/>
    </row>
    <row r="6" spans="1:8" x14ac:dyDescent="0.25">
      <c r="A6" t="s">
        <v>4</v>
      </c>
      <c r="C6" s="8">
        <v>222713</v>
      </c>
      <c r="D6" s="13">
        <f t="shared" ref="D6:D16" si="0">C6/$C$16</f>
        <v>7.0048244602872907E-3</v>
      </c>
      <c r="E6" s="10">
        <v>402334</v>
      </c>
      <c r="F6" s="13">
        <f t="shared" ref="F6:F15" si="1">E6/$E$16</f>
        <v>1.3765707678576574E-2</v>
      </c>
    </row>
    <row r="7" spans="1:8" x14ac:dyDescent="0.25">
      <c r="A7" t="s">
        <v>5</v>
      </c>
      <c r="C7" s="8">
        <v>620396</v>
      </c>
      <c r="D7" s="13">
        <f t="shared" si="0"/>
        <v>1.9512848715002692E-2</v>
      </c>
      <c r="E7" s="10">
        <v>839221</v>
      </c>
      <c r="F7" s="13">
        <f t="shared" si="1"/>
        <v>2.8713633358659001E-2</v>
      </c>
    </row>
    <row r="8" spans="1:8" x14ac:dyDescent="0.25">
      <c r="A8" t="s">
        <v>6</v>
      </c>
      <c r="C8" s="8">
        <v>397050</v>
      </c>
      <c r="D8" s="13">
        <f t="shared" si="0"/>
        <v>1.2488114981869351E-2</v>
      </c>
      <c r="E8" s="10">
        <v>454302</v>
      </c>
      <c r="F8" s="13">
        <f t="shared" si="1"/>
        <v>1.5543773406653911E-2</v>
      </c>
    </row>
    <row r="9" spans="1:8" x14ac:dyDescent="0.25">
      <c r="A9" s="11" t="s">
        <v>7</v>
      </c>
      <c r="B9" s="11"/>
      <c r="C9" s="12">
        <f>C10+C11+C13+C12+C14+C15</f>
        <v>30554071</v>
      </c>
      <c r="D9" s="13">
        <f t="shared" si="0"/>
        <v>0.96099421184284062</v>
      </c>
      <c r="E9" s="14">
        <f>E10+E11+E12+E13+E14+E15</f>
        <v>27531409</v>
      </c>
      <c r="F9" s="13">
        <f t="shared" si="1"/>
        <v>0.94197688555611048</v>
      </c>
      <c r="G9" s="11"/>
      <c r="H9" s="11"/>
    </row>
    <row r="10" spans="1:8" x14ac:dyDescent="0.25">
      <c r="A10" t="s">
        <v>8</v>
      </c>
      <c r="C10" s="8">
        <v>0</v>
      </c>
      <c r="D10" s="13">
        <f t="shared" si="0"/>
        <v>0</v>
      </c>
      <c r="E10" s="10">
        <v>0</v>
      </c>
      <c r="F10" s="13">
        <f t="shared" si="1"/>
        <v>0</v>
      </c>
    </row>
    <row r="11" spans="1:8" x14ac:dyDescent="0.25">
      <c r="A11" t="s">
        <v>9</v>
      </c>
      <c r="C11" s="8">
        <v>14644708</v>
      </c>
      <c r="D11" s="13">
        <f t="shared" si="0"/>
        <v>0.4606089847120059</v>
      </c>
      <c r="E11" s="10">
        <v>13374334</v>
      </c>
      <c r="F11" s="13">
        <f t="shared" si="1"/>
        <v>0.45759784716093527</v>
      </c>
    </row>
    <row r="12" spans="1:8" x14ac:dyDescent="0.25">
      <c r="A12" t="s">
        <v>10</v>
      </c>
      <c r="C12" s="8">
        <v>14883284</v>
      </c>
      <c r="D12" s="13">
        <f t="shared" si="0"/>
        <v>0.46811273617886012</v>
      </c>
      <c r="E12" s="10">
        <v>12419380</v>
      </c>
      <c r="F12" s="13">
        <f t="shared" si="1"/>
        <v>0.42492445239318655</v>
      </c>
    </row>
    <row r="13" spans="1:8" x14ac:dyDescent="0.25">
      <c r="A13" t="s">
        <v>11</v>
      </c>
      <c r="C13" s="16">
        <v>0</v>
      </c>
      <c r="D13" s="13">
        <f t="shared" si="0"/>
        <v>0</v>
      </c>
      <c r="E13" s="10">
        <v>0</v>
      </c>
      <c r="F13" s="13">
        <f t="shared" si="1"/>
        <v>0</v>
      </c>
    </row>
    <row r="14" spans="1:8" x14ac:dyDescent="0.25">
      <c r="A14" t="s">
        <v>12</v>
      </c>
      <c r="C14" s="8">
        <v>674342</v>
      </c>
      <c r="D14" s="13">
        <f t="shared" si="0"/>
        <v>2.1209571673854028E-2</v>
      </c>
      <c r="E14" s="10">
        <v>1494535</v>
      </c>
      <c r="F14" s="13">
        <f t="shared" si="1"/>
        <v>5.1134957337439634E-2</v>
      </c>
    </row>
    <row r="15" spans="1:8" x14ac:dyDescent="0.25">
      <c r="A15" t="s">
        <v>13</v>
      </c>
      <c r="C15" s="8">
        <v>351737</v>
      </c>
      <c r="D15" s="13">
        <f t="shared" si="0"/>
        <v>1.106291927812059E-2</v>
      </c>
      <c r="E15" s="10">
        <v>243160</v>
      </c>
      <c r="F15" s="13">
        <f t="shared" si="1"/>
        <v>8.3196286645490555E-3</v>
      </c>
    </row>
    <row r="16" spans="1:8" x14ac:dyDescent="0.25">
      <c r="A16" s="17" t="s">
        <v>14</v>
      </c>
      <c r="B16" s="17"/>
      <c r="C16" s="18">
        <f>C9+C5</f>
        <v>31794230</v>
      </c>
      <c r="D16" s="13">
        <f t="shared" si="0"/>
        <v>1</v>
      </c>
      <c r="E16" s="20">
        <f>E9+E5</f>
        <v>29227266</v>
      </c>
      <c r="F16" s="13">
        <f>E16/$E$16</f>
        <v>1</v>
      </c>
      <c r="G16" s="17"/>
      <c r="H16" s="17"/>
    </row>
    <row r="17" spans="1:8" x14ac:dyDescent="0.25">
      <c r="C17" s="8"/>
      <c r="D17" s="10"/>
      <c r="E17" s="10"/>
      <c r="F17" s="9"/>
    </row>
    <row r="18" spans="1:8" x14ac:dyDescent="0.25">
      <c r="C18" s="8"/>
      <c r="D18" s="10"/>
      <c r="E18" s="10"/>
      <c r="F18" s="9"/>
    </row>
    <row r="19" spans="1:8" x14ac:dyDescent="0.25">
      <c r="A19" s="17" t="s">
        <v>37</v>
      </c>
      <c r="B19" s="17"/>
      <c r="C19" s="18">
        <v>20.100000000000001</v>
      </c>
      <c r="D19" s="18" t="s">
        <v>1</v>
      </c>
      <c r="E19" s="21">
        <v>20</v>
      </c>
      <c r="F19" s="19" t="s">
        <v>1</v>
      </c>
      <c r="G19" s="17"/>
      <c r="H19" s="17"/>
    </row>
    <row r="20" spans="1:8" x14ac:dyDescent="0.25">
      <c r="A20" s="11" t="s">
        <v>15</v>
      </c>
      <c r="B20" s="11"/>
      <c r="C20" s="12">
        <f>C21+C22+C23+C24+C25+C26</f>
        <v>26987659</v>
      </c>
      <c r="D20" s="29">
        <f>C20/$C$34</f>
        <v>0.84882253792590667</v>
      </c>
      <c r="E20" s="14">
        <f>E21+E22+E23+E24+E25+E26</f>
        <v>24573176</v>
      </c>
      <c r="F20" s="13">
        <f>E20/$E$34</f>
        <v>0.84076204732936699</v>
      </c>
      <c r="G20" s="11"/>
      <c r="H20" s="11"/>
    </row>
    <row r="21" spans="1:8" x14ac:dyDescent="0.25">
      <c r="A21" s="7" t="s">
        <v>38</v>
      </c>
      <c r="C21" s="8">
        <v>0</v>
      </c>
      <c r="D21" s="29">
        <f t="shared" ref="D21:D34" si="2">C21/$C$34</f>
        <v>0</v>
      </c>
      <c r="E21" s="10">
        <v>2436341</v>
      </c>
      <c r="F21" s="13">
        <f t="shared" ref="F21:F34" si="3">E21/$E$34</f>
        <v>8.3358498191380609E-2</v>
      </c>
    </row>
    <row r="22" spans="1:8" x14ac:dyDescent="0.25">
      <c r="A22" t="s">
        <v>16</v>
      </c>
      <c r="C22" s="8">
        <v>2679976</v>
      </c>
      <c r="D22" s="29">
        <f t="shared" si="2"/>
        <v>8.4291269201990426E-2</v>
      </c>
      <c r="E22" s="10">
        <v>0</v>
      </c>
      <c r="F22" s="13">
        <f t="shared" si="3"/>
        <v>0</v>
      </c>
    </row>
    <row r="23" spans="1:8" x14ac:dyDescent="0.25">
      <c r="A23" t="s">
        <v>17</v>
      </c>
      <c r="C23" s="8">
        <v>0</v>
      </c>
      <c r="D23" s="29">
        <f t="shared" si="2"/>
        <v>0</v>
      </c>
      <c r="E23" s="10">
        <v>0</v>
      </c>
      <c r="F23" s="13">
        <f t="shared" si="3"/>
        <v>0</v>
      </c>
    </row>
    <row r="24" spans="1:8" x14ac:dyDescent="0.25">
      <c r="A24" t="s">
        <v>18</v>
      </c>
      <c r="C24" s="8">
        <v>2237087</v>
      </c>
      <c r="D24" s="29">
        <f t="shared" si="2"/>
        <v>7.0361414634038943E-2</v>
      </c>
      <c r="E24" s="10">
        <v>2480722</v>
      </c>
      <c r="F24" s="13">
        <f t="shared" si="3"/>
        <v>8.4876977545556259E-2</v>
      </c>
    </row>
    <row r="25" spans="1:8" x14ac:dyDescent="0.25">
      <c r="A25" t="s">
        <v>19</v>
      </c>
      <c r="C25" s="8">
        <v>22070596</v>
      </c>
      <c r="D25" s="29">
        <f t="shared" si="2"/>
        <v>0.6941698540898773</v>
      </c>
      <c r="E25" s="10">
        <v>19656113</v>
      </c>
      <c r="F25" s="13">
        <f t="shared" si="3"/>
        <v>0.67252657159243012</v>
      </c>
    </row>
    <row r="26" spans="1:8" x14ac:dyDescent="0.25">
      <c r="A26" t="s">
        <v>20</v>
      </c>
      <c r="C26" s="8">
        <v>0</v>
      </c>
      <c r="D26" s="29">
        <f t="shared" si="2"/>
        <v>0</v>
      </c>
      <c r="E26" s="10">
        <v>0</v>
      </c>
      <c r="F26" s="13">
        <f t="shared" si="3"/>
        <v>0</v>
      </c>
    </row>
    <row r="27" spans="1:8" x14ac:dyDescent="0.25">
      <c r="A27" s="22" t="s">
        <v>21</v>
      </c>
      <c r="B27" s="22"/>
      <c r="C27" s="23">
        <f>C28+C29</f>
        <v>0</v>
      </c>
      <c r="D27" s="29">
        <f t="shared" si="2"/>
        <v>0</v>
      </c>
      <c r="E27" s="25">
        <f>E28+E29</f>
        <v>328752</v>
      </c>
      <c r="F27" s="13">
        <f t="shared" si="3"/>
        <v>1.124812700578973E-2</v>
      </c>
      <c r="G27" s="22"/>
      <c r="H27" s="22"/>
    </row>
    <row r="28" spans="1:8" x14ac:dyDescent="0.25">
      <c r="A28" t="s">
        <v>22</v>
      </c>
      <c r="C28" s="8">
        <v>0</v>
      </c>
      <c r="D28" s="29">
        <f t="shared" si="2"/>
        <v>0</v>
      </c>
      <c r="E28" s="10">
        <v>328752</v>
      </c>
      <c r="F28" s="13">
        <f t="shared" si="3"/>
        <v>1.124812700578973E-2</v>
      </c>
    </row>
    <row r="29" spans="1:8" x14ac:dyDescent="0.25">
      <c r="A29" t="s">
        <v>23</v>
      </c>
      <c r="C29" s="8">
        <v>0</v>
      </c>
      <c r="D29" s="29">
        <f t="shared" si="2"/>
        <v>0</v>
      </c>
      <c r="E29" s="10">
        <v>0</v>
      </c>
      <c r="F29" s="13">
        <f t="shared" si="3"/>
        <v>0</v>
      </c>
    </row>
    <row r="30" spans="1:8" x14ac:dyDescent="0.25">
      <c r="A30" s="22" t="s">
        <v>24</v>
      </c>
      <c r="B30" s="22"/>
      <c r="C30" s="23">
        <f>C31+C32+C33</f>
        <v>4806571</v>
      </c>
      <c r="D30" s="29">
        <f t="shared" si="2"/>
        <v>0.15117746207409333</v>
      </c>
      <c r="E30" s="25">
        <f>E31+E32+E33</f>
        <v>4325338</v>
      </c>
      <c r="F30" s="13">
        <f t="shared" si="3"/>
        <v>0.14798982566484323</v>
      </c>
      <c r="G30" s="22"/>
      <c r="H30" s="22"/>
    </row>
    <row r="31" spans="1:8" x14ac:dyDescent="0.25">
      <c r="A31" t="s">
        <v>25</v>
      </c>
      <c r="C31" s="8">
        <v>0</v>
      </c>
      <c r="D31" s="29">
        <f t="shared" si="2"/>
        <v>0</v>
      </c>
      <c r="E31" s="10">
        <v>0</v>
      </c>
      <c r="F31" s="13">
        <f t="shared" si="3"/>
        <v>0</v>
      </c>
    </row>
    <row r="32" spans="1:8" x14ac:dyDescent="0.25">
      <c r="A32" t="s">
        <v>26</v>
      </c>
      <c r="C32" s="8">
        <v>4730851</v>
      </c>
      <c r="D32" s="29">
        <f t="shared" si="2"/>
        <v>0.14879589787203526</v>
      </c>
      <c r="E32" s="10">
        <v>4249618</v>
      </c>
      <c r="F32" s="13">
        <f t="shared" si="3"/>
        <v>0.14539909411985369</v>
      </c>
    </row>
    <row r="33" spans="1:8" x14ac:dyDescent="0.25">
      <c r="A33" t="s">
        <v>27</v>
      </c>
      <c r="C33" s="8">
        <v>75720</v>
      </c>
      <c r="D33" s="29">
        <f t="shared" si="2"/>
        <v>2.3815642020580466E-3</v>
      </c>
      <c r="E33" s="10">
        <v>75720</v>
      </c>
      <c r="F33" s="13">
        <f t="shared" si="3"/>
        <v>2.5907315449895316E-3</v>
      </c>
    </row>
    <row r="34" spans="1:8" x14ac:dyDescent="0.25">
      <c r="A34" s="17" t="s">
        <v>28</v>
      </c>
      <c r="B34" s="17"/>
      <c r="C34" s="18">
        <f>C30+C27+C20</f>
        <v>31794230</v>
      </c>
      <c r="D34" s="29">
        <f t="shared" si="2"/>
        <v>1</v>
      </c>
      <c r="E34" s="20">
        <f>E30+E27+E20</f>
        <v>29227266</v>
      </c>
      <c r="F34" s="13">
        <f t="shared" si="3"/>
        <v>1</v>
      </c>
      <c r="G34" s="17"/>
      <c r="H34" s="17"/>
    </row>
    <row r="35" spans="1:8" x14ac:dyDescent="0.25">
      <c r="C35" s="8"/>
      <c r="D35" s="15"/>
      <c r="E35" s="10"/>
      <c r="F35" s="9"/>
    </row>
    <row r="36" spans="1:8" x14ac:dyDescent="0.25">
      <c r="A36" s="17" t="s">
        <v>37</v>
      </c>
      <c r="B36" s="17"/>
      <c r="C36" s="28">
        <v>20.100000000000001</v>
      </c>
      <c r="D36" s="18" t="s">
        <v>1</v>
      </c>
      <c r="E36" s="21">
        <v>20</v>
      </c>
      <c r="F36" s="19" t="s">
        <v>1</v>
      </c>
      <c r="G36" s="17"/>
      <c r="H36" s="17"/>
    </row>
    <row r="37" spans="1:8" x14ac:dyDescent="0.25">
      <c r="A37" t="s">
        <v>29</v>
      </c>
      <c r="C37" s="8">
        <v>41500279</v>
      </c>
      <c r="D37" s="13">
        <v>1</v>
      </c>
      <c r="E37" s="10">
        <v>45185547</v>
      </c>
      <c r="F37" s="13">
        <v>1</v>
      </c>
    </row>
    <row r="38" spans="1:8" x14ac:dyDescent="0.25">
      <c r="A38" t="s">
        <v>30</v>
      </c>
      <c r="C38" s="8">
        <v>37805009</v>
      </c>
      <c r="D38" s="13">
        <f>C38/$C$37</f>
        <v>0.91095794801765073</v>
      </c>
      <c r="E38" s="10">
        <v>41167188</v>
      </c>
      <c r="F38" s="13">
        <f>E38/$E$37</f>
        <v>0.91106981619587346</v>
      </c>
    </row>
    <row r="39" spans="1:8" x14ac:dyDescent="0.25">
      <c r="A39" s="11" t="s">
        <v>31</v>
      </c>
      <c r="B39" s="11"/>
      <c r="C39" s="12">
        <f>C37-C38</f>
        <v>3695270</v>
      </c>
      <c r="D39" s="13">
        <f t="shared" ref="D39:D44" si="4">C39/$C$37</f>
        <v>8.9042051982349324E-2</v>
      </c>
      <c r="E39" s="14">
        <f>E37-E38</f>
        <v>4018359</v>
      </c>
      <c r="F39" s="13">
        <f t="shared" ref="F39:F44" si="5">E39/$E$37</f>
        <v>8.8930183804126567E-2</v>
      </c>
      <c r="G39" s="11"/>
      <c r="H39" s="11"/>
    </row>
    <row r="40" spans="1:8" x14ac:dyDescent="0.25">
      <c r="A40" t="s">
        <v>32</v>
      </c>
      <c r="C40" s="8">
        <v>243334</v>
      </c>
      <c r="D40" s="13">
        <f t="shared" si="4"/>
        <v>5.8634304603108816E-3</v>
      </c>
      <c r="E40" s="10">
        <v>579120</v>
      </c>
      <c r="F40" s="13">
        <f t="shared" si="5"/>
        <v>1.2816487537486267E-2</v>
      </c>
    </row>
    <row r="41" spans="1:8" x14ac:dyDescent="0.25">
      <c r="A41" t="s">
        <v>33</v>
      </c>
      <c r="C41" s="8">
        <v>405498</v>
      </c>
      <c r="D41" s="13">
        <f t="shared" si="4"/>
        <v>9.7709704554034445E-3</v>
      </c>
      <c r="E41" s="10">
        <v>192110</v>
      </c>
      <c r="F41" s="13">
        <f t="shared" si="5"/>
        <v>4.2515807100885596E-3</v>
      </c>
    </row>
    <row r="42" spans="1:8" x14ac:dyDescent="0.25">
      <c r="A42" s="11" t="s">
        <v>34</v>
      </c>
      <c r="B42" s="11"/>
      <c r="C42" s="12">
        <f>C39-C41+C40</f>
        <v>3533106</v>
      </c>
      <c r="D42" s="13">
        <f t="shared" si="4"/>
        <v>8.5134511987256759E-2</v>
      </c>
      <c r="E42" s="14">
        <f>E39-E41+E40</f>
        <v>4405369</v>
      </c>
      <c r="F42" s="13">
        <f t="shared" si="5"/>
        <v>9.7495090631524284E-2</v>
      </c>
      <c r="G42" s="11"/>
      <c r="H42" s="11"/>
    </row>
    <row r="43" spans="1:8" x14ac:dyDescent="0.25">
      <c r="A43" t="s">
        <v>35</v>
      </c>
      <c r="C43" s="8">
        <v>1118623</v>
      </c>
      <c r="D43" s="13">
        <f t="shared" si="4"/>
        <v>2.6954589871552428E-2</v>
      </c>
      <c r="E43" s="10">
        <v>1288445</v>
      </c>
      <c r="F43" s="13">
        <f t="shared" si="5"/>
        <v>2.8514538066784938E-2</v>
      </c>
    </row>
    <row r="44" spans="1:8" x14ac:dyDescent="0.25">
      <c r="A44" s="17" t="s">
        <v>36</v>
      </c>
      <c r="B44" s="17"/>
      <c r="C44" s="18">
        <f>C42-C43</f>
        <v>2414483</v>
      </c>
      <c r="D44" s="13">
        <f t="shared" si="4"/>
        <v>5.817992211570433E-2</v>
      </c>
      <c r="E44" s="20">
        <f>E42-E43</f>
        <v>3116924</v>
      </c>
      <c r="F44" s="13">
        <f t="shared" si="5"/>
        <v>6.8980552564739339E-2</v>
      </c>
      <c r="G44" s="17"/>
      <c r="H44" s="17"/>
    </row>
    <row r="47" spans="1:8" x14ac:dyDescent="0.25">
      <c r="A47"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E99F8-14B6-422B-A88E-FF6958EDBA13}">
  <sheetPr>
    <pageSetUpPr fitToPage="1"/>
  </sheetPr>
  <dimension ref="A1:M62"/>
  <sheetViews>
    <sheetView tabSelected="1" topLeftCell="A10" zoomScaleNormal="100" workbookViewId="0">
      <selection activeCell="I29" sqref="I29"/>
    </sheetView>
  </sheetViews>
  <sheetFormatPr defaultRowHeight="15" x14ac:dyDescent="0.25"/>
  <cols>
    <col min="1" max="1" width="27.7109375" bestFit="1" customWidth="1"/>
    <col min="3" max="3" width="14.85546875" bestFit="1" customWidth="1"/>
    <col min="4" max="4" width="111.7109375" bestFit="1" customWidth="1"/>
  </cols>
  <sheetData>
    <row r="1" spans="1:13" x14ac:dyDescent="0.25">
      <c r="A1" t="s">
        <v>74</v>
      </c>
    </row>
    <row r="5" spans="1:13" x14ac:dyDescent="0.25">
      <c r="A5" t="s">
        <v>40</v>
      </c>
      <c r="C5" s="30" t="s">
        <v>41</v>
      </c>
      <c r="D5" s="30" t="s">
        <v>42</v>
      </c>
    </row>
    <row r="6" spans="1:13" x14ac:dyDescent="0.25">
      <c r="C6" s="30" t="s">
        <v>43</v>
      </c>
      <c r="D6" s="32" t="s">
        <v>60</v>
      </c>
    </row>
    <row r="7" spans="1:13" x14ac:dyDescent="0.25">
      <c r="D7" s="9">
        <f>(26987659/31794230)</f>
        <v>0.84882253792590667</v>
      </c>
      <c r="F7" t="s">
        <v>73</v>
      </c>
    </row>
    <row r="8" spans="1:13" x14ac:dyDescent="0.25">
      <c r="A8" s="30" t="s">
        <v>44</v>
      </c>
      <c r="C8" s="30" t="s">
        <v>41</v>
      </c>
      <c r="D8" s="30" t="s">
        <v>45</v>
      </c>
    </row>
    <row r="9" spans="1:13" x14ac:dyDescent="0.25">
      <c r="C9" s="30" t="s">
        <v>43</v>
      </c>
      <c r="D9" s="33" t="s">
        <v>61</v>
      </c>
    </row>
    <row r="10" spans="1:13" x14ac:dyDescent="0.25">
      <c r="D10" s="9">
        <f>(2414483/26987659)</f>
        <v>8.9466188971781505E-2</v>
      </c>
      <c r="F10" t="s">
        <v>76</v>
      </c>
      <c r="M10" t="s">
        <v>80</v>
      </c>
    </row>
    <row r="11" spans="1:13" x14ac:dyDescent="0.25">
      <c r="A11" s="31" t="s">
        <v>46</v>
      </c>
      <c r="C11" s="30" t="s">
        <v>41</v>
      </c>
      <c r="D11" s="30" t="s">
        <v>47</v>
      </c>
    </row>
    <row r="12" spans="1:13" x14ac:dyDescent="0.25">
      <c r="C12" s="30" t="s">
        <v>43</v>
      </c>
      <c r="D12" s="33" t="s">
        <v>62</v>
      </c>
    </row>
    <row r="13" spans="1:13" x14ac:dyDescent="0.25">
      <c r="D13" s="9">
        <f>(2414483+405498+1118623)/31794230</f>
        <v>0.12387794892343673</v>
      </c>
      <c r="F13" t="s">
        <v>78</v>
      </c>
    </row>
    <row r="14" spans="1:13" x14ac:dyDescent="0.25">
      <c r="A14" t="s">
        <v>48</v>
      </c>
      <c r="C14" s="30" t="s">
        <v>41</v>
      </c>
      <c r="D14" t="s">
        <v>49</v>
      </c>
    </row>
    <row r="15" spans="1:13" x14ac:dyDescent="0.25">
      <c r="C15" s="30" t="s">
        <v>43</v>
      </c>
      <c r="D15" s="33" t="s">
        <v>63</v>
      </c>
    </row>
    <row r="16" spans="1:13" x14ac:dyDescent="0.25">
      <c r="D16">
        <f xml:space="preserve"> 2414483 + 550994+439</f>
        <v>2965916</v>
      </c>
      <c r="F16" t="s">
        <v>77</v>
      </c>
    </row>
    <row r="17" spans="1:6" x14ac:dyDescent="0.25">
      <c r="A17" t="s">
        <v>50</v>
      </c>
      <c r="C17" s="30" t="s">
        <v>51</v>
      </c>
      <c r="D17" t="s">
        <v>65</v>
      </c>
    </row>
    <row r="18" spans="1:6" x14ac:dyDescent="0.25">
      <c r="C18" s="30" t="s">
        <v>52</v>
      </c>
      <c r="D18" s="33" t="s">
        <v>64</v>
      </c>
    </row>
    <row r="19" spans="1:6" x14ac:dyDescent="0.25">
      <c r="D19">
        <f>41500279-37805009</f>
        <v>3695270</v>
      </c>
    </row>
    <row r="20" spans="1:6" x14ac:dyDescent="0.25">
      <c r="A20" t="s">
        <v>53</v>
      </c>
      <c r="C20" s="30" t="s">
        <v>54</v>
      </c>
      <c r="D20" t="s">
        <v>55</v>
      </c>
    </row>
    <row r="21" spans="1:6" x14ac:dyDescent="0.25">
      <c r="C21" s="30" t="s">
        <v>52</v>
      </c>
      <c r="D21" s="33" t="s">
        <v>66</v>
      </c>
    </row>
    <row r="22" spans="1:6" x14ac:dyDescent="0.25">
      <c r="D22">
        <f>3695270+550994</f>
        <v>4246264</v>
      </c>
      <c r="F22" t="s">
        <v>75</v>
      </c>
    </row>
    <row r="23" spans="1:6" x14ac:dyDescent="0.25">
      <c r="A23" t="s">
        <v>56</v>
      </c>
      <c r="C23" s="30" t="s">
        <v>51</v>
      </c>
      <c r="D23" t="s">
        <v>67</v>
      </c>
    </row>
    <row r="24" spans="1:6" x14ac:dyDescent="0.25">
      <c r="C24" s="30" t="s">
        <v>52</v>
      </c>
      <c r="D24" s="33" t="s">
        <v>68</v>
      </c>
    </row>
    <row r="25" spans="1:6" x14ac:dyDescent="0.25">
      <c r="D25">
        <f>30554071-4730851-75720</f>
        <v>25747500</v>
      </c>
    </row>
    <row r="26" spans="1:6" x14ac:dyDescent="0.25">
      <c r="A26" t="s">
        <v>57</v>
      </c>
      <c r="C26" s="30" t="s">
        <v>54</v>
      </c>
      <c r="D26" t="s">
        <v>70</v>
      </c>
    </row>
    <row r="27" spans="1:6" x14ac:dyDescent="0.25">
      <c r="C27" t="s">
        <v>52</v>
      </c>
      <c r="D27" s="33" t="s">
        <v>69</v>
      </c>
    </row>
    <row r="28" spans="1:6" x14ac:dyDescent="0.25">
      <c r="D28">
        <f>(30554071-351737)/(4730851+75720)</f>
        <v>6.2835509971661709</v>
      </c>
    </row>
    <row r="29" spans="1:6" x14ac:dyDescent="0.25">
      <c r="A29" t="s">
        <v>58</v>
      </c>
      <c r="C29" t="s">
        <v>54</v>
      </c>
      <c r="D29" t="s">
        <v>72</v>
      </c>
    </row>
    <row r="30" spans="1:6" x14ac:dyDescent="0.25">
      <c r="C30" t="s">
        <v>52</v>
      </c>
      <c r="D30" s="33" t="s">
        <v>71</v>
      </c>
    </row>
    <row r="31" spans="1:6" x14ac:dyDescent="0.25">
      <c r="D31">
        <f>(30554071-14644708-351737)/(4730851+75720)</f>
        <v>3.2367411196048077</v>
      </c>
    </row>
    <row r="36" spans="1:6" x14ac:dyDescent="0.25">
      <c r="A36" t="s">
        <v>81</v>
      </c>
      <c r="C36" s="30" t="s">
        <v>41</v>
      </c>
      <c r="D36" s="30" t="s">
        <v>42</v>
      </c>
    </row>
    <row r="37" spans="1:6" x14ac:dyDescent="0.25">
      <c r="C37" s="30" t="s">
        <v>43</v>
      </c>
      <c r="D37" s="32" t="s">
        <v>82</v>
      </c>
    </row>
    <row r="38" spans="1:6" x14ac:dyDescent="0.25">
      <c r="D38" s="9">
        <f>(24573176/29227266)</f>
        <v>0.84076204732936699</v>
      </c>
      <c r="F38" t="s">
        <v>73</v>
      </c>
    </row>
    <row r="39" spans="1:6" x14ac:dyDescent="0.25">
      <c r="A39" s="30" t="s">
        <v>44</v>
      </c>
      <c r="C39" s="30" t="s">
        <v>41</v>
      </c>
      <c r="D39" s="30" t="s">
        <v>45</v>
      </c>
    </row>
    <row r="40" spans="1:6" x14ac:dyDescent="0.25">
      <c r="C40" s="30" t="s">
        <v>43</v>
      </c>
      <c r="D40" s="33" t="s">
        <v>83</v>
      </c>
    </row>
    <row r="41" spans="1:6" x14ac:dyDescent="0.25">
      <c r="D41" s="9">
        <f>(3154572/24573176)</f>
        <v>0.12837461466112479</v>
      </c>
      <c r="F41" t="s">
        <v>76</v>
      </c>
    </row>
    <row r="42" spans="1:6" x14ac:dyDescent="0.25">
      <c r="A42" s="31" t="s">
        <v>46</v>
      </c>
      <c r="C42" s="30" t="s">
        <v>41</v>
      </c>
      <c r="D42" s="30" t="s">
        <v>47</v>
      </c>
    </row>
    <row r="43" spans="1:6" x14ac:dyDescent="0.25">
      <c r="C43" s="30" t="s">
        <v>43</v>
      </c>
      <c r="D43" s="33" t="s">
        <v>84</v>
      </c>
    </row>
    <row r="44" spans="1:6" x14ac:dyDescent="0.25">
      <c r="D44" s="9">
        <f>(3154572+192110+1250797)/29227266</f>
        <v>0.15730102843009675</v>
      </c>
      <c r="F44" t="s">
        <v>78</v>
      </c>
    </row>
    <row r="45" spans="1:6" x14ac:dyDescent="0.25">
      <c r="A45" t="s">
        <v>48</v>
      </c>
      <c r="C45" s="30" t="s">
        <v>41</v>
      </c>
      <c r="D45" t="s">
        <v>49</v>
      </c>
    </row>
    <row r="46" spans="1:6" x14ac:dyDescent="0.25">
      <c r="C46" s="30" t="s">
        <v>43</v>
      </c>
      <c r="D46" s="33" t="s">
        <v>85</v>
      </c>
    </row>
    <row r="47" spans="1:6" x14ac:dyDescent="0.25">
      <c r="D47">
        <f xml:space="preserve"> 3154572+ 553567+71588</f>
        <v>3779727</v>
      </c>
      <c r="F47" t="s">
        <v>77</v>
      </c>
    </row>
    <row r="48" spans="1:6" x14ac:dyDescent="0.25">
      <c r="A48" t="s">
        <v>50</v>
      </c>
      <c r="C48" s="30" t="s">
        <v>51</v>
      </c>
      <c r="D48" t="s">
        <v>65</v>
      </c>
    </row>
    <row r="49" spans="1:6" x14ac:dyDescent="0.25">
      <c r="C49" s="30" t="s">
        <v>52</v>
      </c>
      <c r="D49" s="33" t="s">
        <v>86</v>
      </c>
    </row>
    <row r="50" spans="1:6" x14ac:dyDescent="0.25">
      <c r="D50">
        <f>45185547-41167188</f>
        <v>4018359</v>
      </c>
    </row>
    <row r="51" spans="1:6" x14ac:dyDescent="0.25">
      <c r="A51" t="s">
        <v>53</v>
      </c>
      <c r="C51" s="30" t="s">
        <v>54</v>
      </c>
      <c r="D51" t="s">
        <v>55</v>
      </c>
    </row>
    <row r="52" spans="1:6" x14ac:dyDescent="0.25">
      <c r="C52" s="30" t="s">
        <v>52</v>
      </c>
      <c r="D52" s="33" t="s">
        <v>66</v>
      </c>
    </row>
    <row r="53" spans="1:6" x14ac:dyDescent="0.25">
      <c r="D53">
        <f>3695270+550994</f>
        <v>4246264</v>
      </c>
      <c r="F53" t="s">
        <v>75</v>
      </c>
    </row>
    <row r="54" spans="1:6" x14ac:dyDescent="0.25">
      <c r="A54" t="s">
        <v>56</v>
      </c>
      <c r="C54" s="30" t="s">
        <v>51</v>
      </c>
      <c r="D54" t="s">
        <v>67</v>
      </c>
    </row>
    <row r="55" spans="1:6" x14ac:dyDescent="0.25">
      <c r="C55" s="30" t="s">
        <v>52</v>
      </c>
      <c r="D55" s="33" t="s">
        <v>87</v>
      </c>
    </row>
    <row r="56" spans="1:6" x14ac:dyDescent="0.25">
      <c r="D56">
        <f>27531409-4249618-75720</f>
        <v>23206071</v>
      </c>
    </row>
    <row r="57" spans="1:6" x14ac:dyDescent="0.25">
      <c r="A57" t="s">
        <v>57</v>
      </c>
      <c r="C57" s="30" t="s">
        <v>54</v>
      </c>
      <c r="D57" t="s">
        <v>70</v>
      </c>
    </row>
    <row r="58" spans="1:6" x14ac:dyDescent="0.25">
      <c r="C58" t="s">
        <v>52</v>
      </c>
      <c r="D58" s="33" t="s">
        <v>88</v>
      </c>
    </row>
    <row r="59" spans="1:6" x14ac:dyDescent="0.25">
      <c r="D59">
        <f>(27531409-243160)/(4249618+75720)</f>
        <v>6.3089286895035714</v>
      </c>
    </row>
    <row r="60" spans="1:6" x14ac:dyDescent="0.25">
      <c r="A60" t="s">
        <v>58</v>
      </c>
      <c r="C60" t="s">
        <v>54</v>
      </c>
      <c r="D60" t="s">
        <v>72</v>
      </c>
    </row>
    <row r="61" spans="1:6" x14ac:dyDescent="0.25">
      <c r="C61" t="s">
        <v>52</v>
      </c>
      <c r="D61" s="33" t="s">
        <v>89</v>
      </c>
    </row>
    <row r="62" spans="1:6" x14ac:dyDescent="0.25">
      <c r="D62">
        <f>(27531409-13374334-243160)/(4249618+75720)</f>
        <v>3.2168387765302966</v>
      </c>
    </row>
  </sheetData>
  <pageMargins left="0.7" right="0.7" top="0.75" bottom="0.75" header="0.3" footer="0.3"/>
  <pageSetup paperSize="9" scale="4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Sinelco International H</vt:lpstr>
      <vt:lpstr>Sinelco International V</vt:lpstr>
      <vt:lpstr>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Meersschaut</dc:creator>
  <cp:lastModifiedBy>Timo Meersschaut</cp:lastModifiedBy>
  <cp:lastPrinted>2022-06-10T18:55:37Z</cp:lastPrinted>
  <dcterms:created xsi:type="dcterms:W3CDTF">2021-10-25T11:38:06Z</dcterms:created>
  <dcterms:modified xsi:type="dcterms:W3CDTF">2022-06-23T18:46:47Z</dcterms:modified>
</cp:coreProperties>
</file>