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otheedangleterre/PycharmProjects/PythonPOO/src/test/"/>
    </mc:Choice>
  </mc:AlternateContent>
  <xr:revisionPtr revIDLastSave="0" documentId="13_ncr:1_{B81D1384-5E52-EA47-9FEC-E8963837AE58}" xr6:coauthVersionLast="47" xr6:coauthVersionMax="47" xr10:uidLastSave="{00000000-0000-0000-0000-000000000000}"/>
  <bookViews>
    <workbookView xWindow="0" yWindow="500" windowWidth="28800" windowHeight="16440" activeTab="2" xr2:uid="{8F3B9B2E-40D6-3A47-8C99-83A2D0E62FD5}"/>
  </bookViews>
  <sheets>
    <sheet name="NAV Fund" sheetId="1" r:id="rId1"/>
    <sheet name="Regressors and returns" sheetId="3" r:id="rId2"/>
    <sheet name="Fund stats calc on excel" sheetId="2" r:id="rId3"/>
  </sheets>
  <definedNames>
    <definedName name="_xlnm._FilterDatabase" localSheetId="0" hidden="1">'NAV Fund'!$B$6:$H$14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2" l="1"/>
  <c r="O4" i="3"/>
  <c r="O5" i="3"/>
  <c r="O6" i="3"/>
  <c r="O7" i="3"/>
  <c r="O8" i="3"/>
  <c r="O9" i="3"/>
  <c r="O3" i="3"/>
  <c r="B7" i="2"/>
  <c r="B12" i="2"/>
  <c r="B10" i="2"/>
  <c r="N4" i="3"/>
  <c r="N5" i="3"/>
  <c r="N6" i="3"/>
  <c r="N7" i="3"/>
  <c r="N8" i="3"/>
  <c r="N9" i="3"/>
  <c r="N3" i="3"/>
  <c r="B8" i="2"/>
  <c r="B11" i="2"/>
  <c r="M4" i="3"/>
  <c r="M5" i="3"/>
  <c r="M6" i="3"/>
  <c r="M7" i="3"/>
  <c r="M8" i="3"/>
  <c r="M9" i="3"/>
  <c r="M3" i="3"/>
  <c r="L4" i="3"/>
  <c r="L5" i="3"/>
  <c r="L6" i="3"/>
  <c r="L7" i="3"/>
  <c r="L8" i="3"/>
  <c r="L9" i="3"/>
  <c r="L3" i="3"/>
  <c r="B9" i="2"/>
  <c r="I3" i="3"/>
  <c r="J3" i="3" s="1"/>
  <c r="I4" i="3"/>
  <c r="I5" i="3"/>
  <c r="I6" i="3"/>
  <c r="J6" i="3" s="1"/>
  <c r="I7" i="3"/>
  <c r="J7" i="3" s="1"/>
  <c r="I8" i="3"/>
  <c r="J8" i="3" s="1"/>
  <c r="I2" i="3"/>
  <c r="H9" i="1"/>
  <c r="H10" i="1"/>
  <c r="H11" i="1"/>
  <c r="H12" i="1"/>
  <c r="H13" i="1"/>
  <c r="B4" i="2" s="1"/>
  <c r="H14" i="1"/>
  <c r="H8" i="1"/>
  <c r="J4" i="3"/>
  <c r="J5" i="3"/>
  <c r="J2" i="3"/>
  <c r="B3" i="2"/>
  <c r="B2" i="2" s="1"/>
  <c r="B5" i="2" l="1"/>
</calcChain>
</file>

<file path=xl/sharedStrings.xml><?xml version="1.0" encoding="utf-8"?>
<sst xmlns="http://schemas.openxmlformats.org/spreadsheetml/2006/main" count="77" uniqueCount="49">
  <si>
    <t>This is a fund NAV TimeSerie Test</t>
  </si>
  <si>
    <t>With several JunkRows</t>
  </si>
  <si>
    <t xml:space="preserve">To test out the loader </t>
  </si>
  <si>
    <t>And the statistics calculation</t>
  </si>
  <si>
    <t>iD</t>
  </si>
  <si>
    <t>Date</t>
  </si>
  <si>
    <t>NAV</t>
  </si>
  <si>
    <t>LU01848190</t>
  </si>
  <si>
    <t>Fund JP Test - Daily NAV</t>
  </si>
  <si>
    <t>Classe d'actif</t>
  </si>
  <si>
    <t>Action</t>
  </si>
  <si>
    <t>Devise</t>
  </si>
  <si>
    <t>USD</t>
  </si>
  <si>
    <t>Nom</t>
  </si>
  <si>
    <t>JP Morgan Test Fund</t>
  </si>
  <si>
    <t>Evolution quotidienne en %</t>
  </si>
  <si>
    <t>Perf annualisée</t>
  </si>
  <si>
    <t>Perf total</t>
  </si>
  <si>
    <t>Volatilité</t>
  </si>
  <si>
    <t>Sharpe</t>
  </si>
  <si>
    <t>Sortino</t>
  </si>
  <si>
    <t>Downside vol</t>
  </si>
  <si>
    <t>Excess return annualisé</t>
  </si>
  <si>
    <t>Excess return total</t>
  </si>
  <si>
    <t>Beta</t>
  </si>
  <si>
    <t>TE</t>
  </si>
  <si>
    <t>Alpha</t>
  </si>
  <si>
    <t>MKT</t>
  </si>
  <si>
    <t>01/31/2024</t>
  </si>
  <si>
    <t>02/01/2024</t>
  </si>
  <si>
    <t>02/02/2024</t>
  </si>
  <si>
    <t>02/05/2024</t>
  </si>
  <si>
    <t>02/06/2024</t>
  </si>
  <si>
    <t>02/07/2024</t>
  </si>
  <si>
    <t>02/08/2024</t>
  </si>
  <si>
    <t>02/09/2024</t>
  </si>
  <si>
    <t>SMB</t>
  </si>
  <si>
    <t>HML FF</t>
  </si>
  <si>
    <t>HML Devil</t>
  </si>
  <si>
    <t>UMD</t>
  </si>
  <si>
    <t>RF</t>
  </si>
  <si>
    <t>Excess returns</t>
  </si>
  <si>
    <t>Daily returns</t>
  </si>
  <si>
    <t>Bench</t>
  </si>
  <si>
    <t>Rdt Bench</t>
  </si>
  <si>
    <t>Rdt fonds - Rdt bench</t>
  </si>
  <si>
    <t>fund 1</t>
  </si>
  <si>
    <t>Rdt excédentaires bench</t>
  </si>
  <si>
    <t>Rdt fonds - Rf &lt;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</si>
</sst>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%"/>
    <numFmt numFmtId="166" formatCode="0.00000"/>
    <numFmt numFmtId="167" formatCode="0.0000"/>
    <numFmt numFmtId="168" formatCode="0.00000000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166" fontId="0" fillId="0" borderId="0" xfId="0" applyNumberFormat="1"/>
    <xf numFmtId="0" fontId="2" fillId="0" borderId="0" xfId="0" applyFont="1"/>
    <xf numFmtId="166" fontId="0" fillId="0" borderId="0" xfId="1" applyNumberFormat="1" applyFont="1"/>
    <xf numFmtId="167" fontId="0" fillId="0" borderId="0" xfId="0" applyNumberFormat="1"/>
    <xf numFmtId="165" fontId="0" fillId="0" borderId="0" xfId="1" applyNumberFormat="1" applyFont="1"/>
    <xf numFmtId="168" fontId="0" fillId="0" borderId="0" xfId="0" applyNumberForma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1993D-558B-4E4C-95EB-77A483574E03}">
  <dimension ref="A1:N14"/>
  <sheetViews>
    <sheetView workbookViewId="0">
      <selection activeCell="K12" sqref="K12"/>
    </sheetView>
  </sheetViews>
  <sheetFormatPr baseColWidth="10" defaultColWidth="11" defaultRowHeight="16" x14ac:dyDescent="0.2"/>
  <cols>
    <col min="1" max="1" width="28.83203125" bestFit="1" customWidth="1"/>
    <col min="2" max="2" width="24.83203125" bestFit="1" customWidth="1"/>
    <col min="5" max="5" width="6.83203125" bestFit="1" customWidth="1"/>
    <col min="6" max="6" width="13.6640625" bestFit="1" customWidth="1"/>
    <col min="7" max="7" width="8.33203125" bestFit="1" customWidth="1"/>
    <col min="8" max="8" width="25" bestFit="1" customWidth="1"/>
  </cols>
  <sheetData>
    <row r="1" spans="1:14" x14ac:dyDescent="0.2">
      <c r="A1" t="s">
        <v>0</v>
      </c>
    </row>
    <row r="2" spans="1:14" x14ac:dyDescent="0.2">
      <c r="A2" t="s">
        <v>1</v>
      </c>
    </row>
    <row r="3" spans="1:14" x14ac:dyDescent="0.2">
      <c r="A3" t="s">
        <v>2</v>
      </c>
    </row>
    <row r="4" spans="1:14" x14ac:dyDescent="0.2">
      <c r="B4" t="s">
        <v>3</v>
      </c>
    </row>
    <row r="5" spans="1:14" x14ac:dyDescent="0.2">
      <c r="A5" t="s">
        <v>8</v>
      </c>
    </row>
    <row r="6" spans="1:14" x14ac:dyDescent="0.2">
      <c r="B6" t="s">
        <v>13</v>
      </c>
      <c r="C6" t="s">
        <v>4</v>
      </c>
      <c r="D6" t="s">
        <v>5</v>
      </c>
      <c r="E6" t="s">
        <v>6</v>
      </c>
      <c r="F6" t="s">
        <v>9</v>
      </c>
      <c r="G6" t="s">
        <v>11</v>
      </c>
      <c r="H6" t="s">
        <v>15</v>
      </c>
    </row>
    <row r="7" spans="1:14" x14ac:dyDescent="0.2">
      <c r="B7" t="s">
        <v>14</v>
      </c>
      <c r="C7" t="s">
        <v>7</v>
      </c>
      <c r="D7" s="1">
        <v>45322</v>
      </c>
      <c r="E7">
        <v>100</v>
      </c>
      <c r="F7" t="s">
        <v>10</v>
      </c>
      <c r="G7" t="s">
        <v>12</v>
      </c>
      <c r="H7" s="6">
        <v>0</v>
      </c>
    </row>
    <row r="8" spans="1:14" x14ac:dyDescent="0.2">
      <c r="B8" t="s">
        <v>14</v>
      </c>
      <c r="C8" t="s">
        <v>7</v>
      </c>
      <c r="D8" s="1">
        <v>45323</v>
      </c>
      <c r="E8">
        <v>97.9</v>
      </c>
      <c r="F8" t="s">
        <v>10</v>
      </c>
      <c r="G8" t="s">
        <v>12</v>
      </c>
      <c r="H8" s="6">
        <f>E8/E7 - 1</f>
        <v>-2.0999999999999908E-2</v>
      </c>
      <c r="N8" s="2"/>
    </row>
    <row r="9" spans="1:14" x14ac:dyDescent="0.2">
      <c r="B9" t="s">
        <v>14</v>
      </c>
      <c r="C9" t="s">
        <v>7</v>
      </c>
      <c r="D9" s="1">
        <v>45324</v>
      </c>
      <c r="E9">
        <v>105.2</v>
      </c>
      <c r="F9" t="s">
        <v>10</v>
      </c>
      <c r="G9" t="s">
        <v>12</v>
      </c>
      <c r="H9" s="6">
        <f t="shared" ref="H9:H14" si="0">E9/E8 - 1</f>
        <v>7.4565883554647661E-2</v>
      </c>
      <c r="N9" s="2"/>
    </row>
    <row r="10" spans="1:14" x14ac:dyDescent="0.2">
      <c r="B10" t="s">
        <v>14</v>
      </c>
      <c r="C10" t="s">
        <v>7</v>
      </c>
      <c r="D10" s="1">
        <v>45327</v>
      </c>
      <c r="E10">
        <v>110.92</v>
      </c>
      <c r="F10" t="s">
        <v>10</v>
      </c>
      <c r="G10" t="s">
        <v>12</v>
      </c>
      <c r="H10" s="6">
        <f t="shared" si="0"/>
        <v>5.4372623574144407E-2</v>
      </c>
      <c r="N10" s="2"/>
    </row>
    <row r="11" spans="1:14" x14ac:dyDescent="0.2">
      <c r="B11" t="s">
        <v>14</v>
      </c>
      <c r="C11" t="s">
        <v>7</v>
      </c>
      <c r="D11" s="1">
        <v>45328</v>
      </c>
      <c r="E11">
        <v>101.9</v>
      </c>
      <c r="F11" t="s">
        <v>10</v>
      </c>
      <c r="G11" t="s">
        <v>12</v>
      </c>
      <c r="H11" s="6">
        <f t="shared" si="0"/>
        <v>-8.1319870176703946E-2</v>
      </c>
      <c r="N11" s="2"/>
    </row>
    <row r="12" spans="1:14" x14ac:dyDescent="0.2">
      <c r="B12" t="s">
        <v>14</v>
      </c>
      <c r="C12" t="s">
        <v>7</v>
      </c>
      <c r="D12" s="1">
        <v>45329</v>
      </c>
      <c r="E12">
        <v>103</v>
      </c>
      <c r="F12" t="s">
        <v>10</v>
      </c>
      <c r="G12" t="s">
        <v>12</v>
      </c>
      <c r="H12" s="6">
        <f t="shared" si="0"/>
        <v>1.0794896957801781E-2</v>
      </c>
      <c r="N12" s="2"/>
    </row>
    <row r="13" spans="1:14" x14ac:dyDescent="0.2">
      <c r="B13" t="s">
        <v>14</v>
      </c>
      <c r="C13" t="s">
        <v>7</v>
      </c>
      <c r="D13" s="1">
        <v>45330</v>
      </c>
      <c r="E13">
        <v>102.4</v>
      </c>
      <c r="F13" t="s">
        <v>10</v>
      </c>
      <c r="G13" t="s">
        <v>12</v>
      </c>
      <c r="H13" s="6">
        <f t="shared" si="0"/>
        <v>-5.8252427184465327E-3</v>
      </c>
      <c r="N13" s="2"/>
    </row>
    <row r="14" spans="1:14" x14ac:dyDescent="0.2">
      <c r="B14" t="s">
        <v>14</v>
      </c>
      <c r="C14" t="s">
        <v>7</v>
      </c>
      <c r="D14" s="1">
        <v>45331</v>
      </c>
      <c r="E14">
        <v>112.5</v>
      </c>
      <c r="F14" t="s">
        <v>10</v>
      </c>
      <c r="G14" t="s">
        <v>12</v>
      </c>
      <c r="H14" s="6">
        <f t="shared" si="0"/>
        <v>9.86328125E-2</v>
      </c>
      <c r="N14" s="2"/>
    </row>
  </sheetData>
  <autoFilter ref="B6:H14" xr:uid="{72D1993D-558B-4E4C-95EB-77A483574E03}">
    <sortState xmlns:xlrd2="http://schemas.microsoft.com/office/spreadsheetml/2017/richdata2" ref="B7:H14">
      <sortCondition ref="D6:D1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1DF17-1F1F-B74B-99EE-96D5174F474F}">
  <dimension ref="A1:O18"/>
  <sheetViews>
    <sheetView workbookViewId="0">
      <selection activeCell="I2" sqref="I2:I12"/>
    </sheetView>
  </sheetViews>
  <sheetFormatPr baseColWidth="10" defaultColWidth="11" defaultRowHeight="16" x14ac:dyDescent="0.2"/>
  <cols>
    <col min="10" max="10" width="12.83203125" bestFit="1" customWidth="1"/>
    <col min="13" max="13" width="18.33203125" bestFit="1" customWidth="1"/>
    <col min="14" max="15" width="21" bestFit="1" customWidth="1"/>
  </cols>
  <sheetData>
    <row r="1" spans="1:15" x14ac:dyDescent="0.2">
      <c r="B1" t="s">
        <v>27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I1" t="s">
        <v>42</v>
      </c>
      <c r="J1" t="s">
        <v>41</v>
      </c>
      <c r="K1" t="s">
        <v>43</v>
      </c>
      <c r="L1" t="s">
        <v>44</v>
      </c>
      <c r="M1" t="s">
        <v>45</v>
      </c>
      <c r="N1" t="s">
        <v>47</v>
      </c>
      <c r="O1" t="s">
        <v>48</v>
      </c>
    </row>
    <row r="2" spans="1:15" x14ac:dyDescent="0.2">
      <c r="A2" s="5" t="s">
        <v>28</v>
      </c>
      <c r="B2" s="3">
        <v>-8.9396147877138232E-3</v>
      </c>
      <c r="C2" s="3">
        <v>-3.7246607829941073E-3</v>
      </c>
      <c r="D2" s="3">
        <v>1.5312026337034282E-3</v>
      </c>
      <c r="E2" s="3">
        <v>1.8734826151135145E-3</v>
      </c>
      <c r="F2" s="3">
        <v>-9.3648288729339098E-4</v>
      </c>
      <c r="G2" s="6">
        <v>2.0799999999999999E-4</v>
      </c>
      <c r="I2" s="2">
        <f>'NAV Fund'!H8</f>
        <v>-2.0999999999999908E-2</v>
      </c>
      <c r="J2" s="6">
        <f>I2-G2</f>
        <v>-2.1207999999999907E-2</v>
      </c>
      <c r="K2" s="7">
        <v>4845.6499999999996</v>
      </c>
      <c r="O2" s="6"/>
    </row>
    <row r="3" spans="1:15" x14ac:dyDescent="0.2">
      <c r="A3" s="5" t="s">
        <v>29</v>
      </c>
      <c r="B3" s="3">
        <v>6.7407023090668801E-3</v>
      </c>
      <c r="C3" s="3">
        <v>1.8154856986728227E-3</v>
      </c>
      <c r="D3" s="3">
        <v>-5.6636669860884517E-3</v>
      </c>
      <c r="E3" s="3">
        <v>-7.2767145224112489E-3</v>
      </c>
      <c r="F3" s="3">
        <v>3.4412515054342311E-3</v>
      </c>
      <c r="G3" s="6">
        <v>2.0879999999999998E-4</v>
      </c>
      <c r="I3" s="2">
        <f>'NAV Fund'!H9</f>
        <v>7.4565883554647661E-2</v>
      </c>
      <c r="J3" s="6">
        <f t="shared" ref="J3:J8" si="0">I3-G3</f>
        <v>7.4357083554647666E-2</v>
      </c>
      <c r="K3" s="7">
        <v>4906.1899999999996</v>
      </c>
      <c r="L3" s="8">
        <f>K3/K2-1</f>
        <v>1.2493679898465615E-2</v>
      </c>
      <c r="M3" s="4">
        <f>I2-L3</f>
        <v>-3.3493679898465523E-2</v>
      </c>
      <c r="N3" s="6">
        <f>L3-G3</f>
        <v>1.2284879898465615E-2</v>
      </c>
      <c r="O3" s="6">
        <f>IF(J2&lt;0,J2,"")</f>
        <v>-2.1207999999999907E-2</v>
      </c>
    </row>
    <row r="4" spans="1:15" x14ac:dyDescent="0.2">
      <c r="A4" s="5" t="s">
        <v>30</v>
      </c>
      <c r="B4" s="3">
        <v>2.998701479976528E-3</v>
      </c>
      <c r="C4" s="3">
        <v>-7.2837217323314177E-3</v>
      </c>
      <c r="D4" s="3">
        <v>-6.4599891512796643E-3</v>
      </c>
      <c r="E4" s="3">
        <v>-9.8818307530593626E-3</v>
      </c>
      <c r="F4" s="3">
        <v>1.2284796844337758E-2</v>
      </c>
      <c r="G4" s="6">
        <v>2.0879999999999998E-4</v>
      </c>
      <c r="I4" s="2">
        <f>'NAV Fund'!H10</f>
        <v>5.4372623574144407E-2</v>
      </c>
      <c r="J4" s="6">
        <f t="shared" si="0"/>
        <v>5.4163823574144405E-2</v>
      </c>
      <c r="K4" s="7">
        <v>4958.6099999999997</v>
      </c>
      <c r="L4" s="8">
        <f t="shared" ref="L4:L9" si="1">K4/K3-1</f>
        <v>1.0684461873673889E-2</v>
      </c>
      <c r="M4" s="4">
        <f t="shared" ref="M4:M9" si="2">I3-L4</f>
        <v>6.3881421680973771E-2</v>
      </c>
      <c r="N4" s="6">
        <f t="shared" ref="N4:N9" si="3">L4-G4</f>
        <v>1.0475661873673889E-2</v>
      </c>
      <c r="O4" s="6" t="str">
        <f t="shared" ref="O4:O9" si="4">IF(J3&lt;0,J3,"")</f>
        <v/>
      </c>
    </row>
    <row r="5" spans="1:15" x14ac:dyDescent="0.2">
      <c r="A5" s="5" t="s">
        <v>31</v>
      </c>
      <c r="B5" s="3">
        <v>-5.6989430706885103E-3</v>
      </c>
      <c r="C5" s="3">
        <v>-5.0391927414574029E-3</v>
      </c>
      <c r="D5" s="3">
        <v>-5.6307617391119641E-3</v>
      </c>
      <c r="E5" s="3">
        <v>-7.0068538370313014E-3</v>
      </c>
      <c r="F5" s="3">
        <v>8.2659063333224911E-3</v>
      </c>
      <c r="G5" s="6">
        <v>2.0879999999999998E-4</v>
      </c>
      <c r="I5" s="2">
        <f>'NAV Fund'!H11</f>
        <v>-8.1319870176703946E-2</v>
      </c>
      <c r="J5" s="6">
        <f t="shared" si="0"/>
        <v>-8.1528670176703941E-2</v>
      </c>
      <c r="K5" s="7">
        <v>4942.8100000000004</v>
      </c>
      <c r="L5" s="8">
        <f t="shared" si="1"/>
        <v>-3.18637682737688E-3</v>
      </c>
      <c r="M5" s="4">
        <f t="shared" si="2"/>
        <v>5.7559000401521287E-2</v>
      </c>
      <c r="N5" s="6">
        <f t="shared" si="3"/>
        <v>-3.3951768273768799E-3</v>
      </c>
      <c r="O5" s="6" t="str">
        <f t="shared" si="4"/>
        <v/>
      </c>
    </row>
    <row r="6" spans="1:15" x14ac:dyDescent="0.2">
      <c r="A6" s="5" t="s">
        <v>32</v>
      </c>
      <c r="B6" s="3">
        <v>5.06631332402371E-3</v>
      </c>
      <c r="C6" s="3">
        <v>2.3871492963353138E-3</v>
      </c>
      <c r="D6" s="3">
        <v>-8.7424386377656441E-4</v>
      </c>
      <c r="E6" s="3">
        <v>5.9772042801136945E-4</v>
      </c>
      <c r="F6" s="3">
        <v>-9.7864570559575044E-3</v>
      </c>
      <c r="G6" s="6">
        <v>2.0879999999999998E-4</v>
      </c>
      <c r="I6" s="2">
        <f>'NAV Fund'!H12</f>
        <v>1.0794896957801781E-2</v>
      </c>
      <c r="J6" s="6">
        <f t="shared" si="0"/>
        <v>1.058609695780178E-2</v>
      </c>
      <c r="K6" s="7">
        <v>4954.2299999999996</v>
      </c>
      <c r="L6" s="8">
        <f t="shared" si="1"/>
        <v>2.310426660138587E-3</v>
      </c>
      <c r="M6" s="4">
        <f t="shared" si="2"/>
        <v>-8.3630296836842533E-2</v>
      </c>
      <c r="N6" s="6">
        <f t="shared" si="3"/>
        <v>2.1016266601385871E-3</v>
      </c>
      <c r="O6" s="6">
        <f t="shared" si="4"/>
        <v>-8.1528670176703941E-2</v>
      </c>
    </row>
    <row r="7" spans="1:15" x14ac:dyDescent="0.2">
      <c r="A7" s="5" t="s">
        <v>33</v>
      </c>
      <c r="B7" s="3">
        <v>4.5479077401810062E-3</v>
      </c>
      <c r="C7" s="3">
        <v>-6.5460869701908847E-3</v>
      </c>
      <c r="D7" s="3">
        <v>-4.7278794422248816E-3</v>
      </c>
      <c r="E7" s="3">
        <v>-7.3707225892014963E-3</v>
      </c>
      <c r="F7" s="3">
        <v>9.420592146814552E-3</v>
      </c>
      <c r="G7" s="6">
        <v>2.0879999999999998E-4</v>
      </c>
      <c r="I7" s="2">
        <f>'NAV Fund'!H13</f>
        <v>-5.8252427184465327E-3</v>
      </c>
      <c r="J7" s="6">
        <f t="shared" si="0"/>
        <v>-6.034042718446533E-3</v>
      </c>
      <c r="K7" s="7">
        <v>4995.0600000000004</v>
      </c>
      <c r="L7" s="8">
        <f t="shared" si="1"/>
        <v>8.2414421615468747E-3</v>
      </c>
      <c r="M7" s="4">
        <f t="shared" si="2"/>
        <v>2.5534547962549059E-3</v>
      </c>
      <c r="N7" s="6">
        <f t="shared" si="3"/>
        <v>8.0326421615468744E-3</v>
      </c>
      <c r="O7" s="6" t="str">
        <f t="shared" si="4"/>
        <v/>
      </c>
    </row>
    <row r="8" spans="1:15" x14ac:dyDescent="0.2">
      <c r="A8" s="5" t="s">
        <v>34</v>
      </c>
      <c r="B8" s="3">
        <v>7.8550498134002402E-4</v>
      </c>
      <c r="C8" s="3">
        <v>7.5688182735148676E-3</v>
      </c>
      <c r="D8" s="3">
        <v>-2.7548821143448146E-3</v>
      </c>
      <c r="E8" s="3">
        <v>-5.6420459425576197E-3</v>
      </c>
      <c r="F8" s="3">
        <v>-1.6171159939584289E-4</v>
      </c>
      <c r="G8" s="6">
        <v>2.0879999999999998E-4</v>
      </c>
      <c r="I8" s="2">
        <f>'NAV Fund'!H14</f>
        <v>9.86328125E-2</v>
      </c>
      <c r="J8" s="6">
        <f t="shared" si="0"/>
        <v>9.8424012500000005E-2</v>
      </c>
      <c r="K8" s="7">
        <v>4997.91</v>
      </c>
      <c r="L8" s="8">
        <f t="shared" si="1"/>
        <v>5.7056371695218822E-4</v>
      </c>
      <c r="M8" s="4">
        <f t="shared" si="2"/>
        <v>-6.395806435398721E-3</v>
      </c>
      <c r="N8" s="6">
        <f t="shared" si="3"/>
        <v>3.6176371695218824E-4</v>
      </c>
      <c r="O8" s="6">
        <f t="shared" si="4"/>
        <v>-6.034042718446533E-3</v>
      </c>
    </row>
    <row r="9" spans="1:15" x14ac:dyDescent="0.2">
      <c r="A9" s="5" t="s">
        <v>35</v>
      </c>
      <c r="B9" s="3">
        <v>3.9188304657309199E-3</v>
      </c>
      <c r="C9" s="3">
        <v>6.4990681245467438E-3</v>
      </c>
      <c r="D9" s="3">
        <v>-4.930147174986698E-3</v>
      </c>
      <c r="E9" s="3">
        <v>-7.2392294937190411E-3</v>
      </c>
      <c r="F9" s="3">
        <v>4.6095910699235406E-3</v>
      </c>
      <c r="G9" s="6">
        <v>2.0879999999999998E-4</v>
      </c>
      <c r="K9" s="7">
        <v>5026.6099999999997</v>
      </c>
      <c r="L9" s="8">
        <f t="shared" si="1"/>
        <v>5.7424003233350618E-3</v>
      </c>
      <c r="M9" s="4">
        <f t="shared" si="2"/>
        <v>9.2890412176664938E-2</v>
      </c>
      <c r="N9" s="6">
        <f t="shared" si="3"/>
        <v>5.5336003233350615E-3</v>
      </c>
      <c r="O9" s="6" t="str">
        <f t="shared" si="4"/>
        <v/>
      </c>
    </row>
    <row r="11" spans="1:15" x14ac:dyDescent="0.2">
      <c r="M11" s="7"/>
    </row>
    <row r="12" spans="1:15" x14ac:dyDescent="0.2">
      <c r="M12" s="7"/>
    </row>
    <row r="13" spans="1:15" x14ac:dyDescent="0.2">
      <c r="M13" s="7"/>
    </row>
    <row r="14" spans="1:15" x14ac:dyDescent="0.2">
      <c r="M14" s="7"/>
      <c r="N14" s="11"/>
    </row>
    <row r="15" spans="1:15" x14ac:dyDescent="0.2">
      <c r="M15" s="7"/>
    </row>
    <row r="16" spans="1:15" x14ac:dyDescent="0.2">
      <c r="M16" s="7"/>
    </row>
    <row r="17" spans="13:13" x14ac:dyDescent="0.2">
      <c r="M17" s="7"/>
    </row>
    <row r="18" spans="13:13" x14ac:dyDescent="0.2">
      <c r="M1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4229-3235-5940-A795-449DE74F1FEB}">
  <dimension ref="A1:B12"/>
  <sheetViews>
    <sheetView tabSelected="1" zoomScale="97" workbookViewId="0">
      <selection activeCell="I11" sqref="I11"/>
    </sheetView>
  </sheetViews>
  <sheetFormatPr baseColWidth="10" defaultColWidth="11" defaultRowHeight="16" x14ac:dyDescent="0.2"/>
  <cols>
    <col min="1" max="1" width="20.1640625" bestFit="1" customWidth="1"/>
    <col min="2" max="2" width="11.6640625" bestFit="1" customWidth="1"/>
  </cols>
  <sheetData>
    <row r="1" spans="1:2" x14ac:dyDescent="0.2">
      <c r="B1" t="s">
        <v>46</v>
      </c>
    </row>
    <row r="2" spans="1:2" x14ac:dyDescent="0.2">
      <c r="A2" t="s">
        <v>16</v>
      </c>
      <c r="B2">
        <f>(1+B3)^(252/8) - 1</f>
        <v>39.860573424544235</v>
      </c>
    </row>
    <row r="3" spans="1:2" x14ac:dyDescent="0.2">
      <c r="A3" t="s">
        <v>17</v>
      </c>
      <c r="B3" s="10">
        <f>('NAV Fund'!E14/'NAV Fund'!E7 - 1)</f>
        <v>0.125</v>
      </c>
    </row>
    <row r="4" spans="1:2" x14ac:dyDescent="0.2">
      <c r="A4" t="s">
        <v>18</v>
      </c>
      <c r="B4" s="10">
        <f>STDEV('NAV Fund'!H8:H14)*SQRT(252)</f>
        <v>0.98342467976246162</v>
      </c>
    </row>
    <row r="5" spans="1:2" x14ac:dyDescent="0.2">
      <c r="A5" t="s">
        <v>19</v>
      </c>
      <c r="B5">
        <f>B9/B4</f>
        <v>66.010692393161136</v>
      </c>
    </row>
    <row r="6" spans="1:2" x14ac:dyDescent="0.2">
      <c r="A6" t="s">
        <v>20</v>
      </c>
      <c r="B6">
        <f>B9/B7</f>
        <v>102.40331414602606</v>
      </c>
    </row>
    <row r="7" spans="1:2" x14ac:dyDescent="0.2">
      <c r="A7" t="s">
        <v>21</v>
      </c>
      <c r="B7" s="6">
        <f>_xlfn.STDEV.S('Regressors and returns'!O3,'Regressors and returns'!O6,'Regressors and returns'!O8) * SQRT(252)</f>
        <v>0.63393010830755481</v>
      </c>
    </row>
    <row r="8" spans="1:2" x14ac:dyDescent="0.2">
      <c r="A8" t="s">
        <v>23</v>
      </c>
      <c r="B8" s="10">
        <f>(1+'Regressors and returns'!J2)*(1+'Regressors and returns'!J3)*(1+'Regressors and returns'!J4)*(1+'Regressors and returns'!J5)*(1+'Regressors and returns'!J6)*(1+'Regressors and returns'!J7)*(1+'Regressors and returns'!J8)-1</f>
        <v>0.1233824194667561</v>
      </c>
    </row>
    <row r="9" spans="1:2" x14ac:dyDescent="0.2">
      <c r="A9" t="s">
        <v>22</v>
      </c>
      <c r="B9" s="9">
        <f>(1+B8)^(252/7) - 1</f>
        <v>64.916544027642857</v>
      </c>
    </row>
    <row r="10" spans="1:2" x14ac:dyDescent="0.2">
      <c r="A10" t="s">
        <v>24</v>
      </c>
      <c r="B10" s="9">
        <f>_xlfn.COVARIANCE.S('Regressors and returns'!N3:N9,'Regressors and returns'!J2:J8)/_xlfn.VAR.P('Regressors and returns'!N3:N9)</f>
        <v>0.8442059729921022</v>
      </c>
    </row>
    <row r="11" spans="1:2" x14ac:dyDescent="0.2">
      <c r="A11" t="s">
        <v>25</v>
      </c>
      <c r="B11" s="6">
        <f>_xlfn.STDEV.S('Regressors and returns'!M3:M9)*SQRT(252)</f>
        <v>0.98158101753771598</v>
      </c>
    </row>
    <row r="12" spans="1:2" x14ac:dyDescent="0.2">
      <c r="A12" t="s">
        <v>26</v>
      </c>
      <c r="B12" s="6">
        <f>(AVERAGE('Regressors and returns'!J2:J8) - 'Fund stats calc on excel'!B10*AVERAGE('Regressors and returns'!N3:N9) )* 252</f>
        <v>3.5596668646423852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NAV Fund</vt:lpstr>
      <vt:lpstr>Regressors and returns</vt:lpstr>
      <vt:lpstr>Fund stats calc on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Timothee Dangleterre</dc:creator>
  <cp:lastModifiedBy>Timothee Dangleterre</cp:lastModifiedBy>
  <dcterms:created xsi:type="dcterms:W3CDTF">2024-12-29T13:58:39Z</dcterms:created>
  <dcterms:modified xsi:type="dcterms:W3CDTF">2024-12-30T11:01:22Z</dcterms:modified>
</cp:coreProperties>
</file>