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y Singh\Documents\Consulting\Projects\Healthcare\"/>
    </mc:Choice>
  </mc:AlternateContent>
  <xr:revisionPtr revIDLastSave="0" documentId="13_ncr:1_{2B4EB8C1-1EEF-4B59-A5A7-6D710D3C0EA3}" xr6:coauthVersionLast="47" xr6:coauthVersionMax="47" xr10:uidLastSave="{00000000-0000-0000-0000-000000000000}"/>
  <bookViews>
    <workbookView xWindow="-98" yWindow="-98" windowWidth="21795" windowHeight="11625" firstSheet="2" activeTab="2" xr2:uid="{08139467-CC4F-46B5-906F-4F09056690D1}"/>
  </bookViews>
  <sheets>
    <sheet name="staff resp - fall by occupancy" sheetId="5" r:id="rId1"/>
    <sheet name="staff resp vs benchmark" sheetId="8" r:id="rId2"/>
    <sheet name="Fall vs bed" sheetId="10" r:id="rId3"/>
    <sheet name="bed vs response rate" sheetId="11" r:id="rId4"/>
    <sheet name=" response rate vs fall" sheetId="14" r:id="rId5"/>
    <sheet name="Case Study Dataset" sheetId="2" r:id="rId6"/>
  </sheets>
  <definedNames>
    <definedName name="_xlnm._FilterDatabase" localSheetId="5" hidden="1">'Case Study Dataset'!$B$1:$M$62</definedName>
  </definedName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4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66" i="2" l="1"/>
  <c r="J65" i="2"/>
  <c r="K56" i="2"/>
  <c r="K18" i="2"/>
  <c r="K15" i="2"/>
  <c r="K10" i="2"/>
  <c r="L22" i="2" s="1"/>
  <c r="M22" i="2" s="1"/>
  <c r="K24" i="2"/>
  <c r="K17" i="2"/>
  <c r="K11" i="2"/>
  <c r="L23" i="2" s="1"/>
  <c r="M23" i="2" s="1"/>
  <c r="K32" i="2"/>
  <c r="K12" i="2"/>
  <c r="L12" i="2" s="1"/>
  <c r="M12" i="2" s="1"/>
  <c r="K31" i="2"/>
  <c r="K14" i="2"/>
  <c r="K44" i="2"/>
  <c r="K43" i="2"/>
  <c r="K58" i="2"/>
  <c r="K42" i="2"/>
  <c r="K26" i="2"/>
  <c r="K2" i="2"/>
  <c r="L2" i="2" s="1"/>
  <c r="M2" i="2" s="1"/>
  <c r="K41" i="2"/>
  <c r="K40" i="2"/>
  <c r="K55" i="2"/>
  <c r="K23" i="2"/>
  <c r="K5" i="2"/>
  <c r="L5" i="2" s="1"/>
  <c r="M5" i="2" s="1"/>
  <c r="K22" i="2"/>
  <c r="K6" i="2"/>
  <c r="L6" i="2" s="1"/>
  <c r="M6" i="2" s="1"/>
  <c r="K37" i="2"/>
  <c r="K52" i="2"/>
  <c r="K36" i="2"/>
  <c r="K8" i="2"/>
  <c r="L8" i="2" s="1"/>
  <c r="M8" i="2" s="1"/>
  <c r="K51" i="2"/>
  <c r="K35" i="2"/>
  <c r="K19" i="2"/>
  <c r="K49" i="2"/>
  <c r="K33" i="2"/>
  <c r="K48" i="2"/>
  <c r="K16" i="2"/>
  <c r="K47" i="2"/>
  <c r="K13" i="2"/>
  <c r="L25" i="2" s="1"/>
  <c r="M25" i="2" s="1"/>
  <c r="K46" i="2"/>
  <c r="K30" i="2"/>
  <c r="K61" i="2"/>
  <c r="K45" i="2"/>
  <c r="K29" i="2"/>
  <c r="K60" i="2"/>
  <c r="K28" i="2"/>
  <c r="K59" i="2"/>
  <c r="K27" i="2"/>
  <c r="K57" i="2"/>
  <c r="K25" i="2"/>
  <c r="K3" i="2"/>
  <c r="L15" i="2" s="1"/>
  <c r="M15" i="2" s="1"/>
  <c r="K4" i="2"/>
  <c r="L16" i="2" s="1"/>
  <c r="M16" i="2" s="1"/>
  <c r="K39" i="2"/>
  <c r="K54" i="2"/>
  <c r="K38" i="2"/>
  <c r="K53" i="2"/>
  <c r="K21" i="2"/>
  <c r="K7" i="2"/>
  <c r="L7" i="2" s="1"/>
  <c r="M7" i="2" s="1"/>
  <c r="K20" i="2"/>
  <c r="K9" i="2"/>
  <c r="L33" i="2" s="1"/>
  <c r="M33" i="2" s="1"/>
  <c r="K50" i="2"/>
  <c r="K34" i="2"/>
  <c r="L24" i="2" l="1"/>
  <c r="M24" i="2" s="1"/>
  <c r="L10" i="2"/>
  <c r="M10" i="2" s="1"/>
  <c r="L50" i="2"/>
  <c r="M50" i="2" s="1"/>
  <c r="L14" i="2"/>
  <c r="M14" i="2" s="1"/>
  <c r="L26" i="2"/>
  <c r="M26" i="2" s="1"/>
  <c r="L35" i="2"/>
  <c r="M35" i="2" s="1"/>
  <c r="L41" i="2"/>
  <c r="M41" i="2" s="1"/>
  <c r="L53" i="2"/>
  <c r="M53" i="2" s="1"/>
  <c r="L39" i="2"/>
  <c r="M39" i="2" s="1"/>
  <c r="L11" i="2"/>
  <c r="M11" i="2" s="1"/>
  <c r="L13" i="2"/>
  <c r="M13" i="2" s="1"/>
  <c r="L45" i="2"/>
  <c r="M45" i="2" s="1"/>
  <c r="L21" i="2"/>
  <c r="M21" i="2" s="1"/>
  <c r="L42" i="2"/>
  <c r="M42" i="2" s="1"/>
  <c r="L9" i="2"/>
  <c r="M9" i="2" s="1"/>
  <c r="L57" i="2"/>
  <c r="M57" i="2" s="1"/>
  <c r="L36" i="2"/>
  <c r="M36" i="2" s="1"/>
  <c r="L46" i="2"/>
  <c r="M46" i="2" s="1"/>
  <c r="L34" i="2"/>
  <c r="M34" i="2" s="1"/>
  <c r="L58" i="2"/>
  <c r="M58" i="2" s="1"/>
  <c r="L47" i="2"/>
  <c r="M47" i="2" s="1"/>
  <c r="L29" i="2"/>
  <c r="M29" i="2" s="1"/>
  <c r="L59" i="2"/>
  <c r="M59" i="2" s="1"/>
  <c r="L30" i="2"/>
  <c r="M30" i="2" s="1"/>
  <c r="L60" i="2"/>
  <c r="M60" i="2" s="1"/>
  <c r="L55" i="2"/>
  <c r="M55" i="2" s="1"/>
  <c r="L19" i="2"/>
  <c r="M19" i="2" s="1"/>
  <c r="L48" i="2"/>
  <c r="M48" i="2" s="1"/>
  <c r="L3" i="2"/>
  <c r="M3" i="2" s="1"/>
  <c r="L27" i="2"/>
  <c r="M27" i="2" s="1"/>
  <c r="L17" i="2"/>
  <c r="M17" i="2" s="1"/>
  <c r="L51" i="2"/>
  <c r="M51" i="2" s="1"/>
  <c r="L43" i="2"/>
  <c r="M43" i="2" s="1"/>
  <c r="L49" i="2"/>
  <c r="M49" i="2" s="1"/>
  <c r="L20" i="2"/>
  <c r="M20" i="2" s="1"/>
  <c r="L31" i="2"/>
  <c r="M31" i="2" s="1"/>
  <c r="L4" i="2"/>
  <c r="M4" i="2" s="1"/>
  <c r="L28" i="2"/>
  <c r="M28" i="2" s="1"/>
  <c r="L44" i="2"/>
  <c r="M44" i="2" s="1"/>
  <c r="L56" i="2"/>
  <c r="M56" i="2" s="1"/>
  <c r="L38" i="2"/>
  <c r="M38" i="2" s="1"/>
  <c r="L61" i="2"/>
  <c r="M61" i="2" s="1"/>
  <c r="L54" i="2"/>
  <c r="M54" i="2" s="1"/>
  <c r="L37" i="2"/>
  <c r="M37" i="2" s="1"/>
  <c r="L32" i="2"/>
  <c r="M32" i="2" s="1"/>
  <c r="L18" i="2"/>
  <c r="M18" i="2" s="1"/>
  <c r="L52" i="2"/>
  <c r="M52" i="2" s="1"/>
  <c r="L40" i="2"/>
  <c r="M40" i="2" s="1"/>
</calcChain>
</file>

<file path=xl/sharedStrings.xml><?xml version="1.0" encoding="utf-8"?>
<sst xmlns="http://schemas.openxmlformats.org/spreadsheetml/2006/main" count="116" uniqueCount="60">
  <si>
    <t>Month</t>
  </si>
  <si>
    <t>Staff Responsiveness Domain Top Box Score</t>
  </si>
  <si>
    <t>Unassisted Fall Rate per 1,000 Patient Days</t>
  </si>
  <si>
    <t>Average Licensed Bed  Occupancy Rate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</si>
  <si>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</si>
  <si>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</si>
  <si>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</si>
  <si>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</si>
  <si>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</si>
  <si>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</si>
  <si>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</si>
  <si>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</si>
  <si>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</si>
  <si>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</si>
  <si>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</si>
  <si>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</si>
  <si>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</si>
  <si>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</si>
  <si>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Staff Responsiveness Domain Top Box Score</t>
  </si>
  <si>
    <t>Unassisted Fall %</t>
  </si>
  <si>
    <t>Average of Unassisted Fall %</t>
  </si>
  <si>
    <t>Staff Responsiveness Domain Top Box Score %</t>
  </si>
  <si>
    <t>Average of Staff Responsiveness Domain Top Box Score %</t>
  </si>
  <si>
    <t>Staff Responsiveness Top Box Score Benchmark</t>
  </si>
  <si>
    <t>Average of Staff Responsiveness Top Box Score Benchmark</t>
  </si>
  <si>
    <t>Month fixed</t>
  </si>
  <si>
    <t>Residual</t>
  </si>
  <si>
    <t>Average fall</t>
  </si>
  <si>
    <t>Avg. Falls</t>
  </si>
  <si>
    <t>Seasonal</t>
  </si>
  <si>
    <t>Trends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</si>
  <si>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</si>
  <si>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</si>
  <si>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</si>
  <si>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</si>
  <si>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</si>
  <si>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</si>
  <si>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</si>
  <si>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</si>
  <si>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</si>
  <si>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</si>
  <si>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</si>
  <si>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</si>
  <si>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</si>
  <si>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</si>
  <si>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</si>
  <si>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</si>
  <si>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</si>
  <si>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</si>
  <si>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</si>
  <si>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</si>
  <si>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</si>
  <si>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</si>
  <si>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</si>
  <si>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</si>
  <si>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Correlation Matrix</t>
  </si>
  <si>
    <t>Bed Occupancy vs Response rate</t>
  </si>
  <si>
    <t>Fall rate vs Response rate</t>
  </si>
  <si>
    <t>Fall Rate vs fall rate</t>
  </si>
  <si>
    <t>Model explains 62.6% of variance in fall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</si>
</sst>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3426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1" fillId="2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9" fontId="0" fillId="0" borderId="0" xfId="0" applyNumberFormat="1" applyAlignment="1">
      <alignment horizontal="left"/>
    </xf>
    <xf numFmtId="0" fontId="0" fillId="3" borderId="1" xfId="0" applyFill="1" applyBorder="1"/>
    <xf numFmtId="0" fontId="0" fillId="0" borderId="1" xfId="0" applyBorder="1"/>
    <xf numFmtId="2" fontId="0" fillId="0" borderId="1" xfId="0" applyNumberFormat="1" applyBorder="1"/>
    <xf numFmtId="0" fontId="3" fillId="4" borderId="1" xfId="0" applyFont="1" applyFill="1" applyBorder="1"/>
    <xf numFmtId="164" fontId="0" fillId="0" borderId="0" xfId="0" applyNumberFormat="1"/>
    <xf numFmtId="0" fontId="1" fillId="4" borderId="0" xfId="0" applyFont="1" applyFill="1"/>
    <xf numFmtId="0" fontId="3" fillId="4" borderId="0" xfId="0" applyFont="1" applyFill="1"/>
    <xf numFmtId="0" fontId="4" fillId="5" borderId="0" xfId="0" applyFont="1" applyFill="1"/>
    <xf numFmtId="17" fontId="0" fillId="0" borderId="3" xfId="0" applyNumberFormat="1" applyBorder="1"/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0" fillId="0" borderId="0" xfId="0" applyBorder="1"/>
    <xf numFmtId="2" fontId="0" fillId="0" borderId="0" xfId="1" applyNumberFormat="1" applyFont="1" applyBorder="1"/>
    <xf numFmtId="0" fontId="0" fillId="0" borderId="4" xfId="0" applyBorder="1"/>
    <xf numFmtId="2" fontId="0" fillId="0" borderId="4" xfId="1" applyNumberFormat="1" applyFont="1" applyBorder="1"/>
    <xf numFmtId="0" fontId="4" fillId="6" borderId="1" xfId="0" applyFont="1" applyFill="1" applyBorder="1" applyAlignment="1">
      <alignment horizontal="centerContinuous"/>
    </xf>
    <xf numFmtId="0" fontId="0" fillId="6" borderId="0" xfId="0" applyFill="1"/>
    <xf numFmtId="0" fontId="6" fillId="6" borderId="1" xfId="0" applyFont="1" applyFill="1" applyBorder="1" applyAlignment="1">
      <alignment horizontal="centerContinuous"/>
    </xf>
    <xf numFmtId="0" fontId="5" fillId="6" borderId="0" xfId="0" applyFont="1" applyFill="1"/>
    <xf numFmtId="0" fontId="4" fillId="0" borderId="1" xfId="0" applyFont="1" applyBorder="1" applyAlignment="1">
      <alignment horizontal="center"/>
    </xf>
    <xf numFmtId="0" fontId="4" fillId="6" borderId="2" xfId="0" applyFont="1" applyFill="1" applyBorder="1" applyAlignment="1">
      <alignment horizontal="centerContinuous"/>
    </xf>
    <xf numFmtId="0" fontId="6" fillId="6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42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[Fortis_KPI_anlysis.xlsx]staff resp - fall by occupancy!PivotTable3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'staff resp - fall by occupancy'!$B$3</c:f>
              <c:strCache>
                <c:ptCount val="1"/>
                <c:pt idx="0">
                  <c:v>Average of Staff Responsiveness Domain Top Box Score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- fall by occupancy'!$A$4:$A$15</c:f>
              <c:strCache>
                <c:ptCount val="11"/>
                <c:pt idx="0">
                  <c:v>81%</c:v>
                </c:pt>
                <c:pt idx="1">
                  <c:v>92%</c:v>
                </c:pt>
                <c:pt idx="2">
                  <c:v>93%</c:v>
                </c:pt>
                <c:pt idx="3">
                  <c:v>94%</c:v>
                </c:pt>
                <c:pt idx="4">
                  <c:v>95%</c:v>
                </c:pt>
                <c:pt idx="5">
                  <c:v>96%</c:v>
                </c:pt>
                <c:pt idx="6">
                  <c:v>97%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  <c:pt idx="10">
                  <c:v>101%</c:v>
                </c:pt>
              </c:strCache>
            </c:strRef>
          </c:cat>
          <c:val>
            <c:numRef>
              <c:f>'staff resp - fall by occupancy'!$B$4:$B$15</c:f>
              <c:numCache>
                <c:formatCode>0.00%</c:formatCode>
                <c:ptCount val="11"/>
                <c:pt idx="0">
                  <c:v>0.67069999999999996</c:v>
                </c:pt>
                <c:pt idx="1">
                  <c:v>0.67549999999999999</c:v>
                </c:pt>
                <c:pt idx="2">
                  <c:v>0.6613</c:v>
                </c:pt>
                <c:pt idx="3">
                  <c:v>0.64938571428571434</c:v>
                </c:pt>
                <c:pt idx="4">
                  <c:v>0.63610769230769226</c:v>
                </c:pt>
                <c:pt idx="5">
                  <c:v>0.64582307692307706</c:v>
                </c:pt>
                <c:pt idx="6">
                  <c:v>0.59389999999999998</c:v>
                </c:pt>
                <c:pt idx="7">
                  <c:v>0.61993000000000009</c:v>
                </c:pt>
                <c:pt idx="8">
                  <c:v>0.60441428571428557</c:v>
                </c:pt>
                <c:pt idx="9">
                  <c:v>0.63070000000000004</c:v>
                </c:pt>
                <c:pt idx="10">
                  <c:v>0.58044999999999991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972-84D1-3AD67A5A95CC}"/>
            </c:ext>
          </c:extLst>
        </c:ser>
        <c:ser>
          <c:idx val="1"/>
          <c:order val="1"/>
          <c:tx>
            <c:strRef>
              <c:f>'staff resp - fall by occupancy'!$C$3</c:f>
              <c:strCache>
                <c:ptCount val="1"/>
                <c:pt idx="0">
                  <c:v>Average of Unassisted Fall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- fall by occupancy'!$A$4:$A$15</c:f>
              <c:strCache>
                <c:ptCount val="11"/>
                <c:pt idx="0">
                  <c:v>81%</c:v>
                </c:pt>
                <c:pt idx="1">
                  <c:v>92%</c:v>
                </c:pt>
                <c:pt idx="2">
                  <c:v>93%</c:v>
                </c:pt>
                <c:pt idx="3">
                  <c:v>94%</c:v>
                </c:pt>
                <c:pt idx="4">
                  <c:v>95%</c:v>
                </c:pt>
                <c:pt idx="5">
                  <c:v>96%</c:v>
                </c:pt>
                <c:pt idx="6">
                  <c:v>97%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  <c:pt idx="10">
                  <c:v>101%</c:v>
                </c:pt>
              </c:strCache>
            </c:strRef>
          </c:cat>
          <c:val>
            <c:numRef>
              <c:f>'staff resp - fall by occupancy'!$C$4:$C$15</c:f>
              <c:numCache>
                <c:formatCode>0.00%</c:formatCode>
                <c:ptCount val="11"/>
                <c:pt idx="0">
                  <c:v>0.10300000000000001</c:v>
                </c:pt>
                <c:pt idx="1">
                  <c:v>0.16</c:v>
                </c:pt>
                <c:pt idx="2">
                  <c:v>0.20499999999999996</c:v>
                </c:pt>
                <c:pt idx="3">
                  <c:v>0.254</c:v>
                </c:pt>
                <c:pt idx="4">
                  <c:v>0.23530769230769227</c:v>
                </c:pt>
                <c:pt idx="5">
                  <c:v>0.24607692307692305</c:v>
                </c:pt>
                <c:pt idx="6">
                  <c:v>0.30533333333333335</c:v>
                </c:pt>
                <c:pt idx="7">
                  <c:v>0.2848</c:v>
                </c:pt>
                <c:pt idx="8">
                  <c:v>0.30299999999999999</c:v>
                </c:pt>
                <c:pt idx="9">
                  <c:v>0.29200000000000004</c:v>
                </c:pt>
                <c:pt idx="10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4-4972-84D1-3AD67A5A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33775"/>
        <c:axId val="172046735"/>
      </c:lineChart>
      <c:catAx>
        <c:axId val="17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735"/>
        <c:crosses val="autoZero"/>
        <c:auto val="1"/>
        <c:lblAlgn val="ctr"/>
        <c:lblOffset val="100"/>
        <c:noMultiLvlLbl val="0"/>
      </c:catAx>
      <c:valAx>
        <c:axId val="1720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[Fortis_KPI_anlysis.xlsx]staff resp vs benchmark!PivotTable5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'staff resp vs benchmark'!$B$3</c:f>
              <c:strCache>
                <c:ptCount val="1"/>
                <c:pt idx="0">
                  <c:v>Average of Staff Responsiveness Domain Top Box 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vs benchmark'!$A$4:$A$16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'staff resp vs benchmark'!$B$4:$B$16</c:f>
              <c:numCache>
                <c:formatCode>0.00</c:formatCode>
                <c:ptCount val="12"/>
                <c:pt idx="0">
                  <c:v>61.339999999999996</c:v>
                </c:pt>
                <c:pt idx="1">
                  <c:v>62.802000000000007</c:v>
                </c:pt>
                <c:pt idx="2">
                  <c:v>63.081999999999994</c:v>
                </c:pt>
                <c:pt idx="3">
                  <c:v>66.051999999999992</c:v>
                </c:pt>
                <c:pt idx="4">
                  <c:v>63.762</c:v>
                </c:pt>
                <c:pt idx="5">
                  <c:v>63.114000000000011</c:v>
                </c:pt>
                <c:pt idx="6">
                  <c:v>64.384</c:v>
                </c:pt>
                <c:pt idx="7">
                  <c:v>65.74199999999999</c:v>
                </c:pt>
                <c:pt idx="8">
                  <c:v>60.335999999999991</c:v>
                </c:pt>
                <c:pt idx="9">
                  <c:v>64.039999999999992</c:v>
                </c:pt>
                <c:pt idx="10">
                  <c:v>61.529999999999994</c:v>
                </c:pt>
                <c:pt idx="11">
                  <c:v>60.866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5-4DFF-B292-B7E2784EB6C0}"/>
            </c:ext>
          </c:extLst>
        </c:ser>
        <c:ser>
          <c:idx val="1"/>
          <c:order val="1"/>
          <c:tx>
            <c:strRef>
              <c:f>'staff resp vs benchmark'!$C$3</c:f>
              <c:strCache>
                <c:ptCount val="1"/>
                <c:pt idx="0">
                  <c:v>Average of Staff Responsiveness Top Box Score Benchmark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vs benchmark'!$A$4:$A$16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'staff resp vs benchmark'!$C$4:$C$16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5-4DFF-B292-B7E2784E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59343"/>
        <c:axId val="200856943"/>
      </c:lineChart>
      <c:catAx>
        <c:axId val="2008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943"/>
        <c:crosses val="autoZero"/>
        <c:auto val="1"/>
        <c:lblAlgn val="ctr"/>
        <c:lblOffset val="100"/>
        <c:noMultiLvlLbl val="0"/>
      </c:catAx>
      <c:valAx>
        <c:axId val="2008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82550</xdr:rowOff>
    </xdr:from>
    <xdr:to>
      <xdr:col>16</xdr:col>
      <xdr:colOff>57149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487D-1FDC-F445-5DE2-F4B61C3A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82550</xdr:rowOff>
    </xdr:from>
    <xdr:to>
      <xdr:col>19</xdr:col>
      <xdr:colOff>431800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F8C6F-DD33-9E7D-9694-CDDDE765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thy Prakash" refreshedDate="45676.676295138888" createdVersion="8" refreshedVersion="8" minRefreshableVersion="3" recordCount="60" xr:uid="{83FFC5FF-E6EE-4281-858F-34477120905D}">
  <cacheSource type="worksheet">
    <worksheetSource ref="B1:G61" sheet="Case Study Dataset"/>
  </cacheSource>
  <cacheFields count="9">
    <cacheField name="Month" numFmtId="17">
      <sharedItems containsSemiMixedTypes="0" containsNonDate="0" containsDate="1" containsString="0" minDate="2020-01-01T00:00:00" maxDate="2024-12-02T00:00:00" count="6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8"/>
    </cacheField>
    <cacheField name="Average Licensed Bed  Occupancy Rate" numFmtId="9">
      <sharedItems containsSemiMixedTypes="0" containsString="0" containsNumber="1" minValue="0.81" maxValue="1.01" count="11">
        <n v="0.96"/>
        <n v="0.81"/>
        <n v="0.94"/>
        <n v="1.01"/>
        <n v="0.98"/>
        <n v="0.95"/>
        <n v="0.92"/>
        <n v="1"/>
        <n v="0.99"/>
        <n v="0.93"/>
        <n v="0.97"/>
      </sharedItems>
    </cacheField>
    <cacheField name="Unassisted Fall Rate per 1,000 Patient Days" numFmtId="0">
      <sharedItems containsSemiMixedTypes="0" containsString="0" containsNumber="1" minValue="1.03" maxValue="3.41"/>
    </cacheField>
    <cacheField name="Staff Responsiveness Domain Top Box Score" numFmtId="2">
      <sharedItems containsSemiMixedTypes="0" containsString="0" containsNumber="1" minValue="53.31" maxValue="72.75"/>
    </cacheField>
    <cacheField name="Unassisted Fall %" numFmtId="0">
      <sharedItems containsSemiMixedTypes="0" containsString="0" containsNumber="1" minValue="0.10300000000000001" maxValue="0.34100000000000003"/>
    </cacheField>
    <cacheField name="Staff Responsiveness Domain Top Box Score %" numFmtId="0">
      <sharedItems containsSemiMixedTypes="0" containsString="0" containsNumber="1" minValue="0.53310000000000002" maxValue="0.72750000000000004"/>
    </cacheField>
    <cacheField name="Months (Month)" numFmtId="0" databaseField="0">
      <fieldGroup base="0">
        <rangePr groupBy="months" startDate="2020-01-01T00:00:00" endDate="2024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Month)" numFmtId="0" databaseField="0">
      <fieldGroup base="0">
        <rangePr groupBy="quarters" startDate="2020-01-01T00:00:00" endDate="2024-12-02T00:00:00"/>
        <groupItems count="6">
          <s v="&lt;1/1/2020"/>
          <s v="Qtr1"/>
          <s v="Qtr2"/>
          <s v="Qtr3"/>
          <s v="Qtr4"/>
          <s v="&gt;12/2/2024"/>
        </groupItems>
      </fieldGroup>
    </cacheField>
    <cacheField name="Years (Month)" numFmtId="0" databaseField="0">
      <fieldGroup base="0">
        <rangePr groupBy="years" startDate="2020-01-01T00:00:00" endDate="2024-12-02T00:00:00"/>
        <groupItems count="7">
          <s v="&lt;1/1/2020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thy Prakash" refreshedDate="45677.264991550925" createdVersion="8" refreshedVersion="8" minRefreshableVersion="3" recordCount="60" xr:uid="{D983BE92-4DAA-44B0-ACAB-A4FCC70324D1}">
  <cacheSource type="worksheet">
    <worksheetSource ref="B1:H61" sheet="Case Study Dataset"/>
  </cacheSource>
  <cacheFields count="10">
    <cacheField name="Month" numFmtId="17">
      <sharedItems containsSemiMixedTypes="0" containsNonDate="0" containsDate="1" containsString="0" minDate="2020-01-01T00:00:00" maxDate="2024-12-02T00:00:00" count="6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9"/>
    </cacheField>
    <cacheField name="Average Licensed Bed  Occupancy Rate" numFmtId="9">
      <sharedItems containsSemiMixedTypes="0" containsString="0" containsNumber="1" minValue="0.81" maxValue="1.01"/>
    </cacheField>
    <cacheField name="Unassisted Fall Rate per 1,000 Patient Days" numFmtId="0">
      <sharedItems containsSemiMixedTypes="0" containsString="0" containsNumber="1" minValue="1.03" maxValue="3.41"/>
    </cacheField>
    <cacheField name="Staff Responsiveness Domain Top Box Score" numFmtId="2">
      <sharedItems containsSemiMixedTypes="0" containsString="0" containsNumber="1" minValue="53.31" maxValue="72.75"/>
    </cacheField>
    <cacheField name="Unassisted Fall %" numFmtId="0">
      <sharedItems containsSemiMixedTypes="0" containsString="0" containsNumber="1" minValue="0.10300000000000001" maxValue="0.34100000000000003"/>
    </cacheField>
    <cacheField name="Staff Responsiveness Domain Top Box Score %" numFmtId="0">
      <sharedItems containsSemiMixedTypes="0" containsString="0" containsNumber="1" minValue="0.53310000000000002" maxValue="0.72750000000000004"/>
    </cacheField>
    <cacheField name="Staff Responsiveness Top Box Score Benchmark" numFmtId="0">
      <sharedItems containsSemiMixedTypes="0" containsString="0" containsNumber="1" containsInteger="1" minValue="65" maxValue="65"/>
    </cacheField>
    <cacheField name="Months (Month)" numFmtId="0" databaseField="0">
      <fieldGroup base="0">
        <rangePr groupBy="months" startDate="2020-01-01T00:00:00" endDate="2024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Month)" numFmtId="0" databaseField="0">
      <fieldGroup base="0">
        <rangePr groupBy="quarters" startDate="2020-01-01T00:00:00" endDate="2024-12-02T00:00:00"/>
        <groupItems count="6">
          <s v="&lt;1/1/2020"/>
          <s v="Qtr1"/>
          <s v="Qtr2"/>
          <s v="Qtr3"/>
          <s v="Qtr4"/>
          <s v="&gt;12/2/2024"/>
        </groupItems>
      </fieldGroup>
    </cacheField>
    <cacheField name="Years (Month)" numFmtId="0" databaseField="0">
      <fieldGroup base="0">
        <rangePr groupBy="years" startDate="2020-01-01T00:00:00" endDate="2024-12-02T00:00:00"/>
        <groupItems count="7">
          <s v="&lt;1/1/2020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.21"/>
    <n v="68.34"/>
    <n v="0.22100000000000003"/>
    <n v="0.68340000000000001"/>
  </r>
  <r>
    <x v="1"/>
    <x v="0"/>
    <n v="1.79"/>
    <n v="72.75"/>
    <n v="0.17900000000000002"/>
    <n v="0.72750000000000004"/>
  </r>
  <r>
    <x v="2"/>
    <x v="1"/>
    <n v="1.03"/>
    <n v="67.069999999999993"/>
    <n v="0.10300000000000001"/>
    <n v="0.67069999999999996"/>
  </r>
  <r>
    <x v="3"/>
    <x v="2"/>
    <n v="1.97"/>
    <n v="71.209999999999994"/>
    <n v="0.19700000000000001"/>
    <n v="0.71209999999999996"/>
  </r>
  <r>
    <x v="4"/>
    <x v="3"/>
    <n v="3.41"/>
    <n v="57.68"/>
    <n v="0.34100000000000003"/>
    <n v="0.57679999999999998"/>
  </r>
  <r>
    <x v="5"/>
    <x v="4"/>
    <n v="2.61"/>
    <n v="67.86"/>
    <n v="0.26100000000000001"/>
    <n v="0.67859999999999998"/>
  </r>
  <r>
    <x v="6"/>
    <x v="5"/>
    <n v="2.42"/>
    <n v="66.09"/>
    <n v="0.24199999999999999"/>
    <n v="0.66090000000000004"/>
  </r>
  <r>
    <x v="7"/>
    <x v="2"/>
    <n v="2.09"/>
    <n v="70.38"/>
    <n v="0.20899999999999999"/>
    <n v="0.70379999999999998"/>
  </r>
  <r>
    <x v="8"/>
    <x v="5"/>
    <n v="3.11"/>
    <n v="53.31"/>
    <n v="0.311"/>
    <n v="0.53310000000000002"/>
  </r>
  <r>
    <x v="9"/>
    <x v="6"/>
    <n v="1.6"/>
    <n v="67.55"/>
    <n v="0.16"/>
    <n v="0.67549999999999999"/>
  </r>
  <r>
    <x v="10"/>
    <x v="5"/>
    <n v="2.31"/>
    <n v="60.35"/>
    <n v="0.23100000000000001"/>
    <n v="0.60350000000000004"/>
  </r>
  <r>
    <x v="11"/>
    <x v="4"/>
    <n v="2.4700000000000002"/>
    <n v="61.33"/>
    <n v="0.24700000000000005"/>
    <n v="0.61329999999999996"/>
  </r>
  <r>
    <x v="12"/>
    <x v="7"/>
    <n v="3.03"/>
    <n v="61.06"/>
    <n v="0.30299999999999999"/>
    <n v="0.61060000000000003"/>
  </r>
  <r>
    <x v="13"/>
    <x v="8"/>
    <n v="2.35"/>
    <n v="65.23"/>
    <n v="0.23500000000000001"/>
    <n v="0.65229999999999999"/>
  </r>
  <r>
    <x v="14"/>
    <x v="5"/>
    <n v="2.4700000000000002"/>
    <n v="64.02"/>
    <n v="0.24700000000000005"/>
    <n v="0.64019999999999999"/>
  </r>
  <r>
    <x v="15"/>
    <x v="0"/>
    <n v="1.94"/>
    <n v="70.11"/>
    <n v="0.19399999999999998"/>
    <n v="0.70109999999999995"/>
  </r>
  <r>
    <x v="16"/>
    <x v="2"/>
    <n v="2.54"/>
    <n v="68.16"/>
    <n v="0.254"/>
    <n v="0.68159999999999998"/>
  </r>
  <r>
    <x v="17"/>
    <x v="2"/>
    <n v="3.17"/>
    <n v="54.38"/>
    <n v="0.317"/>
    <n v="0.54380000000000006"/>
  </r>
  <r>
    <x v="18"/>
    <x v="2"/>
    <n v="2.79"/>
    <n v="64"/>
    <n v="0.27899999999999997"/>
    <n v="0.64"/>
  </r>
  <r>
    <x v="19"/>
    <x v="9"/>
    <n v="2.0499999999999998"/>
    <n v="66.13"/>
    <n v="0.20499999999999996"/>
    <n v="0.6613"/>
  </r>
  <r>
    <x v="20"/>
    <x v="10"/>
    <n v="3.34"/>
    <n v="55.17"/>
    <n v="0.33399999999999996"/>
    <n v="0.55169999999999997"/>
  </r>
  <r>
    <x v="21"/>
    <x v="5"/>
    <n v="2.44"/>
    <n v="64.03"/>
    <n v="0.24399999999999999"/>
    <n v="0.64029999999999998"/>
  </r>
  <r>
    <x v="22"/>
    <x v="0"/>
    <n v="2.31"/>
    <n v="64.12"/>
    <n v="0.23100000000000001"/>
    <n v="0.64119999999999999"/>
  </r>
  <r>
    <x v="23"/>
    <x v="4"/>
    <n v="2.57"/>
    <n v="60.42"/>
    <n v="0.25700000000000001"/>
    <n v="0.60420000000000007"/>
  </r>
  <r>
    <x v="24"/>
    <x v="3"/>
    <n v="3.33"/>
    <n v="58.41"/>
    <n v="0.33300000000000002"/>
    <n v="0.58409999999999995"/>
  </r>
  <r>
    <x v="25"/>
    <x v="8"/>
    <n v="3.19"/>
    <n v="59.77"/>
    <n v="0.31900000000000001"/>
    <n v="0.59770000000000001"/>
  </r>
  <r>
    <x v="26"/>
    <x v="0"/>
    <n v="2.78"/>
    <n v="61.32"/>
    <n v="0.27799999999999997"/>
    <n v="0.61319999999999997"/>
  </r>
  <r>
    <x v="27"/>
    <x v="0"/>
    <n v="2.91"/>
    <n v="60.18"/>
    <n v="0.29100000000000004"/>
    <n v="0.6018"/>
  </r>
  <r>
    <x v="28"/>
    <x v="5"/>
    <n v="2.4900000000000002"/>
    <n v="63.07"/>
    <n v="0.249"/>
    <n v="0.63070000000000004"/>
  </r>
  <r>
    <x v="29"/>
    <x v="5"/>
    <n v="2.31"/>
    <n v="63.11"/>
    <n v="0.23100000000000001"/>
    <n v="0.63109999999999999"/>
  </r>
  <r>
    <x v="30"/>
    <x v="0"/>
    <n v="2.4300000000000002"/>
    <n v="61.03"/>
    <n v="0.24300000000000002"/>
    <n v="0.61030000000000006"/>
  </r>
  <r>
    <x v="31"/>
    <x v="0"/>
    <n v="3.13"/>
    <n v="59.97"/>
    <n v="0.313"/>
    <n v="0.59970000000000001"/>
  </r>
  <r>
    <x v="32"/>
    <x v="5"/>
    <n v="2.81"/>
    <n v="61.53"/>
    <n v="0.28100000000000003"/>
    <n v="0.61529999999999996"/>
  </r>
  <r>
    <x v="33"/>
    <x v="0"/>
    <n v="2.0699999999999998"/>
    <n v="64.16"/>
    <n v="0.20699999999999999"/>
    <n v="0.64159999999999995"/>
  </r>
  <r>
    <x v="34"/>
    <x v="10"/>
    <n v="3.11"/>
    <n v="57.29"/>
    <n v="0.311"/>
    <n v="0.57289999999999996"/>
  </r>
  <r>
    <x v="35"/>
    <x v="4"/>
    <n v="3.21"/>
    <n v="57.18"/>
    <n v="0.32100000000000001"/>
    <n v="0.57179999999999997"/>
  </r>
  <r>
    <x v="36"/>
    <x v="8"/>
    <n v="3.17"/>
    <n v="58.22"/>
    <n v="0.317"/>
    <n v="0.58219999999999994"/>
  </r>
  <r>
    <x v="37"/>
    <x v="8"/>
    <n v="3.39"/>
    <n v="57.12"/>
    <n v="0.33900000000000002"/>
    <n v="0.57119999999999993"/>
  </r>
  <r>
    <x v="38"/>
    <x v="4"/>
    <n v="3.03"/>
    <n v="59.45"/>
    <n v="0.30299999999999999"/>
    <n v="0.59450000000000003"/>
  </r>
  <r>
    <x v="39"/>
    <x v="0"/>
    <n v="2.73"/>
    <n v="62.57"/>
    <n v="0.27299999999999996"/>
    <n v="0.62570000000000003"/>
  </r>
  <r>
    <x v="40"/>
    <x v="2"/>
    <n v="2.89"/>
    <n v="62.89"/>
    <n v="0.28900000000000003"/>
    <n v="0.62890000000000001"/>
  </r>
  <r>
    <x v="41"/>
    <x v="0"/>
    <n v="2.5499999999999998"/>
    <n v="63.69"/>
    <n v="0.25499999999999995"/>
    <n v="0.63690000000000002"/>
  </r>
  <r>
    <x v="42"/>
    <x v="5"/>
    <n v="2.42"/>
    <n v="64.930000000000007"/>
    <n v="0.24199999999999999"/>
    <n v="0.6493000000000001"/>
  </r>
  <r>
    <x v="43"/>
    <x v="5"/>
    <n v="2.0299999999999998"/>
    <n v="66.77"/>
    <n v="0.20299999999999996"/>
    <n v="0.66769999999999996"/>
  </r>
  <r>
    <x v="44"/>
    <x v="4"/>
    <n v="2.56"/>
    <n v="65.959999999999994"/>
    <n v="0.25600000000000001"/>
    <n v="0.65959999999999996"/>
  </r>
  <r>
    <x v="45"/>
    <x v="4"/>
    <n v="3.07"/>
    <n v="60.44"/>
    <n v="0.307"/>
    <n v="0.60439999999999994"/>
  </r>
  <r>
    <x v="46"/>
    <x v="8"/>
    <n v="2.99"/>
    <n v="61.76"/>
    <n v="0.29899999999999999"/>
    <n v="0.61759999999999993"/>
  </r>
  <r>
    <x v="47"/>
    <x v="8"/>
    <n v="3.03"/>
    <n v="60.32"/>
    <n v="0.30299999999999999"/>
    <n v="0.60319999999999996"/>
  </r>
  <r>
    <x v="48"/>
    <x v="8"/>
    <n v="3.09"/>
    <n v="60.67"/>
    <n v="0.309"/>
    <n v="0.60670000000000002"/>
  </r>
  <r>
    <x v="49"/>
    <x v="4"/>
    <n v="3.15"/>
    <n v="59.14"/>
    <n v="0.315"/>
    <n v="0.59140000000000004"/>
  </r>
  <r>
    <x v="50"/>
    <x v="2"/>
    <n v="2.33"/>
    <n v="63.55"/>
    <n v="0.23300000000000001"/>
    <n v="0.63549999999999995"/>
  </r>
  <r>
    <x v="51"/>
    <x v="5"/>
    <n v="2.0099999999999998"/>
    <n v="66.19"/>
    <n v="0.20099999999999996"/>
    <n v="0.66189999999999993"/>
  </r>
  <r>
    <x v="52"/>
    <x v="5"/>
    <n v="1.79"/>
    <n v="67.010000000000005"/>
    <n v="0.17900000000000002"/>
    <n v="0.67010000000000003"/>
  </r>
  <r>
    <x v="53"/>
    <x v="5"/>
    <n v="1.98"/>
    <n v="66.53"/>
    <n v="0.19800000000000001"/>
    <n v="0.6653"/>
  </r>
  <r>
    <x v="54"/>
    <x v="0"/>
    <n v="2.5099999999999998"/>
    <n v="65.87"/>
    <n v="0.25099999999999995"/>
    <n v="0.65870000000000006"/>
  </r>
  <r>
    <x v="55"/>
    <x v="0"/>
    <n v="2.63"/>
    <n v="65.459999999999994"/>
    <n v="0.26300000000000001"/>
    <n v="0.65459999999999996"/>
  </r>
  <r>
    <x v="56"/>
    <x v="10"/>
    <n v="2.71"/>
    <n v="65.709999999999994"/>
    <n v="0.27100000000000002"/>
    <n v="0.65709999999999991"/>
  </r>
  <r>
    <x v="57"/>
    <x v="4"/>
    <n v="2.97"/>
    <n v="64.02"/>
    <n v="0.29699999999999999"/>
    <n v="0.64019999999999999"/>
  </r>
  <r>
    <x v="58"/>
    <x v="4"/>
    <n v="2.84"/>
    <n v="64.13"/>
    <n v="0.28399999999999997"/>
    <n v="0.64129999999999998"/>
  </r>
  <r>
    <x v="59"/>
    <x v="7"/>
    <n v="2.81"/>
    <n v="65.08"/>
    <n v="0.28100000000000003"/>
    <n v="0.6507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.96"/>
    <n v="2.21"/>
    <n v="68.34"/>
    <n v="0.22100000000000003"/>
    <n v="0.68340000000000001"/>
    <n v="65"/>
  </r>
  <r>
    <x v="1"/>
    <n v="0.96"/>
    <n v="1.79"/>
    <n v="72.75"/>
    <n v="0.17900000000000002"/>
    <n v="0.72750000000000004"/>
    <n v="65"/>
  </r>
  <r>
    <x v="2"/>
    <n v="0.81"/>
    <n v="1.03"/>
    <n v="67.069999999999993"/>
    <n v="0.10300000000000001"/>
    <n v="0.67069999999999996"/>
    <n v="65"/>
  </r>
  <r>
    <x v="3"/>
    <n v="0.94"/>
    <n v="1.97"/>
    <n v="71.209999999999994"/>
    <n v="0.19700000000000001"/>
    <n v="0.71209999999999996"/>
    <n v="65"/>
  </r>
  <r>
    <x v="4"/>
    <n v="1.01"/>
    <n v="3.41"/>
    <n v="57.68"/>
    <n v="0.34100000000000003"/>
    <n v="0.57679999999999998"/>
    <n v="65"/>
  </r>
  <r>
    <x v="5"/>
    <n v="0.98"/>
    <n v="2.61"/>
    <n v="67.86"/>
    <n v="0.26100000000000001"/>
    <n v="0.67859999999999998"/>
    <n v="65"/>
  </r>
  <r>
    <x v="6"/>
    <n v="0.95"/>
    <n v="2.42"/>
    <n v="66.09"/>
    <n v="0.24199999999999999"/>
    <n v="0.66090000000000004"/>
    <n v="65"/>
  </r>
  <r>
    <x v="7"/>
    <n v="0.94"/>
    <n v="2.09"/>
    <n v="70.38"/>
    <n v="0.20899999999999999"/>
    <n v="0.70379999999999998"/>
    <n v="65"/>
  </r>
  <r>
    <x v="8"/>
    <n v="0.95"/>
    <n v="3.11"/>
    <n v="53.31"/>
    <n v="0.311"/>
    <n v="0.53310000000000002"/>
    <n v="65"/>
  </r>
  <r>
    <x v="9"/>
    <n v="0.92"/>
    <n v="1.6"/>
    <n v="67.55"/>
    <n v="0.16"/>
    <n v="0.67549999999999999"/>
    <n v="65"/>
  </r>
  <r>
    <x v="10"/>
    <n v="0.95"/>
    <n v="2.31"/>
    <n v="60.35"/>
    <n v="0.23100000000000001"/>
    <n v="0.60350000000000004"/>
    <n v="65"/>
  </r>
  <r>
    <x v="11"/>
    <n v="0.98"/>
    <n v="2.4700000000000002"/>
    <n v="61.33"/>
    <n v="0.24700000000000005"/>
    <n v="0.61329999999999996"/>
    <n v="65"/>
  </r>
  <r>
    <x v="12"/>
    <n v="1"/>
    <n v="3.03"/>
    <n v="61.06"/>
    <n v="0.30299999999999999"/>
    <n v="0.61060000000000003"/>
    <n v="65"/>
  </r>
  <r>
    <x v="13"/>
    <n v="0.99"/>
    <n v="2.35"/>
    <n v="65.23"/>
    <n v="0.23500000000000001"/>
    <n v="0.65229999999999999"/>
    <n v="65"/>
  </r>
  <r>
    <x v="14"/>
    <n v="0.95"/>
    <n v="2.4700000000000002"/>
    <n v="64.02"/>
    <n v="0.24700000000000005"/>
    <n v="0.64019999999999999"/>
    <n v="65"/>
  </r>
  <r>
    <x v="15"/>
    <n v="0.96"/>
    <n v="1.94"/>
    <n v="70.11"/>
    <n v="0.19399999999999998"/>
    <n v="0.70109999999999995"/>
    <n v="65"/>
  </r>
  <r>
    <x v="16"/>
    <n v="0.94"/>
    <n v="2.54"/>
    <n v="68.16"/>
    <n v="0.254"/>
    <n v="0.68159999999999998"/>
    <n v="65"/>
  </r>
  <r>
    <x v="17"/>
    <n v="0.94"/>
    <n v="3.17"/>
    <n v="54.38"/>
    <n v="0.317"/>
    <n v="0.54380000000000006"/>
    <n v="65"/>
  </r>
  <r>
    <x v="18"/>
    <n v="0.94"/>
    <n v="2.79"/>
    <n v="64"/>
    <n v="0.27899999999999997"/>
    <n v="0.64"/>
    <n v="65"/>
  </r>
  <r>
    <x v="19"/>
    <n v="0.93"/>
    <n v="2.0499999999999998"/>
    <n v="66.13"/>
    <n v="0.20499999999999996"/>
    <n v="0.6613"/>
    <n v="65"/>
  </r>
  <r>
    <x v="20"/>
    <n v="0.97"/>
    <n v="3.34"/>
    <n v="55.17"/>
    <n v="0.33399999999999996"/>
    <n v="0.55169999999999997"/>
    <n v="65"/>
  </r>
  <r>
    <x v="21"/>
    <n v="0.95"/>
    <n v="2.44"/>
    <n v="64.03"/>
    <n v="0.24399999999999999"/>
    <n v="0.64029999999999998"/>
    <n v="65"/>
  </r>
  <r>
    <x v="22"/>
    <n v="0.96"/>
    <n v="2.31"/>
    <n v="64.12"/>
    <n v="0.23100000000000001"/>
    <n v="0.64119999999999999"/>
    <n v="65"/>
  </r>
  <r>
    <x v="23"/>
    <n v="0.98"/>
    <n v="2.57"/>
    <n v="60.42"/>
    <n v="0.25700000000000001"/>
    <n v="0.60420000000000007"/>
    <n v="65"/>
  </r>
  <r>
    <x v="24"/>
    <n v="1.01"/>
    <n v="3.33"/>
    <n v="58.41"/>
    <n v="0.33300000000000002"/>
    <n v="0.58409999999999995"/>
    <n v="65"/>
  </r>
  <r>
    <x v="25"/>
    <n v="0.99"/>
    <n v="3.19"/>
    <n v="59.77"/>
    <n v="0.31900000000000001"/>
    <n v="0.59770000000000001"/>
    <n v="65"/>
  </r>
  <r>
    <x v="26"/>
    <n v="0.96"/>
    <n v="2.78"/>
    <n v="61.32"/>
    <n v="0.27799999999999997"/>
    <n v="0.61319999999999997"/>
    <n v="65"/>
  </r>
  <r>
    <x v="27"/>
    <n v="0.96"/>
    <n v="2.91"/>
    <n v="60.18"/>
    <n v="0.29100000000000004"/>
    <n v="0.6018"/>
    <n v="65"/>
  </r>
  <r>
    <x v="28"/>
    <n v="0.95"/>
    <n v="2.4900000000000002"/>
    <n v="63.07"/>
    <n v="0.249"/>
    <n v="0.63070000000000004"/>
    <n v="65"/>
  </r>
  <r>
    <x v="29"/>
    <n v="0.95"/>
    <n v="2.31"/>
    <n v="63.11"/>
    <n v="0.23100000000000001"/>
    <n v="0.63109999999999999"/>
    <n v="65"/>
  </r>
  <r>
    <x v="30"/>
    <n v="0.96"/>
    <n v="2.4300000000000002"/>
    <n v="61.03"/>
    <n v="0.24300000000000002"/>
    <n v="0.61030000000000006"/>
    <n v="65"/>
  </r>
  <r>
    <x v="31"/>
    <n v="0.96"/>
    <n v="3.13"/>
    <n v="59.97"/>
    <n v="0.313"/>
    <n v="0.59970000000000001"/>
    <n v="65"/>
  </r>
  <r>
    <x v="32"/>
    <n v="0.95"/>
    <n v="2.81"/>
    <n v="61.53"/>
    <n v="0.28100000000000003"/>
    <n v="0.61529999999999996"/>
    <n v="65"/>
  </r>
  <r>
    <x v="33"/>
    <n v="0.96"/>
    <n v="2.0699999999999998"/>
    <n v="64.16"/>
    <n v="0.20699999999999999"/>
    <n v="0.64159999999999995"/>
    <n v="65"/>
  </r>
  <r>
    <x v="34"/>
    <n v="0.97"/>
    <n v="3.11"/>
    <n v="57.29"/>
    <n v="0.311"/>
    <n v="0.57289999999999996"/>
    <n v="65"/>
  </r>
  <r>
    <x v="35"/>
    <n v="0.98"/>
    <n v="3.21"/>
    <n v="57.18"/>
    <n v="0.32100000000000001"/>
    <n v="0.57179999999999997"/>
    <n v="65"/>
  </r>
  <r>
    <x v="36"/>
    <n v="0.99"/>
    <n v="3.17"/>
    <n v="58.22"/>
    <n v="0.317"/>
    <n v="0.58219999999999994"/>
    <n v="65"/>
  </r>
  <r>
    <x v="37"/>
    <n v="0.99"/>
    <n v="3.39"/>
    <n v="57.12"/>
    <n v="0.33900000000000002"/>
    <n v="0.57119999999999993"/>
    <n v="65"/>
  </r>
  <r>
    <x v="38"/>
    <n v="0.98"/>
    <n v="3.03"/>
    <n v="59.45"/>
    <n v="0.30299999999999999"/>
    <n v="0.59450000000000003"/>
    <n v="65"/>
  </r>
  <r>
    <x v="39"/>
    <n v="0.96"/>
    <n v="2.73"/>
    <n v="62.57"/>
    <n v="0.27299999999999996"/>
    <n v="0.62570000000000003"/>
    <n v="65"/>
  </r>
  <r>
    <x v="40"/>
    <n v="0.94"/>
    <n v="2.89"/>
    <n v="62.89"/>
    <n v="0.28900000000000003"/>
    <n v="0.62890000000000001"/>
    <n v="65"/>
  </r>
  <r>
    <x v="41"/>
    <n v="0.96"/>
    <n v="2.5499999999999998"/>
    <n v="63.69"/>
    <n v="0.25499999999999995"/>
    <n v="0.63690000000000002"/>
    <n v="65"/>
  </r>
  <r>
    <x v="42"/>
    <n v="0.95"/>
    <n v="2.42"/>
    <n v="64.930000000000007"/>
    <n v="0.24199999999999999"/>
    <n v="0.6493000000000001"/>
    <n v="65"/>
  </r>
  <r>
    <x v="43"/>
    <n v="0.95"/>
    <n v="2.0299999999999998"/>
    <n v="66.77"/>
    <n v="0.20299999999999996"/>
    <n v="0.66769999999999996"/>
    <n v="65"/>
  </r>
  <r>
    <x v="44"/>
    <n v="0.98"/>
    <n v="2.56"/>
    <n v="65.959999999999994"/>
    <n v="0.25600000000000001"/>
    <n v="0.65959999999999996"/>
    <n v="65"/>
  </r>
  <r>
    <x v="45"/>
    <n v="0.98"/>
    <n v="3.07"/>
    <n v="60.44"/>
    <n v="0.307"/>
    <n v="0.60439999999999994"/>
    <n v="65"/>
  </r>
  <r>
    <x v="46"/>
    <n v="0.99"/>
    <n v="2.99"/>
    <n v="61.76"/>
    <n v="0.29899999999999999"/>
    <n v="0.61759999999999993"/>
    <n v="65"/>
  </r>
  <r>
    <x v="47"/>
    <n v="0.99"/>
    <n v="3.03"/>
    <n v="60.32"/>
    <n v="0.30299999999999999"/>
    <n v="0.60319999999999996"/>
    <n v="65"/>
  </r>
  <r>
    <x v="48"/>
    <n v="0.99"/>
    <n v="3.09"/>
    <n v="60.67"/>
    <n v="0.309"/>
    <n v="0.60670000000000002"/>
    <n v="65"/>
  </r>
  <r>
    <x v="49"/>
    <n v="0.98"/>
    <n v="3.15"/>
    <n v="59.14"/>
    <n v="0.315"/>
    <n v="0.59140000000000004"/>
    <n v="65"/>
  </r>
  <r>
    <x v="50"/>
    <n v="0.94"/>
    <n v="2.33"/>
    <n v="63.55"/>
    <n v="0.23300000000000001"/>
    <n v="0.63549999999999995"/>
    <n v="65"/>
  </r>
  <r>
    <x v="51"/>
    <n v="0.95"/>
    <n v="2.0099999999999998"/>
    <n v="66.19"/>
    <n v="0.20099999999999996"/>
    <n v="0.66189999999999993"/>
    <n v="65"/>
  </r>
  <r>
    <x v="52"/>
    <n v="0.95"/>
    <n v="1.79"/>
    <n v="67.010000000000005"/>
    <n v="0.17900000000000002"/>
    <n v="0.67010000000000003"/>
    <n v="65"/>
  </r>
  <r>
    <x v="53"/>
    <n v="0.95"/>
    <n v="1.98"/>
    <n v="66.53"/>
    <n v="0.19800000000000001"/>
    <n v="0.6653"/>
    <n v="65"/>
  </r>
  <r>
    <x v="54"/>
    <n v="0.96"/>
    <n v="2.5099999999999998"/>
    <n v="65.87"/>
    <n v="0.25099999999999995"/>
    <n v="0.65870000000000006"/>
    <n v="65"/>
  </r>
  <r>
    <x v="55"/>
    <n v="0.96"/>
    <n v="2.63"/>
    <n v="65.459999999999994"/>
    <n v="0.26300000000000001"/>
    <n v="0.65459999999999996"/>
    <n v="65"/>
  </r>
  <r>
    <x v="56"/>
    <n v="0.97"/>
    <n v="2.71"/>
    <n v="65.709999999999994"/>
    <n v="0.27100000000000002"/>
    <n v="0.65709999999999991"/>
    <n v="65"/>
  </r>
  <r>
    <x v="57"/>
    <n v="0.98"/>
    <n v="2.97"/>
    <n v="64.02"/>
    <n v="0.29699999999999999"/>
    <n v="0.64019999999999999"/>
    <n v="65"/>
  </r>
  <r>
    <x v="58"/>
    <n v="0.98"/>
    <n v="2.84"/>
    <n v="64.13"/>
    <n v="0.28399999999999997"/>
    <n v="0.64129999999999998"/>
    <n v="65"/>
  </r>
  <r>
    <x v="59"/>
    <n v="1"/>
    <n v="2.81"/>
    <n v="65.08"/>
    <n v="0.28100000000000003"/>
    <n v="0.65079999999999993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9BCEA-9230-4E1B-AD76-6926F60C745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15" firstHeaderRow="0" firstDataRow="1" firstDataCol="1"/>
  <pivotFields count="9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numFmtId="9" showAll="0">
      <items count="12">
        <item x="1"/>
        <item x="6"/>
        <item x="9"/>
        <item x="2"/>
        <item x="5"/>
        <item x="0"/>
        <item x="10"/>
        <item x="4"/>
        <item x="8"/>
        <item x="7"/>
        <item x="3"/>
        <item t="default"/>
      </items>
    </pivotField>
    <pivotField showAll="0"/>
    <pivotField numFmtId="2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aff Responsiveness Domain Top Box Score %" fld="5" subtotal="average" baseField="1" baseItem="0" numFmtId="10"/>
    <dataField name="Average of Unassisted Fall %" fld="4" subtotal="average" baseField="1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85891-4E7F-4EB1-ABD6-83B8A954EF4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6" firstHeaderRow="0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9" showAll="0"/>
    <pivotField showAll="0"/>
    <pivotField dataField="1" numFmtId="2"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aff Responsiveness Domain Top Box Score" fld="3" subtotal="average" baseField="7" baseItem="1" numFmtId="2"/>
    <dataField name="Average of Staff Responsiveness Top Box Score Benchmark" fld="6" subtotal="average" baseField="7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5DFE-5397-46CF-8342-97C68400B5AC}">
  <dimension ref="A3:C15"/>
  <sheetViews>
    <sheetView topLeftCell="D8" zoomScale="141" workbookViewId="0">
      <selection activeCell="B4" sqref="B4"/>
    </sheetView>
  </sheetViews>
  <sheetFormatPr defaultRowHeight="14.25" x14ac:dyDescent="0.45"/>
  <cols>
    <col min="1" max="1" width="12.33203125" bestFit="1" customWidth="1"/>
    <col min="2" max="2" width="49.59765625" bestFit="1" customWidth="1"/>
    <col min="3" max="4" width="24.796875" bestFit="1" customWidth="1"/>
  </cols>
  <sheetData>
    <row r="3" spans="1:3" x14ac:dyDescent="0.45">
      <c r="A3" s="6" t="s">
        <v>4</v>
      </c>
      <c r="B3" t="s">
        <v>22</v>
      </c>
      <c r="C3" t="s">
        <v>20</v>
      </c>
    </row>
    <row r="4" spans="1:3" x14ac:dyDescent="0.45">
      <c r="A4" s="13">
        <v>0.81</v>
      </c>
      <c r="B4" s="8">
        <v>0.67069999999999996</v>
      </c>
      <c r="C4" s="8">
        <v>0.10300000000000001</v>
      </c>
    </row>
    <row r="5" spans="1:3" x14ac:dyDescent="0.45">
      <c r="A5" s="13">
        <v>0.92</v>
      </c>
      <c r="B5" s="8">
        <v>0.67549999999999999</v>
      </c>
      <c r="C5" s="8">
        <v>0.16</v>
      </c>
    </row>
    <row r="6" spans="1:3" x14ac:dyDescent="0.45">
      <c r="A6" s="13">
        <v>0.93</v>
      </c>
      <c r="B6" s="8">
        <v>0.6613</v>
      </c>
      <c r="C6" s="8">
        <v>0.20499999999999996</v>
      </c>
    </row>
    <row r="7" spans="1:3" x14ac:dyDescent="0.45">
      <c r="A7" s="13">
        <v>0.94</v>
      </c>
      <c r="B7" s="8">
        <v>0.64938571428571434</v>
      </c>
      <c r="C7" s="8">
        <v>0.254</v>
      </c>
    </row>
    <row r="8" spans="1:3" x14ac:dyDescent="0.45">
      <c r="A8" s="13">
        <v>0.95</v>
      </c>
      <c r="B8" s="8">
        <v>0.63610769230769226</v>
      </c>
      <c r="C8" s="8">
        <v>0.23530769230769227</v>
      </c>
    </row>
    <row r="9" spans="1:3" x14ac:dyDescent="0.45">
      <c r="A9" s="13">
        <v>0.96</v>
      </c>
      <c r="B9" s="8">
        <v>0.64582307692307706</v>
      </c>
      <c r="C9" s="8">
        <v>0.24607692307692305</v>
      </c>
    </row>
    <row r="10" spans="1:3" x14ac:dyDescent="0.45">
      <c r="A10" s="13">
        <v>0.97</v>
      </c>
      <c r="B10" s="8">
        <v>0.59389999999999998</v>
      </c>
      <c r="C10" s="8">
        <v>0.30533333333333335</v>
      </c>
    </row>
    <row r="11" spans="1:3" x14ac:dyDescent="0.45">
      <c r="A11" s="13">
        <v>0.98</v>
      </c>
      <c r="B11" s="8">
        <v>0.61993000000000009</v>
      </c>
      <c r="C11" s="8">
        <v>0.2848</v>
      </c>
    </row>
    <row r="12" spans="1:3" x14ac:dyDescent="0.45">
      <c r="A12" s="13">
        <v>0.99</v>
      </c>
      <c r="B12" s="8">
        <v>0.60441428571428557</v>
      </c>
      <c r="C12" s="8">
        <v>0.30299999999999999</v>
      </c>
    </row>
    <row r="13" spans="1:3" x14ac:dyDescent="0.45">
      <c r="A13" s="13">
        <v>1</v>
      </c>
      <c r="B13" s="8">
        <v>0.63070000000000004</v>
      </c>
      <c r="C13" s="8">
        <v>0.29200000000000004</v>
      </c>
    </row>
    <row r="14" spans="1:3" x14ac:dyDescent="0.45">
      <c r="A14" s="13">
        <v>1.01</v>
      </c>
      <c r="B14" s="8">
        <v>0.58044999999999991</v>
      </c>
      <c r="C14" s="8">
        <v>0.33700000000000002</v>
      </c>
    </row>
    <row r="15" spans="1:3" x14ac:dyDescent="0.45">
      <c r="A15" s="13" t="s">
        <v>5</v>
      </c>
      <c r="B15" s="8">
        <v>0.63087499999999985</v>
      </c>
      <c r="C15" s="8">
        <v>0.26078333333333337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05CE-5A0E-42D9-A1C8-8035FC83FE77}">
  <dimension ref="A3:C16"/>
  <sheetViews>
    <sheetView topLeftCell="F5" workbookViewId="0">
      <selection activeCell="A3" sqref="A3"/>
    </sheetView>
  </sheetViews>
  <sheetFormatPr defaultRowHeight="14.25" x14ac:dyDescent="0.45"/>
  <cols>
    <col min="1" max="1" width="12.33203125" bestFit="1" customWidth="1"/>
    <col min="2" max="2" width="47.59765625" bestFit="1" customWidth="1"/>
    <col min="3" max="3" width="50.59765625" bestFit="1" customWidth="1"/>
  </cols>
  <sheetData>
    <row r="3" spans="1:3" x14ac:dyDescent="0.45">
      <c r="A3" s="6" t="s">
        <v>4</v>
      </c>
      <c r="B3" t="s">
        <v>18</v>
      </c>
      <c r="C3" t="s">
        <v>24</v>
      </c>
    </row>
    <row r="4" spans="1:3" x14ac:dyDescent="0.45">
      <c r="A4" s="7" t="s">
        <v>6</v>
      </c>
      <c r="B4" s="12">
        <v>61.339999999999996</v>
      </c>
      <c r="C4">
        <v>65</v>
      </c>
    </row>
    <row r="5" spans="1:3" x14ac:dyDescent="0.45">
      <c r="A5" s="7" t="s">
        <v>7</v>
      </c>
      <c r="B5" s="12">
        <v>62.802000000000007</v>
      </c>
      <c r="C5">
        <v>65</v>
      </c>
    </row>
    <row r="6" spans="1:3" x14ac:dyDescent="0.45">
      <c r="A6" s="7" t="s">
        <v>8</v>
      </c>
      <c r="B6" s="12">
        <v>63.081999999999994</v>
      </c>
      <c r="C6">
        <v>65</v>
      </c>
    </row>
    <row r="7" spans="1:3" x14ac:dyDescent="0.45">
      <c r="A7" s="7" t="s">
        <v>9</v>
      </c>
      <c r="B7" s="12">
        <v>66.051999999999992</v>
      </c>
      <c r="C7">
        <v>65</v>
      </c>
    </row>
    <row r="8" spans="1:3" x14ac:dyDescent="0.45">
      <c r="A8" s="7" t="s">
        <v>10</v>
      </c>
      <c r="B8" s="12">
        <v>63.762</v>
      </c>
      <c r="C8">
        <v>65</v>
      </c>
    </row>
    <row r="9" spans="1:3" x14ac:dyDescent="0.45">
      <c r="A9" s="7" t="s">
        <v>11</v>
      </c>
      <c r="B9" s="12">
        <v>63.114000000000011</v>
      </c>
      <c r="C9">
        <v>65</v>
      </c>
    </row>
    <row r="10" spans="1:3" x14ac:dyDescent="0.45">
      <c r="A10" s="7" t="s">
        <v>12</v>
      </c>
      <c r="B10" s="12">
        <v>64.384</v>
      </c>
      <c r="C10">
        <v>65</v>
      </c>
    </row>
    <row r="11" spans="1:3" x14ac:dyDescent="0.45">
      <c r="A11" s="7" t="s">
        <v>13</v>
      </c>
      <c r="B11" s="12">
        <v>65.74199999999999</v>
      </c>
      <c r="C11">
        <v>65</v>
      </c>
    </row>
    <row r="12" spans="1:3" x14ac:dyDescent="0.45">
      <c r="A12" s="7" t="s">
        <v>14</v>
      </c>
      <c r="B12" s="12">
        <v>60.335999999999991</v>
      </c>
      <c r="C12">
        <v>65</v>
      </c>
    </row>
    <row r="13" spans="1:3" x14ac:dyDescent="0.45">
      <c r="A13" s="7" t="s">
        <v>15</v>
      </c>
      <c r="B13" s="12">
        <v>64.039999999999992</v>
      </c>
      <c r="C13">
        <v>65</v>
      </c>
    </row>
    <row r="14" spans="1:3" x14ac:dyDescent="0.45">
      <c r="A14" s="7" t="s">
        <v>16</v>
      </c>
      <c r="B14" s="12">
        <v>61.529999999999994</v>
      </c>
      <c r="C14">
        <v>65</v>
      </c>
    </row>
    <row r="15" spans="1:3" x14ac:dyDescent="0.45">
      <c r="A15" s="7" t="s">
        <v>17</v>
      </c>
      <c r="B15" s="12">
        <v>60.866</v>
      </c>
      <c r="C15">
        <v>65</v>
      </c>
    </row>
    <row r="16" spans="1:3" x14ac:dyDescent="0.45">
      <c r="A16" s="7" t="s">
        <v>5</v>
      </c>
      <c r="B16" s="12">
        <v>63.087500000000006</v>
      </c>
      <c r="C16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F93C-6180-4743-9F7C-F3AE74C558ED}">
  <dimension ref="A1:I18"/>
  <sheetViews>
    <sheetView tabSelected="1" workbookViewId="0">
      <selection activeCell="A16" sqref="A16:I18"/>
    </sheetView>
  </sheetViews>
  <sheetFormatPr defaultRowHeight="14.25" x14ac:dyDescent="0.45"/>
  <cols>
    <col min="1" max="1" width="15.19921875" customWidth="1"/>
    <col min="2" max="2" width="12.3984375" customWidth="1"/>
    <col min="3" max="3" width="19.53125" customWidth="1"/>
  </cols>
  <sheetData>
    <row r="1" spans="1:9" x14ac:dyDescent="0.45">
      <c r="A1" s="20" t="s">
        <v>31</v>
      </c>
      <c r="B1" s="20"/>
    </row>
    <row r="2" spans="1:9" ht="14.65" thickBot="1" x14ac:dyDescent="0.5"/>
    <row r="3" spans="1:9" x14ac:dyDescent="0.45">
      <c r="A3" s="38" t="s">
        <v>32</v>
      </c>
      <c r="B3" s="37"/>
    </row>
    <row r="4" spans="1:9" x14ac:dyDescent="0.45">
      <c r="A4" s="15" t="s">
        <v>33</v>
      </c>
      <c r="B4" s="15">
        <v>0.70011184133835558</v>
      </c>
    </row>
    <row r="5" spans="1:9" x14ac:dyDescent="0.45">
      <c r="A5" s="15" t="s">
        <v>34</v>
      </c>
      <c r="B5" s="15">
        <v>0.49015659038218284</v>
      </c>
    </row>
    <row r="6" spans="1:9" x14ac:dyDescent="0.45">
      <c r="A6" s="15" t="s">
        <v>35</v>
      </c>
      <c r="B6" s="15">
        <v>0.48136618676808257</v>
      </c>
    </row>
    <row r="7" spans="1:9" x14ac:dyDescent="0.45">
      <c r="A7" s="15" t="s">
        <v>36</v>
      </c>
      <c r="B7" s="15">
        <v>2.0459334530496497E-2</v>
      </c>
    </row>
    <row r="8" spans="1:9" x14ac:dyDescent="0.45">
      <c r="A8" s="15" t="s">
        <v>37</v>
      </c>
      <c r="B8" s="15">
        <v>60</v>
      </c>
    </row>
    <row r="10" spans="1:9" x14ac:dyDescent="0.45">
      <c r="A10" s="33" t="s">
        <v>38</v>
      </c>
    </row>
    <row r="11" spans="1:9" x14ac:dyDescent="0.45">
      <c r="A11" s="36"/>
      <c r="B11" s="36" t="s">
        <v>42</v>
      </c>
      <c r="C11" s="36" t="s">
        <v>43</v>
      </c>
      <c r="D11" s="36" t="s">
        <v>44</v>
      </c>
      <c r="E11" s="36" t="s">
        <v>45</v>
      </c>
      <c r="F11" s="36" t="s">
        <v>46</v>
      </c>
    </row>
    <row r="12" spans="1:9" x14ac:dyDescent="0.45">
      <c r="A12" s="15" t="s">
        <v>39</v>
      </c>
      <c r="B12" s="15">
        <v>1</v>
      </c>
      <c r="C12" s="15">
        <v>2.3340439906348931E-2</v>
      </c>
      <c r="D12" s="15">
        <v>2.3340439906348931E-2</v>
      </c>
      <c r="E12" s="15">
        <v>55.76041919121262</v>
      </c>
      <c r="F12" s="15">
        <v>4.8041489067497169E-10</v>
      </c>
    </row>
    <row r="13" spans="1:9" x14ac:dyDescent="0.45">
      <c r="A13" s="15" t="s">
        <v>26</v>
      </c>
      <c r="B13" s="15">
        <v>58</v>
      </c>
      <c r="C13" s="15">
        <v>2.4277893426984443E-2</v>
      </c>
      <c r="D13" s="15">
        <v>4.1858436943076625E-4</v>
      </c>
      <c r="E13" s="15"/>
      <c r="F13" s="15"/>
    </row>
    <row r="14" spans="1:9" x14ac:dyDescent="0.45">
      <c r="A14" s="15" t="s">
        <v>40</v>
      </c>
      <c r="B14" s="15">
        <v>59</v>
      </c>
      <c r="C14" s="15">
        <v>4.7618333333333374E-2</v>
      </c>
      <c r="D14" s="15"/>
      <c r="E14" s="15"/>
      <c r="F14" s="15"/>
    </row>
    <row r="16" spans="1:9" x14ac:dyDescent="0.45">
      <c r="A16" s="36"/>
      <c r="B16" s="36" t="s">
        <v>47</v>
      </c>
      <c r="C16" s="36" t="s">
        <v>36</v>
      </c>
      <c r="D16" s="36" t="s">
        <v>48</v>
      </c>
      <c r="E16" s="36" t="s">
        <v>49</v>
      </c>
      <c r="F16" s="36" t="s">
        <v>50</v>
      </c>
      <c r="G16" s="36" t="s">
        <v>51</v>
      </c>
      <c r="H16" s="36" t="s">
        <v>52</v>
      </c>
      <c r="I16" s="36" t="s">
        <v>53</v>
      </c>
    </row>
    <row r="17" spans="1:9" x14ac:dyDescent="0.45">
      <c r="A17" s="15" t="s">
        <v>41</v>
      </c>
      <c r="B17" s="15">
        <v>0.8585759989255467</v>
      </c>
      <c r="C17" s="15">
        <v>1.4121799403466938E-2</v>
      </c>
      <c r="D17" s="15">
        <v>60.797917772062682</v>
      </c>
      <c r="E17" s="15">
        <v>3.1579254800143353E-54</v>
      </c>
      <c r="F17" s="15">
        <v>0.83030814615203519</v>
      </c>
      <c r="G17" s="15">
        <v>0.88684385169905822</v>
      </c>
      <c r="H17" s="15">
        <v>0.83030814615203519</v>
      </c>
      <c r="I17" s="15">
        <v>0.88684385169905822</v>
      </c>
    </row>
    <row r="18" spans="1:9" x14ac:dyDescent="0.45">
      <c r="A18" s="15" t="s">
        <v>54</v>
      </c>
      <c r="B18" s="15">
        <v>3.972288658827379E-2</v>
      </c>
      <c r="C18" s="15">
        <v>5.3195853993144304E-3</v>
      </c>
      <c r="D18" s="15">
        <v>7.4672899495876379</v>
      </c>
      <c r="E18" s="15">
        <v>4.8041489067497883E-10</v>
      </c>
      <c r="F18" s="15">
        <v>2.9074579486062381E-2</v>
      </c>
      <c r="G18" s="15">
        <v>5.0371193690485198E-2</v>
      </c>
      <c r="H18" s="15">
        <v>2.9074579486062381E-2</v>
      </c>
      <c r="I18" s="15">
        <v>5.0371193690485198E-2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15A-E88A-4A46-8CB9-82AAF00393BE}">
  <dimension ref="A1:I18"/>
  <sheetViews>
    <sheetView workbookViewId="0">
      <selection activeCell="J9" sqref="J9"/>
    </sheetView>
  </sheetViews>
  <sheetFormatPr defaultRowHeight="14.25" x14ac:dyDescent="0.45"/>
  <cols>
    <col min="1" max="1" width="15.33203125" customWidth="1"/>
    <col min="2" max="2" width="13" customWidth="1"/>
    <col min="3" max="3" width="18.73046875" customWidth="1"/>
    <col min="6" max="6" width="15.265625" customWidth="1"/>
  </cols>
  <sheetData>
    <row r="1" spans="1:9" x14ac:dyDescent="0.45">
      <c r="A1" s="19" t="s">
        <v>31</v>
      </c>
      <c r="B1" s="19"/>
    </row>
    <row r="3" spans="1:9" x14ac:dyDescent="0.45">
      <c r="A3" s="34" t="s">
        <v>32</v>
      </c>
      <c r="B3" s="32"/>
    </row>
    <row r="4" spans="1:9" x14ac:dyDescent="0.45">
      <c r="A4" s="15" t="s">
        <v>33</v>
      </c>
      <c r="B4" s="15">
        <v>0.3718212558444699</v>
      </c>
    </row>
    <row r="5" spans="1:9" x14ac:dyDescent="0.45">
      <c r="A5" s="15" t="s">
        <v>34</v>
      </c>
      <c r="B5" s="15">
        <v>0.13825104629775875</v>
      </c>
    </row>
    <row r="6" spans="1:9" x14ac:dyDescent="0.45">
      <c r="A6" s="15" t="s">
        <v>35</v>
      </c>
      <c r="B6" s="15">
        <v>0.12339330571668562</v>
      </c>
    </row>
    <row r="7" spans="1:9" x14ac:dyDescent="0.45">
      <c r="A7" s="15" t="s">
        <v>36</v>
      </c>
      <c r="B7" s="15">
        <v>3.8841448684002987E-2</v>
      </c>
    </row>
    <row r="8" spans="1:9" x14ac:dyDescent="0.45">
      <c r="A8" s="15" t="s">
        <v>37</v>
      </c>
      <c r="B8" s="15">
        <v>60</v>
      </c>
    </row>
    <row r="10" spans="1:9" x14ac:dyDescent="0.45">
      <c r="A10" s="33" t="s">
        <v>38</v>
      </c>
    </row>
    <row r="11" spans="1:9" x14ac:dyDescent="0.45">
      <c r="A11" s="36"/>
      <c r="B11" s="36" t="s">
        <v>42</v>
      </c>
      <c r="C11" s="36" t="s">
        <v>43</v>
      </c>
      <c r="D11" s="36" t="s">
        <v>44</v>
      </c>
      <c r="E11" s="36" t="s">
        <v>45</v>
      </c>
      <c r="F11" s="36" t="s">
        <v>46</v>
      </c>
    </row>
    <row r="12" spans="1:9" x14ac:dyDescent="0.45">
      <c r="A12" s="15" t="s">
        <v>39</v>
      </c>
      <c r="B12" s="15">
        <v>1</v>
      </c>
      <c r="C12" s="15">
        <v>1.4038040619421752E-2</v>
      </c>
      <c r="D12" s="15">
        <v>1.4038040619421752E-2</v>
      </c>
      <c r="E12" s="15">
        <v>9.3049845327002831</v>
      </c>
      <c r="F12" s="15">
        <v>3.4424446963142227E-3</v>
      </c>
    </row>
    <row r="13" spans="1:9" x14ac:dyDescent="0.45">
      <c r="A13" s="15" t="s">
        <v>26</v>
      </c>
      <c r="B13" s="15">
        <v>58</v>
      </c>
      <c r="C13" s="15">
        <v>8.7502171880578183E-2</v>
      </c>
      <c r="D13" s="15">
        <v>1.5086581358720375E-3</v>
      </c>
      <c r="E13" s="15"/>
      <c r="F13" s="15"/>
    </row>
    <row r="14" spans="1:9" x14ac:dyDescent="0.45">
      <c r="A14" s="15" t="s">
        <v>40</v>
      </c>
      <c r="B14" s="15">
        <v>59</v>
      </c>
      <c r="C14" s="15">
        <v>0.10154021249999994</v>
      </c>
      <c r="D14" s="15"/>
      <c r="E14" s="15"/>
      <c r="F14" s="15"/>
    </row>
    <row r="16" spans="1:9" x14ac:dyDescent="0.45">
      <c r="A16" s="36"/>
      <c r="B16" s="36" t="s">
        <v>47</v>
      </c>
      <c r="C16" s="36" t="s">
        <v>36</v>
      </c>
      <c r="D16" s="36" t="s">
        <v>48</v>
      </c>
      <c r="E16" s="36" t="s">
        <v>49</v>
      </c>
      <c r="F16" s="36" t="s">
        <v>50</v>
      </c>
      <c r="G16" s="36" t="s">
        <v>51</v>
      </c>
      <c r="H16" s="36" t="s">
        <v>52</v>
      </c>
      <c r="I16" s="36" t="s">
        <v>53</v>
      </c>
    </row>
    <row r="17" spans="1:9" x14ac:dyDescent="0.45">
      <c r="A17" s="15" t="s">
        <v>41</v>
      </c>
      <c r="B17" s="15">
        <v>1.1532909873648109</v>
      </c>
      <c r="C17" s="15">
        <v>0.17133445496817803</v>
      </c>
      <c r="D17" s="15">
        <v>6.7312262882501468</v>
      </c>
      <c r="E17" s="15">
        <v>8.2766378182018155E-9</v>
      </c>
      <c r="F17" s="15">
        <v>0.81032781321851455</v>
      </c>
      <c r="G17" s="15">
        <v>1.4962541615111074</v>
      </c>
      <c r="H17" s="15">
        <v>0.81032781321851455</v>
      </c>
      <c r="I17" s="15">
        <v>1.4962541615111074</v>
      </c>
    </row>
    <row r="18" spans="1:9" x14ac:dyDescent="0.45">
      <c r="A18" s="15" t="s">
        <v>54</v>
      </c>
      <c r="B18" s="15">
        <v>-0.54295789436841579</v>
      </c>
      <c r="C18" s="15">
        <v>0.17799521366529522</v>
      </c>
      <c r="D18" s="15">
        <v>-3.050407273250626</v>
      </c>
      <c r="E18" s="15">
        <v>3.4424446963141576E-3</v>
      </c>
      <c r="F18" s="15">
        <v>-0.89925402565640411</v>
      </c>
      <c r="G18" s="15">
        <v>-0.18666176308042748</v>
      </c>
      <c r="H18" s="15">
        <v>-0.89925402565640411</v>
      </c>
      <c r="I18" s="15">
        <v>-0.18666176308042748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3AC5-57C6-4024-928A-A9C0FF0AC3BF}">
  <dimension ref="A1:I18"/>
  <sheetViews>
    <sheetView workbookViewId="0">
      <selection activeCell="H11" sqref="H11"/>
    </sheetView>
  </sheetViews>
  <sheetFormatPr defaultRowHeight="14.25" x14ac:dyDescent="0.45"/>
  <cols>
    <col min="1" max="1" width="20.265625" customWidth="1"/>
    <col min="2" max="2" width="13.265625" customWidth="1"/>
    <col min="3" max="3" width="15.9296875" customWidth="1"/>
    <col min="6" max="6" width="17.33203125" customWidth="1"/>
  </cols>
  <sheetData>
    <row r="1" spans="1:9" x14ac:dyDescent="0.45">
      <c r="A1" s="19" t="s">
        <v>31</v>
      </c>
      <c r="B1" s="19"/>
    </row>
    <row r="3" spans="1:9" x14ac:dyDescent="0.45">
      <c r="A3" s="34" t="s">
        <v>32</v>
      </c>
      <c r="B3" s="32"/>
    </row>
    <row r="4" spans="1:9" x14ac:dyDescent="0.45">
      <c r="A4" s="15" t="s">
        <v>33</v>
      </c>
      <c r="B4" s="15">
        <v>0.79133973626050724</v>
      </c>
    </row>
    <row r="5" spans="1:9" x14ac:dyDescent="0.45">
      <c r="A5" s="15" t="s">
        <v>34</v>
      </c>
      <c r="B5" s="15">
        <v>0.62621857818484916</v>
      </c>
      <c r="C5" s="21" t="s">
        <v>59</v>
      </c>
      <c r="D5" s="21"/>
      <c r="E5" s="21"/>
      <c r="F5" s="21"/>
    </row>
    <row r="6" spans="1:9" x14ac:dyDescent="0.45">
      <c r="A6" s="15" t="s">
        <v>35</v>
      </c>
      <c r="B6" s="15">
        <v>0.61977407091217418</v>
      </c>
    </row>
    <row r="7" spans="1:9" x14ac:dyDescent="0.45">
      <c r="A7" s="15" t="s">
        <v>36</v>
      </c>
      <c r="B7" s="15">
        <v>0.30875114530428671</v>
      </c>
    </row>
    <row r="8" spans="1:9" x14ac:dyDescent="0.45">
      <c r="A8" s="15" t="s">
        <v>37</v>
      </c>
      <c r="B8" s="15">
        <v>60</v>
      </c>
    </row>
    <row r="10" spans="1:9" x14ac:dyDescent="0.45">
      <c r="A10" s="35" t="s">
        <v>38</v>
      </c>
    </row>
    <row r="11" spans="1:9" x14ac:dyDescent="0.45">
      <c r="A11" s="36"/>
      <c r="B11" s="36" t="s">
        <v>42</v>
      </c>
      <c r="C11" s="36" t="s">
        <v>43</v>
      </c>
      <c r="D11" s="36" t="s">
        <v>44</v>
      </c>
      <c r="E11" s="36" t="s">
        <v>45</v>
      </c>
      <c r="F11" s="36" t="s">
        <v>46</v>
      </c>
    </row>
    <row r="12" spans="1:9" x14ac:dyDescent="0.45">
      <c r="A12" s="15" t="s">
        <v>39</v>
      </c>
      <c r="B12" s="15">
        <v>1</v>
      </c>
      <c r="C12" s="15">
        <v>9.2630366891842186</v>
      </c>
      <c r="D12" s="15">
        <v>9.2630366891842186</v>
      </c>
      <c r="E12" s="15">
        <v>97.170900999684278</v>
      </c>
      <c r="F12" s="15">
        <v>5.2684553875767083E-14</v>
      </c>
    </row>
    <row r="13" spans="1:9" x14ac:dyDescent="0.45">
      <c r="A13" s="15" t="s">
        <v>26</v>
      </c>
      <c r="B13" s="15">
        <v>58</v>
      </c>
      <c r="C13" s="15">
        <v>5.5289816441491091</v>
      </c>
      <c r="D13" s="15">
        <v>9.5327269726708783E-2</v>
      </c>
      <c r="E13" s="15"/>
      <c r="F13" s="15"/>
    </row>
    <row r="14" spans="1:9" x14ac:dyDescent="0.45">
      <c r="A14" s="15" t="s">
        <v>40</v>
      </c>
      <c r="B14" s="15">
        <v>59</v>
      </c>
      <c r="C14" s="15">
        <v>14.792018333333328</v>
      </c>
      <c r="D14" s="15"/>
      <c r="E14" s="15"/>
      <c r="F14" s="15"/>
    </row>
    <row r="16" spans="1:9" x14ac:dyDescent="0.45">
      <c r="A16" s="36"/>
      <c r="B16" s="36" t="s">
        <v>47</v>
      </c>
      <c r="C16" s="36" t="s">
        <v>36</v>
      </c>
      <c r="D16" s="36" t="s">
        <v>48</v>
      </c>
      <c r="E16" s="36" t="s">
        <v>49</v>
      </c>
      <c r="F16" s="36" t="s">
        <v>50</v>
      </c>
      <c r="G16" s="36" t="s">
        <v>51</v>
      </c>
      <c r="H16" s="36" t="s">
        <v>52</v>
      </c>
      <c r="I16" s="36" t="s">
        <v>53</v>
      </c>
    </row>
    <row r="17" spans="1:9" x14ac:dyDescent="0.45">
      <c r="A17" s="15" t="s">
        <v>41</v>
      </c>
      <c r="B17" s="15">
        <v>8.6334427338331601</v>
      </c>
      <c r="C17" s="15">
        <v>0.61256789062083317</v>
      </c>
      <c r="D17" s="15">
        <v>14.093854519673284</v>
      </c>
      <c r="E17" s="15">
        <v>2.1931103876694927E-20</v>
      </c>
      <c r="F17" s="15">
        <v>7.4072548769514723</v>
      </c>
      <c r="G17" s="15">
        <v>9.8596305907148469</v>
      </c>
      <c r="H17" s="15">
        <v>7.4072548769514723</v>
      </c>
      <c r="I17" s="15">
        <v>9.8596305907148469</v>
      </c>
    </row>
    <row r="18" spans="1:9" x14ac:dyDescent="0.45">
      <c r="A18" s="15" t="s">
        <v>54</v>
      </c>
      <c r="B18" s="15">
        <v>-9.5511938189020427</v>
      </c>
      <c r="C18" s="15">
        <v>0.96892362049912795</v>
      </c>
      <c r="D18" s="15">
        <v>-9.8575301673230697</v>
      </c>
      <c r="E18" s="15">
        <v>5.2684553875765568E-14</v>
      </c>
      <c r="F18" s="15">
        <v>-11.490705170856449</v>
      </c>
      <c r="G18" s="15">
        <v>-7.6116824669476362</v>
      </c>
      <c r="H18" s="15">
        <v>-11.490705170856449</v>
      </c>
      <c r="I18" s="15">
        <v>-7.6116824669476362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E8AC-AF1E-4264-A1B1-BB03EFE6CAF1}">
  <dimension ref="B1:N66"/>
  <sheetViews>
    <sheetView showGridLines="0" topLeftCell="E1" workbookViewId="0">
      <pane ySplit="1" topLeftCell="A52" activePane="bottomLeft" state="frozen"/>
      <selection activeCell="F1" sqref="F1"/>
      <selection pane="bottomLeft" activeCell="G65" sqref="G65"/>
    </sheetView>
  </sheetViews>
  <sheetFormatPr defaultRowHeight="14.25" x14ac:dyDescent="0.45"/>
  <cols>
    <col min="1" max="1" width="2.796875" customWidth="1"/>
    <col min="2" max="2" width="10.6640625" bestFit="1" customWidth="1"/>
    <col min="3" max="3" width="23" bestFit="1" customWidth="1"/>
    <col min="4" max="4" width="24.6640625" bestFit="1" customWidth="1"/>
    <col min="5" max="5" width="23.53125" style="11" bestFit="1" customWidth="1"/>
    <col min="6" max="6" width="18.1328125" customWidth="1"/>
    <col min="7" max="7" width="18.53125" bestFit="1" customWidth="1"/>
    <col min="8" max="8" width="18.1328125" bestFit="1" customWidth="1"/>
    <col min="9" max="9" width="26.53125" bestFit="1" customWidth="1"/>
    <col min="10" max="10" width="19.73046875" customWidth="1"/>
    <col min="11" max="11" width="15.06640625" customWidth="1"/>
    <col min="12" max="12" width="15.53125" customWidth="1"/>
    <col min="13" max="13" width="16.6640625" customWidth="1"/>
  </cols>
  <sheetData>
    <row r="1" spans="2:14" ht="65.55" customHeight="1" x14ac:dyDescent="0.45">
      <c r="B1" s="1" t="s">
        <v>0</v>
      </c>
      <c r="C1" s="2" t="s">
        <v>3</v>
      </c>
      <c r="D1" s="2" t="s">
        <v>2</v>
      </c>
      <c r="E1" s="9" t="s">
        <v>1</v>
      </c>
      <c r="F1" s="2" t="s">
        <v>19</v>
      </c>
      <c r="G1" s="2" t="s">
        <v>21</v>
      </c>
      <c r="H1" s="2" t="s">
        <v>23</v>
      </c>
      <c r="I1" s="2" t="s">
        <v>25</v>
      </c>
      <c r="J1" s="2" t="s">
        <v>30</v>
      </c>
      <c r="K1" s="2" t="s">
        <v>28</v>
      </c>
      <c r="L1" s="2" t="s">
        <v>29</v>
      </c>
      <c r="M1" s="2" t="s">
        <v>26</v>
      </c>
    </row>
    <row r="2" spans="2:14" x14ac:dyDescent="0.45">
      <c r="B2" s="3">
        <v>43831</v>
      </c>
      <c r="C2" s="4">
        <v>0.96</v>
      </c>
      <c r="D2" s="5">
        <v>2.21</v>
      </c>
      <c r="E2" s="10">
        <v>68.34</v>
      </c>
      <c r="F2" s="15">
        <f>D2/1000*100</f>
        <v>0.22100000000000003</v>
      </c>
      <c r="G2" s="15">
        <f>E2/100</f>
        <v>0.68340000000000001</v>
      </c>
      <c r="H2" s="15">
        <v>65</v>
      </c>
      <c r="I2" s="15">
        <f>MONTH(B2)</f>
        <v>1</v>
      </c>
      <c r="J2" s="15"/>
      <c r="K2" s="15">
        <f>AVERAGEIFS(D:D,I:I,1)</f>
        <v>2.9660000000000002</v>
      </c>
      <c r="L2" s="15">
        <f>VLOOKUP(I2,I$2:K$61,3,FALSE)-$J$62</f>
        <v>0.35816666666666741</v>
      </c>
      <c r="M2" s="15">
        <f>D2-J2-L2</f>
        <v>1.8518333333333326</v>
      </c>
    </row>
    <row r="3" spans="2:14" x14ac:dyDescent="0.45">
      <c r="B3" s="3">
        <v>43862</v>
      </c>
      <c r="C3" s="4">
        <v>0.96</v>
      </c>
      <c r="D3" s="5">
        <v>1.79</v>
      </c>
      <c r="E3" s="10">
        <v>72.75</v>
      </c>
      <c r="F3" s="15">
        <f t="shared" ref="F3:F61" si="0">D3/1000*100</f>
        <v>0.17900000000000002</v>
      </c>
      <c r="G3" s="15">
        <f t="shared" ref="G3:G61" si="1">E3/100</f>
        <v>0.72750000000000004</v>
      </c>
      <c r="H3" s="15">
        <v>65</v>
      </c>
      <c r="I3" s="15">
        <f t="shared" ref="I3:I61" si="2">MONTH(B3)</f>
        <v>2</v>
      </c>
      <c r="J3" s="15"/>
      <c r="K3" s="15">
        <f>AVERAGEIFS(D:D,I:I,2)</f>
        <v>2.774</v>
      </c>
      <c r="L3" s="15">
        <f>VLOOKUP(I3,I$2:K$61,3,FALSE)-$J$62</f>
        <v>0.16616666666666724</v>
      </c>
      <c r="M3" s="15">
        <f t="shared" ref="M3:M61" si="3">D3-J3-L3</f>
        <v>1.6238333333333328</v>
      </c>
    </row>
    <row r="4" spans="2:14" x14ac:dyDescent="0.45">
      <c r="B4" s="3">
        <v>43891</v>
      </c>
      <c r="C4" s="4">
        <v>0.81</v>
      </c>
      <c r="D4" s="5">
        <v>1.03</v>
      </c>
      <c r="E4" s="10">
        <v>67.069999999999993</v>
      </c>
      <c r="F4" s="15">
        <f t="shared" si="0"/>
        <v>0.10300000000000001</v>
      </c>
      <c r="G4" s="15">
        <f t="shared" si="1"/>
        <v>0.67069999999999996</v>
      </c>
      <c r="H4" s="15">
        <v>65</v>
      </c>
      <c r="I4" s="15">
        <f t="shared" si="2"/>
        <v>3</v>
      </c>
      <c r="J4" s="15"/>
      <c r="K4" s="15">
        <f>AVERAGEIFS(D:D,I:I,3)</f>
        <v>2.3279999999999998</v>
      </c>
      <c r="L4" s="15">
        <f>VLOOKUP(I4,I$2:K$61,3,FALSE)-$J$62</f>
        <v>-0.27983333333333293</v>
      </c>
      <c r="M4" s="15">
        <f t="shared" si="3"/>
        <v>1.309833333333333</v>
      </c>
    </row>
    <row r="5" spans="2:14" x14ac:dyDescent="0.45">
      <c r="B5" s="3">
        <v>43922</v>
      </c>
      <c r="C5" s="4">
        <v>0.94</v>
      </c>
      <c r="D5" s="5">
        <v>1.97</v>
      </c>
      <c r="E5" s="10">
        <v>71.209999999999994</v>
      </c>
      <c r="F5" s="15">
        <f t="shared" si="0"/>
        <v>0.19700000000000001</v>
      </c>
      <c r="G5" s="15">
        <f t="shared" si="1"/>
        <v>0.71209999999999996</v>
      </c>
      <c r="H5" s="15">
        <v>65</v>
      </c>
      <c r="I5" s="15">
        <f t="shared" si="2"/>
        <v>4</v>
      </c>
      <c r="J5" s="15"/>
      <c r="K5" s="15">
        <f>AVERAGEIFS(D:D,I:I,4)</f>
        <v>2.3120000000000003</v>
      </c>
      <c r="L5" s="15">
        <f>VLOOKUP(I5,I$2:K$61,3,FALSE)-$J$62</f>
        <v>-0.2958333333333325</v>
      </c>
      <c r="M5" s="15">
        <f t="shared" si="3"/>
        <v>2.2658333333333323</v>
      </c>
    </row>
    <row r="6" spans="2:14" x14ac:dyDescent="0.45">
      <c r="B6" s="3">
        <v>43952</v>
      </c>
      <c r="C6" s="4">
        <v>1.01</v>
      </c>
      <c r="D6" s="5">
        <v>3.41</v>
      </c>
      <c r="E6" s="10">
        <v>57.68</v>
      </c>
      <c r="F6" s="15">
        <f t="shared" si="0"/>
        <v>0.34100000000000003</v>
      </c>
      <c r="G6" s="15">
        <f t="shared" si="1"/>
        <v>0.57679999999999998</v>
      </c>
      <c r="H6" s="15">
        <v>65</v>
      </c>
      <c r="I6" s="15">
        <f t="shared" si="2"/>
        <v>5</v>
      </c>
      <c r="J6" s="15"/>
      <c r="K6" s="15">
        <f>AVERAGEIFS(D:D,I:I,5)</f>
        <v>2.6240000000000001</v>
      </c>
      <c r="L6" s="15">
        <f>VLOOKUP(I6,I$2:K$61,3,FALSE)-$J$62</f>
        <v>1.6166666666667329E-2</v>
      </c>
      <c r="M6" s="15">
        <f t="shared" si="3"/>
        <v>3.3938333333333328</v>
      </c>
    </row>
    <row r="7" spans="2:14" x14ac:dyDescent="0.45">
      <c r="B7" s="3">
        <v>43983</v>
      </c>
      <c r="C7" s="4">
        <v>0.98</v>
      </c>
      <c r="D7" s="5">
        <v>2.61</v>
      </c>
      <c r="E7" s="10">
        <v>67.86</v>
      </c>
      <c r="F7" s="15">
        <f t="shared" si="0"/>
        <v>0.26100000000000001</v>
      </c>
      <c r="G7" s="15">
        <f t="shared" si="1"/>
        <v>0.67859999999999998</v>
      </c>
      <c r="H7" s="15">
        <v>65</v>
      </c>
      <c r="I7" s="15">
        <f t="shared" si="2"/>
        <v>6</v>
      </c>
      <c r="J7" s="15">
        <f>AVERAGE(D2:D7)</f>
        <v>2.17</v>
      </c>
      <c r="K7" s="15">
        <f>AVERAGEIFS(D:D,I:I,6)</f>
        <v>2.524</v>
      </c>
      <c r="L7" s="15">
        <f>VLOOKUP(I7,I$2:K$61,3,FALSE)-$J$62</f>
        <v>-8.383333333333276E-2</v>
      </c>
      <c r="M7" s="15">
        <f t="shared" si="3"/>
        <v>0.52383333333333271</v>
      </c>
      <c r="N7" s="18"/>
    </row>
    <row r="8" spans="2:14" x14ac:dyDescent="0.45">
      <c r="B8" s="3">
        <v>44013</v>
      </c>
      <c r="C8" s="4">
        <v>0.95</v>
      </c>
      <c r="D8" s="5">
        <v>2.42</v>
      </c>
      <c r="E8" s="10">
        <v>66.09</v>
      </c>
      <c r="F8" s="15">
        <f t="shared" si="0"/>
        <v>0.24199999999999999</v>
      </c>
      <c r="G8" s="15">
        <f t="shared" si="1"/>
        <v>0.66090000000000004</v>
      </c>
      <c r="H8" s="15">
        <v>65</v>
      </c>
      <c r="I8" s="15">
        <f t="shared" si="2"/>
        <v>7</v>
      </c>
      <c r="J8" s="16">
        <f t="shared" ref="J8:J61" si="4">AVERAGE(D3:D8)</f>
        <v>2.2049999999999996</v>
      </c>
      <c r="K8" s="15">
        <f>AVERAGEIFS(D:D,I:I,7)</f>
        <v>2.5140000000000002</v>
      </c>
      <c r="L8" s="15">
        <f>VLOOKUP(I8,I$2:K$61,3,FALSE)-$J$62</f>
        <v>-9.3833333333332547E-2</v>
      </c>
      <c r="M8" s="15">
        <f t="shared" si="3"/>
        <v>0.30883333333333285</v>
      </c>
    </row>
    <row r="9" spans="2:14" x14ac:dyDescent="0.45">
      <c r="B9" s="3">
        <v>44044</v>
      </c>
      <c r="C9" s="4">
        <v>0.94</v>
      </c>
      <c r="D9" s="5">
        <v>2.09</v>
      </c>
      <c r="E9" s="10">
        <v>70.38</v>
      </c>
      <c r="F9" s="15">
        <f t="shared" si="0"/>
        <v>0.20899999999999999</v>
      </c>
      <c r="G9" s="15">
        <f t="shared" si="1"/>
        <v>0.70379999999999998</v>
      </c>
      <c r="H9" s="15">
        <v>65</v>
      </c>
      <c r="I9" s="15">
        <f t="shared" si="2"/>
        <v>8</v>
      </c>
      <c r="J9" s="16">
        <f t="shared" si="4"/>
        <v>2.2549999999999999</v>
      </c>
      <c r="K9" s="15">
        <f>AVERAGEIFS(D:D,I:I,8)</f>
        <v>2.3860000000000001</v>
      </c>
      <c r="L9" s="15">
        <f>VLOOKUP(I9,I$2:K$61,3,FALSE)-$J$62</f>
        <v>-0.22183333333333266</v>
      </c>
      <c r="M9" s="15">
        <f t="shared" si="3"/>
        <v>5.6833333333332625E-2</v>
      </c>
    </row>
    <row r="10" spans="2:14" x14ac:dyDescent="0.45">
      <c r="B10" s="3">
        <v>44075</v>
      </c>
      <c r="C10" s="4">
        <v>0.95</v>
      </c>
      <c r="D10" s="5">
        <v>3.11</v>
      </c>
      <c r="E10" s="10">
        <v>53.31</v>
      </c>
      <c r="F10" s="15">
        <f t="shared" si="0"/>
        <v>0.311</v>
      </c>
      <c r="G10" s="15">
        <f t="shared" si="1"/>
        <v>0.53310000000000002</v>
      </c>
      <c r="H10" s="15">
        <v>65</v>
      </c>
      <c r="I10" s="15">
        <f t="shared" si="2"/>
        <v>9</v>
      </c>
      <c r="J10" s="16">
        <f t="shared" si="4"/>
        <v>2.6016666666666666</v>
      </c>
      <c r="K10" s="15">
        <f>AVERAGEIFS(D:D,I:I,9)</f>
        <v>2.9060000000000001</v>
      </c>
      <c r="L10" s="15">
        <f>VLOOKUP(I10,I$2:K$61,3,FALSE)-$J$62</f>
        <v>0.29816666666666736</v>
      </c>
      <c r="M10" s="15">
        <f t="shared" si="3"/>
        <v>0.21016666666666595</v>
      </c>
    </row>
    <row r="11" spans="2:14" x14ac:dyDescent="0.45">
      <c r="B11" s="3">
        <v>44105</v>
      </c>
      <c r="C11" s="4">
        <v>0.92</v>
      </c>
      <c r="D11" s="5">
        <v>1.6</v>
      </c>
      <c r="E11" s="10">
        <v>67.55</v>
      </c>
      <c r="F11" s="15">
        <f t="shared" si="0"/>
        <v>0.16</v>
      </c>
      <c r="G11" s="15">
        <f t="shared" si="1"/>
        <v>0.67549999999999999</v>
      </c>
      <c r="H11" s="15">
        <v>65</v>
      </c>
      <c r="I11" s="15">
        <f t="shared" si="2"/>
        <v>10</v>
      </c>
      <c r="J11" s="16">
        <f t="shared" si="4"/>
        <v>2.5399999999999996</v>
      </c>
      <c r="K11" s="15">
        <f>AVERAGEIFS(D:D,I:I,10)</f>
        <v>2.4300000000000002</v>
      </c>
      <c r="L11" s="15">
        <f>VLOOKUP(I11,I$2:K$61,3,FALSE)-$J$62</f>
        <v>-0.17783333333333262</v>
      </c>
      <c r="M11" s="15">
        <f t="shared" si="3"/>
        <v>-0.76216666666666688</v>
      </c>
    </row>
    <row r="12" spans="2:14" x14ac:dyDescent="0.45">
      <c r="B12" s="3">
        <v>44136</v>
      </c>
      <c r="C12" s="4">
        <v>0.95</v>
      </c>
      <c r="D12" s="5">
        <v>2.31</v>
      </c>
      <c r="E12" s="10">
        <v>60.35</v>
      </c>
      <c r="F12" s="15">
        <f t="shared" si="0"/>
        <v>0.23100000000000001</v>
      </c>
      <c r="G12" s="15">
        <f t="shared" si="1"/>
        <v>0.60350000000000004</v>
      </c>
      <c r="H12" s="15">
        <v>65</v>
      </c>
      <c r="I12" s="15">
        <f t="shared" si="2"/>
        <v>11</v>
      </c>
      <c r="J12" s="16">
        <f t="shared" si="4"/>
        <v>2.3566666666666665</v>
      </c>
      <c r="K12" s="15">
        <f>AVERAGEIFS(D:D,I:I,11)</f>
        <v>2.7120000000000002</v>
      </c>
      <c r="L12" s="15">
        <f>VLOOKUP(I12,I$2:K$61,3,FALSE)-$J$62</f>
        <v>0.10416666666666741</v>
      </c>
      <c r="M12" s="15">
        <f t="shared" si="3"/>
        <v>-0.15083333333333382</v>
      </c>
    </row>
    <row r="13" spans="2:14" x14ac:dyDescent="0.45">
      <c r="B13" s="3">
        <v>44166</v>
      </c>
      <c r="C13" s="4">
        <v>0.98</v>
      </c>
      <c r="D13" s="5">
        <v>2.4700000000000002</v>
      </c>
      <c r="E13" s="10">
        <v>61.33</v>
      </c>
      <c r="F13" s="15">
        <f t="shared" si="0"/>
        <v>0.24700000000000005</v>
      </c>
      <c r="G13" s="15">
        <f t="shared" si="1"/>
        <v>0.61329999999999996</v>
      </c>
      <c r="H13" s="15">
        <v>65</v>
      </c>
      <c r="I13" s="15">
        <f t="shared" si="2"/>
        <v>12</v>
      </c>
      <c r="J13" s="16">
        <f t="shared" si="4"/>
        <v>2.3333333333333335</v>
      </c>
      <c r="K13" s="15">
        <f>AVERAGEIFS(D:D,I:I,12)</f>
        <v>2.8180000000000001</v>
      </c>
      <c r="L13" s="15">
        <f>VLOOKUP(I13,I$2:K$61,3,FALSE)-$J$62</f>
        <v>0.21016666666666728</v>
      </c>
      <c r="M13" s="15">
        <f t="shared" si="3"/>
        <v>-7.3500000000000565E-2</v>
      </c>
    </row>
    <row r="14" spans="2:14" x14ac:dyDescent="0.45">
      <c r="B14" s="3">
        <v>44197</v>
      </c>
      <c r="C14" s="4">
        <v>1</v>
      </c>
      <c r="D14" s="5">
        <v>3.03</v>
      </c>
      <c r="E14" s="10">
        <v>61.06</v>
      </c>
      <c r="F14" s="15">
        <f t="shared" si="0"/>
        <v>0.30299999999999999</v>
      </c>
      <c r="G14" s="15">
        <f t="shared" si="1"/>
        <v>0.61060000000000003</v>
      </c>
      <c r="H14" s="15">
        <v>65</v>
      </c>
      <c r="I14" s="15">
        <f t="shared" si="2"/>
        <v>1</v>
      </c>
      <c r="J14" s="16">
        <f t="shared" si="4"/>
        <v>2.4350000000000001</v>
      </c>
      <c r="K14" s="15">
        <f>AVERAGEIFS(D:D,I:I,1)</f>
        <v>2.9660000000000002</v>
      </c>
      <c r="L14" s="15">
        <f>VLOOKUP(I14,I$2:K$61,3,FALSE)-$J$62</f>
        <v>0.35816666666666741</v>
      </c>
      <c r="M14" s="15">
        <f t="shared" si="3"/>
        <v>0.23683333333333234</v>
      </c>
    </row>
    <row r="15" spans="2:14" x14ac:dyDescent="0.45">
      <c r="B15" s="3">
        <v>44228</v>
      </c>
      <c r="C15" s="4">
        <v>0.99</v>
      </c>
      <c r="D15" s="5">
        <v>2.35</v>
      </c>
      <c r="E15" s="10">
        <v>65.23</v>
      </c>
      <c r="F15" s="15">
        <f t="shared" si="0"/>
        <v>0.23500000000000001</v>
      </c>
      <c r="G15" s="15">
        <f t="shared" si="1"/>
        <v>0.65229999999999999</v>
      </c>
      <c r="H15" s="15">
        <v>65</v>
      </c>
      <c r="I15" s="15">
        <f t="shared" si="2"/>
        <v>2</v>
      </c>
      <c r="J15" s="16">
        <f t="shared" si="4"/>
        <v>2.4783333333333331</v>
      </c>
      <c r="K15" s="15">
        <f>AVERAGEIFS(D:D,I:I,2)</f>
        <v>2.774</v>
      </c>
      <c r="L15" s="15">
        <f>VLOOKUP(I15,I$2:K$61,3,FALSE)-$J$62</f>
        <v>0.16616666666666724</v>
      </c>
      <c r="M15" s="15">
        <f t="shared" si="3"/>
        <v>-0.29450000000000021</v>
      </c>
    </row>
    <row r="16" spans="2:14" x14ac:dyDescent="0.45">
      <c r="B16" s="3">
        <v>44256</v>
      </c>
      <c r="C16" s="4">
        <v>0.95</v>
      </c>
      <c r="D16" s="5">
        <v>2.4700000000000002</v>
      </c>
      <c r="E16" s="10">
        <v>64.02</v>
      </c>
      <c r="F16" s="15">
        <f t="shared" si="0"/>
        <v>0.24700000000000005</v>
      </c>
      <c r="G16" s="15">
        <f t="shared" si="1"/>
        <v>0.64019999999999999</v>
      </c>
      <c r="H16" s="15">
        <v>65</v>
      </c>
      <c r="I16" s="15">
        <f t="shared" si="2"/>
        <v>3</v>
      </c>
      <c r="J16" s="16">
        <f t="shared" si="4"/>
        <v>2.3716666666666666</v>
      </c>
      <c r="K16" s="15">
        <f>AVERAGEIFS(D:D,I:I,3)</f>
        <v>2.3279999999999998</v>
      </c>
      <c r="L16" s="15">
        <f>VLOOKUP(I16,I$2:K$61,3,FALSE)-$J$62</f>
        <v>-0.27983333333333293</v>
      </c>
      <c r="M16" s="15">
        <f t="shared" si="3"/>
        <v>0.37816666666666654</v>
      </c>
    </row>
    <row r="17" spans="2:13" x14ac:dyDescent="0.45">
      <c r="B17" s="3">
        <v>44287</v>
      </c>
      <c r="C17" s="4">
        <v>0.96</v>
      </c>
      <c r="D17" s="5">
        <v>1.94</v>
      </c>
      <c r="E17" s="10">
        <v>70.11</v>
      </c>
      <c r="F17" s="15">
        <f t="shared" si="0"/>
        <v>0.19399999999999998</v>
      </c>
      <c r="G17" s="15">
        <f t="shared" si="1"/>
        <v>0.70109999999999995</v>
      </c>
      <c r="H17" s="15">
        <v>65</v>
      </c>
      <c r="I17" s="15">
        <f t="shared" si="2"/>
        <v>4</v>
      </c>
      <c r="J17" s="16">
        <f t="shared" si="4"/>
        <v>2.4283333333333332</v>
      </c>
      <c r="K17" s="15">
        <f>AVERAGEIFS(D:D,I:I,4)</f>
        <v>2.3120000000000003</v>
      </c>
      <c r="L17" s="15">
        <f>VLOOKUP(I17,I$2:K$61,3,FALSE)-$J$62</f>
        <v>-0.2958333333333325</v>
      </c>
      <c r="M17" s="15">
        <f t="shared" si="3"/>
        <v>-0.19250000000000078</v>
      </c>
    </row>
    <row r="18" spans="2:13" x14ac:dyDescent="0.45">
      <c r="B18" s="3">
        <v>44317</v>
      </c>
      <c r="C18" s="4">
        <v>0.94</v>
      </c>
      <c r="D18" s="5">
        <v>2.54</v>
      </c>
      <c r="E18" s="10">
        <v>68.16</v>
      </c>
      <c r="F18" s="15">
        <f t="shared" si="0"/>
        <v>0.254</v>
      </c>
      <c r="G18" s="15">
        <f t="shared" si="1"/>
        <v>0.68159999999999998</v>
      </c>
      <c r="H18" s="15">
        <v>65</v>
      </c>
      <c r="I18" s="15">
        <f t="shared" si="2"/>
        <v>5</v>
      </c>
      <c r="J18" s="16">
        <f t="shared" si="4"/>
        <v>2.4666666666666668</v>
      </c>
      <c r="K18" s="15">
        <f>AVERAGEIFS(D:D,I:I,5)</f>
        <v>2.6240000000000001</v>
      </c>
      <c r="L18" s="15">
        <f>VLOOKUP(I18,I$2:K$61,3,FALSE)-$J$62</f>
        <v>1.6166666666667329E-2</v>
      </c>
      <c r="M18" s="15">
        <f t="shared" si="3"/>
        <v>5.7166666666665922E-2</v>
      </c>
    </row>
    <row r="19" spans="2:13" x14ac:dyDescent="0.45">
      <c r="B19" s="3">
        <v>44348</v>
      </c>
      <c r="C19" s="4">
        <v>0.94</v>
      </c>
      <c r="D19" s="5">
        <v>3.17</v>
      </c>
      <c r="E19" s="10">
        <v>54.38</v>
      </c>
      <c r="F19" s="15">
        <f t="shared" si="0"/>
        <v>0.317</v>
      </c>
      <c r="G19" s="15">
        <f t="shared" si="1"/>
        <v>0.54380000000000006</v>
      </c>
      <c r="H19" s="15">
        <v>65</v>
      </c>
      <c r="I19" s="15">
        <f t="shared" si="2"/>
        <v>6</v>
      </c>
      <c r="J19" s="16">
        <f t="shared" si="4"/>
        <v>2.583333333333333</v>
      </c>
      <c r="K19" s="15">
        <f>AVERAGEIFS(D:D,I:I,6)</f>
        <v>2.524</v>
      </c>
      <c r="L19" s="15">
        <f>VLOOKUP(I19,I$2:K$61,3,FALSE)-$J$62</f>
        <v>-8.383333333333276E-2</v>
      </c>
      <c r="M19" s="15">
        <f t="shared" si="3"/>
        <v>0.67049999999999965</v>
      </c>
    </row>
    <row r="20" spans="2:13" x14ac:dyDescent="0.45">
      <c r="B20" s="3">
        <v>44378</v>
      </c>
      <c r="C20" s="4">
        <v>0.94</v>
      </c>
      <c r="D20" s="5">
        <v>2.79</v>
      </c>
      <c r="E20" s="10">
        <v>64</v>
      </c>
      <c r="F20" s="15">
        <f t="shared" si="0"/>
        <v>0.27899999999999997</v>
      </c>
      <c r="G20" s="15">
        <f t="shared" si="1"/>
        <v>0.64</v>
      </c>
      <c r="H20" s="15">
        <v>65</v>
      </c>
      <c r="I20" s="15">
        <f t="shared" si="2"/>
        <v>7</v>
      </c>
      <c r="J20" s="16">
        <f t="shared" si="4"/>
        <v>2.5433333333333334</v>
      </c>
      <c r="K20" s="15">
        <f>AVERAGEIFS(D:D,I:I,7)</f>
        <v>2.5140000000000002</v>
      </c>
      <c r="L20" s="15">
        <f>VLOOKUP(I20,I$2:K$61,3,FALSE)-$J$62</f>
        <v>-9.3833333333332547E-2</v>
      </c>
      <c r="M20" s="15">
        <f t="shared" si="3"/>
        <v>0.34049999999999914</v>
      </c>
    </row>
    <row r="21" spans="2:13" x14ac:dyDescent="0.45">
      <c r="B21" s="3">
        <v>44409</v>
      </c>
      <c r="C21" s="4">
        <v>0.93</v>
      </c>
      <c r="D21" s="5">
        <v>2.0499999999999998</v>
      </c>
      <c r="E21" s="10">
        <v>66.13</v>
      </c>
      <c r="F21" s="15">
        <f t="shared" si="0"/>
        <v>0.20499999999999996</v>
      </c>
      <c r="G21" s="15">
        <f t="shared" si="1"/>
        <v>0.6613</v>
      </c>
      <c r="H21" s="15">
        <v>65</v>
      </c>
      <c r="I21" s="15">
        <f t="shared" si="2"/>
        <v>8</v>
      </c>
      <c r="J21" s="16">
        <f t="shared" si="4"/>
        <v>2.4933333333333336</v>
      </c>
      <c r="K21" s="15">
        <f>AVERAGEIFS(D:D,I:I,8)</f>
        <v>2.3860000000000001</v>
      </c>
      <c r="L21" s="15">
        <f>VLOOKUP(I21,I$2:K$61,3,FALSE)-$J$62</f>
        <v>-0.22183333333333266</v>
      </c>
      <c r="M21" s="15">
        <f t="shared" si="3"/>
        <v>-0.22150000000000114</v>
      </c>
    </row>
    <row r="22" spans="2:13" x14ac:dyDescent="0.45">
      <c r="B22" s="3">
        <v>44440</v>
      </c>
      <c r="C22" s="4">
        <v>0.97</v>
      </c>
      <c r="D22" s="5">
        <v>3.34</v>
      </c>
      <c r="E22" s="10">
        <v>55.17</v>
      </c>
      <c r="F22" s="15">
        <f t="shared" si="0"/>
        <v>0.33399999999999996</v>
      </c>
      <c r="G22" s="15">
        <f t="shared" si="1"/>
        <v>0.55169999999999997</v>
      </c>
      <c r="H22" s="15">
        <v>65</v>
      </c>
      <c r="I22" s="15">
        <f t="shared" si="2"/>
        <v>9</v>
      </c>
      <c r="J22" s="16">
        <f t="shared" si="4"/>
        <v>2.6383333333333336</v>
      </c>
      <c r="K22" s="15">
        <f>AVERAGEIFS(D:D,I:I,9)</f>
        <v>2.9060000000000001</v>
      </c>
      <c r="L22" s="15">
        <f>VLOOKUP(I22,I$2:K$61,3,FALSE)-$J$62</f>
        <v>0.29816666666666736</v>
      </c>
      <c r="M22" s="15">
        <f t="shared" si="3"/>
        <v>0.40349999999999886</v>
      </c>
    </row>
    <row r="23" spans="2:13" x14ac:dyDescent="0.45">
      <c r="B23" s="3">
        <v>44470</v>
      </c>
      <c r="C23" s="4">
        <v>0.95</v>
      </c>
      <c r="D23" s="5">
        <v>2.44</v>
      </c>
      <c r="E23" s="10">
        <v>64.03</v>
      </c>
      <c r="F23" s="15">
        <f t="shared" si="0"/>
        <v>0.24399999999999999</v>
      </c>
      <c r="G23" s="15">
        <f t="shared" si="1"/>
        <v>0.64029999999999998</v>
      </c>
      <c r="H23" s="15">
        <v>65</v>
      </c>
      <c r="I23" s="15">
        <f t="shared" si="2"/>
        <v>10</v>
      </c>
      <c r="J23" s="16">
        <f t="shared" si="4"/>
        <v>2.7216666666666671</v>
      </c>
      <c r="K23" s="15">
        <f>AVERAGEIFS(D:D,I:I,10)</f>
        <v>2.4300000000000002</v>
      </c>
      <c r="L23" s="15">
        <f>VLOOKUP(I23,I$2:K$61,3,FALSE)-$J$62</f>
        <v>-0.17783333333333262</v>
      </c>
      <c r="M23" s="15">
        <f t="shared" si="3"/>
        <v>-0.10383333333333455</v>
      </c>
    </row>
    <row r="24" spans="2:13" x14ac:dyDescent="0.45">
      <c r="B24" s="3">
        <v>44501</v>
      </c>
      <c r="C24" s="4">
        <v>0.96</v>
      </c>
      <c r="D24" s="5">
        <v>2.31</v>
      </c>
      <c r="E24" s="10">
        <v>64.12</v>
      </c>
      <c r="F24" s="15">
        <f t="shared" si="0"/>
        <v>0.23100000000000001</v>
      </c>
      <c r="G24" s="15">
        <f t="shared" si="1"/>
        <v>0.64119999999999999</v>
      </c>
      <c r="H24" s="15">
        <v>65</v>
      </c>
      <c r="I24" s="15">
        <f t="shared" si="2"/>
        <v>11</v>
      </c>
      <c r="J24" s="16">
        <f t="shared" si="4"/>
        <v>2.6833333333333331</v>
      </c>
      <c r="K24" s="15">
        <f>AVERAGEIFS(D:D,I:I,11)</f>
        <v>2.7120000000000002</v>
      </c>
      <c r="L24" s="15">
        <f>VLOOKUP(I24,I$2:K$61,3,FALSE)-$J$62</f>
        <v>0.10416666666666741</v>
      </c>
      <c r="M24" s="15">
        <f t="shared" si="3"/>
        <v>-0.47750000000000048</v>
      </c>
    </row>
    <row r="25" spans="2:13" x14ac:dyDescent="0.45">
      <c r="B25" s="3">
        <v>44531</v>
      </c>
      <c r="C25" s="4">
        <v>0.98</v>
      </c>
      <c r="D25" s="5">
        <v>2.57</v>
      </c>
      <c r="E25" s="10">
        <v>60.42</v>
      </c>
      <c r="F25" s="15">
        <f t="shared" si="0"/>
        <v>0.25700000000000001</v>
      </c>
      <c r="G25" s="15">
        <f t="shared" si="1"/>
        <v>0.60420000000000007</v>
      </c>
      <c r="H25" s="15">
        <v>65</v>
      </c>
      <c r="I25" s="15">
        <f t="shared" si="2"/>
        <v>12</v>
      </c>
      <c r="J25" s="16">
        <f t="shared" si="4"/>
        <v>2.5833333333333335</v>
      </c>
      <c r="K25" s="15">
        <f>AVERAGEIFS(D:D,I:I,12)</f>
        <v>2.8180000000000001</v>
      </c>
      <c r="L25" s="15">
        <f>VLOOKUP(I25,I$2:K$61,3,FALSE)-$J$62</f>
        <v>0.21016666666666728</v>
      </c>
      <c r="M25" s="15">
        <f t="shared" si="3"/>
        <v>-0.22350000000000092</v>
      </c>
    </row>
    <row r="26" spans="2:13" x14ac:dyDescent="0.45">
      <c r="B26" s="3">
        <v>44562</v>
      </c>
      <c r="C26" s="4">
        <v>1.01</v>
      </c>
      <c r="D26" s="5">
        <v>3.33</v>
      </c>
      <c r="E26" s="10">
        <v>58.41</v>
      </c>
      <c r="F26" s="15">
        <f t="shared" si="0"/>
        <v>0.33300000000000002</v>
      </c>
      <c r="G26" s="15">
        <f t="shared" si="1"/>
        <v>0.58409999999999995</v>
      </c>
      <c r="H26" s="15">
        <v>65</v>
      </c>
      <c r="I26" s="15">
        <f t="shared" si="2"/>
        <v>1</v>
      </c>
      <c r="J26" s="16">
        <f t="shared" si="4"/>
        <v>2.6733333333333333</v>
      </c>
      <c r="K26" s="15">
        <f>AVERAGEIFS(D:D,I:I,1)</f>
        <v>2.9660000000000002</v>
      </c>
      <c r="L26" s="15">
        <f>VLOOKUP(I26,I$2:K$61,3,FALSE)-$J$62</f>
        <v>0.35816666666666741</v>
      </c>
      <c r="M26" s="15">
        <f t="shared" si="3"/>
        <v>0.29849999999999932</v>
      </c>
    </row>
    <row r="27" spans="2:13" x14ac:dyDescent="0.45">
      <c r="B27" s="3">
        <v>44593</v>
      </c>
      <c r="C27" s="4">
        <v>0.99</v>
      </c>
      <c r="D27" s="5">
        <v>3.19</v>
      </c>
      <c r="E27" s="10">
        <v>59.77</v>
      </c>
      <c r="F27" s="15">
        <f t="shared" si="0"/>
        <v>0.31900000000000001</v>
      </c>
      <c r="G27" s="15">
        <f t="shared" si="1"/>
        <v>0.59770000000000001</v>
      </c>
      <c r="H27" s="15">
        <v>65</v>
      </c>
      <c r="I27" s="15">
        <f t="shared" si="2"/>
        <v>2</v>
      </c>
      <c r="J27" s="16">
        <f t="shared" si="4"/>
        <v>2.8633333333333333</v>
      </c>
      <c r="K27" s="15">
        <f>AVERAGEIFS(D:D,I:I,2)</f>
        <v>2.774</v>
      </c>
      <c r="L27" s="15">
        <f>VLOOKUP(I27,I$2:K$61,3,FALSE)-$J$62</f>
        <v>0.16616666666666724</v>
      </c>
      <c r="M27" s="15">
        <f t="shared" si="3"/>
        <v>0.16049999999999942</v>
      </c>
    </row>
    <row r="28" spans="2:13" x14ac:dyDescent="0.45">
      <c r="B28" s="3">
        <v>44621</v>
      </c>
      <c r="C28" s="4">
        <v>0.96</v>
      </c>
      <c r="D28" s="5">
        <v>2.78</v>
      </c>
      <c r="E28" s="10">
        <v>61.32</v>
      </c>
      <c r="F28" s="15">
        <f t="shared" si="0"/>
        <v>0.27799999999999997</v>
      </c>
      <c r="G28" s="15">
        <f t="shared" si="1"/>
        <v>0.61319999999999997</v>
      </c>
      <c r="H28" s="15">
        <v>65</v>
      </c>
      <c r="I28" s="15">
        <f t="shared" si="2"/>
        <v>3</v>
      </c>
      <c r="J28" s="16">
        <f t="shared" si="4"/>
        <v>2.77</v>
      </c>
      <c r="K28" s="15">
        <f>AVERAGEIFS(D:D,I:I,3)</f>
        <v>2.3279999999999998</v>
      </c>
      <c r="L28" s="15">
        <f>VLOOKUP(I28,I$2:K$61,3,FALSE)-$J$62</f>
        <v>-0.27983333333333293</v>
      </c>
      <c r="M28" s="15">
        <f t="shared" si="3"/>
        <v>0.28983333333333272</v>
      </c>
    </row>
    <row r="29" spans="2:13" x14ac:dyDescent="0.45">
      <c r="B29" s="3">
        <v>44652</v>
      </c>
      <c r="C29" s="4">
        <v>0.96</v>
      </c>
      <c r="D29" s="5">
        <v>2.91</v>
      </c>
      <c r="E29" s="10">
        <v>60.18</v>
      </c>
      <c r="F29" s="15">
        <f t="shared" si="0"/>
        <v>0.29100000000000004</v>
      </c>
      <c r="G29" s="15">
        <f t="shared" si="1"/>
        <v>0.6018</v>
      </c>
      <c r="H29" s="15">
        <v>65</v>
      </c>
      <c r="I29" s="15">
        <f t="shared" si="2"/>
        <v>4</v>
      </c>
      <c r="J29" s="16">
        <f t="shared" si="4"/>
        <v>2.8483333333333332</v>
      </c>
      <c r="K29" s="15">
        <f>AVERAGEIFS(D:D,I:I,4)</f>
        <v>2.3120000000000003</v>
      </c>
      <c r="L29" s="15">
        <f>VLOOKUP(I29,I$2:K$61,3,FALSE)-$J$62</f>
        <v>-0.2958333333333325</v>
      </c>
      <c r="M29" s="15">
        <f t="shared" si="3"/>
        <v>0.35749999999999948</v>
      </c>
    </row>
    <row r="30" spans="2:13" x14ac:dyDescent="0.45">
      <c r="B30" s="3">
        <v>44682</v>
      </c>
      <c r="C30" s="4">
        <v>0.95</v>
      </c>
      <c r="D30" s="5">
        <v>2.4900000000000002</v>
      </c>
      <c r="E30" s="10">
        <v>63.07</v>
      </c>
      <c r="F30" s="15">
        <f t="shared" si="0"/>
        <v>0.249</v>
      </c>
      <c r="G30" s="15">
        <f t="shared" si="1"/>
        <v>0.63070000000000004</v>
      </c>
      <c r="H30" s="15">
        <v>65</v>
      </c>
      <c r="I30" s="15">
        <f t="shared" si="2"/>
        <v>5</v>
      </c>
      <c r="J30" s="16">
        <f t="shared" si="4"/>
        <v>2.8783333333333334</v>
      </c>
      <c r="K30" s="15">
        <f>AVERAGEIFS(D:D,I:I,5)</f>
        <v>2.6240000000000001</v>
      </c>
      <c r="L30" s="15">
        <f>VLOOKUP(I30,I$2:K$61,3,FALSE)-$J$62</f>
        <v>1.6166666666667329E-2</v>
      </c>
      <c r="M30" s="15">
        <f t="shared" si="3"/>
        <v>-0.40450000000000053</v>
      </c>
    </row>
    <row r="31" spans="2:13" x14ac:dyDescent="0.45">
      <c r="B31" s="3">
        <v>44713</v>
      </c>
      <c r="C31" s="4">
        <v>0.95</v>
      </c>
      <c r="D31" s="5">
        <v>2.31</v>
      </c>
      <c r="E31" s="10">
        <v>63.11</v>
      </c>
      <c r="F31" s="15">
        <f t="shared" si="0"/>
        <v>0.23100000000000001</v>
      </c>
      <c r="G31" s="15">
        <f t="shared" si="1"/>
        <v>0.63109999999999999</v>
      </c>
      <c r="H31" s="15">
        <v>65</v>
      </c>
      <c r="I31" s="15">
        <f t="shared" si="2"/>
        <v>6</v>
      </c>
      <c r="J31" s="16">
        <f t="shared" si="4"/>
        <v>2.8349999999999995</v>
      </c>
      <c r="K31" s="15">
        <f>AVERAGEIFS(D:D,I:I,6)</f>
        <v>2.524</v>
      </c>
      <c r="L31" s="15">
        <f>VLOOKUP(I31,I$2:K$61,3,FALSE)-$J$62</f>
        <v>-8.383333333333276E-2</v>
      </c>
      <c r="M31" s="15">
        <f t="shared" si="3"/>
        <v>-0.44116666666666671</v>
      </c>
    </row>
    <row r="32" spans="2:13" x14ac:dyDescent="0.45">
      <c r="B32" s="3">
        <v>44743</v>
      </c>
      <c r="C32" s="4">
        <v>0.96</v>
      </c>
      <c r="D32" s="5">
        <v>2.4300000000000002</v>
      </c>
      <c r="E32" s="10">
        <v>61.03</v>
      </c>
      <c r="F32" s="15">
        <f t="shared" si="0"/>
        <v>0.24300000000000002</v>
      </c>
      <c r="G32" s="15">
        <f t="shared" si="1"/>
        <v>0.61030000000000006</v>
      </c>
      <c r="H32" s="15">
        <v>65</v>
      </c>
      <c r="I32" s="15">
        <f t="shared" si="2"/>
        <v>7</v>
      </c>
      <c r="J32" s="16">
        <f t="shared" si="4"/>
        <v>2.6850000000000001</v>
      </c>
      <c r="K32" s="15">
        <f>AVERAGEIFS(D:D,I:I,7)</f>
        <v>2.5140000000000002</v>
      </c>
      <c r="L32" s="15">
        <f>VLOOKUP(I32,I$2:K$61,3,FALSE)-$J$62</f>
        <v>-9.3833333333332547E-2</v>
      </c>
      <c r="M32" s="15">
        <f t="shared" si="3"/>
        <v>-0.16116666666666735</v>
      </c>
    </row>
    <row r="33" spans="2:13" x14ac:dyDescent="0.45">
      <c r="B33" s="3">
        <v>44774</v>
      </c>
      <c r="C33" s="4">
        <v>0.96</v>
      </c>
      <c r="D33" s="5">
        <v>3.13</v>
      </c>
      <c r="E33" s="10">
        <v>59.97</v>
      </c>
      <c r="F33" s="15">
        <f t="shared" si="0"/>
        <v>0.313</v>
      </c>
      <c r="G33" s="15">
        <f t="shared" si="1"/>
        <v>0.59970000000000001</v>
      </c>
      <c r="H33" s="15">
        <v>65</v>
      </c>
      <c r="I33" s="15">
        <f t="shared" si="2"/>
        <v>8</v>
      </c>
      <c r="J33" s="16">
        <f t="shared" si="4"/>
        <v>2.6750000000000003</v>
      </c>
      <c r="K33" s="15">
        <f>AVERAGEIFS(D:D,I:I,8)</f>
        <v>2.3860000000000001</v>
      </c>
      <c r="L33" s="15">
        <f>VLOOKUP(I33,I$2:K$61,3,FALSE)-$J$62</f>
        <v>-0.22183333333333266</v>
      </c>
      <c r="M33" s="15">
        <f t="shared" si="3"/>
        <v>0.67683333333333229</v>
      </c>
    </row>
    <row r="34" spans="2:13" x14ac:dyDescent="0.45">
      <c r="B34" s="3">
        <v>44805</v>
      </c>
      <c r="C34" s="4">
        <v>0.95</v>
      </c>
      <c r="D34" s="5">
        <v>2.81</v>
      </c>
      <c r="E34" s="10">
        <v>61.53</v>
      </c>
      <c r="F34" s="15">
        <f t="shared" si="0"/>
        <v>0.28100000000000003</v>
      </c>
      <c r="G34" s="15">
        <f t="shared" si="1"/>
        <v>0.61529999999999996</v>
      </c>
      <c r="H34" s="15">
        <v>65</v>
      </c>
      <c r="I34" s="15">
        <f t="shared" si="2"/>
        <v>9</v>
      </c>
      <c r="J34" s="16">
        <f t="shared" si="4"/>
        <v>2.6799999999999997</v>
      </c>
      <c r="K34" s="15">
        <f>AVERAGEIFS(D:D,I:I,9)</f>
        <v>2.9060000000000001</v>
      </c>
      <c r="L34" s="15">
        <f>VLOOKUP(I34,I$2:K$61,3,FALSE)-$J$62</f>
        <v>0.29816666666666736</v>
      </c>
      <c r="M34" s="15">
        <f t="shared" si="3"/>
        <v>-0.16816666666666702</v>
      </c>
    </row>
    <row r="35" spans="2:13" x14ac:dyDescent="0.45">
      <c r="B35" s="3">
        <v>44835</v>
      </c>
      <c r="C35" s="4">
        <v>0.96</v>
      </c>
      <c r="D35" s="5">
        <v>2.0699999999999998</v>
      </c>
      <c r="E35" s="10">
        <v>64.16</v>
      </c>
      <c r="F35" s="15">
        <f t="shared" si="0"/>
        <v>0.20699999999999999</v>
      </c>
      <c r="G35" s="15">
        <f t="shared" si="1"/>
        <v>0.64159999999999995</v>
      </c>
      <c r="H35" s="15">
        <v>65</v>
      </c>
      <c r="I35" s="15">
        <f t="shared" si="2"/>
        <v>10</v>
      </c>
      <c r="J35" s="16">
        <f t="shared" si="4"/>
        <v>2.54</v>
      </c>
      <c r="K35" s="15">
        <f>AVERAGEIFS(D:D,I:I,10)</f>
        <v>2.4300000000000002</v>
      </c>
      <c r="L35" s="15">
        <f>VLOOKUP(I35,I$2:K$61,3,FALSE)-$J$62</f>
        <v>-0.17783333333333262</v>
      </c>
      <c r="M35" s="15">
        <f t="shared" si="3"/>
        <v>-0.29216666666666757</v>
      </c>
    </row>
    <row r="36" spans="2:13" x14ac:dyDescent="0.45">
      <c r="B36" s="3">
        <v>44866</v>
      </c>
      <c r="C36" s="4">
        <v>0.97</v>
      </c>
      <c r="D36" s="5">
        <v>3.11</v>
      </c>
      <c r="E36" s="10">
        <v>57.29</v>
      </c>
      <c r="F36" s="15">
        <f t="shared" si="0"/>
        <v>0.311</v>
      </c>
      <c r="G36" s="15">
        <f t="shared" si="1"/>
        <v>0.57289999999999996</v>
      </c>
      <c r="H36" s="15">
        <v>65</v>
      </c>
      <c r="I36" s="15">
        <f t="shared" si="2"/>
        <v>11</v>
      </c>
      <c r="J36" s="16">
        <f t="shared" si="4"/>
        <v>2.6433333333333331</v>
      </c>
      <c r="K36" s="15">
        <f>AVERAGEIFS(D:D,I:I,11)</f>
        <v>2.7120000000000002</v>
      </c>
      <c r="L36" s="15">
        <f>VLOOKUP(I36,I$2:K$61,3,FALSE)-$J$62</f>
        <v>0.10416666666666741</v>
      </c>
      <c r="M36" s="15">
        <f t="shared" si="3"/>
        <v>0.36249999999999938</v>
      </c>
    </row>
    <row r="37" spans="2:13" x14ac:dyDescent="0.45">
      <c r="B37" s="3">
        <v>44896</v>
      </c>
      <c r="C37" s="4">
        <v>0.98</v>
      </c>
      <c r="D37" s="5">
        <v>3.21</v>
      </c>
      <c r="E37" s="10">
        <v>57.18</v>
      </c>
      <c r="F37" s="15">
        <f t="shared" si="0"/>
        <v>0.32100000000000001</v>
      </c>
      <c r="G37" s="15">
        <f t="shared" si="1"/>
        <v>0.57179999999999997</v>
      </c>
      <c r="H37" s="15">
        <v>65</v>
      </c>
      <c r="I37" s="15">
        <f t="shared" si="2"/>
        <v>12</v>
      </c>
      <c r="J37" s="16">
        <f t="shared" si="4"/>
        <v>2.7933333333333334</v>
      </c>
      <c r="K37" s="15">
        <f>AVERAGEIFS(D:D,I:I,12)</f>
        <v>2.8180000000000001</v>
      </c>
      <c r="L37" s="15">
        <f>VLOOKUP(I37,I$2:K$61,3,FALSE)-$J$62</f>
        <v>0.21016666666666728</v>
      </c>
      <c r="M37" s="15">
        <f t="shared" si="3"/>
        <v>0.20649999999999924</v>
      </c>
    </row>
    <row r="38" spans="2:13" x14ac:dyDescent="0.45">
      <c r="B38" s="3">
        <v>44927</v>
      </c>
      <c r="C38" s="4">
        <v>0.99</v>
      </c>
      <c r="D38" s="5">
        <v>3.17</v>
      </c>
      <c r="E38" s="10">
        <v>58.22</v>
      </c>
      <c r="F38" s="15">
        <f t="shared" si="0"/>
        <v>0.317</v>
      </c>
      <c r="G38" s="15">
        <f t="shared" si="1"/>
        <v>0.58219999999999994</v>
      </c>
      <c r="H38" s="15">
        <v>65</v>
      </c>
      <c r="I38" s="15">
        <f t="shared" si="2"/>
        <v>1</v>
      </c>
      <c r="J38" s="16">
        <f t="shared" si="4"/>
        <v>2.9166666666666665</v>
      </c>
      <c r="K38" s="15">
        <f>AVERAGEIFS(D:D,I:I,1)</f>
        <v>2.9660000000000002</v>
      </c>
      <c r="L38" s="15">
        <f>VLOOKUP(I38,I$2:K$61,3,FALSE)-$J$62</f>
        <v>0.35816666666666741</v>
      </c>
      <c r="M38" s="15">
        <f t="shared" si="3"/>
        <v>-0.104833333333334</v>
      </c>
    </row>
    <row r="39" spans="2:13" x14ac:dyDescent="0.45">
      <c r="B39" s="3">
        <v>44958</v>
      </c>
      <c r="C39" s="4">
        <v>0.99</v>
      </c>
      <c r="D39" s="5">
        <v>3.39</v>
      </c>
      <c r="E39" s="10">
        <v>57.12</v>
      </c>
      <c r="F39" s="15">
        <f t="shared" si="0"/>
        <v>0.33900000000000002</v>
      </c>
      <c r="G39" s="15">
        <f t="shared" si="1"/>
        <v>0.57119999999999993</v>
      </c>
      <c r="H39" s="15">
        <v>65</v>
      </c>
      <c r="I39" s="15">
        <f t="shared" si="2"/>
        <v>2</v>
      </c>
      <c r="J39" s="16">
        <f t="shared" si="4"/>
        <v>2.9599999999999995</v>
      </c>
      <c r="K39" s="15">
        <f>AVERAGEIFS(D:D,I:I,2)</f>
        <v>2.774</v>
      </c>
      <c r="L39" s="15">
        <f>VLOOKUP(I39,I$2:K$61,3,FALSE)-$J$62</f>
        <v>0.16616666666666724</v>
      </c>
      <c r="M39" s="15">
        <f t="shared" si="3"/>
        <v>0.26383333333333336</v>
      </c>
    </row>
    <row r="40" spans="2:13" x14ac:dyDescent="0.45">
      <c r="B40" s="3">
        <v>44986</v>
      </c>
      <c r="C40" s="4">
        <v>0.98</v>
      </c>
      <c r="D40" s="5">
        <v>3.03</v>
      </c>
      <c r="E40" s="10">
        <v>59.45</v>
      </c>
      <c r="F40" s="15">
        <f t="shared" si="0"/>
        <v>0.30299999999999999</v>
      </c>
      <c r="G40" s="15">
        <f t="shared" si="1"/>
        <v>0.59450000000000003</v>
      </c>
      <c r="H40" s="15">
        <v>65</v>
      </c>
      <c r="I40" s="15">
        <f t="shared" si="2"/>
        <v>3</v>
      </c>
      <c r="J40" s="16">
        <f t="shared" si="4"/>
        <v>2.9966666666666666</v>
      </c>
      <c r="K40" s="15">
        <f>AVERAGEIFS(D:D,I:I,3)</f>
        <v>2.3279999999999998</v>
      </c>
      <c r="L40" s="15">
        <f>VLOOKUP(I40,I$2:K$61,3,FALSE)-$J$62</f>
        <v>-0.27983333333333293</v>
      </c>
      <c r="M40" s="15">
        <f t="shared" si="3"/>
        <v>0.31316666666666615</v>
      </c>
    </row>
    <row r="41" spans="2:13" x14ac:dyDescent="0.45">
      <c r="B41" s="3">
        <v>45017</v>
      </c>
      <c r="C41" s="4">
        <v>0.96</v>
      </c>
      <c r="D41" s="5">
        <v>2.73</v>
      </c>
      <c r="E41" s="10">
        <v>62.57</v>
      </c>
      <c r="F41" s="15">
        <f t="shared" si="0"/>
        <v>0.27299999999999996</v>
      </c>
      <c r="G41" s="15">
        <f t="shared" si="1"/>
        <v>0.62570000000000003</v>
      </c>
      <c r="H41" s="15">
        <v>65</v>
      </c>
      <c r="I41" s="15">
        <f t="shared" si="2"/>
        <v>4</v>
      </c>
      <c r="J41" s="16">
        <f t="shared" si="4"/>
        <v>3.1066666666666669</v>
      </c>
      <c r="K41" s="15">
        <f>AVERAGEIFS(D:D,I:I,4)</f>
        <v>2.3120000000000003</v>
      </c>
      <c r="L41" s="15">
        <f>VLOOKUP(I41,I$2:K$61,3,FALSE)-$J$62</f>
        <v>-0.2958333333333325</v>
      </c>
      <c r="M41" s="15">
        <f t="shared" si="3"/>
        <v>-8.0833333333334423E-2</v>
      </c>
    </row>
    <row r="42" spans="2:13" x14ac:dyDescent="0.45">
      <c r="B42" s="3">
        <v>45047</v>
      </c>
      <c r="C42" s="4">
        <v>0.94</v>
      </c>
      <c r="D42" s="5">
        <v>2.89</v>
      </c>
      <c r="E42" s="10">
        <v>62.89</v>
      </c>
      <c r="F42" s="15">
        <f t="shared" si="0"/>
        <v>0.28900000000000003</v>
      </c>
      <c r="G42" s="15">
        <f t="shared" si="1"/>
        <v>0.62890000000000001</v>
      </c>
      <c r="H42" s="15">
        <v>65</v>
      </c>
      <c r="I42" s="15">
        <f t="shared" si="2"/>
        <v>5</v>
      </c>
      <c r="J42" s="16">
        <f t="shared" si="4"/>
        <v>3.07</v>
      </c>
      <c r="K42" s="15">
        <f>AVERAGEIFS(D:D,I:I,5)</f>
        <v>2.6240000000000001</v>
      </c>
      <c r="L42" s="15">
        <f>VLOOKUP(I42,I$2:K$61,3,FALSE)-$J$62</f>
        <v>1.6166666666667329E-2</v>
      </c>
      <c r="M42" s="15">
        <f t="shared" si="3"/>
        <v>-0.19616666666666704</v>
      </c>
    </row>
    <row r="43" spans="2:13" x14ac:dyDescent="0.45">
      <c r="B43" s="3">
        <v>45078</v>
      </c>
      <c r="C43" s="4">
        <v>0.96</v>
      </c>
      <c r="D43" s="5">
        <v>2.5499999999999998</v>
      </c>
      <c r="E43" s="10">
        <v>63.69</v>
      </c>
      <c r="F43" s="15">
        <f t="shared" si="0"/>
        <v>0.25499999999999995</v>
      </c>
      <c r="G43" s="15">
        <f t="shared" si="1"/>
        <v>0.63690000000000002</v>
      </c>
      <c r="H43" s="15">
        <v>65</v>
      </c>
      <c r="I43" s="15">
        <f t="shared" si="2"/>
        <v>6</v>
      </c>
      <c r="J43" s="16">
        <f t="shared" si="4"/>
        <v>2.9600000000000004</v>
      </c>
      <c r="K43" s="15">
        <f>AVERAGEIFS(D:D,I:I,6)</f>
        <v>2.524</v>
      </c>
      <c r="L43" s="15">
        <f>VLOOKUP(I43,I$2:K$61,3,FALSE)-$J$62</f>
        <v>-8.383333333333276E-2</v>
      </c>
      <c r="M43" s="15">
        <f t="shared" si="3"/>
        <v>-0.32616666666666783</v>
      </c>
    </row>
    <row r="44" spans="2:13" x14ac:dyDescent="0.45">
      <c r="B44" s="3">
        <v>45108</v>
      </c>
      <c r="C44" s="4">
        <v>0.95</v>
      </c>
      <c r="D44" s="5">
        <v>2.42</v>
      </c>
      <c r="E44" s="10">
        <v>64.930000000000007</v>
      </c>
      <c r="F44" s="15">
        <f t="shared" si="0"/>
        <v>0.24199999999999999</v>
      </c>
      <c r="G44" s="15">
        <f t="shared" si="1"/>
        <v>0.6493000000000001</v>
      </c>
      <c r="H44" s="15">
        <v>65</v>
      </c>
      <c r="I44" s="15">
        <f t="shared" si="2"/>
        <v>7</v>
      </c>
      <c r="J44" s="16">
        <f t="shared" si="4"/>
        <v>2.8349999999999995</v>
      </c>
      <c r="K44" s="15">
        <f>AVERAGEIFS(D:D,I:I,7)</f>
        <v>2.5140000000000002</v>
      </c>
      <c r="L44" s="15">
        <f>VLOOKUP(I44,I$2:K$61,3,FALSE)-$J$62</f>
        <v>-9.3833333333332547E-2</v>
      </c>
      <c r="M44" s="15">
        <f t="shared" si="3"/>
        <v>-0.32116666666666704</v>
      </c>
    </row>
    <row r="45" spans="2:13" x14ac:dyDescent="0.45">
      <c r="B45" s="3">
        <v>45139</v>
      </c>
      <c r="C45" s="4">
        <v>0.95</v>
      </c>
      <c r="D45" s="5">
        <v>2.0299999999999998</v>
      </c>
      <c r="E45" s="10">
        <v>66.77</v>
      </c>
      <c r="F45" s="15">
        <f t="shared" si="0"/>
        <v>0.20299999999999996</v>
      </c>
      <c r="G45" s="15">
        <f t="shared" si="1"/>
        <v>0.66769999999999996</v>
      </c>
      <c r="H45" s="15">
        <v>65</v>
      </c>
      <c r="I45" s="15">
        <f t="shared" si="2"/>
        <v>8</v>
      </c>
      <c r="J45" s="16">
        <f t="shared" si="4"/>
        <v>2.6083333333333329</v>
      </c>
      <c r="K45" s="15">
        <f>AVERAGEIFS(D:D,I:I,8)</f>
        <v>2.3860000000000001</v>
      </c>
      <c r="L45" s="15">
        <f>VLOOKUP(I45,I$2:K$61,3,FALSE)-$J$62</f>
        <v>-0.22183333333333266</v>
      </c>
      <c r="M45" s="15">
        <f t="shared" si="3"/>
        <v>-0.35650000000000048</v>
      </c>
    </row>
    <row r="46" spans="2:13" x14ac:dyDescent="0.45">
      <c r="B46" s="3">
        <v>45170</v>
      </c>
      <c r="C46" s="4">
        <v>0.98</v>
      </c>
      <c r="D46" s="5">
        <v>2.56</v>
      </c>
      <c r="E46" s="10">
        <v>65.959999999999994</v>
      </c>
      <c r="F46" s="15">
        <f t="shared" si="0"/>
        <v>0.25600000000000001</v>
      </c>
      <c r="G46" s="15">
        <f t="shared" si="1"/>
        <v>0.65959999999999996</v>
      </c>
      <c r="H46" s="15">
        <v>65</v>
      </c>
      <c r="I46" s="15">
        <f t="shared" si="2"/>
        <v>9</v>
      </c>
      <c r="J46" s="16">
        <f t="shared" si="4"/>
        <v>2.5299999999999998</v>
      </c>
      <c r="K46" s="15">
        <f>AVERAGEIFS(D:D,I:I,9)</f>
        <v>2.9060000000000001</v>
      </c>
      <c r="L46" s="15">
        <f>VLOOKUP(I46,I$2:K$61,3,FALSE)-$J$62</f>
        <v>0.29816666666666736</v>
      </c>
      <c r="M46" s="15">
        <f t="shared" si="3"/>
        <v>-0.26816666666666711</v>
      </c>
    </row>
    <row r="47" spans="2:13" x14ac:dyDescent="0.45">
      <c r="B47" s="3">
        <v>45200</v>
      </c>
      <c r="C47" s="4">
        <v>0.98</v>
      </c>
      <c r="D47" s="5">
        <v>3.07</v>
      </c>
      <c r="E47" s="10">
        <v>60.44</v>
      </c>
      <c r="F47" s="15">
        <f t="shared" si="0"/>
        <v>0.307</v>
      </c>
      <c r="G47" s="15">
        <f t="shared" si="1"/>
        <v>0.60439999999999994</v>
      </c>
      <c r="H47" s="15">
        <v>65</v>
      </c>
      <c r="I47" s="15">
        <f t="shared" si="2"/>
        <v>10</v>
      </c>
      <c r="J47" s="16">
        <f t="shared" si="4"/>
        <v>2.5866666666666664</v>
      </c>
      <c r="K47" s="15">
        <f>AVERAGEIFS(D:D,I:I,10)</f>
        <v>2.4300000000000002</v>
      </c>
      <c r="L47" s="15">
        <f>VLOOKUP(I47,I$2:K$61,3,FALSE)-$J$62</f>
        <v>-0.17783333333333262</v>
      </c>
      <c r="M47" s="15">
        <f t="shared" si="3"/>
        <v>0.66116666666666601</v>
      </c>
    </row>
    <row r="48" spans="2:13" x14ac:dyDescent="0.45">
      <c r="B48" s="3">
        <v>45231</v>
      </c>
      <c r="C48" s="4">
        <v>0.99</v>
      </c>
      <c r="D48" s="5">
        <v>2.99</v>
      </c>
      <c r="E48" s="10">
        <v>61.76</v>
      </c>
      <c r="F48" s="15">
        <f t="shared" si="0"/>
        <v>0.29899999999999999</v>
      </c>
      <c r="G48" s="15">
        <f t="shared" si="1"/>
        <v>0.61759999999999993</v>
      </c>
      <c r="H48" s="15">
        <v>65</v>
      </c>
      <c r="I48" s="15">
        <f t="shared" si="2"/>
        <v>11</v>
      </c>
      <c r="J48" s="16">
        <f t="shared" si="4"/>
        <v>2.6033333333333335</v>
      </c>
      <c r="K48" s="15">
        <f>AVERAGEIFS(D:D,I:I,11)</f>
        <v>2.7120000000000002</v>
      </c>
      <c r="L48" s="15">
        <f>VLOOKUP(I48,I$2:K$61,3,FALSE)-$J$62</f>
        <v>0.10416666666666741</v>
      </c>
      <c r="M48" s="15">
        <f t="shared" si="3"/>
        <v>0.28249999999999931</v>
      </c>
    </row>
    <row r="49" spans="2:13" x14ac:dyDescent="0.45">
      <c r="B49" s="3">
        <v>45261</v>
      </c>
      <c r="C49" s="4">
        <v>0.99</v>
      </c>
      <c r="D49" s="5">
        <v>3.03</v>
      </c>
      <c r="E49" s="10">
        <v>60.32</v>
      </c>
      <c r="F49" s="15">
        <f t="shared" si="0"/>
        <v>0.30299999999999999</v>
      </c>
      <c r="G49" s="15">
        <f t="shared" si="1"/>
        <v>0.60319999999999996</v>
      </c>
      <c r="H49" s="15">
        <v>65</v>
      </c>
      <c r="I49" s="15">
        <f t="shared" si="2"/>
        <v>12</v>
      </c>
      <c r="J49" s="16">
        <f t="shared" si="4"/>
        <v>2.6833333333333336</v>
      </c>
      <c r="K49" s="15">
        <f>AVERAGEIFS(D:D,I:I,12)</f>
        <v>2.8180000000000001</v>
      </c>
      <c r="L49" s="15">
        <f>VLOOKUP(I49,I$2:K$61,3,FALSE)-$J$62</f>
        <v>0.21016666666666728</v>
      </c>
      <c r="M49" s="15">
        <f t="shared" si="3"/>
        <v>0.13649999999999896</v>
      </c>
    </row>
    <row r="50" spans="2:13" x14ac:dyDescent="0.45">
      <c r="B50" s="3">
        <v>45292</v>
      </c>
      <c r="C50" s="4">
        <v>0.99</v>
      </c>
      <c r="D50" s="5">
        <v>3.09</v>
      </c>
      <c r="E50" s="10">
        <v>60.67</v>
      </c>
      <c r="F50" s="15">
        <f t="shared" si="0"/>
        <v>0.309</v>
      </c>
      <c r="G50" s="15">
        <f t="shared" si="1"/>
        <v>0.60670000000000002</v>
      </c>
      <c r="H50" s="15">
        <v>65</v>
      </c>
      <c r="I50" s="15">
        <f t="shared" si="2"/>
        <v>1</v>
      </c>
      <c r="J50" s="16">
        <f t="shared" si="4"/>
        <v>2.7949999999999999</v>
      </c>
      <c r="K50" s="15">
        <f>AVERAGEIFS(D:D,I:I,1)</f>
        <v>2.9660000000000002</v>
      </c>
      <c r="L50" s="15">
        <f>VLOOKUP(I50,I$2:K$61,3,FALSE)-$J$62</f>
        <v>0.35816666666666741</v>
      </c>
      <c r="M50" s="15">
        <f t="shared" si="3"/>
        <v>-6.3166666666667481E-2</v>
      </c>
    </row>
    <row r="51" spans="2:13" x14ac:dyDescent="0.45">
      <c r="B51" s="3">
        <v>45323</v>
      </c>
      <c r="C51" s="4">
        <v>0.98</v>
      </c>
      <c r="D51" s="5">
        <v>3.15</v>
      </c>
      <c r="E51" s="10">
        <v>59.14</v>
      </c>
      <c r="F51" s="15">
        <f t="shared" si="0"/>
        <v>0.315</v>
      </c>
      <c r="G51" s="15">
        <f t="shared" si="1"/>
        <v>0.59140000000000004</v>
      </c>
      <c r="H51" s="15">
        <v>65</v>
      </c>
      <c r="I51" s="15">
        <f t="shared" si="2"/>
        <v>2</v>
      </c>
      <c r="J51" s="16">
        <f t="shared" si="4"/>
        <v>2.9816666666666669</v>
      </c>
      <c r="K51" s="15">
        <f>AVERAGEIFS(D:D,I:I,2)</f>
        <v>2.774</v>
      </c>
      <c r="L51" s="15">
        <f>VLOOKUP(I51,I$2:K$61,3,FALSE)-$J$62</f>
        <v>0.16616666666666724</v>
      </c>
      <c r="M51" s="15">
        <f t="shared" si="3"/>
        <v>2.1666666666657619E-3</v>
      </c>
    </row>
    <row r="52" spans="2:13" x14ac:dyDescent="0.45">
      <c r="B52" s="3">
        <v>45352</v>
      </c>
      <c r="C52" s="4">
        <v>0.94</v>
      </c>
      <c r="D52" s="5">
        <v>2.33</v>
      </c>
      <c r="E52" s="10">
        <v>63.55</v>
      </c>
      <c r="F52" s="15">
        <f t="shared" si="0"/>
        <v>0.23300000000000001</v>
      </c>
      <c r="G52" s="15">
        <f t="shared" si="1"/>
        <v>0.63549999999999995</v>
      </c>
      <c r="H52" s="15">
        <v>65</v>
      </c>
      <c r="I52" s="15">
        <f t="shared" si="2"/>
        <v>3</v>
      </c>
      <c r="J52" s="16">
        <f t="shared" si="4"/>
        <v>2.9433333333333334</v>
      </c>
      <c r="K52" s="15">
        <f>AVERAGEIFS(D:D,I:I,3)</f>
        <v>2.3279999999999998</v>
      </c>
      <c r="L52" s="15">
        <f>VLOOKUP(I52,I$2:K$61,3,FALSE)-$J$62</f>
        <v>-0.27983333333333293</v>
      </c>
      <c r="M52" s="15">
        <f t="shared" si="3"/>
        <v>-0.33350000000000035</v>
      </c>
    </row>
    <row r="53" spans="2:13" x14ac:dyDescent="0.45">
      <c r="B53" s="3">
        <v>45383</v>
      </c>
      <c r="C53" s="4">
        <v>0.95</v>
      </c>
      <c r="D53" s="5">
        <v>2.0099999999999998</v>
      </c>
      <c r="E53" s="10">
        <v>66.19</v>
      </c>
      <c r="F53" s="15">
        <f t="shared" si="0"/>
        <v>0.20099999999999996</v>
      </c>
      <c r="G53" s="15">
        <f t="shared" si="1"/>
        <v>0.66189999999999993</v>
      </c>
      <c r="H53" s="15">
        <v>65</v>
      </c>
      <c r="I53" s="15">
        <f t="shared" si="2"/>
        <v>4</v>
      </c>
      <c r="J53" s="16">
        <f t="shared" si="4"/>
        <v>2.7666666666666671</v>
      </c>
      <c r="K53" s="15">
        <f>AVERAGEIFS(D:D,I:I,4)</f>
        <v>2.3120000000000003</v>
      </c>
      <c r="L53" s="15">
        <f>VLOOKUP(I53,I$2:K$61,3,FALSE)-$J$62</f>
        <v>-0.2958333333333325</v>
      </c>
      <c r="M53" s="15">
        <f t="shared" si="3"/>
        <v>-0.46083333333333476</v>
      </c>
    </row>
    <row r="54" spans="2:13" x14ac:dyDescent="0.45">
      <c r="B54" s="3">
        <v>45413</v>
      </c>
      <c r="C54" s="4">
        <v>0.95</v>
      </c>
      <c r="D54" s="5">
        <v>1.79</v>
      </c>
      <c r="E54" s="10">
        <v>67.010000000000005</v>
      </c>
      <c r="F54" s="15">
        <f t="shared" si="0"/>
        <v>0.17900000000000002</v>
      </c>
      <c r="G54" s="15">
        <f t="shared" si="1"/>
        <v>0.67010000000000003</v>
      </c>
      <c r="H54" s="15">
        <v>65</v>
      </c>
      <c r="I54" s="15">
        <f t="shared" si="2"/>
        <v>5</v>
      </c>
      <c r="J54" s="16">
        <f t="shared" si="4"/>
        <v>2.5666666666666664</v>
      </c>
      <c r="K54" s="15">
        <f>AVERAGEIFS(D:D,I:I,5)</f>
        <v>2.6240000000000001</v>
      </c>
      <c r="L54" s="15">
        <f>VLOOKUP(I54,I$2:K$61,3,FALSE)-$J$62</f>
        <v>1.6166666666667329E-2</v>
      </c>
      <c r="M54" s="15">
        <f t="shared" si="3"/>
        <v>-0.79283333333333372</v>
      </c>
    </row>
    <row r="55" spans="2:13" x14ac:dyDescent="0.45">
      <c r="B55" s="3">
        <v>45444</v>
      </c>
      <c r="C55" s="4">
        <v>0.95</v>
      </c>
      <c r="D55" s="5">
        <v>1.98</v>
      </c>
      <c r="E55" s="10">
        <v>66.53</v>
      </c>
      <c r="F55" s="15">
        <f t="shared" si="0"/>
        <v>0.19800000000000001</v>
      </c>
      <c r="G55" s="15">
        <f t="shared" si="1"/>
        <v>0.6653</v>
      </c>
      <c r="H55" s="15">
        <v>65</v>
      </c>
      <c r="I55" s="15">
        <f t="shared" si="2"/>
        <v>6</v>
      </c>
      <c r="J55" s="16">
        <f t="shared" si="4"/>
        <v>2.3916666666666671</v>
      </c>
      <c r="K55" s="15">
        <f>AVERAGEIFS(D:D,I:I,6)</f>
        <v>2.524</v>
      </c>
      <c r="L55" s="15">
        <f>VLOOKUP(I55,I$2:K$61,3,FALSE)-$J$62</f>
        <v>-8.383333333333276E-2</v>
      </c>
      <c r="M55" s="15">
        <f t="shared" si="3"/>
        <v>-0.32783333333333431</v>
      </c>
    </row>
    <row r="56" spans="2:13" x14ac:dyDescent="0.45">
      <c r="B56" s="3">
        <v>45474</v>
      </c>
      <c r="C56" s="4">
        <v>0.96</v>
      </c>
      <c r="D56" s="5">
        <v>2.5099999999999998</v>
      </c>
      <c r="E56" s="10">
        <v>65.87</v>
      </c>
      <c r="F56" s="15">
        <f t="shared" si="0"/>
        <v>0.25099999999999995</v>
      </c>
      <c r="G56" s="15">
        <f t="shared" si="1"/>
        <v>0.65870000000000006</v>
      </c>
      <c r="H56" s="15">
        <v>65</v>
      </c>
      <c r="I56" s="15">
        <f t="shared" si="2"/>
        <v>7</v>
      </c>
      <c r="J56" s="16">
        <f t="shared" si="4"/>
        <v>2.2950000000000004</v>
      </c>
      <c r="K56" s="15">
        <f>AVERAGEIFS(D:D,I:I,7)</f>
        <v>2.5140000000000002</v>
      </c>
      <c r="L56" s="15">
        <f>VLOOKUP(I56,I$2:K$61,3,FALSE)-$J$62</f>
        <v>-9.3833333333332547E-2</v>
      </c>
      <c r="M56" s="15">
        <f t="shared" si="3"/>
        <v>0.30883333333333196</v>
      </c>
    </row>
    <row r="57" spans="2:13" x14ac:dyDescent="0.45">
      <c r="B57" s="3">
        <v>45505</v>
      </c>
      <c r="C57" s="4">
        <v>0.96</v>
      </c>
      <c r="D57" s="5">
        <v>2.63</v>
      </c>
      <c r="E57" s="10">
        <v>65.459999999999994</v>
      </c>
      <c r="F57" s="15">
        <f t="shared" si="0"/>
        <v>0.26300000000000001</v>
      </c>
      <c r="G57" s="15">
        <f t="shared" si="1"/>
        <v>0.65459999999999996</v>
      </c>
      <c r="H57" s="15">
        <v>65</v>
      </c>
      <c r="I57" s="15">
        <f t="shared" si="2"/>
        <v>8</v>
      </c>
      <c r="J57" s="16">
        <f t="shared" si="4"/>
        <v>2.2083333333333335</v>
      </c>
      <c r="K57" s="15">
        <f>AVERAGEIFS(D:D,I:I,8)</f>
        <v>2.3860000000000001</v>
      </c>
      <c r="L57" s="15">
        <f>VLOOKUP(I57,I$2:K$61,3,FALSE)-$J$62</f>
        <v>-0.22183333333333266</v>
      </c>
      <c r="M57" s="15">
        <f t="shared" si="3"/>
        <v>0.64349999999999907</v>
      </c>
    </row>
    <row r="58" spans="2:13" x14ac:dyDescent="0.45">
      <c r="B58" s="3">
        <v>45536</v>
      </c>
      <c r="C58" s="4">
        <v>0.97</v>
      </c>
      <c r="D58" s="5">
        <v>2.71</v>
      </c>
      <c r="E58" s="10">
        <v>65.709999999999994</v>
      </c>
      <c r="F58" s="15">
        <f t="shared" si="0"/>
        <v>0.27100000000000002</v>
      </c>
      <c r="G58" s="15">
        <f t="shared" si="1"/>
        <v>0.65709999999999991</v>
      </c>
      <c r="H58" s="15">
        <v>65</v>
      </c>
      <c r="I58" s="15">
        <f t="shared" si="2"/>
        <v>9</v>
      </c>
      <c r="J58" s="16">
        <f t="shared" si="4"/>
        <v>2.2716666666666665</v>
      </c>
      <c r="K58" s="15">
        <f>AVERAGEIFS(D:D,I:I,9)</f>
        <v>2.9060000000000001</v>
      </c>
      <c r="L58" s="15">
        <f>VLOOKUP(I58,I$2:K$61,3,FALSE)-$J$62</f>
        <v>0.29816666666666736</v>
      </c>
      <c r="M58" s="15">
        <f t="shared" si="3"/>
        <v>0.14016666666666611</v>
      </c>
    </row>
    <row r="59" spans="2:13" x14ac:dyDescent="0.45">
      <c r="B59" s="3">
        <v>45566</v>
      </c>
      <c r="C59" s="4">
        <v>0.98</v>
      </c>
      <c r="D59" s="5">
        <v>2.97</v>
      </c>
      <c r="E59" s="10">
        <v>64.02</v>
      </c>
      <c r="F59" s="15">
        <f t="shared" si="0"/>
        <v>0.29699999999999999</v>
      </c>
      <c r="G59" s="15">
        <f t="shared" si="1"/>
        <v>0.64019999999999999</v>
      </c>
      <c r="H59" s="15">
        <v>65</v>
      </c>
      <c r="I59" s="15">
        <f t="shared" si="2"/>
        <v>10</v>
      </c>
      <c r="J59" s="16">
        <f t="shared" si="4"/>
        <v>2.4316666666666671</v>
      </c>
      <c r="K59" s="15">
        <f>AVERAGEIFS(D:D,I:I,10)</f>
        <v>2.4300000000000002</v>
      </c>
      <c r="L59" s="15">
        <f>VLOOKUP(I59,I$2:K$61,3,FALSE)-$J$62</f>
        <v>-0.17783333333333262</v>
      </c>
      <c r="M59" s="15">
        <f t="shared" si="3"/>
        <v>0.71616666666666573</v>
      </c>
    </row>
    <row r="60" spans="2:13" x14ac:dyDescent="0.45">
      <c r="B60" s="3">
        <v>45597</v>
      </c>
      <c r="C60" s="4">
        <v>0.98</v>
      </c>
      <c r="D60" s="5">
        <v>2.84</v>
      </c>
      <c r="E60" s="10">
        <v>64.13</v>
      </c>
      <c r="F60" s="15">
        <f t="shared" si="0"/>
        <v>0.28399999999999997</v>
      </c>
      <c r="G60" s="15">
        <f t="shared" si="1"/>
        <v>0.64129999999999998</v>
      </c>
      <c r="H60" s="15">
        <v>65</v>
      </c>
      <c r="I60" s="15">
        <f t="shared" si="2"/>
        <v>11</v>
      </c>
      <c r="J60" s="16">
        <f t="shared" si="4"/>
        <v>2.6066666666666669</v>
      </c>
      <c r="K60" s="15">
        <f>AVERAGEIFS(D:D,I:I,11)</f>
        <v>2.7120000000000002</v>
      </c>
      <c r="L60" s="15">
        <f>VLOOKUP(I60,I$2:K$61,3,FALSE)-$J$62</f>
        <v>0.10416666666666741</v>
      </c>
      <c r="M60" s="15">
        <f t="shared" si="3"/>
        <v>0.12916666666666554</v>
      </c>
    </row>
    <row r="61" spans="2:13" x14ac:dyDescent="0.45">
      <c r="B61" s="22">
        <v>45627</v>
      </c>
      <c r="C61" s="23">
        <v>1</v>
      </c>
      <c r="D61" s="24">
        <v>2.81</v>
      </c>
      <c r="E61" s="25">
        <v>65.08</v>
      </c>
      <c r="F61" s="26">
        <f t="shared" si="0"/>
        <v>0.28100000000000003</v>
      </c>
      <c r="G61" s="26">
        <f t="shared" si="1"/>
        <v>0.65079999999999993</v>
      </c>
      <c r="H61" s="26">
        <v>65</v>
      </c>
      <c r="I61" s="26">
        <f t="shared" si="2"/>
        <v>12</v>
      </c>
      <c r="J61" s="27">
        <f t="shared" si="4"/>
        <v>2.7449999999999997</v>
      </c>
      <c r="K61" s="26">
        <f>AVERAGEIFS(D:D,I:I,12)</f>
        <v>2.8180000000000001</v>
      </c>
      <c r="L61" s="26">
        <f>VLOOKUP(I61,I$2:K$61,3,FALSE)-$J$62</f>
        <v>0.21016666666666728</v>
      </c>
      <c r="M61" s="26">
        <f t="shared" si="3"/>
        <v>-0.14516666666666689</v>
      </c>
    </row>
    <row r="62" spans="2:13" x14ac:dyDescent="0.45">
      <c r="B62" s="30"/>
      <c r="C62" s="30"/>
      <c r="D62" s="30"/>
      <c r="E62" s="31"/>
      <c r="F62" s="30"/>
      <c r="G62" s="30"/>
      <c r="H62" s="30"/>
      <c r="I62" s="14" t="s">
        <v>27</v>
      </c>
      <c r="J62" s="16">
        <f>AVERAGE(D2:D61)</f>
        <v>2.6078333333333328</v>
      </c>
      <c r="K62" s="30"/>
      <c r="L62" s="30"/>
      <c r="M62" s="30"/>
    </row>
    <row r="63" spans="2:13" x14ac:dyDescent="0.45">
      <c r="B63" s="28"/>
      <c r="C63" s="28"/>
      <c r="D63" s="28"/>
      <c r="E63" s="29"/>
      <c r="F63" s="28"/>
      <c r="G63" s="28"/>
      <c r="H63" s="28"/>
      <c r="I63" s="17" t="s">
        <v>55</v>
      </c>
      <c r="J63" s="28"/>
      <c r="K63" s="28"/>
      <c r="L63" s="28"/>
      <c r="M63" s="28"/>
    </row>
    <row r="64" spans="2:13" x14ac:dyDescent="0.45">
      <c r="B64" s="28"/>
      <c r="C64" s="28"/>
      <c r="D64" s="28"/>
      <c r="E64" s="29"/>
      <c r="F64" s="28"/>
      <c r="G64" s="28"/>
      <c r="H64" s="28"/>
      <c r="I64" s="15" t="s">
        <v>58</v>
      </c>
      <c r="J64" s="16">
        <f>CORREL(D2:D61,C2:C61)</f>
        <v>0.70011184133835525</v>
      </c>
      <c r="K64" s="28"/>
      <c r="L64" s="28"/>
      <c r="M64" s="28"/>
    </row>
    <row r="65" spans="2:13" x14ac:dyDescent="0.45">
      <c r="B65" s="28"/>
      <c r="C65" s="28"/>
      <c r="D65" s="28"/>
      <c r="E65" s="29"/>
      <c r="F65" s="28"/>
      <c r="G65" s="28"/>
      <c r="H65" s="28"/>
      <c r="I65" s="15" t="s">
        <v>56</v>
      </c>
      <c r="J65" s="16">
        <f>CORREL(C2:C61,G2:G61)</f>
        <v>-0.37182125584447057</v>
      </c>
      <c r="K65" s="28"/>
      <c r="L65" s="28"/>
      <c r="M65" s="28"/>
    </row>
    <row r="66" spans="2:13" x14ac:dyDescent="0.45">
      <c r="B66" s="28"/>
      <c r="C66" s="28"/>
      <c r="D66" s="28"/>
      <c r="E66" s="29"/>
      <c r="F66" s="28"/>
      <c r="G66" s="28"/>
      <c r="H66" s="28"/>
      <c r="I66" s="15" t="s">
        <v>57</v>
      </c>
      <c r="J66" s="16">
        <f>CORREL(D2:D61,G2:G61)</f>
        <v>-0.7913397362605078</v>
      </c>
      <c r="K66" s="28"/>
      <c r="L66" s="28"/>
      <c r="M66" s="28"/>
    </row>
  </sheetData>
  <autoFilter ref="B1:M62" xr:uid="{5B1CE8AC-AF1E-4264-A1B1-BB03EFE6CAF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 resp - fall by occupancy</vt:lpstr>
      <vt:lpstr>staff resp vs benchmark</vt:lpstr>
      <vt:lpstr>Fall vs bed</vt:lpstr>
      <vt:lpstr>bed vs response rate</vt:lpstr>
      <vt:lpstr> response rate vs fall</vt:lpstr>
      <vt:lpstr>Case Study Dataset</vt:lpstr>
    </vt:vector>
  </TitlesOfParts>
  <Company>Lowell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Gawlik, Melissa</dc:creator>
  <cp:lastModifiedBy>Timsy Singh</cp:lastModifiedBy>
  <dcterms:created xsi:type="dcterms:W3CDTF">2022-03-29T16:40:20Z</dcterms:created>
  <dcterms:modified xsi:type="dcterms:W3CDTF">2025-06-23T12:27:01Z</dcterms:modified>
</cp:coreProperties>
</file>