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для проекта\"/>
    </mc:Choice>
  </mc:AlternateContent>
  <xr:revisionPtr revIDLastSave="0" documentId="13_ncr:1_{538D6858-0EF6-4004-B2BC-851404E09F2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B1" i="1" l="1"/>
  <c r="E1" i="1" l="1"/>
  <c r="B7" i="1" s="1"/>
  <c r="B3" i="3" l="1"/>
  <c r="B13" i="3"/>
  <c r="J13" i="3" l="1"/>
  <c r="J12" i="3"/>
  <c r="J11" i="3"/>
  <c r="J10" i="3"/>
  <c r="J9" i="3"/>
  <c r="J8" i="3"/>
  <c r="J7" i="3"/>
  <c r="J6" i="3"/>
  <c r="G15" i="3" l="1"/>
  <c r="G14" i="3"/>
  <c r="K5" i="3" l="1"/>
  <c r="K4" i="3"/>
  <c r="G4" i="3" l="1"/>
  <c r="H12" i="3" l="1"/>
  <c r="H11" i="3" l="1"/>
  <c r="F14" i="3"/>
  <c r="E14" i="3"/>
  <c r="F12" i="3" l="1"/>
  <c r="F11" i="3" l="1"/>
  <c r="F9" i="3" l="1"/>
  <c r="F8" i="3" l="1"/>
  <c r="F7" i="3"/>
  <c r="F4" i="3" l="1"/>
  <c r="F5" i="3" s="1"/>
  <c r="B6" i="3" l="1"/>
  <c r="B5" i="3"/>
  <c r="B8" i="3" s="1"/>
  <c r="B4" i="3"/>
  <c r="B10" i="3" l="1"/>
  <c r="B9" i="3" s="1"/>
  <c r="B7" i="3" s="1"/>
  <c r="B12" i="3" s="1"/>
  <c r="B4" i="2" l="1"/>
  <c r="B12" i="2" l="1"/>
  <c r="B7" i="2"/>
  <c r="B8" i="2"/>
  <c r="B6" i="2" l="1"/>
  <c r="B5" i="2"/>
  <c r="F1" i="1" l="1"/>
  <c r="B16" i="1" l="1"/>
  <c r="B15" i="1"/>
  <c r="B14" i="1"/>
  <c r="B5" i="1"/>
  <c r="B2" i="1"/>
  <c r="B20" i="1" l="1"/>
  <c r="B3" i="1"/>
  <c r="D4" i="1"/>
  <c r="B4" i="1"/>
  <c r="B18" i="1"/>
  <c r="B17" i="1"/>
  <c r="D2" i="1" l="1"/>
  <c r="D5" i="1"/>
  <c r="D7" i="1"/>
  <c r="D11" i="1" s="1"/>
  <c r="D8" i="1"/>
  <c r="D12" i="1" s="1"/>
  <c r="D6" i="1"/>
  <c r="B19" i="1"/>
  <c r="D1" i="1" s="1"/>
  <c r="D9" i="1" l="1"/>
  <c r="D10" i="1"/>
</calcChain>
</file>

<file path=xl/sharedStrings.xml><?xml version="1.0" encoding="utf-8"?>
<sst xmlns="http://schemas.openxmlformats.org/spreadsheetml/2006/main" count="85" uniqueCount="71">
  <si>
    <t>alfa</t>
  </si>
  <si>
    <t>ro,</t>
  </si>
  <si>
    <t>S</t>
  </si>
  <si>
    <t>S,</t>
  </si>
  <si>
    <t>k=tan(psi)</t>
  </si>
  <si>
    <t>psi</t>
  </si>
  <si>
    <t>c</t>
  </si>
  <si>
    <t>c0</t>
  </si>
  <si>
    <t>c90</t>
  </si>
  <si>
    <t>ro</t>
  </si>
  <si>
    <t>ro0</t>
  </si>
  <si>
    <t>ro90</t>
  </si>
  <si>
    <t>SIG1</t>
  </si>
  <si>
    <t>SIG2</t>
  </si>
  <si>
    <t>k,</t>
  </si>
  <si>
    <t>c,</t>
  </si>
  <si>
    <t>F1</t>
  </si>
  <si>
    <t>F2</t>
  </si>
  <si>
    <t>n1</t>
  </si>
  <si>
    <t>n2</t>
  </si>
  <si>
    <t>m1</t>
  </si>
  <si>
    <t>p</t>
  </si>
  <si>
    <t>So</t>
  </si>
  <si>
    <t>S90</t>
  </si>
  <si>
    <t>S45</t>
  </si>
  <si>
    <t>Spalfa</t>
  </si>
  <si>
    <t>Sp2</t>
  </si>
  <si>
    <t>b</t>
  </si>
  <si>
    <t>F3</t>
  </si>
  <si>
    <t>F4</t>
  </si>
  <si>
    <t>xsi</t>
  </si>
  <si>
    <t>Txy</t>
  </si>
  <si>
    <t>Sx-Sy</t>
  </si>
  <si>
    <t>F5</t>
  </si>
  <si>
    <t>F6</t>
  </si>
  <si>
    <t>F7</t>
  </si>
  <si>
    <t>F8</t>
  </si>
  <si>
    <t>F9</t>
  </si>
  <si>
    <t>S0</t>
  </si>
  <si>
    <t>fi</t>
  </si>
  <si>
    <t>F</t>
  </si>
  <si>
    <t>S(fi)</t>
  </si>
  <si>
    <t>S"(fi)</t>
  </si>
  <si>
    <t>a</t>
  </si>
  <si>
    <t>S1</t>
  </si>
  <si>
    <t>S3</t>
  </si>
  <si>
    <t>Sc1</t>
  </si>
  <si>
    <t>Sc2</t>
  </si>
  <si>
    <t>K90</t>
  </si>
  <si>
    <t>C90</t>
  </si>
  <si>
    <t>определение характеристик при простом сжатии</t>
  </si>
  <si>
    <t>хлорит</t>
  </si>
  <si>
    <t>k90</t>
  </si>
  <si>
    <t>betta</t>
  </si>
  <si>
    <t>кварцит</t>
  </si>
  <si>
    <t>С90</t>
  </si>
  <si>
    <t>ambrose</t>
  </si>
  <si>
    <t>S1c</t>
  </si>
  <si>
    <t>S2c</t>
  </si>
  <si>
    <t>эксп</t>
  </si>
  <si>
    <t>13334д</t>
  </si>
  <si>
    <t>скважина</t>
  </si>
  <si>
    <t>Betta=</t>
  </si>
  <si>
    <t>_b1</t>
  </si>
  <si>
    <t>_b6</t>
  </si>
  <si>
    <t>_b8</t>
  </si>
  <si>
    <t>_b9</t>
  </si>
  <si>
    <t>_b10</t>
  </si>
  <si>
    <t>_b11</t>
  </si>
  <si>
    <t>_b12</t>
  </si>
  <si>
    <t>_b13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</si>
</sst>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.0000_р_._-;\-* #,##0.000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7013258563771219E-2"/>
          <c:y val="5.3240507098774814E-2"/>
          <c:w val="0.78007041080372708"/>
          <c:h val="0.87943493549792762"/>
        </c:manualLayout>
      </c:layout>
      <c:scatterChart>
        <c:scatterStyle val="lineMarker"/>
        <c:varyColors val="0"/>
        <c:ser>
          <c:idx val="0"/>
          <c:order val="0"/>
          <c:tx>
            <c:v>σ3=20</c:v>
          </c:tx>
          <c:spPr>
            <a:ln w="25400" cap="flat" cmpd="sng">
              <a:solidFill>
                <a:srgbClr val="00B050"/>
              </a:solidFill>
              <a:miter lim="800000"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488A-4F59-B208-08ACE97DF98E}"/>
              </c:ext>
            </c:extLst>
          </c:dPt>
          <c:x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Лист1!$I$16:$I$20</c:f>
              <c:numCache>
                <c:formatCode>General</c:formatCode>
                <c:ptCount val="5"/>
                <c:pt idx="0">
                  <c:v>128.05000000000001</c:v>
                </c:pt>
                <c:pt idx="1">
                  <c:v>72.819999999999993</c:v>
                </c:pt>
                <c:pt idx="2">
                  <c:v>67.34</c:v>
                </c:pt>
                <c:pt idx="3">
                  <c:v>69.08</c:v>
                </c:pt>
                <c:pt idx="4">
                  <c:v>103.73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A-4F59-B208-08ACE97DF98E}"/>
            </c:ext>
          </c:extLst>
        </c:ser>
        <c:ser>
          <c:idx val="11"/>
          <c:order val="1"/>
          <c:tx>
            <c:v>σ3=15</c:v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Лист1!$H$16:$H$20</c:f>
              <c:numCache>
                <c:formatCode>General</c:formatCode>
                <c:ptCount val="5"/>
                <c:pt idx="0">
                  <c:v>115.86</c:v>
                </c:pt>
                <c:pt idx="1">
                  <c:v>66.099999999999994</c:v>
                </c:pt>
                <c:pt idx="2">
                  <c:v>60.89</c:v>
                </c:pt>
                <c:pt idx="3">
                  <c:v>62.4</c:v>
                </c:pt>
                <c:pt idx="4">
                  <c:v>93.37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A-4F59-B208-08ACE97DF98E}"/>
            </c:ext>
          </c:extLst>
        </c:ser>
        <c:ser>
          <c:idx val="2"/>
          <c:order val="2"/>
          <c:tx>
            <c:v>σ3=10</c:v>
          </c:tx>
          <c:spPr>
            <a:ln w="25400">
              <a:solidFill>
                <a:srgbClr val="F2750E"/>
              </a:solidFill>
            </a:ln>
          </c:spPr>
          <c:marker>
            <c:symbol val="none"/>
          </c:marker>
          <c:x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Лист1!$G$16:$G$20</c:f>
              <c:numCache>
                <c:formatCode>General</c:formatCode>
                <c:ptCount val="5"/>
                <c:pt idx="0">
                  <c:v>103.3</c:v>
                </c:pt>
                <c:pt idx="1">
                  <c:v>59.3</c:v>
                </c:pt>
                <c:pt idx="2">
                  <c:v>54.38</c:v>
                </c:pt>
                <c:pt idx="3">
                  <c:v>55.72</c:v>
                </c:pt>
                <c:pt idx="4">
                  <c:v>83.24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A-4F59-B208-08ACE97DF98E}"/>
            </c:ext>
          </c:extLst>
        </c:ser>
        <c:ser>
          <c:idx val="3"/>
          <c:order val="3"/>
          <c:tx>
            <c:v>σ3=5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Лист1!$F$16:$F$20</c:f>
              <c:numCache>
                <c:formatCode>General</c:formatCode>
                <c:ptCount val="5"/>
                <c:pt idx="0">
                  <c:v>91.2</c:v>
                </c:pt>
                <c:pt idx="1">
                  <c:v>52.15</c:v>
                </c:pt>
                <c:pt idx="2">
                  <c:v>47.83</c:v>
                </c:pt>
                <c:pt idx="3">
                  <c:v>49.2</c:v>
                </c:pt>
                <c:pt idx="4">
                  <c:v>73.069999999999993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8A-4F59-B208-08ACE97DF98E}"/>
            </c:ext>
          </c:extLst>
        </c:ser>
        <c:ser>
          <c:idx val="4"/>
          <c:order val="4"/>
          <c:tx>
            <c:v>σ3=0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488A-4F59-B208-08ACE97DF98E}"/>
              </c:ext>
            </c:extLst>
          </c:dPt>
          <c:x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Лист1!$E$16:$E$20</c:f>
              <c:numCache>
                <c:formatCode>General</c:formatCode>
                <c:ptCount val="5"/>
                <c:pt idx="0">
                  <c:v>78.8</c:v>
                </c:pt>
                <c:pt idx="1">
                  <c:v>45.3</c:v>
                </c:pt>
                <c:pt idx="2">
                  <c:v>41.3</c:v>
                </c:pt>
                <c:pt idx="3">
                  <c:v>42.5</c:v>
                </c:pt>
                <c:pt idx="4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8A-4F59-B208-08ACE97DF98E}"/>
            </c:ext>
          </c:extLst>
        </c:ser>
        <c:ser>
          <c:idx val="9"/>
          <c:order val="5"/>
          <c:tx>
            <c:v>эксп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7030A0"/>
              </a:solidFill>
            </c:spPr>
          </c:marker>
          <c:x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Лист1!$D$16:$D$20</c:f>
              <c:numCache>
                <c:formatCode>General</c:formatCode>
                <c:ptCount val="5"/>
                <c:pt idx="0">
                  <c:v>21.11</c:v>
                </c:pt>
                <c:pt idx="2">
                  <c:v>42.03</c:v>
                </c:pt>
                <c:pt idx="3">
                  <c:v>45.43</c:v>
                </c:pt>
                <c:pt idx="4">
                  <c:v>65.959999999999994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8A-4F59-B208-08ACE97D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0560"/>
        <c:axId val="75131136"/>
      </c:scatterChart>
      <c:valAx>
        <c:axId val="75130560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5131136"/>
        <c:crosses val="autoZero"/>
        <c:crossBetween val="midCat"/>
        <c:majorUnit val="10"/>
      </c:valAx>
      <c:valAx>
        <c:axId val="75131136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5130560"/>
        <c:crosses val="autoZero"/>
        <c:crossBetween val="midCat"/>
        <c:majorUnit val="10"/>
      </c:valAx>
      <c:spPr>
        <a:ln w="15875" cmpd="sng">
          <a:solidFill>
            <a:schemeClr val="tx1">
              <a:lumMod val="65000"/>
              <a:lumOff val="35000"/>
            </a:schemeClr>
          </a:solidFill>
          <a:prstDash val="solid"/>
        </a:ln>
      </c:spPr>
    </c:plotArea>
    <c:legend>
      <c:legendPos val="tr"/>
      <c:layout>
        <c:manualLayout>
          <c:xMode val="edge"/>
          <c:yMode val="edge"/>
          <c:x val="0.82614883045279697"/>
          <c:y val="2.2652920503581121E-2"/>
          <c:w val="0.17385113268608415"/>
          <c:h val="0.8702322082351171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20</xdr:row>
      <xdr:rowOff>40821</xdr:rowOff>
    </xdr:from>
    <xdr:to>
      <xdr:col>11</xdr:col>
      <xdr:colOff>97971</xdr:colOff>
      <xdr:row>43</xdr:row>
      <xdr:rowOff>155121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40" zoomScaleNormal="140" workbookViewId="0">
      <selection activeCell="E9" sqref="E9"/>
    </sheetView>
  </sheetViews>
  <sheetFormatPr defaultRowHeight="15" x14ac:dyDescent="0.25"/>
  <cols>
    <col min="2" max="2" width="12" bestFit="1" customWidth="1"/>
  </cols>
  <sheetData>
    <row r="1" spans="1:9" x14ac:dyDescent="0.25">
      <c r="A1" t="s">
        <v>53</v>
      </c>
      <c r="B1" s="4" t="e">
        <f>G3*3.14/180</f>
        <v>#VALUE!</v>
      </c>
      <c r="C1" t="s">
        <v>16</v>
      </c>
      <c r="D1" s="5" t="e">
        <f>D4*D4*(B12-B13)*(B12-B13)/(COS(B2)*COS(B2))-4*B3*B3*(1-B14*COS(B2)*COS(B2)*(1-0.25*B14))-B19</f>
        <v>#VALUE!</v>
      </c>
      <c r="E1" t="e">
        <f>B8*COS(B6)*COS(B6)+B9*SIN(B6)*SIN(B6)</f>
        <v>#VALUE!</v>
      </c>
      <c r="F1">
        <f>EXP(-0.03*50)</f>
        <v>0.22313016014842982</v>
      </c>
    </row>
    <row r="2" spans="1:9" x14ac:dyDescent="0.25">
      <c r="A2" t="s">
        <v>9</v>
      </c>
      <c r="B2" t="e">
        <f>B10*COS(B6)*COS(B6)+B11*SIN(B6)*SIN(B6)</f>
        <v>#VALUE!</v>
      </c>
      <c r="C2" t="s">
        <v>17</v>
      </c>
      <c r="D2" s="4" t="e">
        <f>COS(2*B1)*(B3*B18+0.5*B4*SIN(2*B6-B2))-SIN(2*B1)*(B3*B17+0.5*B4*COS(2*B6-B2))</f>
        <v>#VALUE!</v>
      </c>
    </row>
    <row r="3" spans="1:9" x14ac:dyDescent="0.25">
      <c r="A3" t="s">
        <v>2</v>
      </c>
      <c r="B3" t="e">
        <f>0.5*(B12+B13)*B5+B7</f>
        <v>#VALUE!</v>
      </c>
      <c r="F3" t="s">
        <v>62</v>
      </c>
      <c r="G3" t="s">
        <v>63</v>
      </c>
    </row>
    <row r="4" spans="1:9" x14ac:dyDescent="0.25">
      <c r="A4" t="s">
        <v>3</v>
      </c>
      <c r="B4" t="e">
        <f>0.5*(B12+B13)*B14+B15</f>
        <v>#VALUE!</v>
      </c>
      <c r="C4" t="s">
        <v>21</v>
      </c>
      <c r="D4" t="e">
        <f>(1-0.5*B14*COS(B2)*COS(B2))</f>
        <v>#VALUE!</v>
      </c>
    </row>
    <row r="5" spans="1:9" x14ac:dyDescent="0.25">
      <c r="A5" t="s">
        <v>4</v>
      </c>
      <c r="B5" t="e">
        <f>TAN(B10)*COS(B6)*COS(B6)+TAN(B11)*SIN(B6)*SIN(B6)</f>
        <v>#VALUE!</v>
      </c>
      <c r="C5" t="s">
        <v>28</v>
      </c>
      <c r="D5" s="1" t="e">
        <f>B12-0.5*(B12+B13)+(B3*B17-0.5*B4*COS(2*B6-B2))*B20</f>
        <v>#VALUE!</v>
      </c>
    </row>
    <row r="6" spans="1:9" x14ac:dyDescent="0.25">
      <c r="A6" t="s">
        <v>5</v>
      </c>
      <c r="B6" s="4" t="s">
        <v>64</v>
      </c>
      <c r="C6" t="s">
        <v>29</v>
      </c>
      <c r="D6" t="e">
        <f>B3*B18+0.5*B4*SIN(2*B6-B2)</f>
        <v>#VALUE!</v>
      </c>
    </row>
    <row r="7" spans="1:9" x14ac:dyDescent="0.25">
      <c r="A7" t="s">
        <v>6</v>
      </c>
      <c r="B7" s="6" t="e">
        <f>E1</f>
        <v>#VALUE!</v>
      </c>
      <c r="C7" t="s">
        <v>32</v>
      </c>
      <c r="D7" t="e">
        <f>(B3*B17+0.5*B4*COS(2*B6-B2))*B20*2</f>
        <v>#VALUE!</v>
      </c>
    </row>
    <row r="8" spans="1:9" x14ac:dyDescent="0.25">
      <c r="A8" t="s">
        <v>7</v>
      </c>
      <c r="B8" s="2" t="s">
        <v>65</v>
      </c>
      <c r="C8" t="s">
        <v>31</v>
      </c>
      <c r="D8" t="e">
        <f>-(B3*B18+0.5*B4*SIN(2*B6-B2))*B20</f>
        <v>#VALUE!</v>
      </c>
      <c r="F8" t="s">
        <v>61</v>
      </c>
      <c r="G8" t="s">
        <v>60</v>
      </c>
    </row>
    <row r="9" spans="1:9" x14ac:dyDescent="0.25">
      <c r="A9" t="s">
        <v>8</v>
      </c>
      <c r="B9" s="2" t="s">
        <v>66</v>
      </c>
      <c r="C9" t="s">
        <v>33</v>
      </c>
      <c r="D9" t="e">
        <f>B12-B13-D7*COS(2*B1)-2*D8*SIN(2*B1)</f>
        <v>#VALUE!</v>
      </c>
    </row>
    <row r="10" spans="1:9" x14ac:dyDescent="0.25">
      <c r="A10" t="s">
        <v>10</v>
      </c>
      <c r="B10" s="3" t="s">
        <v>67</v>
      </c>
      <c r="C10" t="s">
        <v>34</v>
      </c>
      <c r="D10" t="e">
        <f>-2*D8-D7*TAN(2*B1)</f>
        <v>#VALUE!</v>
      </c>
    </row>
    <row r="11" spans="1:9" x14ac:dyDescent="0.25">
      <c r="A11" t="s">
        <v>11</v>
      </c>
      <c r="B11" s="2" t="s">
        <v>68</v>
      </c>
      <c r="C11" t="s">
        <v>35</v>
      </c>
      <c r="D11" t="e">
        <f>B12-B13+D7/(COS(2*B1))</f>
        <v>#VALUE!</v>
      </c>
    </row>
    <row r="12" spans="1:9" x14ac:dyDescent="0.25">
      <c r="A12" t="s">
        <v>12</v>
      </c>
      <c r="B12" s="5" t="s">
        <v>69</v>
      </c>
      <c r="C12" t="s">
        <v>36</v>
      </c>
      <c r="D12" t="e">
        <f>B12-B13+2*D8/SIN(2*B1)</f>
        <v>#VALUE!</v>
      </c>
    </row>
    <row r="13" spans="1:9" x14ac:dyDescent="0.25">
      <c r="A13" t="s">
        <v>13</v>
      </c>
      <c r="B13" s="2" t="s">
        <v>70</v>
      </c>
      <c r="C13" t="s">
        <v>37</v>
      </c>
    </row>
    <row r="14" spans="1:9" x14ac:dyDescent="0.25">
      <c r="A14" t="s">
        <v>14</v>
      </c>
      <c r="B14" t="e">
        <f>-(TAN(B10)-TAN(B11))*SIN(2*(B6))</f>
        <v>#VALUE!</v>
      </c>
    </row>
    <row r="15" spans="1:9" x14ac:dyDescent="0.25">
      <c r="A15" t="s">
        <v>15</v>
      </c>
      <c r="B15" t="e">
        <f>-0.5*(B8-B9)*SIN(2*(B6))</f>
        <v>#VALUE!</v>
      </c>
      <c r="D15" t="s">
        <v>59</v>
      </c>
      <c r="E15">
        <v>0</v>
      </c>
      <c r="F15">
        <v>5</v>
      </c>
      <c r="G15">
        <v>10</v>
      </c>
      <c r="H15">
        <v>15</v>
      </c>
      <c r="I15">
        <v>20</v>
      </c>
    </row>
    <row r="16" spans="1:9" x14ac:dyDescent="0.25">
      <c r="A16" t="s">
        <v>1</v>
      </c>
      <c r="B16" t="e">
        <f>-0.5*(B10-B11)*SIN(2*(B6))</f>
        <v>#VALUE!</v>
      </c>
      <c r="C16">
        <v>0</v>
      </c>
      <c r="D16">
        <v>21.11</v>
      </c>
      <c r="E16">
        <v>78.8</v>
      </c>
      <c r="F16">
        <v>91.2</v>
      </c>
      <c r="G16">
        <v>103.3</v>
      </c>
      <c r="H16">
        <v>115.86</v>
      </c>
      <c r="I16">
        <v>128.05000000000001</v>
      </c>
    </row>
    <row r="17" spans="1:9" x14ac:dyDescent="0.25">
      <c r="A17" t="s">
        <v>18</v>
      </c>
      <c r="B17" t="e">
        <f>SIN(2*B6-B2)-0.5*B16*SIN(2*B6)/COS(B2)</f>
        <v>#VALUE!</v>
      </c>
      <c r="C17">
        <v>30</v>
      </c>
      <c r="E17">
        <v>45.3</v>
      </c>
      <c r="F17">
        <v>52.15</v>
      </c>
      <c r="G17">
        <v>59.3</v>
      </c>
      <c r="H17">
        <v>66.099999999999994</v>
      </c>
      <c r="I17">
        <v>72.819999999999993</v>
      </c>
    </row>
    <row r="18" spans="1:9" x14ac:dyDescent="0.25">
      <c r="A18" t="s">
        <v>19</v>
      </c>
      <c r="B18" t="e">
        <f>COS(2*B6-B2)-0.5*B16*COS(2*B6)/COS(B2)</f>
        <v>#VALUE!</v>
      </c>
      <c r="C18">
        <v>45</v>
      </c>
      <c r="D18">
        <v>42.03</v>
      </c>
      <c r="E18">
        <v>41.3</v>
      </c>
      <c r="F18">
        <v>47.83</v>
      </c>
      <c r="G18">
        <v>54.38</v>
      </c>
      <c r="H18">
        <v>60.89</v>
      </c>
      <c r="I18">
        <v>67.34</v>
      </c>
    </row>
    <row r="19" spans="1:9" x14ac:dyDescent="0.25">
      <c r="A19" t="s">
        <v>20</v>
      </c>
      <c r="B19" t="e">
        <f>-B3*B4*B14*SIN(B2)*SIN(B2)+B4*B4</f>
        <v>#VALUE!</v>
      </c>
      <c r="C19">
        <v>60</v>
      </c>
      <c r="D19">
        <v>45.43</v>
      </c>
      <c r="E19">
        <v>42.5</v>
      </c>
      <c r="F19">
        <v>49.2</v>
      </c>
      <c r="G19">
        <v>55.72</v>
      </c>
      <c r="H19">
        <v>62.4</v>
      </c>
      <c r="I19">
        <v>69.08</v>
      </c>
    </row>
    <row r="20" spans="1:9" x14ac:dyDescent="0.25">
      <c r="A20" t="s">
        <v>30</v>
      </c>
      <c r="B20" t="e">
        <f>COS(B2)/(1-0.5*B16)</f>
        <v>#VALUE!</v>
      </c>
      <c r="C20">
        <v>90</v>
      </c>
      <c r="D20">
        <v>65.959999999999994</v>
      </c>
      <c r="E20">
        <v>62.6</v>
      </c>
      <c r="F20">
        <v>73.069999999999993</v>
      </c>
      <c r="G20">
        <v>83.24</v>
      </c>
      <c r="H20">
        <v>93.37</v>
      </c>
      <c r="I20">
        <v>103.73</v>
      </c>
    </row>
  </sheetData>
  <pageMargins left="0.23622047244094488" right="0.23622047244094488" top="0.19685039370078741" bottom="0.19685039370078741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30" zoomScaleNormal="130" workbookViewId="0">
      <selection activeCell="B12" sqref="B12"/>
    </sheetView>
  </sheetViews>
  <sheetFormatPr defaultRowHeight="15" x14ac:dyDescent="0.25"/>
  <sheetData>
    <row r="1" spans="1:2" x14ac:dyDescent="0.25">
      <c r="A1" t="s">
        <v>22</v>
      </c>
      <c r="B1">
        <v>130.31</v>
      </c>
    </row>
    <row r="2" spans="1:2" x14ac:dyDescent="0.25">
      <c r="A2" t="s">
        <v>23</v>
      </c>
      <c r="B2">
        <v>188.22</v>
      </c>
    </row>
    <row r="3" spans="1:2" x14ac:dyDescent="0.25">
      <c r="A3" t="s">
        <v>24</v>
      </c>
      <c r="B3">
        <v>106</v>
      </c>
    </row>
    <row r="4" spans="1:2" x14ac:dyDescent="0.25">
      <c r="A4" t="s">
        <v>0</v>
      </c>
      <c r="B4">
        <f>30*3.14/180</f>
        <v>0.52333333333333332</v>
      </c>
    </row>
    <row r="5" spans="1:2" x14ac:dyDescent="0.25">
      <c r="A5" t="s">
        <v>25</v>
      </c>
      <c r="B5">
        <f>B1/(COS(B4)*COS(B4)*COS(B4)*COS(B4)+B7*SIN(2*B4)*SIN(2*B4)+B8*SIN(B4)*SIN(B4)*SIN(B4)*SIN(B4))</f>
        <v>107.66234368367246</v>
      </c>
    </row>
    <row r="6" spans="1:2" x14ac:dyDescent="0.25">
      <c r="A6" t="s">
        <v>26</v>
      </c>
      <c r="B6">
        <f>B1/(COS(B4)*COS(B4)*COS(B4)*COS(B4)+B7*SIN(2*B4)*SIN(2*B4)+B8*SIN(B4)*SIN(B4)*SIN(B4)*SIN(B4))</f>
        <v>107.66234368367246</v>
      </c>
    </row>
    <row r="7" spans="1:2" x14ac:dyDescent="0.25">
      <c r="A7" t="s">
        <v>27</v>
      </c>
      <c r="B7">
        <f>(B1/B3)-0.25*(B1+B2)/B2</f>
        <v>0.80625759097643668</v>
      </c>
    </row>
    <row r="8" spans="1:2" x14ac:dyDescent="0.25">
      <c r="A8" t="s">
        <v>6</v>
      </c>
      <c r="B8">
        <f>B1/B2</f>
        <v>0.6923281266602912</v>
      </c>
    </row>
    <row r="12" spans="1:2" x14ac:dyDescent="0.25">
      <c r="B12">
        <f>15*3.14/180</f>
        <v>0.26166666666666666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="130" zoomScaleNormal="130" workbookViewId="0">
      <selection activeCell="B4" sqref="B4"/>
    </sheetView>
  </sheetViews>
  <sheetFormatPr defaultRowHeight="15" x14ac:dyDescent="0.25"/>
  <sheetData>
    <row r="1" spans="1:11" x14ac:dyDescent="0.25">
      <c r="A1" t="s">
        <v>38</v>
      </c>
      <c r="B1">
        <v>5.85</v>
      </c>
      <c r="E1" t="s">
        <v>50</v>
      </c>
      <c r="J1" t="s">
        <v>56</v>
      </c>
    </row>
    <row r="2" spans="1:11" x14ac:dyDescent="0.25">
      <c r="A2" t="s">
        <v>23</v>
      </c>
      <c r="B2">
        <v>3.7</v>
      </c>
      <c r="E2" t="s">
        <v>46</v>
      </c>
      <c r="F2">
        <v>53</v>
      </c>
      <c r="J2" t="s">
        <v>57</v>
      </c>
      <c r="K2">
        <v>1500</v>
      </c>
    </row>
    <row r="3" spans="1:11" x14ac:dyDescent="0.25">
      <c r="A3" t="s">
        <v>39</v>
      </c>
      <c r="B3">
        <f>60*3.14/180</f>
        <v>1.0466666666666666</v>
      </c>
      <c r="E3" t="s">
        <v>47</v>
      </c>
      <c r="F3">
        <v>70</v>
      </c>
      <c r="J3" t="s">
        <v>58</v>
      </c>
      <c r="K3">
        <v>6000</v>
      </c>
    </row>
    <row r="4" spans="1:11" x14ac:dyDescent="0.25">
      <c r="A4" t="s">
        <v>41</v>
      </c>
      <c r="B4">
        <f>0.5*(B1+B2)+0.5*(B1-B2)*COS(2*B3)</f>
        <v>4.2384887856927094</v>
      </c>
      <c r="E4" t="s">
        <v>48</v>
      </c>
      <c r="F4">
        <f>(F3-0.866*F2)/(F3-0.5*F2)</f>
        <v>0.5540689655172415</v>
      </c>
      <c r="G4">
        <f>ATAN(0.198)</f>
        <v>0.1954717453706343</v>
      </c>
      <c r="J4" t="s">
        <v>48</v>
      </c>
      <c r="K4">
        <f>(0.5*8-0.433*1)/(0.5*8-0.75*1)</f>
        <v>1.0975384615384616</v>
      </c>
    </row>
    <row r="5" spans="1:11" x14ac:dyDescent="0.25">
      <c r="A5" t="s">
        <v>42</v>
      </c>
      <c r="B5">
        <f>-(B1-B2)*SIN(2*B3)</f>
        <v>-1.8630949701209709</v>
      </c>
      <c r="E5" t="s">
        <v>49</v>
      </c>
      <c r="F5">
        <f>0.5*F3-0.5*F3*F4</f>
        <v>15.607586206896549</v>
      </c>
      <c r="J5" t="s">
        <v>49</v>
      </c>
      <c r="K5">
        <f>0.5*1*0.866-0.75*1.097</f>
        <v>-0.38974999999999999</v>
      </c>
    </row>
    <row r="6" spans="1:11" x14ac:dyDescent="0.25">
      <c r="A6" t="s">
        <v>0</v>
      </c>
      <c r="B6">
        <f>20*3.14/180</f>
        <v>0.34888888888888892</v>
      </c>
      <c r="E6" t="s">
        <v>51</v>
      </c>
      <c r="J6">
        <f>0.5*6.672+0.5*4.672*0.5</f>
        <v>4.5039999999999996</v>
      </c>
    </row>
    <row r="7" spans="1:11" x14ac:dyDescent="0.25">
      <c r="A7" t="s">
        <v>43</v>
      </c>
      <c r="B7">
        <f>B4-B9</f>
        <v>2.7250801236059319</v>
      </c>
      <c r="E7" t="s">
        <v>48</v>
      </c>
      <c r="F7">
        <f>(0.25*1.732*70-0.5*0.866*53)/(-0.25*53+0.75*70)</f>
        <v>0.18754140127388536</v>
      </c>
      <c r="J7">
        <f>0.5*4.672*0.866</f>
        <v>2.0229759999999999</v>
      </c>
    </row>
    <row r="8" spans="1:11" x14ac:dyDescent="0.25">
      <c r="A8" t="s">
        <v>27</v>
      </c>
      <c r="B8">
        <f>0.5*B5</f>
        <v>-0.93154748506048546</v>
      </c>
      <c r="E8" t="s">
        <v>8</v>
      </c>
      <c r="F8">
        <f>(0.433-0.25*0.18535)*53</f>
        <v>20.493112500000002</v>
      </c>
      <c r="J8">
        <f>0.5*18-0.5*12*0.5</f>
        <v>6</v>
      </c>
    </row>
    <row r="9" spans="1:11" x14ac:dyDescent="0.25">
      <c r="A9" t="s">
        <v>2</v>
      </c>
      <c r="B9">
        <f>0.5*(B10+B11)</f>
        <v>1.5134086620867775</v>
      </c>
      <c r="E9" t="s">
        <v>52</v>
      </c>
      <c r="F9">
        <f>(25-0.5*73*0.866)/(25-0.75*73)</f>
        <v>0.22215126050420161</v>
      </c>
      <c r="J9">
        <f>6*0.866</f>
        <v>5.1959999999999997</v>
      </c>
    </row>
    <row r="10" spans="1:11" x14ac:dyDescent="0.25">
      <c r="A10" t="s">
        <v>44</v>
      </c>
      <c r="B10">
        <f>-B4/1.5+SQRT(B4*B4/2.25+(B4*B4+0.5*B5*B5)/0.75)</f>
        <v>3.026817324173555</v>
      </c>
      <c r="E10" t="s">
        <v>54</v>
      </c>
      <c r="J10">
        <f>4.34*0.47</f>
        <v>2.0397999999999996</v>
      </c>
    </row>
    <row r="11" spans="1:11" x14ac:dyDescent="0.25">
      <c r="A11" t="s">
        <v>45</v>
      </c>
      <c r="B11">
        <v>0</v>
      </c>
      <c r="E11" t="s">
        <v>48</v>
      </c>
      <c r="F11">
        <f>0.5*(0.866*148-105)/(0.75*148-105*0.5)</f>
        <v>0.19801709401709408</v>
      </c>
      <c r="G11" t="s">
        <v>48</v>
      </c>
      <c r="H11">
        <f>(0.5*108-0.25*86)/(0.5*108-86*0.25946*0.25946)</f>
        <v>0.67412667381789015</v>
      </c>
      <c r="J11">
        <f>13.32+11.32*0.5</f>
        <v>18.98</v>
      </c>
    </row>
    <row r="12" spans="1:11" x14ac:dyDescent="0.25">
      <c r="A12" t="s">
        <v>40</v>
      </c>
      <c r="B12">
        <f>TAN(2*B6)-(TAN(2*B3)+B8/B7)/(1-B8/B7*TAN(2*B3))</f>
        <v>5.9513279275400901</v>
      </c>
      <c r="E12" t="s">
        <v>55</v>
      </c>
      <c r="F12">
        <f>0.5*148*0.866-148*0.75*0.198</f>
        <v>42.106000000000002</v>
      </c>
      <c r="G12" t="s">
        <v>49</v>
      </c>
      <c r="H12">
        <f>(0.5-0.67413*0.5)*108</f>
        <v>17.596979999999999</v>
      </c>
      <c r="J12">
        <f>0.433*11.32</f>
        <v>4.9015599999999999</v>
      </c>
    </row>
    <row r="13" spans="1:11" x14ac:dyDescent="0.25">
      <c r="A13" t="s">
        <v>16</v>
      </c>
      <c r="B13">
        <f>B1*COS(B3)*COS(B3)+B2*SIN(B3)*SIN(B3)+B14*SIN(2*B3)-0.5*(B1+B2)*SIN(2*B3)</f>
        <v>4.4161327247042435</v>
      </c>
      <c r="J13">
        <f>2.9/14.63</f>
        <v>0.19822282980177716</v>
      </c>
    </row>
    <row r="14" spans="1:11" x14ac:dyDescent="0.25">
      <c r="A14" t="s">
        <v>24</v>
      </c>
      <c r="B14">
        <v>4.9800000000000004</v>
      </c>
      <c r="E14">
        <f>COS(75*3.14/180)</f>
        <v>0.25945998191488229</v>
      </c>
      <c r="F14">
        <f>COS(75*3.14/180)</f>
        <v>0.25945998191488229</v>
      </c>
      <c r="G14">
        <f>1.732*1.8</f>
        <v>3.1175999999999999</v>
      </c>
    </row>
    <row r="15" spans="1:11" x14ac:dyDescent="0.25">
      <c r="G15">
        <f>2.1/2.883</f>
        <v>0.72840790842872016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Мехрали Мирзали оглы Алиев</dc:creator>
  <cp:lastModifiedBy>Тимур Краутер</cp:lastModifiedBy>
  <cp:lastPrinted>2024-11-07T07:42:04Z</cp:lastPrinted>
  <dcterms:created xsi:type="dcterms:W3CDTF">2016-05-24T09:47:35Z</dcterms:created>
  <dcterms:modified xsi:type="dcterms:W3CDTF">2024-11-13T00:02:08Z</dcterms:modified>
</cp:coreProperties>
</file>