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vsProj\CalculatingFF\"/>
    </mc:Choice>
  </mc:AlternateContent>
  <xr:revisionPtr revIDLastSave="0" documentId="13_ncr:1_{85E83AF9-8FEA-449B-ADE9-75A333F0487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1" r:id="rId2"/>
    <sheet name="Лист3" sheetId="3" r:id="rId3"/>
  </sheets>
  <calcPr calcId="181029"/>
</workbook>
</file>

<file path=xl/calcChain.xml><?xml version="1.0" encoding="utf-8"?>
<calcChain xmlns="http://schemas.openxmlformats.org/spreadsheetml/2006/main">
  <c r="K14" i="2" l="1"/>
  <c r="K13" i="2"/>
  <c r="K11" i="2"/>
  <c r="K8" i="2"/>
  <c r="K7" i="2"/>
  <c r="K5" i="2"/>
  <c r="J19" i="2"/>
  <c r="J18" i="2"/>
  <c r="J17" i="2"/>
  <c r="J20" i="2" s="1"/>
  <c r="J16" i="2"/>
  <c r="J15" i="2"/>
  <c r="J14" i="2"/>
  <c r="J13" i="2"/>
  <c r="J12" i="2"/>
  <c r="J11" i="2"/>
  <c r="J10" i="2"/>
  <c r="J9" i="2"/>
  <c r="J8" i="2"/>
  <c r="H19" i="2"/>
  <c r="H18" i="2"/>
  <c r="H15" i="2"/>
  <c r="H12" i="2"/>
  <c r="H11" i="2"/>
  <c r="B9" i="2"/>
  <c r="B8" i="2"/>
  <c r="B7" i="2"/>
  <c r="B20" i="2" l="1"/>
  <c r="C13" i="2" l="1"/>
  <c r="H7" i="2"/>
  <c r="B10" i="2"/>
  <c r="H6" i="2" l="1"/>
  <c r="H5" i="2"/>
  <c r="D13" i="2"/>
  <c r="B25" i="2"/>
  <c r="H8" i="2"/>
  <c r="H9" i="2" l="1"/>
  <c r="H10" i="2" s="1"/>
  <c r="H17" i="2" l="1"/>
  <c r="E1" i="3"/>
  <c r="B11" i="1"/>
  <c r="E4" i="2" l="1"/>
  <c r="J1" i="2" l="1"/>
  <c r="H1" i="3" l="1"/>
  <c r="E3" i="2" l="1"/>
  <c r="E12" i="2" l="1"/>
  <c r="E11" i="2"/>
  <c r="E10" i="2"/>
  <c r="E8" i="2" l="1"/>
  <c r="E9" i="2"/>
  <c r="E2" i="3"/>
  <c r="H20" i="2" l="1"/>
  <c r="E7" i="2"/>
  <c r="B1" i="3" l="1"/>
  <c r="E2" i="2" l="1"/>
  <c r="B4" i="3" l="1"/>
  <c r="B19" i="2" l="1"/>
  <c r="B18" i="2"/>
  <c r="B17" i="2" s="1"/>
  <c r="D18" i="2" l="1"/>
  <c r="D17" i="2"/>
  <c r="B12" i="2"/>
  <c r="B16" i="2" s="1"/>
  <c r="B11" i="2"/>
  <c r="B15" i="2" s="1"/>
  <c r="B21" i="2" l="1"/>
  <c r="B21" i="1" l="1"/>
  <c r="D5" i="1"/>
  <c r="B20" i="1" l="1"/>
  <c r="B7" i="1"/>
  <c r="B17" i="1" l="1"/>
  <c r="D1" i="1"/>
  <c r="D2" i="1"/>
  <c r="B22" i="1"/>
  <c r="D4" i="1"/>
  <c r="D3" i="1"/>
  <c r="B16" i="1"/>
  <c r="B14" i="1"/>
  <c r="B13" i="1"/>
  <c r="B23" i="1"/>
  <c r="D6" i="1" l="1"/>
  <c r="B15" i="1"/>
  <c r="B12" i="1"/>
  <c r="D9" i="1"/>
  <c r="D13" i="1" s="1"/>
  <c r="D10" i="1" s="1"/>
  <c r="B9" i="1" s="1"/>
  <c r="D7" i="1"/>
  <c r="B18" i="1"/>
  <c r="B19" i="1" s="1"/>
  <c r="D8" i="1" l="1"/>
  <c r="D14" i="1"/>
  <c r="D12" i="1" l="1"/>
  <c r="D11" i="1"/>
  <c r="B10" i="1"/>
</calcChain>
</file>

<file path=xl/sharedStrings.xml><?xml version="1.0" encoding="utf-8"?>
<sst xmlns="http://schemas.openxmlformats.org/spreadsheetml/2006/main" count="121" uniqueCount="78">
  <si>
    <t>S11</t>
  </si>
  <si>
    <t>S31</t>
  </si>
  <si>
    <t>S12</t>
  </si>
  <si>
    <t>S32</t>
  </si>
  <si>
    <t>S13</t>
  </si>
  <si>
    <t>S33</t>
  </si>
  <si>
    <t>K</t>
  </si>
  <si>
    <t>co</t>
  </si>
  <si>
    <t>c9o</t>
  </si>
  <si>
    <t>a1</t>
  </si>
  <si>
    <t>a2</t>
  </si>
  <si>
    <t>a3</t>
  </si>
  <si>
    <t>a4</t>
  </si>
  <si>
    <t>a5</t>
  </si>
  <si>
    <t>a6</t>
  </si>
  <si>
    <t>Z1</t>
  </si>
  <si>
    <t>Z2</t>
  </si>
  <si>
    <t>alfa1</t>
  </si>
  <si>
    <t>alfa2</t>
  </si>
  <si>
    <t>alfa3</t>
  </si>
  <si>
    <t>p1</t>
  </si>
  <si>
    <t>p2</t>
  </si>
  <si>
    <t>p3</t>
  </si>
  <si>
    <t>b1</t>
  </si>
  <si>
    <t>b2</t>
  </si>
  <si>
    <t>b3</t>
  </si>
  <si>
    <t>b4</t>
  </si>
  <si>
    <t>M</t>
  </si>
  <si>
    <t>K1</t>
  </si>
  <si>
    <t>K2</t>
  </si>
  <si>
    <t>T1</t>
  </si>
  <si>
    <t>T2</t>
  </si>
  <si>
    <t>m</t>
  </si>
  <si>
    <t>A1</t>
  </si>
  <si>
    <t>L</t>
  </si>
  <si>
    <t>m1</t>
  </si>
  <si>
    <t>k</t>
  </si>
  <si>
    <t>n1</t>
  </si>
  <si>
    <t>n2</t>
  </si>
  <si>
    <t>n3</t>
  </si>
  <si>
    <t>alfa</t>
  </si>
  <si>
    <t>So</t>
  </si>
  <si>
    <t>S90</t>
  </si>
  <si>
    <t>F</t>
  </si>
  <si>
    <t>C0</t>
  </si>
  <si>
    <t>C90</t>
  </si>
  <si>
    <t>K90</t>
  </si>
  <si>
    <t>s11</t>
  </si>
  <si>
    <t>S21</t>
  </si>
  <si>
    <t>S23</t>
  </si>
  <si>
    <t>Tn1</t>
  </si>
  <si>
    <t>Sn1</t>
  </si>
  <si>
    <t>Tn2</t>
  </si>
  <si>
    <t>Sn2</t>
  </si>
  <si>
    <t>r90</t>
  </si>
  <si>
    <t>альфа1</t>
  </si>
  <si>
    <t>альфа2</t>
  </si>
  <si>
    <t>m2</t>
  </si>
  <si>
    <t>m3</t>
  </si>
  <si>
    <t>Kcp</t>
  </si>
  <si>
    <t>R0</t>
  </si>
  <si>
    <t>R90</t>
  </si>
  <si>
    <t>_s11</t>
  </si>
  <si>
    <t>_s31</t>
  </si>
  <si>
    <t>_s12</t>
  </si>
  <si>
    <t>_s32</t>
  </si>
  <si>
    <t>_s13</t>
  </si>
  <si>
    <t>_s33</t>
  </si>
  <si>
    <t>_a1</t>
  </si>
  <si>
    <t>_a2</t>
  </si>
  <si>
    <t>_a3</t>
  </si>
  <si>
    <t>_k</t>
  </si>
  <si>
    <t>_t1</t>
  </si>
  <si>
    <t>_c0</t>
  </si>
  <si>
    <t>_c90</t>
  </si>
  <si>
    <t>_s21</t>
  </si>
  <si>
    <t>_s23</t>
  </si>
  <si>
    <t>_ksr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</si>
</sst>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3" fillId="2" borderId="0" xfId="0" applyFont="1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"/>
  <sheetViews>
    <sheetView tabSelected="1" zoomScale="140" zoomScaleNormal="140" workbookViewId="0">
      <selection activeCell="M18" sqref="M18"/>
    </sheetView>
  </sheetViews>
  <sheetFormatPr defaultRowHeight="15" x14ac:dyDescent="0.25"/>
  <cols>
    <col min="2" max="2" width="10.5703125" bestFit="1" customWidth="1"/>
  </cols>
  <sheetData>
    <row r="1" spans="1:11" x14ac:dyDescent="0.25">
      <c r="A1" t="s">
        <v>0</v>
      </c>
      <c r="B1" t="s">
        <v>62</v>
      </c>
      <c r="F1" s="3"/>
      <c r="G1" s="3" t="s">
        <v>47</v>
      </c>
      <c r="H1" s="4" t="s">
        <v>62</v>
      </c>
      <c r="J1" s="1">
        <f>TAN(0.5*(J2+J3)*3.14/180)</f>
        <v>0.55739832346788043</v>
      </c>
    </row>
    <row r="2" spans="1:11" x14ac:dyDescent="0.25">
      <c r="A2" t="s">
        <v>1</v>
      </c>
      <c r="B2" t="s">
        <v>63</v>
      </c>
      <c r="E2">
        <f>37*3.14/180</f>
        <v>0.64544444444444449</v>
      </c>
      <c r="F2" s="3"/>
      <c r="G2" s="3" t="s">
        <v>1</v>
      </c>
      <c r="H2" s="4" t="s">
        <v>63</v>
      </c>
      <c r="I2" t="s">
        <v>60</v>
      </c>
      <c r="J2" s="1">
        <v>32.4</v>
      </c>
    </row>
    <row r="3" spans="1:11" x14ac:dyDescent="0.25">
      <c r="A3" t="s">
        <v>2</v>
      </c>
      <c r="B3" s="1" t="s">
        <v>64</v>
      </c>
      <c r="E3">
        <f>ATAN(0.6)</f>
        <v>0.54041950027058416</v>
      </c>
      <c r="F3" s="3"/>
      <c r="G3" s="3" t="s">
        <v>48</v>
      </c>
      <c r="H3" s="4" t="s">
        <v>75</v>
      </c>
      <c r="I3" t="s">
        <v>61</v>
      </c>
      <c r="J3" s="1">
        <v>25.9</v>
      </c>
    </row>
    <row r="4" spans="1:11" x14ac:dyDescent="0.25">
      <c r="A4" t="s">
        <v>3</v>
      </c>
      <c r="B4" t="s">
        <v>65</v>
      </c>
      <c r="E4">
        <f>ATAN(0.722)</f>
        <v>0.62533898020959511</v>
      </c>
      <c r="F4" s="3"/>
      <c r="G4" s="3" t="s">
        <v>49</v>
      </c>
      <c r="H4" s="4" t="s">
        <v>76</v>
      </c>
    </row>
    <row r="5" spans="1:11" x14ac:dyDescent="0.25">
      <c r="A5" t="s">
        <v>4</v>
      </c>
      <c r="B5" t="s">
        <v>66</v>
      </c>
      <c r="F5" s="3"/>
      <c r="G5" s="3" t="s">
        <v>50</v>
      </c>
      <c r="H5" s="5" t="e">
        <f>0.5*(H1-H2)*SIN(2*H11)</f>
        <v>#VALUE!</v>
      </c>
      <c r="K5">
        <f>0.53*180/3.14</f>
        <v>30.38216560509554</v>
      </c>
    </row>
    <row r="6" spans="1:11" x14ac:dyDescent="0.25">
      <c r="A6" t="s">
        <v>5</v>
      </c>
      <c r="B6" t="s">
        <v>67</v>
      </c>
      <c r="F6" s="3"/>
      <c r="G6" s="3" t="s">
        <v>51</v>
      </c>
      <c r="H6" s="5" t="e">
        <f>0.5*(H1+H2)+0.5*(H1-H2)*COS(2*H11)</f>
        <v>#VALUE!</v>
      </c>
    </row>
    <row r="7" spans="1:11" x14ac:dyDescent="0.25">
      <c r="A7" t="s">
        <v>17</v>
      </c>
      <c r="B7" t="e">
        <f>C7*3.14/180</f>
        <v>#VALUE!</v>
      </c>
      <c r="C7" t="s">
        <v>68</v>
      </c>
      <c r="E7">
        <f>29*3.14/180</f>
        <v>0.50588888888888894</v>
      </c>
      <c r="F7" s="3"/>
      <c r="G7" s="3" t="s">
        <v>52</v>
      </c>
      <c r="H7" s="5" t="e">
        <f>0.5*(H3-H4)*SIN(2*H12)</f>
        <v>#VALUE!</v>
      </c>
      <c r="K7">
        <f>29*3.14/180</f>
        <v>0.50588888888888894</v>
      </c>
    </row>
    <row r="8" spans="1:11" x14ac:dyDescent="0.25">
      <c r="A8" t="s">
        <v>18</v>
      </c>
      <c r="B8" t="e">
        <f>C8*3.14/180</f>
        <v>#VALUE!</v>
      </c>
      <c r="C8" t="s">
        <v>69</v>
      </c>
      <c r="E8">
        <f>(5.189-3.937)*0.866/1.12575</f>
        <v>0.96311969797912511</v>
      </c>
      <c r="F8" s="3"/>
      <c r="G8" s="3" t="s">
        <v>53</v>
      </c>
      <c r="H8" s="5" t="e">
        <f>0.5*(H3+H4)+0.5*(H3-H4)*COS(2*H12)</f>
        <v>#VALUE!</v>
      </c>
      <c r="J8" t="e">
        <f>ATAN(B13)</f>
        <v>#VALUE!</v>
      </c>
      <c r="K8" t="e">
        <f>J8*180/3.14</f>
        <v>#VALUE!</v>
      </c>
    </row>
    <row r="9" spans="1:11" x14ac:dyDescent="0.25">
      <c r="A9" t="s">
        <v>19</v>
      </c>
      <c r="B9" t="e">
        <f>C9*3.14/180</f>
        <v>#VALUE!</v>
      </c>
      <c r="C9" t="s">
        <v>70</v>
      </c>
      <c r="E9">
        <f>(12.377-7.874)*0.25</f>
        <v>1.1257500000000003</v>
      </c>
      <c r="F9" s="3"/>
      <c r="G9" s="3" t="s">
        <v>46</v>
      </c>
      <c r="H9" s="6" t="e">
        <f>(H5-H7)/(H6-H8)</f>
        <v>#VALUE!</v>
      </c>
      <c r="I9" t="s">
        <v>54</v>
      </c>
      <c r="J9" t="e">
        <f>ATAN(H9)</f>
        <v>#VALUE!</v>
      </c>
    </row>
    <row r="10" spans="1:11" x14ac:dyDescent="0.25">
      <c r="A10" t="s">
        <v>20</v>
      </c>
      <c r="B10" t="e">
        <f>COS(2*B7)+B13*SIN(2*B7)</f>
        <v>#VALUE!</v>
      </c>
      <c r="E10">
        <f>(13.35-7.87)/(13.35+7.87-1)</f>
        <v>0.27101879327398615</v>
      </c>
      <c r="F10" s="3"/>
      <c r="G10" s="3" t="s">
        <v>45</v>
      </c>
      <c r="H10" s="6" t="e">
        <f>H5-H6*H9</f>
        <v>#VALUE!</v>
      </c>
      <c r="J10">
        <f>0.207*180/3.14</f>
        <v>11.866242038216559</v>
      </c>
    </row>
    <row r="11" spans="1:11" x14ac:dyDescent="0.25">
      <c r="A11" t="s">
        <v>21</v>
      </c>
      <c r="B11" t="e">
        <f>COS(2*B8)+B13*SIN(2*B8)</f>
        <v>#VALUE!</v>
      </c>
      <c r="E11">
        <f>(12.35-1-7.87)/(12.35+1-7.87)</f>
        <v>0.63503649635036497</v>
      </c>
      <c r="F11" s="3" t="s">
        <v>68</v>
      </c>
      <c r="G11" s="3" t="s">
        <v>55</v>
      </c>
      <c r="H11" s="4" t="e">
        <f>F11*3.14/180</f>
        <v>#VALUE!</v>
      </c>
      <c r="I11" t="s">
        <v>54</v>
      </c>
      <c r="J11" t="e">
        <f>ATAN(B13)</f>
        <v>#VALUE!</v>
      </c>
      <c r="K11">
        <f>0.79*180/3.14</f>
        <v>45.28662420382166</v>
      </c>
    </row>
    <row r="12" spans="1:11" x14ac:dyDescent="0.25">
      <c r="A12" t="s">
        <v>22</v>
      </c>
      <c r="B12" t="e">
        <f>COS(2*B9)+B13*SIN(2*B9)</f>
        <v>#VALUE!</v>
      </c>
      <c r="E12">
        <f>0.63504/SQRT(1-0.63504*0.63504)</f>
        <v>0.82208032956814425</v>
      </c>
      <c r="F12" s="3" t="s">
        <v>69</v>
      </c>
      <c r="G12" s="3" t="s">
        <v>56</v>
      </c>
      <c r="H12" s="4" t="e">
        <f>F12*3.14/180</f>
        <v>#VALUE!</v>
      </c>
      <c r="J12">
        <f>0.4481*180/3.14</f>
        <v>25.687261146496816</v>
      </c>
    </row>
    <row r="13" spans="1:11" x14ac:dyDescent="0.25">
      <c r="A13" t="s">
        <v>36</v>
      </c>
      <c r="B13" t="s">
        <v>71</v>
      </c>
      <c r="C13" t="e">
        <f>ATAN(B13)</f>
        <v>#VALUE!</v>
      </c>
      <c r="D13">
        <f>0.61*180/3.14</f>
        <v>34.968152866242036</v>
      </c>
      <c r="F13" s="3"/>
      <c r="G13" s="3" t="s">
        <v>4</v>
      </c>
      <c r="H13" s="4" t="s">
        <v>66</v>
      </c>
      <c r="J13">
        <f>0.555*180/3.14</f>
        <v>31.815286624203821</v>
      </c>
      <c r="K13">
        <f>8*3.14/180</f>
        <v>0.13955555555555557</v>
      </c>
    </row>
    <row r="14" spans="1:11" x14ac:dyDescent="0.25">
      <c r="A14" t="s">
        <v>30</v>
      </c>
      <c r="B14" t="s">
        <v>72</v>
      </c>
      <c r="F14" s="3"/>
      <c r="G14" s="3" t="s">
        <v>5</v>
      </c>
      <c r="H14" s="4" t="s">
        <v>67</v>
      </c>
      <c r="J14">
        <f>0.69*180/3.14</f>
        <v>39.554140127388528</v>
      </c>
      <c r="K14" t="e">
        <f>ATAN(H21)</f>
        <v>#VALUE!</v>
      </c>
    </row>
    <row r="15" spans="1:11" ht="15.75" x14ac:dyDescent="0.25">
      <c r="A15" t="s">
        <v>15</v>
      </c>
      <c r="B15" s="1" t="e">
        <f>(B3-B4)*(B3-B4)*B11*B11+((B3-B4)*B19+B14)*((B3-B4)*B19+B14)-((B3+B4)*B13+B17)*((B3+B4)*B13+B17)</f>
        <v>#VALUE!</v>
      </c>
      <c r="F15" s="3" t="s">
        <v>70</v>
      </c>
      <c r="G15" s="3" t="s">
        <v>19</v>
      </c>
      <c r="H15" s="3" t="e">
        <f>F15*3.14/180</f>
        <v>#VALUE!</v>
      </c>
      <c r="J15" s="2" t="e">
        <f>ATAN(H21)</f>
        <v>#VALUE!</v>
      </c>
    </row>
    <row r="16" spans="1:11" x14ac:dyDescent="0.25">
      <c r="A16" t="s">
        <v>16</v>
      </c>
      <c r="B16" s="1" t="e">
        <f>(B5-B6)*(B5-B6)*B12*B12+((B5-B6)*B20+B14)*((B5-B6)*B20+B14)-((B5+B6)*B13+B17)*((B5+B6)*B13+B17)</f>
        <v>#VALUE!</v>
      </c>
      <c r="G16" s="3" t="s">
        <v>44</v>
      </c>
      <c r="H16" s="3" t="s">
        <v>73</v>
      </c>
      <c r="J16">
        <f>0.35*180/3.14</f>
        <v>20.06369426751592</v>
      </c>
    </row>
    <row r="17" spans="1:10" x14ac:dyDescent="0.25">
      <c r="A17" t="s">
        <v>31</v>
      </c>
      <c r="B17" s="1" t="e">
        <f>SQRT((B1-B2)*(B1-B2)*B10*B10+((B1-B2)*B18+B14)*((B1-B2)*B18+B14))-(B1+B2)*B13</f>
        <v>#VALUE!</v>
      </c>
      <c r="C17" t="s">
        <v>44</v>
      </c>
      <c r="D17" t="e">
        <f>(B14+B17)/2</f>
        <v>#VALUE!</v>
      </c>
      <c r="F17" s="3"/>
      <c r="G17" s="7" t="s">
        <v>35</v>
      </c>
      <c r="H17" s="7" t="e">
        <f>(H13-H14)*(COS(2*H15)+H9*SIN(2*H15))</f>
        <v>#VALUE!</v>
      </c>
      <c r="I17" s="3" t="s">
        <v>35</v>
      </c>
      <c r="J17" s="3" t="e">
        <f>(H13-H14)*(COS(2*H15)+H21*SIN(2*H15))</f>
        <v>#VALUE!</v>
      </c>
    </row>
    <row r="18" spans="1:10" x14ac:dyDescent="0.25">
      <c r="A18" t="s">
        <v>37</v>
      </c>
      <c r="B18" t="e">
        <f>SIN(2*B7)-B13*COS(2*B7)</f>
        <v>#VALUE!</v>
      </c>
      <c r="C18" t="s">
        <v>45</v>
      </c>
      <c r="D18" t="e">
        <f>(B17-B14)/2</f>
        <v>#VALUE!</v>
      </c>
      <c r="F18" s="3"/>
      <c r="G18" s="7" t="s">
        <v>57</v>
      </c>
      <c r="H18" s="7" t="e">
        <f>(H13-H14)*(SIN(2*H15)-H9*COS(2*H15))+H16-H10</f>
        <v>#VALUE!</v>
      </c>
      <c r="I18" s="3" t="s">
        <v>57</v>
      </c>
      <c r="J18" s="3" t="e">
        <f>(H13-H14)*(SIN(2*H15)-H21*COS(2*H15))+H16-H10</f>
        <v>#VALUE!</v>
      </c>
    </row>
    <row r="19" spans="1:10" x14ac:dyDescent="0.25">
      <c r="A19" t="s">
        <v>38</v>
      </c>
      <c r="B19" t="e">
        <f>SIN(2*B8)-B13*COS(2*B8)</f>
        <v>#VALUE!</v>
      </c>
      <c r="F19" s="3"/>
      <c r="G19" s="7" t="s">
        <v>58</v>
      </c>
      <c r="H19" s="7" t="e">
        <f>(H13+H14)*H9+H16+H10</f>
        <v>#VALUE!</v>
      </c>
      <c r="I19" s="3" t="s">
        <v>58</v>
      </c>
      <c r="J19" s="3" t="e">
        <f>(H13+H14)*H21+H16+H10</f>
        <v>#VALUE!</v>
      </c>
    </row>
    <row r="20" spans="1:10" x14ac:dyDescent="0.25">
      <c r="A20" t="s">
        <v>39</v>
      </c>
      <c r="B20" t="e">
        <f>SIN(2*B9)-B13*COS(2*B9)</f>
        <v>#VALUE!</v>
      </c>
      <c r="F20" s="3"/>
      <c r="G20" s="7" t="s">
        <v>43</v>
      </c>
      <c r="H20" s="7" t="e">
        <f>H17*H17+H18*H18-H19*H19</f>
        <v>#VALUE!</v>
      </c>
      <c r="I20" s="3" t="s">
        <v>43</v>
      </c>
      <c r="J20" s="4" t="e">
        <f>J17*J17+J18*J18-J19*J19</f>
        <v>#VALUE!</v>
      </c>
    </row>
    <row r="21" spans="1:10" x14ac:dyDescent="0.25">
      <c r="A21" t="s">
        <v>43</v>
      </c>
      <c r="B21" t="e">
        <f>(B3-B4)*(B3-B4)*B11*B11+((B3-B4)*B19+(B22-B23))*(B3-B4)*B19+(B22-B23)-((B3-B4)*B13+B22+B23)*((B3-B4)*B13+B22+B23)</f>
        <v>#VALUE!</v>
      </c>
      <c r="G21" s="3" t="s">
        <v>59</v>
      </c>
      <c r="H21" s="3" t="s">
        <v>77</v>
      </c>
    </row>
    <row r="22" spans="1:10" x14ac:dyDescent="0.25">
      <c r="A22" t="s">
        <v>44</v>
      </c>
      <c r="B22" t="s">
        <v>73</v>
      </c>
    </row>
    <row r="23" spans="1:10" x14ac:dyDescent="0.25">
      <c r="A23" t="s">
        <v>45</v>
      </c>
      <c r="B23" t="s">
        <v>74</v>
      </c>
    </row>
    <row r="25" spans="1:10" x14ac:dyDescent="0.25">
      <c r="B25" t="e">
        <f>ATAN(B13)</f>
        <v>#VALUE!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zoomScale="130" zoomScaleNormal="130" workbookViewId="0">
      <selection activeCell="F14" sqref="F14"/>
    </sheetView>
  </sheetViews>
  <sheetFormatPr defaultRowHeight="15" x14ac:dyDescent="0.25"/>
  <cols>
    <col min="4" max="4" width="12" bestFit="1" customWidth="1"/>
  </cols>
  <sheetData>
    <row r="1" spans="1:4" x14ac:dyDescent="0.25">
      <c r="A1" t="s">
        <v>0</v>
      </c>
      <c r="B1">
        <v>260</v>
      </c>
      <c r="C1" t="s">
        <v>23</v>
      </c>
      <c r="D1">
        <f>(B1-B2)*COS(2*B7)-(B3-B4)*COS(2*B20)</f>
        <v>123.28067471679294</v>
      </c>
    </row>
    <row r="2" spans="1:4" x14ac:dyDescent="0.25">
      <c r="A2" t="s">
        <v>1</v>
      </c>
      <c r="B2">
        <v>5</v>
      </c>
      <c r="C2" t="s">
        <v>24</v>
      </c>
      <c r="D2">
        <f>-((B1-B2)*2*SIN(2*B7)-(B3-B4)*SIN(2*B20))</f>
        <v>-86.059583646975085</v>
      </c>
    </row>
    <row r="3" spans="1:4" x14ac:dyDescent="0.25">
      <c r="A3" t="s">
        <v>2</v>
      </c>
      <c r="B3">
        <v>200</v>
      </c>
      <c r="C3" t="s">
        <v>25</v>
      </c>
      <c r="D3">
        <f>(B3-B4)*COS(2*B20)-(B5-B6)*COS(2*B21)</f>
        <v>97.390557678916821</v>
      </c>
    </row>
    <row r="4" spans="1:4" x14ac:dyDescent="0.25">
      <c r="A4" t="s">
        <v>3</v>
      </c>
      <c r="B4">
        <v>5</v>
      </c>
      <c r="C4" t="s">
        <v>26</v>
      </c>
      <c r="D4">
        <f>-(B3-B4)*2*SIN(2*B20)+(B5-B6)*2*SIN(2*B21)</f>
        <v>162.35350406390302</v>
      </c>
    </row>
    <row r="5" spans="1:4" x14ac:dyDescent="0.25">
      <c r="A5" t="s">
        <v>4</v>
      </c>
      <c r="B5">
        <v>255</v>
      </c>
      <c r="C5" t="s">
        <v>27</v>
      </c>
      <c r="D5">
        <f>B8/(1+B8*B8)</f>
        <v>0.19230769230769232</v>
      </c>
    </row>
    <row r="6" spans="1:4" x14ac:dyDescent="0.25">
      <c r="A6" t="s">
        <v>5</v>
      </c>
      <c r="B6">
        <v>5</v>
      </c>
      <c r="C6" t="s">
        <v>28</v>
      </c>
      <c r="D6">
        <f>2*B11*D5+B11*D4-2*B14*D1*D5-B14*D2</f>
        <v>3448118.8052323996</v>
      </c>
    </row>
    <row r="7" spans="1:4" x14ac:dyDescent="0.25">
      <c r="A7" t="s">
        <v>17</v>
      </c>
      <c r="B7">
        <f>3.14/12</f>
        <v>0.26166666666666666</v>
      </c>
      <c r="C7" t="s">
        <v>29</v>
      </c>
      <c r="D7">
        <f>2*B13*D3*D5+B13*D4-2*B16*D1*D5-B16*D2</f>
        <v>9863.2679779269438</v>
      </c>
    </row>
    <row r="8" spans="1:4" x14ac:dyDescent="0.25">
      <c r="A8" t="s">
        <v>6</v>
      </c>
      <c r="B8">
        <v>0.2</v>
      </c>
      <c r="C8" t="s">
        <v>6</v>
      </c>
      <c r="D8">
        <f>D6/D7</f>
        <v>349.59192155672559</v>
      </c>
    </row>
    <row r="9" spans="1:4" x14ac:dyDescent="0.25">
      <c r="A9" t="s">
        <v>7</v>
      </c>
      <c r="B9">
        <f>0.5*(D10+D13)</f>
        <v>164.17077904521784</v>
      </c>
      <c r="C9" t="s">
        <v>34</v>
      </c>
      <c r="D9">
        <f>0.5*(B1-B2)*B17*(1+B8*B8)</f>
        <v>-88.364968406272141</v>
      </c>
    </row>
    <row r="10" spans="1:4" x14ac:dyDescent="0.25">
      <c r="A10" t="s">
        <v>8</v>
      </c>
      <c r="B10">
        <f>0.5*(D10-D13)</f>
        <v>98.86591504963468</v>
      </c>
      <c r="C10" t="s">
        <v>31</v>
      </c>
      <c r="D10">
        <f>SQRT((B5-B6)*(B5-B6)-D13*(B5-B6)*B23+D13*D13/(1+B8*B8))-(B5+B6)*B8</f>
        <v>263.03669409485252</v>
      </c>
    </row>
    <row r="11" spans="1:4" x14ac:dyDescent="0.25">
      <c r="A11" t="s">
        <v>9</v>
      </c>
      <c r="B11">
        <f>(B1-B2)*(B1-B2)-(B3-B4)*(B3-B4)</f>
        <v>27000</v>
      </c>
      <c r="C11" t="s">
        <v>32</v>
      </c>
      <c r="D11">
        <f>(B1+B3)*B8+D10</f>
        <v>355.03669409485252</v>
      </c>
    </row>
    <row r="12" spans="1:4" x14ac:dyDescent="0.25">
      <c r="A12" t="s">
        <v>10</v>
      </c>
      <c r="B12">
        <f>D1*2*B8/(1+B8*B8)+D2</f>
        <v>-38.643939525131643</v>
      </c>
      <c r="C12" t="s">
        <v>33</v>
      </c>
      <c r="D12">
        <f>(B3-B4)*(B3-B4)-D13*(B3-B4)*B22+D13*D13/(1+B8*B8)</f>
        <v>62950.053562231347</v>
      </c>
    </row>
    <row r="13" spans="1:4" x14ac:dyDescent="0.25">
      <c r="A13" t="s">
        <v>11</v>
      </c>
      <c r="B13">
        <f>B1+B2-B3-B4</f>
        <v>60</v>
      </c>
      <c r="C13" t="s">
        <v>30</v>
      </c>
      <c r="D13">
        <f>SQRT(D9*D9+D1*D1*(1+B8*B8))+D9</f>
        <v>65.304863995583162</v>
      </c>
    </row>
    <row r="14" spans="1:4" x14ac:dyDescent="0.25">
      <c r="A14" t="s">
        <v>12</v>
      </c>
      <c r="B14">
        <f>(B3-B4)*(B3-B4)-(B5-B6)*(B5-B6)</f>
        <v>-24475</v>
      </c>
      <c r="C14" t="s">
        <v>35</v>
      </c>
      <c r="D14">
        <f>((B3+B4)*B8+D10)*((B3+B4)*B8+D10)</f>
        <v>92438.311356126927</v>
      </c>
    </row>
    <row r="15" spans="1:4" x14ac:dyDescent="0.25">
      <c r="A15" t="s">
        <v>13</v>
      </c>
      <c r="B15">
        <f>D3*2*B8/(1+B8*B8)+D4</f>
        <v>199.8114108634864</v>
      </c>
    </row>
    <row r="16" spans="1:4" x14ac:dyDescent="0.25">
      <c r="A16" t="s">
        <v>14</v>
      </c>
      <c r="B16">
        <f>B3+B4-B5-B6</f>
        <v>-55</v>
      </c>
    </row>
    <row r="17" spans="1:2" x14ac:dyDescent="0.25">
      <c r="A17" t="s">
        <v>20</v>
      </c>
      <c r="B17">
        <f>COS(2*B7)*2*B8/(1+B8*B8)-2*SIN(2*B7)</f>
        <v>-0.66640247666871899</v>
      </c>
    </row>
    <row r="18" spans="1:2" x14ac:dyDescent="0.25">
      <c r="A18" t="s">
        <v>15</v>
      </c>
      <c r="B18">
        <f>(B11-B13*B8)/(B12*B17)</f>
        <v>1047.9793019755236</v>
      </c>
    </row>
    <row r="19" spans="1:2" x14ac:dyDescent="0.25">
      <c r="A19" t="s">
        <v>16</v>
      </c>
      <c r="B19">
        <f>(B1-B2)*(B1-B2)-B18*((B1-B2)*B17-B18/(1+B8*B8))-(B1+B2)*B8</f>
        <v>1299077.704988552</v>
      </c>
    </row>
    <row r="20" spans="1:2" x14ac:dyDescent="0.25">
      <c r="A20" t="s">
        <v>18</v>
      </c>
      <c r="B20">
        <f>3.14/6</f>
        <v>0.52333333333333332</v>
      </c>
    </row>
    <row r="21" spans="1:2" x14ac:dyDescent="0.25">
      <c r="A21" t="s">
        <v>19</v>
      </c>
      <c r="B21">
        <f>3.14/4</f>
        <v>0.78500000000000003</v>
      </c>
    </row>
    <row r="22" spans="1:2" x14ac:dyDescent="0.25">
      <c r="A22" t="s">
        <v>21</v>
      </c>
      <c r="B22">
        <f>COS(2*B20)*B8/(1+B8*B8)-2*SIN(2*B20)</f>
        <v>-1.6352774310984952</v>
      </c>
    </row>
    <row r="23" spans="1:2" x14ac:dyDescent="0.25">
      <c r="A23" t="s">
        <v>22</v>
      </c>
      <c r="B23">
        <f>COS(2*B21)*2*B8/(1+B8*B8)-2*SIN(2*B21)</f>
        <v>-1.999693086359541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zoomScale="120" zoomScaleNormal="120" workbookViewId="0">
      <selection activeCell="J9" sqref="J9"/>
    </sheetView>
  </sheetViews>
  <sheetFormatPr defaultRowHeight="15" x14ac:dyDescent="0.25"/>
  <sheetData>
    <row r="1" spans="1:8" x14ac:dyDescent="0.25">
      <c r="A1" t="s">
        <v>40</v>
      </c>
      <c r="B1">
        <f>90*3.14/180</f>
        <v>1.57</v>
      </c>
      <c r="D1" t="s">
        <v>46</v>
      </c>
      <c r="E1">
        <f>(5.189-3.937)*0.866/((11.377-7.874)*0.75)</f>
        <v>0.41268703016462066</v>
      </c>
      <c r="H1">
        <f>1900/145</f>
        <v>13.103448275862069</v>
      </c>
    </row>
    <row r="2" spans="1:8" x14ac:dyDescent="0.25">
      <c r="A2" t="s">
        <v>41</v>
      </c>
      <c r="B2">
        <v>130</v>
      </c>
      <c r="D2" t="s">
        <v>45</v>
      </c>
      <c r="E2">
        <f>5.189*0.866-11.377*0.75*0.41269</f>
        <v>0.97229340250000051</v>
      </c>
    </row>
    <row r="3" spans="1:8" x14ac:dyDescent="0.25">
      <c r="A3" t="s">
        <v>42</v>
      </c>
      <c r="B3">
        <v>188</v>
      </c>
    </row>
    <row r="4" spans="1:8" x14ac:dyDescent="0.25">
      <c r="A4" t="s">
        <v>43</v>
      </c>
      <c r="B4">
        <f>B2*COS(B1)*COS(B1)+B3*SIN(B1)*SIN(B1)</f>
        <v>187.99996322009864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Лист1</vt:lpstr>
      <vt:lpstr>Лист3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Мехрали Мирзали оглы Алиев</dc:creator>
  <cp:lastModifiedBy>Тимур Краутер</cp:lastModifiedBy>
  <cp:lastPrinted>2019-04-24T07:59:29Z</cp:lastPrinted>
  <dcterms:created xsi:type="dcterms:W3CDTF">2015-12-12T08:43:40Z</dcterms:created>
  <dcterms:modified xsi:type="dcterms:W3CDTF">2024-11-11T22:23:15Z</dcterms:modified>
</cp:coreProperties>
</file>