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l\Desktop\"/>
    </mc:Choice>
  </mc:AlternateContent>
  <bookViews>
    <workbookView xWindow="0" yWindow="0" windowWidth="13800" windowHeight="11775" activeTab="3"/>
  </bookViews>
  <sheets>
    <sheet name="Financials" sheetId="1" r:id="rId1"/>
    <sheet name="BMW" sheetId="2" r:id="rId2"/>
    <sheet name="DAX" sheetId="3" r:id="rId3"/>
    <sheet name="Calculations" sheetId="4" r:id="rId4"/>
  </sheets>
  <calcPr calcId="162913"/>
</workbook>
</file>

<file path=xl/calcChain.xml><?xml version="1.0" encoding="utf-8"?>
<calcChain xmlns="http://schemas.openxmlformats.org/spreadsheetml/2006/main">
  <c r="B8" i="4" l="1"/>
  <c r="I4" i="4"/>
  <c r="H4" i="4"/>
  <c r="G4" i="4"/>
  <c r="F7" i="4" s="1"/>
  <c r="G7" i="4" s="1"/>
  <c r="H7" i="4" s="1"/>
  <c r="I7" i="4" s="1"/>
  <c r="E100" i="1"/>
  <c r="D100" i="1"/>
  <c r="C100" i="1"/>
  <c r="B100" i="1"/>
  <c r="B83" i="1"/>
  <c r="E73" i="1"/>
  <c r="B73" i="1"/>
  <c r="E67" i="1"/>
  <c r="D67" i="1"/>
  <c r="C67" i="1"/>
  <c r="B67" i="1"/>
  <c r="D66" i="1"/>
  <c r="D83" i="1" s="1"/>
  <c r="B66" i="1"/>
  <c r="E59" i="1"/>
  <c r="E66" i="1" s="1"/>
  <c r="C59" i="1"/>
  <c r="C66" i="1" s="1"/>
  <c r="C83" i="1" s="1"/>
  <c r="B59" i="1"/>
  <c r="E50" i="1"/>
  <c r="D50" i="1"/>
  <c r="C50" i="1"/>
  <c r="B50" i="1"/>
  <c r="E40" i="1"/>
  <c r="E39" i="1" s="1"/>
  <c r="E49" i="1" s="1"/>
  <c r="D40" i="1"/>
  <c r="C40" i="1"/>
  <c r="C39" i="1" s="1"/>
  <c r="B40" i="1"/>
  <c r="D39" i="1"/>
  <c r="D49" i="1" s="1"/>
  <c r="B39" i="1"/>
  <c r="B49" i="1" s="1"/>
  <c r="E8" i="1"/>
  <c r="D8" i="1"/>
  <c r="C8" i="1"/>
  <c r="B8" i="1"/>
  <c r="E3" i="1"/>
  <c r="E7" i="1" s="1"/>
  <c r="E15" i="1" s="1"/>
  <c r="E19" i="1" s="1"/>
  <c r="D3" i="1"/>
  <c r="D7" i="1" s="1"/>
  <c r="D15" i="1" s="1"/>
  <c r="D19" i="1" s="1"/>
  <c r="C3" i="1"/>
  <c r="C7" i="1" s="1"/>
  <c r="C15" i="1" s="1"/>
  <c r="C19" i="1" s="1"/>
  <c r="B3" i="1"/>
  <c r="B7" i="1" s="1"/>
  <c r="B15" i="1" s="1"/>
  <c r="B19" i="1" s="1"/>
  <c r="D209" i="3"/>
  <c r="C208" i="3"/>
  <c r="F207" i="3"/>
  <c r="B207" i="3"/>
  <c r="E206" i="3"/>
  <c r="A206" i="3"/>
  <c r="D205" i="3"/>
  <c r="C204" i="3"/>
  <c r="F203" i="3"/>
  <c r="B203" i="3"/>
  <c r="E202" i="3"/>
  <c r="A202" i="3"/>
  <c r="D201" i="3"/>
  <c r="C200" i="3"/>
  <c r="F199" i="3"/>
  <c r="B199" i="3"/>
  <c r="E198" i="3"/>
  <c r="A198" i="3"/>
  <c r="D197" i="3"/>
  <c r="C196" i="3"/>
  <c r="F195" i="3"/>
  <c r="B195" i="3"/>
  <c r="E194" i="3"/>
  <c r="A194" i="3"/>
  <c r="D193" i="3"/>
  <c r="C192" i="3"/>
  <c r="F191" i="3"/>
  <c r="B191" i="3"/>
  <c r="E190" i="3"/>
  <c r="A190" i="3"/>
  <c r="D189" i="3"/>
  <c r="C188" i="3"/>
  <c r="F187" i="3"/>
  <c r="B187" i="3"/>
  <c r="E186" i="3"/>
  <c r="A186" i="3"/>
  <c r="D185" i="3"/>
  <c r="C184" i="3"/>
  <c r="F183" i="3"/>
  <c r="B183" i="3"/>
  <c r="E182" i="3"/>
  <c r="A182" i="3"/>
  <c r="D181" i="3"/>
  <c r="C180" i="3"/>
  <c r="F179" i="3"/>
  <c r="B179" i="3"/>
  <c r="E178" i="3"/>
  <c r="A178" i="3"/>
  <c r="D177" i="3"/>
  <c r="C176" i="3"/>
  <c r="F175" i="3"/>
  <c r="B175" i="3"/>
  <c r="E174" i="3"/>
  <c r="A174" i="3"/>
  <c r="D173" i="3"/>
  <c r="C172" i="3"/>
  <c r="F171" i="3"/>
  <c r="B171" i="3"/>
  <c r="E170" i="3"/>
  <c r="A170" i="3"/>
  <c r="D169" i="3"/>
  <c r="C168" i="3"/>
  <c r="F167" i="3"/>
  <c r="B167" i="3"/>
  <c r="E166" i="3"/>
  <c r="A166" i="3"/>
  <c r="D165" i="3"/>
  <c r="C164" i="3"/>
  <c r="F163" i="3"/>
  <c r="B163" i="3"/>
  <c r="E162" i="3"/>
  <c r="A162" i="3"/>
  <c r="D161" i="3"/>
  <c r="C160" i="3"/>
  <c r="F159" i="3"/>
  <c r="B159" i="3"/>
  <c r="E158" i="3"/>
  <c r="A158" i="3"/>
  <c r="D157" i="3"/>
  <c r="C156" i="3"/>
  <c r="F155" i="3"/>
  <c r="B155" i="3"/>
  <c r="E154" i="3"/>
  <c r="A154" i="3"/>
  <c r="D153" i="3"/>
  <c r="C152" i="3"/>
  <c r="F151" i="3"/>
  <c r="B151" i="3"/>
  <c r="E150" i="3"/>
  <c r="A150" i="3"/>
  <c r="D149" i="3"/>
  <c r="C148" i="3"/>
  <c r="F147" i="3"/>
  <c r="C209" i="3"/>
  <c r="F208" i="3"/>
  <c r="B208" i="3"/>
  <c r="E207" i="3"/>
  <c r="A207" i="3"/>
  <c r="D206" i="3"/>
  <c r="C205" i="3"/>
  <c r="F204" i="3"/>
  <c r="B204" i="3"/>
  <c r="E203" i="3"/>
  <c r="A203" i="3"/>
  <c r="D202" i="3"/>
  <c r="C201" i="3"/>
  <c r="F200" i="3"/>
  <c r="B200" i="3"/>
  <c r="E199" i="3"/>
  <c r="A199" i="3"/>
  <c r="D198" i="3"/>
  <c r="C197" i="3"/>
  <c r="F196" i="3"/>
  <c r="B196" i="3"/>
  <c r="E195" i="3"/>
  <c r="A195" i="3"/>
  <c r="D194" i="3"/>
  <c r="C193" i="3"/>
  <c r="F192" i="3"/>
  <c r="B192" i="3"/>
  <c r="E191" i="3"/>
  <c r="A191" i="3"/>
  <c r="D190" i="3"/>
  <c r="C189" i="3"/>
  <c r="F188" i="3"/>
  <c r="B188" i="3"/>
  <c r="E187" i="3"/>
  <c r="A187" i="3"/>
  <c r="D186" i="3"/>
  <c r="C185" i="3"/>
  <c r="F184" i="3"/>
  <c r="B184" i="3"/>
  <c r="E183" i="3"/>
  <c r="A183" i="3"/>
  <c r="D182" i="3"/>
  <c r="C181" i="3"/>
  <c r="F180" i="3"/>
  <c r="B180" i="3"/>
  <c r="E179" i="3"/>
  <c r="A179" i="3"/>
  <c r="D178" i="3"/>
  <c r="C177" i="3"/>
  <c r="F176" i="3"/>
  <c r="B176" i="3"/>
  <c r="E175" i="3"/>
  <c r="A175" i="3"/>
  <c r="D174" i="3"/>
  <c r="C173" i="3"/>
  <c r="F172" i="3"/>
  <c r="B172" i="3"/>
  <c r="E171" i="3"/>
  <c r="A171" i="3"/>
  <c r="D170" i="3"/>
  <c r="C169" i="3"/>
  <c r="F168" i="3"/>
  <c r="B168" i="3"/>
  <c r="E167" i="3"/>
  <c r="A167" i="3"/>
  <c r="D166" i="3"/>
  <c r="C165" i="3"/>
  <c r="F164" i="3"/>
  <c r="B164" i="3"/>
  <c r="E163" i="3"/>
  <c r="A163" i="3"/>
  <c r="D162" i="3"/>
  <c r="C161" i="3"/>
  <c r="F160" i="3"/>
  <c r="B160" i="3"/>
  <c r="E159" i="3"/>
  <c r="A159" i="3"/>
  <c r="D158" i="3"/>
  <c r="C157" i="3"/>
  <c r="F156" i="3"/>
  <c r="B156" i="3"/>
  <c r="E155" i="3"/>
  <c r="A155" i="3"/>
  <c r="D154" i="3"/>
  <c r="C153" i="3"/>
  <c r="F152" i="3"/>
  <c r="B152" i="3"/>
  <c r="E151" i="3"/>
  <c r="A151" i="3"/>
  <c r="D150" i="3"/>
  <c r="C149" i="3"/>
  <c r="F148" i="3"/>
  <c r="B148" i="3"/>
  <c r="E147" i="3"/>
  <c r="A147" i="3"/>
  <c r="D146" i="3"/>
  <c r="F209" i="3"/>
  <c r="E208" i="3"/>
  <c r="D207" i="3"/>
  <c r="C206" i="3"/>
  <c r="B205" i="3"/>
  <c r="A204" i="3"/>
  <c r="F201" i="3"/>
  <c r="E200" i="3"/>
  <c r="D199" i="3"/>
  <c r="C198" i="3"/>
  <c r="B197" i="3"/>
  <c r="A196" i="3"/>
  <c r="F193" i="3"/>
  <c r="E192" i="3"/>
  <c r="D191" i="3"/>
  <c r="C190" i="3"/>
  <c r="B189" i="3"/>
  <c r="A188" i="3"/>
  <c r="F185" i="3"/>
  <c r="E184" i="3"/>
  <c r="D183" i="3"/>
  <c r="C182" i="3"/>
  <c r="B181" i="3"/>
  <c r="A180" i="3"/>
  <c r="F177" i="3"/>
  <c r="E176" i="3"/>
  <c r="D175" i="3"/>
  <c r="C174" i="3"/>
  <c r="B173" i="3"/>
  <c r="A172" i="3"/>
  <c r="F169" i="3"/>
  <c r="E168" i="3"/>
  <c r="D167" i="3"/>
  <c r="C166" i="3"/>
  <c r="B165" i="3"/>
  <c r="A164" i="3"/>
  <c r="F161" i="3"/>
  <c r="E160" i="3"/>
  <c r="D159" i="3"/>
  <c r="C158" i="3"/>
  <c r="B157" i="3"/>
  <c r="A156" i="3"/>
  <c r="F153" i="3"/>
  <c r="E152" i="3"/>
  <c r="D151" i="3"/>
  <c r="C150" i="3"/>
  <c r="B149" i="3"/>
  <c r="A148" i="3"/>
  <c r="B147" i="3"/>
  <c r="C146" i="3"/>
  <c r="E145" i="3"/>
  <c r="A145" i="3"/>
  <c r="D144" i="3"/>
  <c r="C143" i="3"/>
  <c r="F142" i="3"/>
  <c r="B142" i="3"/>
  <c r="E141" i="3"/>
  <c r="A141" i="3"/>
  <c r="D140" i="3"/>
  <c r="C139" i="3"/>
  <c r="F138" i="3"/>
  <c r="B138" i="3"/>
  <c r="E137" i="3"/>
  <c r="A137" i="3"/>
  <c r="D136" i="3"/>
  <c r="C135" i="3"/>
  <c r="F134" i="3"/>
  <c r="B134" i="3"/>
  <c r="E133" i="3"/>
  <c r="A133" i="3"/>
  <c r="D132" i="3"/>
  <c r="C131" i="3"/>
  <c r="F130" i="3"/>
  <c r="B130" i="3"/>
  <c r="E129" i="3"/>
  <c r="A129" i="3"/>
  <c r="D128" i="3"/>
  <c r="C127" i="3"/>
  <c r="F126" i="3"/>
  <c r="B126" i="3"/>
  <c r="E125" i="3"/>
  <c r="A125" i="3"/>
  <c r="D124" i="3"/>
  <c r="C123" i="3"/>
  <c r="F122" i="3"/>
  <c r="B122" i="3"/>
  <c r="E121" i="3"/>
  <c r="A121" i="3"/>
  <c r="D120" i="3"/>
  <c r="C119" i="3"/>
  <c r="F118" i="3"/>
  <c r="B118" i="3"/>
  <c r="E117" i="3"/>
  <c r="A117" i="3"/>
  <c r="D116" i="3"/>
  <c r="C115" i="3"/>
  <c r="F114" i="3"/>
  <c r="B114" i="3"/>
  <c r="E113" i="3"/>
  <c r="A113" i="3"/>
  <c r="D112" i="3"/>
  <c r="C111" i="3"/>
  <c r="F110" i="3"/>
  <c r="E209" i="3"/>
  <c r="D208" i="3"/>
  <c r="C207" i="3"/>
  <c r="B206" i="3"/>
  <c r="A205" i="3"/>
  <c r="F202" i="3"/>
  <c r="E201" i="3"/>
  <c r="D200" i="3"/>
  <c r="C199" i="3"/>
  <c r="B198" i="3"/>
  <c r="A197" i="3"/>
  <c r="F194" i="3"/>
  <c r="E193" i="3"/>
  <c r="D192" i="3"/>
  <c r="C191" i="3"/>
  <c r="B190" i="3"/>
  <c r="A189" i="3"/>
  <c r="F186" i="3"/>
  <c r="E185" i="3"/>
  <c r="D184" i="3"/>
  <c r="C183" i="3"/>
  <c r="B182" i="3"/>
  <c r="A181" i="3"/>
  <c r="F178" i="3"/>
  <c r="E177" i="3"/>
  <c r="D176" i="3"/>
  <c r="C175" i="3"/>
  <c r="B174" i="3"/>
  <c r="A173" i="3"/>
  <c r="F170" i="3"/>
  <c r="E169" i="3"/>
  <c r="D168" i="3"/>
  <c r="C167" i="3"/>
  <c r="B166" i="3"/>
  <c r="A165" i="3"/>
  <c r="F162" i="3"/>
  <c r="E161" i="3"/>
  <c r="D160" i="3"/>
  <c r="C159" i="3"/>
  <c r="B158" i="3"/>
  <c r="A157" i="3"/>
  <c r="F154" i="3"/>
  <c r="E153" i="3"/>
  <c r="D152" i="3"/>
  <c r="C151" i="3"/>
  <c r="B150" i="3"/>
  <c r="A149" i="3"/>
  <c r="B146" i="3"/>
  <c r="D145" i="3"/>
  <c r="C144" i="3"/>
  <c r="F143" i="3"/>
  <c r="B143" i="3"/>
  <c r="E142" i="3"/>
  <c r="A142" i="3"/>
  <c r="D141" i="3"/>
  <c r="C140" i="3"/>
  <c r="F139" i="3"/>
  <c r="B139" i="3"/>
  <c r="E138" i="3"/>
  <c r="A138" i="3"/>
  <c r="D137" i="3"/>
  <c r="C136" i="3"/>
  <c r="F135" i="3"/>
  <c r="B135" i="3"/>
  <c r="E134" i="3"/>
  <c r="A134" i="3"/>
  <c r="D133" i="3"/>
  <c r="C132" i="3"/>
  <c r="F131" i="3"/>
  <c r="B131" i="3"/>
  <c r="E130" i="3"/>
  <c r="A130" i="3"/>
  <c r="D129" i="3"/>
  <c r="C128" i="3"/>
  <c r="F127" i="3"/>
  <c r="B127" i="3"/>
  <c r="E126" i="3"/>
  <c r="A126" i="3"/>
  <c r="D125" i="3"/>
  <c r="C124" i="3"/>
  <c r="F123" i="3"/>
  <c r="B123" i="3"/>
  <c r="E122" i="3"/>
  <c r="A122" i="3"/>
  <c r="D121" i="3"/>
  <c r="B209" i="3"/>
  <c r="A208" i="3"/>
  <c r="F205" i="3"/>
  <c r="E204" i="3"/>
  <c r="D203" i="3"/>
  <c r="C202" i="3"/>
  <c r="B201" i="3"/>
  <c r="A200" i="3"/>
  <c r="F197" i="3"/>
  <c r="E196" i="3"/>
  <c r="D195" i="3"/>
  <c r="C194" i="3"/>
  <c r="B193" i="3"/>
  <c r="A192" i="3"/>
  <c r="F189" i="3"/>
  <c r="E188" i="3"/>
  <c r="D187" i="3"/>
  <c r="C186" i="3"/>
  <c r="B185" i="3"/>
  <c r="A184" i="3"/>
  <c r="F181" i="3"/>
  <c r="E180" i="3"/>
  <c r="D179" i="3"/>
  <c r="C178" i="3"/>
  <c r="B177" i="3"/>
  <c r="A176" i="3"/>
  <c r="F173" i="3"/>
  <c r="E172" i="3"/>
  <c r="D171" i="3"/>
  <c r="C170" i="3"/>
  <c r="B169" i="3"/>
  <c r="A168" i="3"/>
  <c r="F165" i="3"/>
  <c r="E164" i="3"/>
  <c r="D163" i="3"/>
  <c r="C162" i="3"/>
  <c r="B161" i="3"/>
  <c r="A160" i="3"/>
  <c r="F157" i="3"/>
  <c r="E156" i="3"/>
  <c r="D155" i="3"/>
  <c r="C154" i="3"/>
  <c r="B153" i="3"/>
  <c r="A152" i="3"/>
  <c r="F149" i="3"/>
  <c r="E148" i="3"/>
  <c r="D147" i="3"/>
  <c r="F146" i="3"/>
  <c r="A146" i="3"/>
  <c r="C145" i="3"/>
  <c r="F144" i="3"/>
  <c r="B144" i="3"/>
  <c r="E143" i="3"/>
  <c r="A143" i="3"/>
  <c r="D142" i="3"/>
  <c r="C141" i="3"/>
  <c r="F140" i="3"/>
  <c r="B140" i="3"/>
  <c r="E139" i="3"/>
  <c r="A139" i="3"/>
  <c r="D138" i="3"/>
  <c r="C137" i="3"/>
  <c r="F136" i="3"/>
  <c r="B136" i="3"/>
  <c r="E135" i="3"/>
  <c r="A135" i="3"/>
  <c r="D134" i="3"/>
  <c r="C133" i="3"/>
  <c r="F132" i="3"/>
  <c r="B132" i="3"/>
  <c r="E131" i="3"/>
  <c r="A131" i="3"/>
  <c r="D130" i="3"/>
  <c r="C129" i="3"/>
  <c r="F128" i="3"/>
  <c r="B128" i="3"/>
  <c r="E127" i="3"/>
  <c r="A127" i="3"/>
  <c r="D126" i="3"/>
  <c r="C125" i="3"/>
  <c r="F124" i="3"/>
  <c r="B124" i="3"/>
  <c r="E123" i="3"/>
  <c r="A123" i="3"/>
  <c r="D122" i="3"/>
  <c r="C121" i="3"/>
  <c r="F120" i="3"/>
  <c r="B120" i="3"/>
  <c r="E119" i="3"/>
  <c r="A119" i="3"/>
  <c r="D118" i="3"/>
  <c r="C117" i="3"/>
  <c r="F116" i="3"/>
  <c r="B116" i="3"/>
  <c r="E115" i="3"/>
  <c r="A115" i="3"/>
  <c r="D114" i="3"/>
  <c r="C113" i="3"/>
  <c r="F112" i="3"/>
  <c r="B112" i="3"/>
  <c r="E111" i="3"/>
  <c r="A111" i="3"/>
  <c r="D110" i="3"/>
  <c r="A209" i="3"/>
  <c r="D204" i="3"/>
  <c r="C195" i="3"/>
  <c r="F190" i="3"/>
  <c r="B186" i="3"/>
  <c r="E181" i="3"/>
  <c r="A177" i="3"/>
  <c r="D172" i="3"/>
  <c r="C163" i="3"/>
  <c r="F158" i="3"/>
  <c r="B154" i="3"/>
  <c r="E149" i="3"/>
  <c r="F145" i="3"/>
  <c r="D143" i="3"/>
  <c r="B141" i="3"/>
  <c r="E136" i="3"/>
  <c r="C134" i="3"/>
  <c r="A132" i="3"/>
  <c r="F129" i="3"/>
  <c r="D127" i="3"/>
  <c r="B125" i="3"/>
  <c r="E120" i="3"/>
  <c r="D119" i="3"/>
  <c r="C118" i="3"/>
  <c r="B117" i="3"/>
  <c r="A116" i="3"/>
  <c r="F113" i="3"/>
  <c r="E112" i="3"/>
  <c r="D111" i="3"/>
  <c r="C110" i="3"/>
  <c r="F109" i="3"/>
  <c r="B109" i="3"/>
  <c r="E108" i="3"/>
  <c r="A108" i="3"/>
  <c r="D107" i="3"/>
  <c r="C106" i="3"/>
  <c r="F105" i="3"/>
  <c r="B105" i="3"/>
  <c r="E104" i="3"/>
  <c r="A104" i="3"/>
  <c r="D103" i="3"/>
  <c r="C102" i="3"/>
  <c r="F101" i="3"/>
  <c r="B101" i="3"/>
  <c r="E100" i="3"/>
  <c r="A100" i="3"/>
  <c r="D99" i="3"/>
  <c r="C98" i="3"/>
  <c r="F97" i="3"/>
  <c r="B97" i="3"/>
  <c r="E96" i="3"/>
  <c r="A96" i="3"/>
  <c r="D95" i="3"/>
  <c r="C94" i="3"/>
  <c r="F93" i="3"/>
  <c r="B93" i="3"/>
  <c r="E92" i="3"/>
  <c r="A92" i="3"/>
  <c r="D91" i="3"/>
  <c r="C90" i="3"/>
  <c r="F89" i="3"/>
  <c r="B89" i="3"/>
  <c r="E88" i="3"/>
  <c r="A88" i="3"/>
  <c r="D87" i="3"/>
  <c r="C86" i="3"/>
  <c r="F85" i="3"/>
  <c r="B85" i="3"/>
  <c r="E84" i="3"/>
  <c r="A84" i="3"/>
  <c r="D83" i="3"/>
  <c r="C82" i="3"/>
  <c r="F81" i="3"/>
  <c r="B81" i="3"/>
  <c r="E80" i="3"/>
  <c r="A80" i="3"/>
  <c r="D79" i="3"/>
  <c r="C78" i="3"/>
  <c r="F77" i="3"/>
  <c r="B77" i="3"/>
  <c r="E76" i="3"/>
  <c r="A76" i="3"/>
  <c r="D75" i="3"/>
  <c r="C74" i="3"/>
  <c r="F73" i="3"/>
  <c r="B73" i="3"/>
  <c r="E72" i="3"/>
  <c r="A72" i="3"/>
  <c r="D71" i="3"/>
  <c r="C70" i="3"/>
  <c r="F69" i="3"/>
  <c r="B69" i="3"/>
  <c r="E68" i="3"/>
  <c r="A68" i="3"/>
  <c r="D67" i="3"/>
  <c r="C66" i="3"/>
  <c r="F65" i="3"/>
  <c r="B65" i="3"/>
  <c r="E64" i="3"/>
  <c r="A64" i="3"/>
  <c r="D63" i="3"/>
  <c r="C62" i="3"/>
  <c r="C203" i="3"/>
  <c r="F198" i="3"/>
  <c r="B194" i="3"/>
  <c r="E189" i="3"/>
  <c r="A185" i="3"/>
  <c r="D180" i="3"/>
  <c r="C171" i="3"/>
  <c r="F166" i="3"/>
  <c r="B162" i="3"/>
  <c r="E157" i="3"/>
  <c r="A153" i="3"/>
  <c r="D148" i="3"/>
  <c r="B145" i="3"/>
  <c r="E140" i="3"/>
  <c r="C138" i="3"/>
  <c r="A136" i="3"/>
  <c r="F133" i="3"/>
  <c r="D131" i="3"/>
  <c r="B129" i="3"/>
  <c r="E124" i="3"/>
  <c r="C122" i="3"/>
  <c r="C120" i="3"/>
  <c r="B119" i="3"/>
  <c r="A118" i="3"/>
  <c r="F115" i="3"/>
  <c r="E114" i="3"/>
  <c r="D113" i="3"/>
  <c r="C112" i="3"/>
  <c r="B111" i="3"/>
  <c r="B110" i="3"/>
  <c r="E109" i="3"/>
  <c r="A109" i="3"/>
  <c r="D108" i="3"/>
  <c r="C107" i="3"/>
  <c r="F106" i="3"/>
  <c r="B106" i="3"/>
  <c r="E105" i="3"/>
  <c r="A105" i="3"/>
  <c r="D104" i="3"/>
  <c r="C103" i="3"/>
  <c r="F102" i="3"/>
  <c r="B102" i="3"/>
  <c r="E101" i="3"/>
  <c r="A101" i="3"/>
  <c r="D100" i="3"/>
  <c r="C99" i="3"/>
  <c r="F98" i="3"/>
  <c r="B98" i="3"/>
  <c r="E97" i="3"/>
  <c r="A97" i="3"/>
  <c r="D96" i="3"/>
  <c r="C95" i="3"/>
  <c r="F94" i="3"/>
  <c r="B94" i="3"/>
  <c r="E93" i="3"/>
  <c r="A93" i="3"/>
  <c r="D92" i="3"/>
  <c r="C91" i="3"/>
  <c r="F90" i="3"/>
  <c r="B90" i="3"/>
  <c r="E89" i="3"/>
  <c r="A89" i="3"/>
  <c r="D88" i="3"/>
  <c r="C87" i="3"/>
  <c r="F86" i="3"/>
  <c r="B86" i="3"/>
  <c r="E85" i="3"/>
  <c r="A85" i="3"/>
  <c r="D84" i="3"/>
  <c r="C83" i="3"/>
  <c r="F82" i="3"/>
  <c r="B82" i="3"/>
  <c r="E81" i="3"/>
  <c r="A81" i="3"/>
  <c r="D80" i="3"/>
  <c r="C79" i="3"/>
  <c r="F78" i="3"/>
  <c r="B78" i="3"/>
  <c r="E77" i="3"/>
  <c r="A77" i="3"/>
  <c r="D76" i="3"/>
  <c r="C75" i="3"/>
  <c r="F74" i="3"/>
  <c r="B74" i="3"/>
  <c r="E73" i="3"/>
  <c r="A73" i="3"/>
  <c r="D72" i="3"/>
  <c r="C71" i="3"/>
  <c r="F70" i="3"/>
  <c r="B70" i="3"/>
  <c r="E69" i="3"/>
  <c r="A69" i="3"/>
  <c r="D68" i="3"/>
  <c r="C67" i="3"/>
  <c r="F66" i="3"/>
  <c r="B66" i="3"/>
  <c r="E65" i="3"/>
  <c r="A65" i="3"/>
  <c r="D64" i="3"/>
  <c r="C63" i="3"/>
  <c r="F62" i="3"/>
  <c r="B62" i="3"/>
  <c r="F206" i="3"/>
  <c r="B202" i="3"/>
  <c r="E197" i="3"/>
  <c r="A193" i="3"/>
  <c r="D188" i="3"/>
  <c r="C179" i="3"/>
  <c r="F174" i="3"/>
  <c r="B170" i="3"/>
  <c r="E165" i="3"/>
  <c r="A161" i="3"/>
  <c r="D156" i="3"/>
  <c r="C147" i="3"/>
  <c r="E144" i="3"/>
  <c r="C142" i="3"/>
  <c r="A140" i="3"/>
  <c r="F137" i="3"/>
  <c r="D135" i="3"/>
  <c r="B133" i="3"/>
  <c r="E128" i="3"/>
  <c r="C126" i="3"/>
  <c r="A124" i="3"/>
  <c r="F121" i="3"/>
  <c r="A120" i="3"/>
  <c r="F117" i="3"/>
  <c r="E116" i="3"/>
  <c r="D115" i="3"/>
  <c r="C114" i="3"/>
  <c r="B113" i="3"/>
  <c r="A112" i="3"/>
  <c r="A110" i="3"/>
  <c r="D109" i="3"/>
  <c r="C108" i="3"/>
  <c r="F107" i="3"/>
  <c r="B107" i="3"/>
  <c r="E106" i="3"/>
  <c r="A106" i="3"/>
  <c r="D105" i="3"/>
  <c r="C104" i="3"/>
  <c r="F103" i="3"/>
  <c r="B103" i="3"/>
  <c r="E102" i="3"/>
  <c r="A102" i="3"/>
  <c r="D101" i="3"/>
  <c r="C100" i="3"/>
  <c r="F99" i="3"/>
  <c r="B99" i="3"/>
  <c r="E98" i="3"/>
  <c r="A98" i="3"/>
  <c r="D97" i="3"/>
  <c r="C96" i="3"/>
  <c r="F95" i="3"/>
  <c r="B95" i="3"/>
  <c r="E94" i="3"/>
  <c r="A94" i="3"/>
  <c r="D93" i="3"/>
  <c r="C92" i="3"/>
  <c r="F91" i="3"/>
  <c r="B91" i="3"/>
  <c r="E90" i="3"/>
  <c r="A90" i="3"/>
  <c r="D89" i="3"/>
  <c r="C88" i="3"/>
  <c r="F87" i="3"/>
  <c r="B87" i="3"/>
  <c r="E86" i="3"/>
  <c r="A86" i="3"/>
  <c r="D85" i="3"/>
  <c r="C84" i="3"/>
  <c r="F83" i="3"/>
  <c r="B83" i="3"/>
  <c r="E82" i="3"/>
  <c r="A82" i="3"/>
  <c r="D81" i="3"/>
  <c r="C80" i="3"/>
  <c r="F79" i="3"/>
  <c r="B79" i="3"/>
  <c r="E78" i="3"/>
  <c r="A78" i="3"/>
  <c r="D77" i="3"/>
  <c r="C76" i="3"/>
  <c r="F75" i="3"/>
  <c r="B75" i="3"/>
  <c r="E74" i="3"/>
  <c r="A74" i="3"/>
  <c r="D73" i="3"/>
  <c r="E205" i="3"/>
  <c r="C187" i="3"/>
  <c r="A169" i="3"/>
  <c r="F150" i="3"/>
  <c r="D139" i="3"/>
  <c r="C130" i="3"/>
  <c r="B121" i="3"/>
  <c r="C116" i="3"/>
  <c r="F111" i="3"/>
  <c r="F108" i="3"/>
  <c r="D106" i="3"/>
  <c r="B104" i="3"/>
  <c r="E99" i="3"/>
  <c r="C97" i="3"/>
  <c r="A95" i="3"/>
  <c r="F92" i="3"/>
  <c r="D90" i="3"/>
  <c r="B88" i="3"/>
  <c r="E83" i="3"/>
  <c r="C81" i="3"/>
  <c r="A79" i="3"/>
  <c r="F76" i="3"/>
  <c r="D74" i="3"/>
  <c r="C72" i="3"/>
  <c r="B71" i="3"/>
  <c r="A70" i="3"/>
  <c r="F67" i="3"/>
  <c r="E66" i="3"/>
  <c r="D65" i="3"/>
  <c r="C64" i="3"/>
  <c r="B63" i="3"/>
  <c r="A62" i="3"/>
  <c r="D61" i="3"/>
  <c r="C60" i="3"/>
  <c r="F59" i="3"/>
  <c r="B59" i="3"/>
  <c r="E58" i="3"/>
  <c r="A58" i="3"/>
  <c r="D57" i="3"/>
  <c r="C56" i="3"/>
  <c r="F55" i="3"/>
  <c r="B55" i="3"/>
  <c r="E54" i="3"/>
  <c r="A54" i="3"/>
  <c r="D53" i="3"/>
  <c r="C52" i="3"/>
  <c r="F51" i="3"/>
  <c r="B51" i="3"/>
  <c r="E50" i="3"/>
  <c r="A50" i="3"/>
  <c r="D49" i="3"/>
  <c r="C48" i="3"/>
  <c r="F47" i="3"/>
  <c r="B47" i="3"/>
  <c r="E46" i="3"/>
  <c r="A46" i="3"/>
  <c r="D45" i="3"/>
  <c r="C44" i="3"/>
  <c r="F43" i="3"/>
  <c r="B43" i="3"/>
  <c r="E42" i="3"/>
  <c r="A42" i="3"/>
  <c r="D41" i="3"/>
  <c r="C40" i="3"/>
  <c r="F39" i="3"/>
  <c r="B39" i="3"/>
  <c r="E38" i="3"/>
  <c r="A38" i="3"/>
  <c r="D37" i="3"/>
  <c r="C36" i="3"/>
  <c r="F35" i="3"/>
  <c r="B35" i="3"/>
  <c r="E34" i="3"/>
  <c r="A34" i="3"/>
  <c r="D33" i="3"/>
  <c r="C32" i="3"/>
  <c r="F31" i="3"/>
  <c r="B31" i="3"/>
  <c r="E30" i="3"/>
  <c r="A30" i="3"/>
  <c r="D29" i="3"/>
  <c r="C28" i="3"/>
  <c r="F27" i="3"/>
  <c r="B27" i="3"/>
  <c r="E26" i="3"/>
  <c r="A26" i="3"/>
  <c r="D25" i="3"/>
  <c r="C24" i="3"/>
  <c r="F23" i="3"/>
  <c r="B23" i="3"/>
  <c r="E22" i="3"/>
  <c r="A22" i="3"/>
  <c r="D21" i="3"/>
  <c r="C20" i="3"/>
  <c r="F19" i="3"/>
  <c r="B19" i="3"/>
  <c r="E18" i="3"/>
  <c r="A18" i="3"/>
  <c r="D17" i="3"/>
  <c r="C16" i="3"/>
  <c r="F15" i="3"/>
  <c r="B15" i="3"/>
  <c r="E14" i="3"/>
  <c r="A14" i="3"/>
  <c r="D13" i="3"/>
  <c r="C12" i="3"/>
  <c r="A201" i="3"/>
  <c r="F182" i="3"/>
  <c r="D164" i="3"/>
  <c r="E146" i="3"/>
  <c r="B137" i="3"/>
  <c r="A128" i="3"/>
  <c r="F119" i="3"/>
  <c r="B115" i="3"/>
  <c r="E110" i="3"/>
  <c r="B108" i="3"/>
  <c r="E103" i="3"/>
  <c r="C101" i="3"/>
  <c r="A99" i="3"/>
  <c r="F96" i="3"/>
  <c r="D94" i="3"/>
  <c r="B92" i="3"/>
  <c r="E87" i="3"/>
  <c r="C85" i="3"/>
  <c r="A83" i="3"/>
  <c r="F80" i="3"/>
  <c r="D78" i="3"/>
  <c r="B76" i="3"/>
  <c r="B72" i="3"/>
  <c r="A71" i="3"/>
  <c r="F68" i="3"/>
  <c r="E67" i="3"/>
  <c r="D66" i="3"/>
  <c r="C65" i="3"/>
  <c r="B64" i="3"/>
  <c r="A63" i="3"/>
  <c r="C61" i="3"/>
  <c r="F60" i="3"/>
  <c r="B60" i="3"/>
  <c r="E59" i="3"/>
  <c r="A59" i="3"/>
  <c r="D58" i="3"/>
  <c r="C57" i="3"/>
  <c r="F56" i="3"/>
  <c r="B56" i="3"/>
  <c r="E55" i="3"/>
  <c r="A55" i="3"/>
  <c r="D54" i="3"/>
  <c r="C53" i="3"/>
  <c r="F52" i="3"/>
  <c r="B52" i="3"/>
  <c r="E51" i="3"/>
  <c r="A51" i="3"/>
  <c r="D50" i="3"/>
  <c r="C49" i="3"/>
  <c r="F48" i="3"/>
  <c r="B48" i="3"/>
  <c r="E47" i="3"/>
  <c r="A47" i="3"/>
  <c r="D46" i="3"/>
  <c r="C45" i="3"/>
  <c r="F44" i="3"/>
  <c r="B44" i="3"/>
  <c r="E43" i="3"/>
  <c r="A43" i="3"/>
  <c r="D42" i="3"/>
  <c r="C41" i="3"/>
  <c r="F40" i="3"/>
  <c r="B40" i="3"/>
  <c r="E39" i="3"/>
  <c r="A39" i="3"/>
  <c r="D38" i="3"/>
  <c r="C37" i="3"/>
  <c r="F36" i="3"/>
  <c r="B36" i="3"/>
  <c r="E35" i="3"/>
  <c r="A35" i="3"/>
  <c r="D34" i="3"/>
  <c r="C33" i="3"/>
  <c r="F32" i="3"/>
  <c r="B32" i="3"/>
  <c r="E31" i="3"/>
  <c r="A31" i="3"/>
  <c r="D30" i="3"/>
  <c r="C29" i="3"/>
  <c r="F28" i="3"/>
  <c r="B28" i="3"/>
  <c r="E27" i="3"/>
  <c r="A27" i="3"/>
  <c r="D26" i="3"/>
  <c r="C25" i="3"/>
  <c r="F24" i="3"/>
  <c r="B24" i="3"/>
  <c r="E23" i="3"/>
  <c r="A23" i="3"/>
  <c r="D22" i="3"/>
  <c r="C21" i="3"/>
  <c r="F20" i="3"/>
  <c r="B20" i="3"/>
  <c r="E19" i="3"/>
  <c r="A19" i="3"/>
  <c r="D18" i="3"/>
  <c r="C17" i="3"/>
  <c r="F16" i="3"/>
  <c r="B16" i="3"/>
  <c r="E15" i="3"/>
  <c r="A15" i="3"/>
  <c r="D14" i="3"/>
  <c r="D196" i="3"/>
  <c r="B178" i="3"/>
  <c r="A144" i="3"/>
  <c r="F125" i="3"/>
  <c r="E118" i="3"/>
  <c r="A114" i="3"/>
  <c r="E107" i="3"/>
  <c r="C105" i="3"/>
  <c r="A103" i="3"/>
  <c r="F100" i="3"/>
  <c r="D98" i="3"/>
  <c r="B96" i="3"/>
  <c r="E91" i="3"/>
  <c r="C89" i="3"/>
  <c r="A87" i="3"/>
  <c r="F84" i="3"/>
  <c r="D82" i="3"/>
  <c r="B80" i="3"/>
  <c r="E75" i="3"/>
  <c r="C73" i="3"/>
  <c r="F71" i="3"/>
  <c r="E70" i="3"/>
  <c r="D69" i="3"/>
  <c r="C68" i="3"/>
  <c r="B67" i="3"/>
  <c r="A66" i="3"/>
  <c r="F63" i="3"/>
  <c r="E62" i="3"/>
  <c r="F61" i="3"/>
  <c r="B61" i="3"/>
  <c r="E60" i="3"/>
  <c r="A60" i="3"/>
  <c r="D59" i="3"/>
  <c r="C58" i="3"/>
  <c r="F57" i="3"/>
  <c r="B57" i="3"/>
  <c r="E56" i="3"/>
  <c r="A56" i="3"/>
  <c r="D55" i="3"/>
  <c r="C54" i="3"/>
  <c r="F53" i="3"/>
  <c r="B53" i="3"/>
  <c r="E52" i="3"/>
  <c r="A52" i="3"/>
  <c r="D51" i="3"/>
  <c r="C50" i="3"/>
  <c r="F49" i="3"/>
  <c r="B49" i="3"/>
  <c r="E48" i="3"/>
  <c r="A48" i="3"/>
  <c r="D47" i="3"/>
  <c r="C46" i="3"/>
  <c r="F45" i="3"/>
  <c r="B45" i="3"/>
  <c r="E44" i="3"/>
  <c r="A44" i="3"/>
  <c r="D43" i="3"/>
  <c r="C42" i="3"/>
  <c r="F41" i="3"/>
  <c r="B41" i="3"/>
  <c r="E40" i="3"/>
  <c r="A40" i="3"/>
  <c r="D39" i="3"/>
  <c r="C38" i="3"/>
  <c r="F37" i="3"/>
  <c r="B37" i="3"/>
  <c r="E36" i="3"/>
  <c r="A36" i="3"/>
  <c r="D35" i="3"/>
  <c r="C34" i="3"/>
  <c r="F33" i="3"/>
  <c r="B33" i="3"/>
  <c r="E32" i="3"/>
  <c r="A32" i="3"/>
  <c r="D31" i="3"/>
  <c r="C30" i="3"/>
  <c r="F29" i="3"/>
  <c r="B29" i="3"/>
  <c r="E28" i="3"/>
  <c r="A28" i="3"/>
  <c r="D27" i="3"/>
  <c r="C26" i="3"/>
  <c r="F25" i="3"/>
  <c r="B25" i="3"/>
  <c r="E24" i="3"/>
  <c r="A24" i="3"/>
  <c r="D23" i="3"/>
  <c r="C22" i="3"/>
  <c r="F21" i="3"/>
  <c r="B21" i="3"/>
  <c r="E20" i="3"/>
  <c r="A20" i="3"/>
  <c r="D19" i="3"/>
  <c r="C18" i="3"/>
  <c r="F17" i="3"/>
  <c r="B17" i="3"/>
  <c r="E16" i="3"/>
  <c r="A16" i="3"/>
  <c r="D15" i="3"/>
  <c r="C14" i="3"/>
  <c r="F13" i="3"/>
  <c r="E173" i="3"/>
  <c r="C155" i="3"/>
  <c r="F141" i="3"/>
  <c r="E132" i="3"/>
  <c r="D123" i="3"/>
  <c r="D117" i="3"/>
  <c r="C109" i="3"/>
  <c r="A107" i="3"/>
  <c r="F104" i="3"/>
  <c r="D102" i="3"/>
  <c r="B100" i="3"/>
  <c r="E95" i="3"/>
  <c r="C93" i="3"/>
  <c r="A91" i="3"/>
  <c r="F88" i="3"/>
  <c r="D86" i="3"/>
  <c r="B84" i="3"/>
  <c r="E79" i="3"/>
  <c r="C77" i="3"/>
  <c r="A75" i="3"/>
  <c r="F72" i="3"/>
  <c r="E71" i="3"/>
  <c r="D70" i="3"/>
  <c r="C69" i="3"/>
  <c r="B68" i="3"/>
  <c r="A67" i="3"/>
  <c r="F64" i="3"/>
  <c r="E63" i="3"/>
  <c r="D62" i="3"/>
  <c r="E61" i="3"/>
  <c r="A61" i="3"/>
  <c r="D60" i="3"/>
  <c r="C59" i="3"/>
  <c r="F58" i="3"/>
  <c r="B58" i="3"/>
  <c r="E57" i="3"/>
  <c r="A57" i="3"/>
  <c r="D56" i="3"/>
  <c r="C55" i="3"/>
  <c r="F54" i="3"/>
  <c r="B54" i="3"/>
  <c r="E53" i="3"/>
  <c r="A53" i="3"/>
  <c r="D52" i="3"/>
  <c r="C51" i="3"/>
  <c r="F50" i="3"/>
  <c r="B50" i="3"/>
  <c r="E49" i="3"/>
  <c r="A49" i="3"/>
  <c r="D48" i="3"/>
  <c r="C47" i="3"/>
  <c r="F46" i="3"/>
  <c r="B46" i="3"/>
  <c r="E45" i="3"/>
  <c r="A45" i="3"/>
  <c r="D44" i="3"/>
  <c r="C43" i="3"/>
  <c r="F42" i="3"/>
  <c r="B42" i="3"/>
  <c r="E41" i="3"/>
  <c r="A41" i="3"/>
  <c r="D40" i="3"/>
  <c r="C39" i="3"/>
  <c r="F38" i="3"/>
  <c r="B38" i="3"/>
  <c r="E37" i="3"/>
  <c r="A37" i="3"/>
  <c r="D36" i="3"/>
  <c r="C35" i="3"/>
  <c r="F34" i="3"/>
  <c r="B34" i="3"/>
  <c r="E33" i="3"/>
  <c r="A33" i="3"/>
  <c r="D32" i="3"/>
  <c r="C31" i="3"/>
  <c r="F30" i="3"/>
  <c r="B30" i="3"/>
  <c r="E29" i="3"/>
  <c r="A29" i="3"/>
  <c r="D28" i="3"/>
  <c r="C27" i="3"/>
  <c r="F26" i="3"/>
  <c r="B26" i="3"/>
  <c r="E25" i="3"/>
  <c r="A25" i="3"/>
  <c r="D24" i="3"/>
  <c r="C23" i="3"/>
  <c r="F22" i="3"/>
  <c r="B22" i="3"/>
  <c r="E21" i="3"/>
  <c r="A21" i="3"/>
  <c r="D20" i="3"/>
  <c r="C19" i="3"/>
  <c r="F18" i="3"/>
  <c r="B18" i="3"/>
  <c r="E17" i="3"/>
  <c r="A17" i="3"/>
  <c r="D16" i="3"/>
  <c r="C15" i="3"/>
  <c r="F14" i="3"/>
  <c r="B14" i="3"/>
  <c r="E13" i="3"/>
  <c r="C13" i="3"/>
  <c r="E12" i="3"/>
  <c r="C11" i="3"/>
  <c r="F10" i="3"/>
  <c r="B10" i="3"/>
  <c r="E9" i="3"/>
  <c r="A9" i="3"/>
  <c r="D8" i="3"/>
  <c r="C7" i="3"/>
  <c r="F6" i="3"/>
  <c r="B6" i="3"/>
  <c r="E5" i="3"/>
  <c r="A5" i="3"/>
  <c r="D4" i="3"/>
  <c r="C3" i="3"/>
  <c r="E2" i="3"/>
  <c r="A2" i="3"/>
  <c r="C1" i="3"/>
  <c r="F209" i="2"/>
  <c r="B209" i="2"/>
  <c r="E208" i="2"/>
  <c r="A208" i="2"/>
  <c r="D207" i="2"/>
  <c r="C206" i="2"/>
  <c r="F205" i="2"/>
  <c r="B205" i="2"/>
  <c r="E204" i="2"/>
  <c r="A204" i="2"/>
  <c r="D203" i="2"/>
  <c r="C202" i="2"/>
  <c r="F201" i="2"/>
  <c r="B201" i="2"/>
  <c r="E200" i="2"/>
  <c r="A200" i="2"/>
  <c r="D199" i="2"/>
  <c r="C198" i="2"/>
  <c r="F197" i="2"/>
  <c r="B197" i="2"/>
  <c r="E196" i="2"/>
  <c r="A196" i="2"/>
  <c r="D195" i="2"/>
  <c r="C194" i="2"/>
  <c r="F193" i="2"/>
  <c r="B193" i="2"/>
  <c r="E192" i="2"/>
  <c r="A192" i="2"/>
  <c r="D191" i="2"/>
  <c r="C190" i="2"/>
  <c r="F189" i="2"/>
  <c r="B189" i="2"/>
  <c r="E188" i="2"/>
  <c r="A188" i="2"/>
  <c r="D187" i="2"/>
  <c r="C186" i="2"/>
  <c r="F185" i="2"/>
  <c r="B185" i="2"/>
  <c r="E184" i="2"/>
  <c r="A184" i="2"/>
  <c r="D183" i="2"/>
  <c r="C182" i="2"/>
  <c r="F181" i="2"/>
  <c r="B181" i="2"/>
  <c r="E180" i="2"/>
  <c r="A180" i="2"/>
  <c r="D179" i="2"/>
  <c r="C178" i="2"/>
  <c r="F177" i="2"/>
  <c r="B177" i="2"/>
  <c r="E176" i="2"/>
  <c r="A176" i="2"/>
  <c r="D175" i="2"/>
  <c r="C174" i="2"/>
  <c r="F173" i="2"/>
  <c r="B173" i="2"/>
  <c r="E172" i="2"/>
  <c r="A172" i="2"/>
  <c r="D171" i="2"/>
  <c r="C170" i="2"/>
  <c r="F169" i="2"/>
  <c r="B169" i="2"/>
  <c r="E168" i="2"/>
  <c r="A168" i="2"/>
  <c r="D167" i="2"/>
  <c r="C166" i="2"/>
  <c r="F165" i="2"/>
  <c r="B165" i="2"/>
  <c r="E164" i="2"/>
  <c r="A164" i="2"/>
  <c r="D163" i="2"/>
  <c r="C162" i="2"/>
  <c r="F161" i="2"/>
  <c r="B161" i="2"/>
  <c r="E160" i="2"/>
  <c r="A160" i="2"/>
  <c r="D159" i="2"/>
  <c r="C158" i="2"/>
  <c r="F157" i="2"/>
  <c r="B157" i="2"/>
  <c r="E156" i="2"/>
  <c r="A156" i="2"/>
  <c r="D155" i="2"/>
  <c r="C154" i="2"/>
  <c r="F153" i="2"/>
  <c r="B153" i="2"/>
  <c r="E152" i="2"/>
  <c r="A152" i="2"/>
  <c r="D151" i="2"/>
  <c r="C150" i="2"/>
  <c r="F149" i="2"/>
  <c r="B149" i="2"/>
  <c r="E148" i="2"/>
  <c r="A148" i="2"/>
  <c r="D147" i="2"/>
  <c r="C146" i="2"/>
  <c r="F145" i="2"/>
  <c r="B145" i="2"/>
  <c r="E144" i="2"/>
  <c r="A144" i="2"/>
  <c r="D143" i="2"/>
  <c r="C142" i="2"/>
  <c r="F141" i="2"/>
  <c r="B141" i="2"/>
  <c r="E140" i="2"/>
  <c r="A140" i="2"/>
  <c r="D139" i="2"/>
  <c r="C138" i="2"/>
  <c r="F137" i="2"/>
  <c r="B137" i="2"/>
  <c r="E136" i="2"/>
  <c r="A136" i="2"/>
  <c r="D135" i="2"/>
  <c r="C134" i="2"/>
  <c r="F133" i="2"/>
  <c r="B133" i="2"/>
  <c r="E132" i="2"/>
  <c r="A132" i="2"/>
  <c r="D131" i="2"/>
  <c r="C130" i="2"/>
  <c r="F129" i="2"/>
  <c r="B129" i="2"/>
  <c r="E128" i="2"/>
  <c r="A128" i="2"/>
  <c r="D127" i="2"/>
  <c r="C126" i="2"/>
  <c r="F125" i="2"/>
  <c r="B125" i="2"/>
  <c r="E124" i="2"/>
  <c r="A124" i="2"/>
  <c r="D123" i="2"/>
  <c r="C122" i="2"/>
  <c r="F121" i="2"/>
  <c r="B121" i="2"/>
  <c r="E120" i="2"/>
  <c r="A120" i="2"/>
  <c r="D119" i="2"/>
  <c r="C118" i="2"/>
  <c r="F117" i="2"/>
  <c r="B117" i="2"/>
  <c r="E116" i="2"/>
  <c r="A116" i="2"/>
  <c r="D115" i="2"/>
  <c r="C114" i="2"/>
  <c r="F113" i="2"/>
  <c r="B113" i="2"/>
  <c r="E112" i="2"/>
  <c r="A112" i="2"/>
  <c r="D111" i="2"/>
  <c r="C110" i="2"/>
  <c r="F109" i="2"/>
  <c r="B109" i="2"/>
  <c r="E108" i="2"/>
  <c r="A108" i="2"/>
  <c r="D107" i="2"/>
  <c r="C106" i="2"/>
  <c r="F105" i="2"/>
  <c r="B105" i="2"/>
  <c r="E104" i="2"/>
  <c r="A104" i="2"/>
  <c r="D103" i="2"/>
  <c r="C102" i="2"/>
  <c r="F101" i="2"/>
  <c r="B101" i="2"/>
  <c r="E100" i="2"/>
  <c r="A100" i="2"/>
  <c r="D99" i="2"/>
  <c r="C98" i="2"/>
  <c r="F97" i="2"/>
  <c r="B97" i="2"/>
  <c r="E96" i="2"/>
  <c r="A96" i="2"/>
  <c r="D95" i="2"/>
  <c r="C94" i="2"/>
  <c r="F93" i="2"/>
  <c r="B93" i="2"/>
  <c r="E92" i="2"/>
  <c r="A92" i="2"/>
  <c r="D91" i="2"/>
  <c r="C90" i="2"/>
  <c r="F89" i="2"/>
  <c r="B89" i="2"/>
  <c r="E88" i="2"/>
  <c r="A88" i="2"/>
  <c r="D87" i="2"/>
  <c r="C86" i="2"/>
  <c r="B13" i="3"/>
  <c r="D12" i="3"/>
  <c r="F11" i="3"/>
  <c r="B11" i="3"/>
  <c r="E10" i="3"/>
  <c r="A10" i="3"/>
  <c r="D9" i="3"/>
  <c r="C8" i="3"/>
  <c r="F7" i="3"/>
  <c r="B7" i="3"/>
  <c r="E6" i="3"/>
  <c r="A6" i="3"/>
  <c r="D5" i="3"/>
  <c r="C4" i="3"/>
  <c r="F3" i="3"/>
  <c r="B3" i="3"/>
  <c r="D2" i="3"/>
  <c r="F1" i="3"/>
  <c r="B1" i="3"/>
  <c r="E209" i="2"/>
  <c r="A209" i="2"/>
  <c r="D208" i="2"/>
  <c r="C207" i="2"/>
  <c r="F206" i="2"/>
  <c r="B206" i="2"/>
  <c r="E205" i="2"/>
  <c r="A205" i="2"/>
  <c r="D204" i="2"/>
  <c r="C203" i="2"/>
  <c r="F202" i="2"/>
  <c r="B202" i="2"/>
  <c r="E201" i="2"/>
  <c r="A201" i="2"/>
  <c r="D200" i="2"/>
  <c r="C199" i="2"/>
  <c r="F198" i="2"/>
  <c r="B198" i="2"/>
  <c r="E197" i="2"/>
  <c r="A197" i="2"/>
  <c r="D196" i="2"/>
  <c r="C195" i="2"/>
  <c r="F194" i="2"/>
  <c r="B194" i="2"/>
  <c r="E193" i="2"/>
  <c r="A193" i="2"/>
  <c r="D192" i="2"/>
  <c r="C191" i="2"/>
  <c r="F190" i="2"/>
  <c r="B190" i="2"/>
  <c r="E189" i="2"/>
  <c r="A189" i="2"/>
  <c r="D188" i="2"/>
  <c r="C187" i="2"/>
  <c r="F186" i="2"/>
  <c r="B186" i="2"/>
  <c r="E185" i="2"/>
  <c r="A185" i="2"/>
  <c r="D184" i="2"/>
  <c r="C183" i="2"/>
  <c r="F182" i="2"/>
  <c r="B182" i="2"/>
  <c r="E181" i="2"/>
  <c r="A181" i="2"/>
  <c r="D180" i="2"/>
  <c r="C179" i="2"/>
  <c r="F178" i="2"/>
  <c r="B178" i="2"/>
  <c r="E177" i="2"/>
  <c r="A177" i="2"/>
  <c r="D176" i="2"/>
  <c r="C175" i="2"/>
  <c r="F174" i="2"/>
  <c r="B174" i="2"/>
  <c r="E173" i="2"/>
  <c r="A173" i="2"/>
  <c r="D172" i="2"/>
  <c r="C171" i="2"/>
  <c r="F170" i="2"/>
  <c r="B170" i="2"/>
  <c r="E169" i="2"/>
  <c r="A169" i="2"/>
  <c r="D168" i="2"/>
  <c r="C167" i="2"/>
  <c r="F166" i="2"/>
  <c r="B166" i="2"/>
  <c r="E165" i="2"/>
  <c r="A165" i="2"/>
  <c r="D164" i="2"/>
  <c r="C163" i="2"/>
  <c r="F162" i="2"/>
  <c r="B162" i="2"/>
  <c r="E161" i="2"/>
  <c r="A161" i="2"/>
  <c r="D160" i="2"/>
  <c r="C159" i="2"/>
  <c r="F158" i="2"/>
  <c r="B158" i="2"/>
  <c r="E157" i="2"/>
  <c r="A157" i="2"/>
  <c r="D156" i="2"/>
  <c r="C155" i="2"/>
  <c r="F154" i="2"/>
  <c r="B154" i="2"/>
  <c r="E153" i="2"/>
  <c r="A153" i="2"/>
  <c r="D152" i="2"/>
  <c r="C151" i="2"/>
  <c r="F150" i="2"/>
  <c r="B150" i="2"/>
  <c r="E149" i="2"/>
  <c r="A149" i="2"/>
  <c r="D148" i="2"/>
  <c r="C147" i="2"/>
  <c r="F146" i="2"/>
  <c r="B146" i="2"/>
  <c r="E145" i="2"/>
  <c r="A145" i="2"/>
  <c r="D144" i="2"/>
  <c r="C143" i="2"/>
  <c r="F142" i="2"/>
  <c r="B142" i="2"/>
  <c r="E141" i="2"/>
  <c r="A141" i="2"/>
  <c r="D140" i="2"/>
  <c r="C139" i="2"/>
  <c r="F138" i="2"/>
  <c r="B138" i="2"/>
  <c r="E137" i="2"/>
  <c r="A137" i="2"/>
  <c r="D136" i="2"/>
  <c r="C135" i="2"/>
  <c r="F134" i="2"/>
  <c r="B134" i="2"/>
  <c r="E133" i="2"/>
  <c r="A133" i="2"/>
  <c r="D132" i="2"/>
  <c r="C131" i="2"/>
  <c r="F130" i="2"/>
  <c r="B130" i="2"/>
  <c r="E129" i="2"/>
  <c r="A129" i="2"/>
  <c r="D128" i="2"/>
  <c r="C127" i="2"/>
  <c r="F126" i="2"/>
  <c r="B126" i="2"/>
  <c r="E125" i="2"/>
  <c r="A125" i="2"/>
  <c r="D124" i="2"/>
  <c r="C123" i="2"/>
  <c r="F122" i="2"/>
  <c r="B122" i="2"/>
  <c r="E121" i="2"/>
  <c r="A121" i="2"/>
  <c r="D120" i="2"/>
  <c r="C119" i="2"/>
  <c r="F118" i="2"/>
  <c r="B118" i="2"/>
  <c r="E117" i="2"/>
  <c r="A117" i="2"/>
  <c r="D116" i="2"/>
  <c r="C115" i="2"/>
  <c r="F114" i="2"/>
  <c r="B114" i="2"/>
  <c r="E113" i="2"/>
  <c r="A113" i="2"/>
  <c r="D112" i="2"/>
  <c r="C111" i="2"/>
  <c r="F110" i="2"/>
  <c r="B110" i="2"/>
  <c r="E109" i="2"/>
  <c r="A109" i="2"/>
  <c r="D108" i="2"/>
  <c r="C107" i="2"/>
  <c r="F106" i="2"/>
  <c r="B106" i="2"/>
  <c r="E105" i="2"/>
  <c r="A105" i="2"/>
  <c r="D104" i="2"/>
  <c r="C103" i="2"/>
  <c r="F102" i="2"/>
  <c r="B102" i="2"/>
  <c r="E101" i="2"/>
  <c r="A101" i="2"/>
  <c r="D100" i="2"/>
  <c r="C99" i="2"/>
  <c r="F98" i="2"/>
  <c r="B98" i="2"/>
  <c r="E97" i="2"/>
  <c r="A97" i="2"/>
  <c r="D96" i="2"/>
  <c r="C95" i="2"/>
  <c r="F94" i="2"/>
  <c r="B94" i="2"/>
  <c r="E93" i="2"/>
  <c r="A93" i="2"/>
  <c r="D92" i="2"/>
  <c r="C91" i="2"/>
  <c r="F90" i="2"/>
  <c r="B90" i="2"/>
  <c r="E89" i="2"/>
  <c r="A89" i="2"/>
  <c r="D88" i="2"/>
  <c r="C87" i="2"/>
  <c r="A13" i="3"/>
  <c r="B12" i="3"/>
  <c r="E11" i="3"/>
  <c r="A11" i="3"/>
  <c r="D10" i="3"/>
  <c r="C9" i="3"/>
  <c r="F8" i="3"/>
  <c r="B8" i="3"/>
  <c r="E7" i="3"/>
  <c r="A7" i="3"/>
  <c r="D6" i="3"/>
  <c r="C5" i="3"/>
  <c r="F4" i="3"/>
  <c r="B4" i="3"/>
  <c r="E3" i="3"/>
  <c r="A3" i="3"/>
  <c r="C2" i="3"/>
  <c r="E1" i="3"/>
  <c r="A1" i="3"/>
  <c r="D209" i="2"/>
  <c r="C208" i="2"/>
  <c r="F207" i="2"/>
  <c r="B207" i="2"/>
  <c r="E206" i="2"/>
  <c r="A206" i="2"/>
  <c r="D205" i="2"/>
  <c r="C204" i="2"/>
  <c r="F203" i="2"/>
  <c r="B203" i="2"/>
  <c r="E202" i="2"/>
  <c r="A202" i="2"/>
  <c r="D201" i="2"/>
  <c r="C200" i="2"/>
  <c r="F199" i="2"/>
  <c r="B199" i="2"/>
  <c r="E198" i="2"/>
  <c r="A198" i="2"/>
  <c r="D197" i="2"/>
  <c r="C196" i="2"/>
  <c r="F195" i="2"/>
  <c r="B195" i="2"/>
  <c r="E194" i="2"/>
  <c r="A194" i="2"/>
  <c r="D193" i="2"/>
  <c r="C192" i="2"/>
  <c r="F191" i="2"/>
  <c r="B191" i="2"/>
  <c r="E190" i="2"/>
  <c r="A190" i="2"/>
  <c r="D189" i="2"/>
  <c r="C188" i="2"/>
  <c r="F187" i="2"/>
  <c r="B187" i="2"/>
  <c r="E186" i="2"/>
  <c r="A186" i="2"/>
  <c r="D185" i="2"/>
  <c r="C184" i="2"/>
  <c r="F183" i="2"/>
  <c r="B183" i="2"/>
  <c r="E182" i="2"/>
  <c r="A182" i="2"/>
  <c r="D181" i="2"/>
  <c r="C180" i="2"/>
  <c r="F179" i="2"/>
  <c r="B179" i="2"/>
  <c r="E178" i="2"/>
  <c r="A178" i="2"/>
  <c r="D177" i="2"/>
  <c r="C176" i="2"/>
  <c r="F175" i="2"/>
  <c r="B175" i="2"/>
  <c r="E174" i="2"/>
  <c r="A174" i="2"/>
  <c r="D173" i="2"/>
  <c r="C172" i="2"/>
  <c r="F171" i="2"/>
  <c r="B171" i="2"/>
  <c r="E170" i="2"/>
  <c r="A170" i="2"/>
  <c r="D169" i="2"/>
  <c r="C168" i="2"/>
  <c r="F167" i="2"/>
  <c r="B167" i="2"/>
  <c r="E166" i="2"/>
  <c r="A166" i="2"/>
  <c r="D165" i="2"/>
  <c r="C164" i="2"/>
  <c r="F163" i="2"/>
  <c r="B163" i="2"/>
  <c r="E162" i="2"/>
  <c r="A162" i="2"/>
  <c r="D161" i="2"/>
  <c r="C160" i="2"/>
  <c r="F159" i="2"/>
  <c r="B159" i="2"/>
  <c r="E158" i="2"/>
  <c r="A158" i="2"/>
  <c r="D157" i="2"/>
  <c r="C156" i="2"/>
  <c r="F155" i="2"/>
  <c r="B155" i="2"/>
  <c r="E154" i="2"/>
  <c r="A154" i="2"/>
  <c r="D153" i="2"/>
  <c r="C152" i="2"/>
  <c r="F151" i="2"/>
  <c r="B151" i="2"/>
  <c r="E150" i="2"/>
  <c r="A150" i="2"/>
  <c r="D149" i="2"/>
  <c r="C148" i="2"/>
  <c r="F147" i="2"/>
  <c r="B147" i="2"/>
  <c r="E146" i="2"/>
  <c r="A146" i="2"/>
  <c r="D145" i="2"/>
  <c r="C144" i="2"/>
  <c r="F143" i="2"/>
  <c r="B143" i="2"/>
  <c r="E142" i="2"/>
  <c r="A142" i="2"/>
  <c r="D141" i="2"/>
  <c r="C140" i="2"/>
  <c r="F139" i="2"/>
  <c r="B139" i="2"/>
  <c r="E138" i="2"/>
  <c r="A138" i="2"/>
  <c r="D137" i="2"/>
  <c r="C136" i="2"/>
  <c r="F135" i="2"/>
  <c r="B135" i="2"/>
  <c r="E134" i="2"/>
  <c r="A134" i="2"/>
  <c r="D133" i="2"/>
  <c r="C132" i="2"/>
  <c r="F131" i="2"/>
  <c r="B131" i="2"/>
  <c r="E130" i="2"/>
  <c r="A130" i="2"/>
  <c r="D129" i="2"/>
  <c r="C128" i="2"/>
  <c r="F127" i="2"/>
  <c r="B127" i="2"/>
  <c r="E126" i="2"/>
  <c r="A126" i="2"/>
  <c r="D125" i="2"/>
  <c r="C124" i="2"/>
  <c r="F123" i="2"/>
  <c r="B123" i="2"/>
  <c r="E122" i="2"/>
  <c r="A122" i="2"/>
  <c r="D121" i="2"/>
  <c r="C120" i="2"/>
  <c r="F119" i="2"/>
  <c r="B119" i="2"/>
  <c r="E118" i="2"/>
  <c r="A118" i="2"/>
  <c r="D117" i="2"/>
  <c r="C116" i="2"/>
  <c r="F115" i="2"/>
  <c r="B115" i="2"/>
  <c r="E114" i="2"/>
  <c r="A114" i="2"/>
  <c r="D113" i="2"/>
  <c r="C112" i="2"/>
  <c r="F111" i="2"/>
  <c r="B111" i="2"/>
  <c r="E110" i="2"/>
  <c r="A110" i="2"/>
  <c r="D109" i="2"/>
  <c r="C108" i="2"/>
  <c r="F107" i="2"/>
  <c r="B107" i="2"/>
  <c r="E106" i="2"/>
  <c r="A106" i="2"/>
  <c r="D105" i="2"/>
  <c r="C104" i="2"/>
  <c r="F103" i="2"/>
  <c r="B103" i="2"/>
  <c r="E102" i="2"/>
  <c r="A102" i="2"/>
  <c r="D101" i="2"/>
  <c r="C100" i="2"/>
  <c r="F99" i="2"/>
  <c r="B99" i="2"/>
  <c r="E98" i="2"/>
  <c r="A98" i="2"/>
  <c r="D97" i="2"/>
  <c r="C96" i="2"/>
  <c r="F95" i="2"/>
  <c r="B95" i="2"/>
  <c r="E94" i="2"/>
  <c r="A94" i="2"/>
  <c r="D93" i="2"/>
  <c r="C92" i="2"/>
  <c r="F91" i="2"/>
  <c r="B91" i="2"/>
  <c r="E90" i="2"/>
  <c r="A90" i="2"/>
  <c r="D89" i="2"/>
  <c r="C88" i="2"/>
  <c r="F87" i="2"/>
  <c r="B87" i="2"/>
  <c r="E86" i="2"/>
  <c r="A86" i="2"/>
  <c r="F12" i="3"/>
  <c r="A12" i="3"/>
  <c r="D11" i="3"/>
  <c r="C10" i="3"/>
  <c r="F9" i="3"/>
  <c r="B9" i="3"/>
  <c r="E8" i="3"/>
  <c r="A8" i="3"/>
  <c r="D7" i="3"/>
  <c r="C6" i="3"/>
  <c r="F5" i="3"/>
  <c r="B5" i="3"/>
  <c r="E4" i="3"/>
  <c r="A4" i="3"/>
  <c r="D3" i="3"/>
  <c r="F2" i="3"/>
  <c r="B2" i="3"/>
  <c r="D1" i="3"/>
  <c r="C209" i="2"/>
  <c r="F208" i="2"/>
  <c r="B208" i="2"/>
  <c r="E207" i="2"/>
  <c r="A207" i="2"/>
  <c r="D206" i="2"/>
  <c r="C205" i="2"/>
  <c r="F204" i="2"/>
  <c r="B204" i="2"/>
  <c r="E203" i="2"/>
  <c r="A203" i="2"/>
  <c r="D202" i="2"/>
  <c r="C201" i="2"/>
  <c r="F200" i="2"/>
  <c r="B200" i="2"/>
  <c r="E199" i="2"/>
  <c r="A199" i="2"/>
  <c r="D198" i="2"/>
  <c r="C197" i="2"/>
  <c r="F196" i="2"/>
  <c r="B196" i="2"/>
  <c r="E195" i="2"/>
  <c r="A195" i="2"/>
  <c r="D194" i="2"/>
  <c r="C193" i="2"/>
  <c r="F192" i="2"/>
  <c r="B192" i="2"/>
  <c r="E191" i="2"/>
  <c r="A191" i="2"/>
  <c r="D190" i="2"/>
  <c r="C189" i="2"/>
  <c r="F188" i="2"/>
  <c r="B188" i="2"/>
  <c r="E187" i="2"/>
  <c r="A187" i="2"/>
  <c r="D186" i="2"/>
  <c r="C185" i="2"/>
  <c r="F184" i="2"/>
  <c r="B184" i="2"/>
  <c r="E183" i="2"/>
  <c r="A183" i="2"/>
  <c r="D182" i="2"/>
  <c r="C181" i="2"/>
  <c r="F180" i="2"/>
  <c r="B180" i="2"/>
  <c r="E179" i="2"/>
  <c r="A179" i="2"/>
  <c r="D178" i="2"/>
  <c r="C177" i="2"/>
  <c r="F176" i="2"/>
  <c r="B176" i="2"/>
  <c r="E175" i="2"/>
  <c r="A175" i="2"/>
  <c r="D174" i="2"/>
  <c r="C173" i="2"/>
  <c r="F172" i="2"/>
  <c r="B172" i="2"/>
  <c r="E171" i="2"/>
  <c r="A171" i="2"/>
  <c r="D170" i="2"/>
  <c r="C169" i="2"/>
  <c r="F168" i="2"/>
  <c r="B168" i="2"/>
  <c r="E167" i="2"/>
  <c r="A167" i="2"/>
  <c r="D166" i="2"/>
  <c r="C165" i="2"/>
  <c r="F164" i="2"/>
  <c r="B164" i="2"/>
  <c r="E163" i="2"/>
  <c r="A163" i="2"/>
  <c r="D162" i="2"/>
  <c r="C161" i="2"/>
  <c r="F160" i="2"/>
  <c r="B160" i="2"/>
  <c r="E159" i="2"/>
  <c r="A159" i="2"/>
  <c r="D158" i="2"/>
  <c r="C157" i="2"/>
  <c r="F156" i="2"/>
  <c r="B156" i="2"/>
  <c r="E155" i="2"/>
  <c r="A155" i="2"/>
  <c r="D154" i="2"/>
  <c r="C153" i="2"/>
  <c r="F152" i="2"/>
  <c r="B152" i="2"/>
  <c r="E151" i="2"/>
  <c r="A151" i="2"/>
  <c r="D150" i="2"/>
  <c r="C149" i="2"/>
  <c r="F148" i="2"/>
  <c r="B148" i="2"/>
  <c r="E147" i="2"/>
  <c r="A147" i="2"/>
  <c r="D146" i="2"/>
  <c r="C145" i="2"/>
  <c r="F144" i="2"/>
  <c r="B144" i="2"/>
  <c r="E143" i="2"/>
  <c r="A143" i="2"/>
  <c r="D142" i="2"/>
  <c r="C141" i="2"/>
  <c r="F140" i="2"/>
  <c r="B140" i="2"/>
  <c r="E139" i="2"/>
  <c r="A139" i="2"/>
  <c r="D138" i="2"/>
  <c r="C137" i="2"/>
  <c r="F136" i="2"/>
  <c r="B136" i="2"/>
  <c r="E135" i="2"/>
  <c r="A135" i="2"/>
  <c r="D134" i="2"/>
  <c r="C133" i="2"/>
  <c r="F132" i="2"/>
  <c r="B132" i="2"/>
  <c r="E131" i="2"/>
  <c r="A131" i="2"/>
  <c r="D130" i="2"/>
  <c r="E127" i="2"/>
  <c r="C125" i="2"/>
  <c r="A123" i="2"/>
  <c r="F120" i="2"/>
  <c r="D118" i="2"/>
  <c r="B116" i="2"/>
  <c r="E111" i="2"/>
  <c r="C109" i="2"/>
  <c r="A107" i="2"/>
  <c r="F104" i="2"/>
  <c r="D102" i="2"/>
  <c r="B100" i="2"/>
  <c r="E95" i="2"/>
  <c r="C93" i="2"/>
  <c r="A91" i="2"/>
  <c r="F88" i="2"/>
  <c r="F86" i="2"/>
  <c r="F85" i="2"/>
  <c r="B85" i="2"/>
  <c r="E84" i="2"/>
  <c r="A84" i="2"/>
  <c r="D83" i="2"/>
  <c r="C82" i="2"/>
  <c r="F81" i="2"/>
  <c r="B81" i="2"/>
  <c r="E80" i="2"/>
  <c r="A80" i="2"/>
  <c r="D79" i="2"/>
  <c r="C78" i="2"/>
  <c r="F77" i="2"/>
  <c r="B77" i="2"/>
  <c r="E76" i="2"/>
  <c r="A76" i="2"/>
  <c r="D75" i="2"/>
  <c r="C74" i="2"/>
  <c r="F73" i="2"/>
  <c r="B73" i="2"/>
  <c r="E72" i="2"/>
  <c r="A72" i="2"/>
  <c r="D71" i="2"/>
  <c r="C70" i="2"/>
  <c r="F69" i="2"/>
  <c r="B69" i="2"/>
  <c r="E68" i="2"/>
  <c r="A68" i="2"/>
  <c r="D67" i="2"/>
  <c r="C66" i="2"/>
  <c r="F65" i="2"/>
  <c r="B65" i="2"/>
  <c r="E64" i="2"/>
  <c r="A64" i="2"/>
  <c r="D63" i="2"/>
  <c r="C62" i="2"/>
  <c r="F61" i="2"/>
  <c r="B61" i="2"/>
  <c r="E60" i="2"/>
  <c r="A60" i="2"/>
  <c r="D59" i="2"/>
  <c r="C58" i="2"/>
  <c r="F57" i="2"/>
  <c r="B57" i="2"/>
  <c r="E56" i="2"/>
  <c r="A56" i="2"/>
  <c r="D55" i="2"/>
  <c r="C54" i="2"/>
  <c r="F53" i="2"/>
  <c r="B53" i="2"/>
  <c r="E52" i="2"/>
  <c r="A52" i="2"/>
  <c r="D51" i="2"/>
  <c r="C50" i="2"/>
  <c r="F49" i="2"/>
  <c r="B49" i="2"/>
  <c r="E48" i="2"/>
  <c r="A48" i="2"/>
  <c r="D47" i="2"/>
  <c r="C46" i="2"/>
  <c r="F45" i="2"/>
  <c r="B45" i="2"/>
  <c r="E44" i="2"/>
  <c r="A44" i="2"/>
  <c r="D43" i="2"/>
  <c r="C42" i="2"/>
  <c r="F41" i="2"/>
  <c r="B41" i="2"/>
  <c r="E40" i="2"/>
  <c r="A40" i="2"/>
  <c r="D39" i="2"/>
  <c r="C38" i="2"/>
  <c r="F37" i="2"/>
  <c r="B37" i="2"/>
  <c r="E36" i="2"/>
  <c r="A36" i="2"/>
  <c r="D35" i="2"/>
  <c r="C34" i="2"/>
  <c r="F33" i="2"/>
  <c r="B33" i="2"/>
  <c r="E32" i="2"/>
  <c r="A32" i="2"/>
  <c r="D31" i="2"/>
  <c r="C30" i="2"/>
  <c r="F29" i="2"/>
  <c r="B29" i="2"/>
  <c r="E28" i="2"/>
  <c r="A28" i="2"/>
  <c r="D27" i="2"/>
  <c r="C26" i="2"/>
  <c r="F25" i="2"/>
  <c r="B25" i="2"/>
  <c r="E24" i="2"/>
  <c r="A24" i="2"/>
  <c r="D23" i="2"/>
  <c r="C22" i="2"/>
  <c r="F21" i="2"/>
  <c r="B21" i="2"/>
  <c r="E20" i="2"/>
  <c r="A20" i="2"/>
  <c r="D19" i="2"/>
  <c r="C18" i="2"/>
  <c r="F17" i="2"/>
  <c r="B17" i="2"/>
  <c r="E16" i="2"/>
  <c r="A16" i="2"/>
  <c r="D15" i="2"/>
  <c r="C14" i="2"/>
  <c r="F13" i="2"/>
  <c r="B13" i="2"/>
  <c r="E12" i="2"/>
  <c r="A12" i="2"/>
  <c r="D11" i="2"/>
  <c r="C10" i="2"/>
  <c r="F9" i="2"/>
  <c r="B9" i="2"/>
  <c r="E8" i="2"/>
  <c r="A8" i="2"/>
  <c r="D7" i="2"/>
  <c r="C6" i="2"/>
  <c r="F5" i="2"/>
  <c r="B5" i="2"/>
  <c r="E4" i="2"/>
  <c r="A4" i="2"/>
  <c r="D3" i="2"/>
  <c r="F2" i="2"/>
  <c r="B2" i="2"/>
  <c r="D1" i="2"/>
  <c r="E13" i="2"/>
  <c r="C11" i="2"/>
  <c r="B10" i="2"/>
  <c r="D8" i="2"/>
  <c r="C7" i="2"/>
  <c r="B6" i="2"/>
  <c r="E5" i="2"/>
  <c r="D4" i="2"/>
  <c r="E2" i="2"/>
  <c r="C1" i="2"/>
  <c r="E83" i="2"/>
  <c r="B76" i="2"/>
  <c r="A75" i="2"/>
  <c r="C73" i="2"/>
  <c r="B72" i="2"/>
  <c r="A71" i="2"/>
  <c r="C69" i="2"/>
  <c r="E67" i="2"/>
  <c r="D66" i="2"/>
  <c r="F64" i="2"/>
  <c r="A63" i="2"/>
  <c r="F60" i="2"/>
  <c r="E59" i="2"/>
  <c r="F56" i="2"/>
  <c r="A55" i="2"/>
  <c r="F52" i="2"/>
  <c r="A51" i="2"/>
  <c r="F48" i="2"/>
  <c r="E47" i="2"/>
  <c r="C129" i="2"/>
  <c r="A127" i="2"/>
  <c r="F124" i="2"/>
  <c r="D122" i="2"/>
  <c r="B120" i="2"/>
  <c r="E115" i="2"/>
  <c r="C113" i="2"/>
  <c r="A111" i="2"/>
  <c r="F108" i="2"/>
  <c r="D106" i="2"/>
  <c r="B104" i="2"/>
  <c r="E99" i="2"/>
  <c r="C97" i="2"/>
  <c r="A95" i="2"/>
  <c r="F92" i="2"/>
  <c r="D90" i="2"/>
  <c r="B88" i="2"/>
  <c r="D86" i="2"/>
  <c r="E85" i="2"/>
  <c r="A85" i="2"/>
  <c r="D84" i="2"/>
  <c r="C83" i="2"/>
  <c r="F82" i="2"/>
  <c r="B82" i="2"/>
  <c r="E81" i="2"/>
  <c r="A81" i="2"/>
  <c r="D80" i="2"/>
  <c r="C79" i="2"/>
  <c r="F78" i="2"/>
  <c r="B78" i="2"/>
  <c r="E77" i="2"/>
  <c r="A77" i="2"/>
  <c r="D76" i="2"/>
  <c r="C75" i="2"/>
  <c r="F74" i="2"/>
  <c r="B74" i="2"/>
  <c r="E73" i="2"/>
  <c r="A73" i="2"/>
  <c r="D72" i="2"/>
  <c r="C71" i="2"/>
  <c r="F70" i="2"/>
  <c r="B70" i="2"/>
  <c r="E69" i="2"/>
  <c r="A69" i="2"/>
  <c r="D68" i="2"/>
  <c r="C67" i="2"/>
  <c r="F66" i="2"/>
  <c r="B66" i="2"/>
  <c r="E65" i="2"/>
  <c r="A65" i="2"/>
  <c r="D64" i="2"/>
  <c r="C63" i="2"/>
  <c r="F62" i="2"/>
  <c r="B62" i="2"/>
  <c r="E61" i="2"/>
  <c r="A61" i="2"/>
  <c r="D60" i="2"/>
  <c r="C59" i="2"/>
  <c r="F58" i="2"/>
  <c r="B58" i="2"/>
  <c r="E57" i="2"/>
  <c r="A57" i="2"/>
  <c r="D56" i="2"/>
  <c r="C55" i="2"/>
  <c r="F54" i="2"/>
  <c r="B54" i="2"/>
  <c r="E53" i="2"/>
  <c r="A53" i="2"/>
  <c r="D52" i="2"/>
  <c r="C51" i="2"/>
  <c r="F50" i="2"/>
  <c r="B50" i="2"/>
  <c r="E49" i="2"/>
  <c r="A49" i="2"/>
  <c r="D48" i="2"/>
  <c r="C47" i="2"/>
  <c r="F46" i="2"/>
  <c r="B46" i="2"/>
  <c r="E45" i="2"/>
  <c r="A45" i="2"/>
  <c r="D44" i="2"/>
  <c r="C43" i="2"/>
  <c r="F42" i="2"/>
  <c r="B42" i="2"/>
  <c r="E41" i="2"/>
  <c r="A41" i="2"/>
  <c r="D40" i="2"/>
  <c r="C39" i="2"/>
  <c r="F38" i="2"/>
  <c r="B38" i="2"/>
  <c r="E37" i="2"/>
  <c r="A37" i="2"/>
  <c r="D36" i="2"/>
  <c r="C35" i="2"/>
  <c r="F34" i="2"/>
  <c r="B34" i="2"/>
  <c r="E33" i="2"/>
  <c r="A33" i="2"/>
  <c r="D32" i="2"/>
  <c r="C31" i="2"/>
  <c r="F30" i="2"/>
  <c r="B30" i="2"/>
  <c r="E29" i="2"/>
  <c r="A29" i="2"/>
  <c r="D28" i="2"/>
  <c r="C27" i="2"/>
  <c r="F26" i="2"/>
  <c r="B26" i="2"/>
  <c r="E25" i="2"/>
  <c r="A25" i="2"/>
  <c r="D24" i="2"/>
  <c r="C23" i="2"/>
  <c r="F22" i="2"/>
  <c r="B22" i="2"/>
  <c r="E21" i="2"/>
  <c r="A21" i="2"/>
  <c r="D20" i="2"/>
  <c r="C19" i="2"/>
  <c r="F18" i="2"/>
  <c r="B18" i="2"/>
  <c r="E17" i="2"/>
  <c r="A17" i="2"/>
  <c r="D16" i="2"/>
  <c r="C15" i="2"/>
  <c r="F14" i="2"/>
  <c r="B14" i="2"/>
  <c r="A13" i="2"/>
  <c r="D12" i="2"/>
  <c r="F10" i="2"/>
  <c r="E9" i="2"/>
  <c r="A9" i="2"/>
  <c r="F6" i="2"/>
  <c r="A5" i="2"/>
  <c r="C3" i="2"/>
  <c r="A2" i="2"/>
  <c r="B84" i="2"/>
  <c r="B68" i="2"/>
  <c r="B64" i="2"/>
  <c r="C61" i="2"/>
  <c r="D58" i="2"/>
  <c r="E55" i="2"/>
  <c r="B52" i="2"/>
  <c r="F128" i="2"/>
  <c r="D126" i="2"/>
  <c r="B124" i="2"/>
  <c r="E119" i="2"/>
  <c r="C117" i="2"/>
  <c r="A115" i="2"/>
  <c r="F112" i="2"/>
  <c r="D110" i="2"/>
  <c r="B108" i="2"/>
  <c r="E103" i="2"/>
  <c r="C101" i="2"/>
  <c r="A99" i="2"/>
  <c r="F96" i="2"/>
  <c r="D94" i="2"/>
  <c r="B92" i="2"/>
  <c r="E87" i="2"/>
  <c r="B86" i="2"/>
  <c r="D85" i="2"/>
  <c r="C84" i="2"/>
  <c r="F83" i="2"/>
  <c r="B83" i="2"/>
  <c r="E82" i="2"/>
  <c r="A82" i="2"/>
  <c r="D81" i="2"/>
  <c r="C80" i="2"/>
  <c r="F79" i="2"/>
  <c r="B79" i="2"/>
  <c r="E78" i="2"/>
  <c r="A78" i="2"/>
  <c r="D77" i="2"/>
  <c r="C76" i="2"/>
  <c r="F75" i="2"/>
  <c r="B75" i="2"/>
  <c r="E74" i="2"/>
  <c r="A74" i="2"/>
  <c r="D73" i="2"/>
  <c r="C72" i="2"/>
  <c r="F71" i="2"/>
  <c r="B71" i="2"/>
  <c r="E70" i="2"/>
  <c r="A70" i="2"/>
  <c r="D69" i="2"/>
  <c r="C68" i="2"/>
  <c r="F67" i="2"/>
  <c r="B67" i="2"/>
  <c r="E66" i="2"/>
  <c r="A66" i="2"/>
  <c r="D65" i="2"/>
  <c r="C64" i="2"/>
  <c r="F63" i="2"/>
  <c r="B63" i="2"/>
  <c r="E62" i="2"/>
  <c r="A62" i="2"/>
  <c r="D61" i="2"/>
  <c r="C60" i="2"/>
  <c r="F59" i="2"/>
  <c r="B59" i="2"/>
  <c r="E58" i="2"/>
  <c r="A58" i="2"/>
  <c r="D57" i="2"/>
  <c r="C56" i="2"/>
  <c r="F55" i="2"/>
  <c r="B55" i="2"/>
  <c r="E54" i="2"/>
  <c r="A54" i="2"/>
  <c r="D53" i="2"/>
  <c r="C52" i="2"/>
  <c r="F51" i="2"/>
  <c r="B51" i="2"/>
  <c r="E50" i="2"/>
  <c r="A50" i="2"/>
  <c r="D49" i="2"/>
  <c r="C48" i="2"/>
  <c r="F47" i="2"/>
  <c r="B47" i="2"/>
  <c r="E46" i="2"/>
  <c r="A46" i="2"/>
  <c r="D45" i="2"/>
  <c r="C44" i="2"/>
  <c r="F43" i="2"/>
  <c r="B43" i="2"/>
  <c r="E42" i="2"/>
  <c r="A42" i="2"/>
  <c r="D41" i="2"/>
  <c r="C40" i="2"/>
  <c r="F39" i="2"/>
  <c r="B39" i="2"/>
  <c r="E38" i="2"/>
  <c r="A38" i="2"/>
  <c r="D37" i="2"/>
  <c r="C36" i="2"/>
  <c r="F35" i="2"/>
  <c r="B35" i="2"/>
  <c r="E34" i="2"/>
  <c r="A34" i="2"/>
  <c r="D33" i="2"/>
  <c r="C32" i="2"/>
  <c r="F31" i="2"/>
  <c r="B31" i="2"/>
  <c r="E30" i="2"/>
  <c r="A30" i="2"/>
  <c r="D29" i="2"/>
  <c r="C28" i="2"/>
  <c r="F27" i="2"/>
  <c r="B27" i="2"/>
  <c r="E26" i="2"/>
  <c r="A26" i="2"/>
  <c r="D25" i="2"/>
  <c r="C24" i="2"/>
  <c r="F23" i="2"/>
  <c r="B23" i="2"/>
  <c r="E22" i="2"/>
  <c r="A22" i="2"/>
  <c r="D21" i="2"/>
  <c r="C20" i="2"/>
  <c r="F19" i="2"/>
  <c r="B19" i="2"/>
  <c r="E18" i="2"/>
  <c r="A18" i="2"/>
  <c r="D17" i="2"/>
  <c r="C16" i="2"/>
  <c r="F15" i="2"/>
  <c r="B15" i="2"/>
  <c r="E14" i="2"/>
  <c r="A14" i="2"/>
  <c r="D13" i="2"/>
  <c r="C12" i="2"/>
  <c r="F11" i="2"/>
  <c r="B11" i="2"/>
  <c r="E10" i="2"/>
  <c r="A10" i="2"/>
  <c r="D9" i="2"/>
  <c r="C8" i="2"/>
  <c r="F7" i="2"/>
  <c r="B7" i="2"/>
  <c r="E6" i="2"/>
  <c r="A6" i="2"/>
  <c r="D5" i="2"/>
  <c r="C4" i="2"/>
  <c r="F3" i="2"/>
  <c r="B3" i="2"/>
  <c r="D2" i="2"/>
  <c r="F1" i="2"/>
  <c r="B1" i="2"/>
  <c r="B128" i="2"/>
  <c r="E123" i="2"/>
  <c r="C121" i="2"/>
  <c r="A119" i="2"/>
  <c r="F116" i="2"/>
  <c r="D114" i="2"/>
  <c r="B112" i="2"/>
  <c r="E107" i="2"/>
  <c r="C105" i="2"/>
  <c r="A103" i="2"/>
  <c r="F100" i="2"/>
  <c r="D98" i="2"/>
  <c r="B96" i="2"/>
  <c r="E91" i="2"/>
  <c r="C89" i="2"/>
  <c r="A87" i="2"/>
  <c r="C85" i="2"/>
  <c r="F84" i="2"/>
  <c r="A83" i="2"/>
  <c r="D82" i="2"/>
  <c r="C81" i="2"/>
  <c r="F80" i="2"/>
  <c r="B80" i="2"/>
  <c r="E79" i="2"/>
  <c r="A79" i="2"/>
  <c r="D78" i="2"/>
  <c r="C77" i="2"/>
  <c r="F76" i="2"/>
  <c r="E75" i="2"/>
  <c r="D74" i="2"/>
  <c r="F72" i="2"/>
  <c r="E71" i="2"/>
  <c r="D70" i="2"/>
  <c r="F68" i="2"/>
  <c r="A67" i="2"/>
  <c r="C65" i="2"/>
  <c r="E63" i="2"/>
  <c r="D62" i="2"/>
  <c r="B60" i="2"/>
  <c r="A59" i="2"/>
  <c r="C57" i="2"/>
  <c r="B56" i="2"/>
  <c r="D54" i="2"/>
  <c r="C53" i="2"/>
  <c r="E51" i="2"/>
  <c r="D50" i="2"/>
  <c r="C49" i="2"/>
  <c r="B48" i="2"/>
  <c r="C45" i="2"/>
  <c r="A43" i="2"/>
  <c r="F40" i="2"/>
  <c r="D38" i="2"/>
  <c r="B36" i="2"/>
  <c r="E31" i="2"/>
  <c r="C29" i="2"/>
  <c r="A27" i="2"/>
  <c r="F24" i="2"/>
  <c r="D22" i="2"/>
  <c r="B20" i="2"/>
  <c r="E15" i="2"/>
  <c r="C13" i="2"/>
  <c r="A11" i="2"/>
  <c r="F8" i="2"/>
  <c r="D6" i="2"/>
  <c r="B4" i="2"/>
  <c r="E1" i="2"/>
  <c r="A23" i="2"/>
  <c r="D18" i="2"/>
  <c r="A7" i="2"/>
  <c r="C2" i="2"/>
  <c r="A47" i="2"/>
  <c r="F44" i="2"/>
  <c r="D42" i="2"/>
  <c r="B40" i="2"/>
  <c r="E35" i="2"/>
  <c r="C33" i="2"/>
  <c r="A31" i="2"/>
  <c r="F28" i="2"/>
  <c r="D26" i="2"/>
  <c r="B24" i="2"/>
  <c r="E19" i="2"/>
  <c r="C17" i="2"/>
  <c r="A15" i="2"/>
  <c r="F12" i="2"/>
  <c r="D10" i="2"/>
  <c r="B8" i="2"/>
  <c r="E3" i="2"/>
  <c r="A1" i="2"/>
  <c r="D34" i="2"/>
  <c r="C9" i="2"/>
  <c r="D46" i="2"/>
  <c r="B44" i="2"/>
  <c r="E39" i="2"/>
  <c r="C37" i="2"/>
  <c r="A35" i="2"/>
  <c r="F32" i="2"/>
  <c r="D30" i="2"/>
  <c r="B28" i="2"/>
  <c r="E23" i="2"/>
  <c r="C21" i="2"/>
  <c r="A19" i="2"/>
  <c r="F16" i="2"/>
  <c r="D14" i="2"/>
  <c r="B12" i="2"/>
  <c r="E7" i="2"/>
  <c r="C5" i="2"/>
  <c r="A3" i="2"/>
  <c r="E43" i="2"/>
  <c r="C41" i="2"/>
  <c r="A39" i="2"/>
  <c r="F36" i="2"/>
  <c r="B32" i="2"/>
  <c r="E27" i="2"/>
  <c r="C25" i="2"/>
  <c r="F20" i="2"/>
  <c r="B16" i="2"/>
  <c r="E11" i="2"/>
  <c r="F4" i="2"/>
  <c r="G11" i="2" l="1"/>
  <c r="G27" i="2"/>
  <c r="G43" i="2"/>
  <c r="G7" i="2"/>
  <c r="G23" i="2"/>
  <c r="G39" i="2"/>
  <c r="G3" i="2"/>
  <c r="G19" i="2"/>
  <c r="G35" i="2"/>
  <c r="G15" i="2"/>
  <c r="G31" i="2"/>
  <c r="G51" i="2"/>
  <c r="G63" i="2"/>
  <c r="G71" i="2"/>
  <c r="G75" i="2"/>
  <c r="G79" i="2"/>
  <c r="G91" i="2"/>
  <c r="G107" i="2"/>
  <c r="G123" i="2"/>
  <c r="G6" i="2"/>
  <c r="G10" i="2"/>
  <c r="G14" i="2"/>
  <c r="G18" i="2"/>
  <c r="G22" i="2"/>
  <c r="G26" i="2"/>
  <c r="G30" i="2"/>
  <c r="G34" i="2"/>
  <c r="G38" i="2"/>
  <c r="G42" i="2"/>
  <c r="G46" i="2"/>
  <c r="G50" i="2"/>
  <c r="G54" i="2"/>
  <c r="G58" i="2"/>
  <c r="G62" i="2"/>
  <c r="G66" i="2"/>
  <c r="G70" i="2"/>
  <c r="G74" i="2"/>
  <c r="G78" i="2"/>
  <c r="G82" i="2"/>
  <c r="G87" i="2"/>
  <c r="G103" i="2"/>
  <c r="G119" i="2"/>
  <c r="G55" i="2"/>
  <c r="G9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9" i="2"/>
  <c r="G73" i="2"/>
  <c r="G77" i="2"/>
  <c r="G81" i="2"/>
  <c r="G85" i="2"/>
  <c r="G99" i="2"/>
  <c r="G115" i="2"/>
  <c r="G47" i="2"/>
  <c r="G59" i="2"/>
  <c r="G67" i="2"/>
  <c r="G83" i="2"/>
  <c r="G5" i="2"/>
  <c r="G13" i="2"/>
  <c r="G4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95" i="2"/>
  <c r="G111" i="2"/>
  <c r="G127" i="2"/>
  <c r="G131" i="2"/>
  <c r="G135" i="2"/>
  <c r="G139" i="2"/>
  <c r="G143" i="2"/>
  <c r="G147" i="2"/>
  <c r="G151" i="2"/>
  <c r="G155" i="2"/>
  <c r="G159" i="2"/>
  <c r="G163" i="2"/>
  <c r="G167" i="2"/>
  <c r="G171" i="2"/>
  <c r="G175" i="2"/>
  <c r="G179" i="2"/>
  <c r="G183" i="2"/>
  <c r="G187" i="2"/>
  <c r="G191" i="2"/>
  <c r="G195" i="2"/>
  <c r="G199" i="2"/>
  <c r="G203" i="2"/>
  <c r="G207" i="2"/>
  <c r="G4" i="3"/>
  <c r="G8" i="3"/>
  <c r="G86" i="2"/>
  <c r="G90" i="2"/>
  <c r="G94" i="2"/>
  <c r="G98" i="2"/>
  <c r="G102" i="2"/>
  <c r="G106" i="2"/>
  <c r="G110" i="2"/>
  <c r="G114" i="2"/>
  <c r="G118" i="2"/>
  <c r="G122" i="2"/>
  <c r="G126" i="2"/>
  <c r="G130" i="2"/>
  <c r="G134" i="2"/>
  <c r="G138" i="2"/>
  <c r="G142" i="2"/>
  <c r="G146" i="2"/>
  <c r="G150" i="2"/>
  <c r="G154" i="2"/>
  <c r="G158" i="2"/>
  <c r="G162" i="2"/>
  <c r="G166" i="2"/>
  <c r="G170" i="2"/>
  <c r="G174" i="2"/>
  <c r="G178" i="2"/>
  <c r="G182" i="2"/>
  <c r="G186" i="2"/>
  <c r="G190" i="2"/>
  <c r="G194" i="2"/>
  <c r="G198" i="2"/>
  <c r="G202" i="2"/>
  <c r="G206" i="2"/>
  <c r="G3" i="3"/>
  <c r="G7" i="3"/>
  <c r="G11" i="3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6" i="3"/>
  <c r="G10" i="3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5" i="3"/>
  <c r="G9" i="3"/>
  <c r="G12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3" i="3"/>
  <c r="G71" i="3"/>
  <c r="G79" i="3"/>
  <c r="G95" i="3"/>
  <c r="G132" i="3"/>
  <c r="G173" i="3"/>
  <c r="G16" i="3"/>
  <c r="G20" i="3"/>
  <c r="G24" i="3"/>
  <c r="G28" i="3"/>
  <c r="G32" i="3"/>
  <c r="G36" i="3"/>
  <c r="G40" i="3"/>
  <c r="G44" i="3"/>
  <c r="G48" i="3"/>
  <c r="G52" i="3"/>
  <c r="G56" i="3"/>
  <c r="G60" i="3"/>
  <c r="G62" i="3"/>
  <c r="G70" i="3"/>
  <c r="G75" i="3"/>
  <c r="G91" i="3"/>
  <c r="G107" i="3"/>
  <c r="G118" i="3"/>
  <c r="G15" i="3"/>
  <c r="G19" i="3"/>
  <c r="G23" i="3"/>
  <c r="G27" i="3"/>
  <c r="G31" i="3"/>
  <c r="G35" i="3"/>
  <c r="G39" i="3"/>
  <c r="G43" i="3"/>
  <c r="G47" i="3"/>
  <c r="G51" i="3"/>
  <c r="G55" i="3"/>
  <c r="G59" i="3"/>
  <c r="G67" i="3"/>
  <c r="G87" i="3"/>
  <c r="G103" i="3"/>
  <c r="G110" i="3"/>
  <c r="G146" i="3"/>
  <c r="G14" i="3"/>
  <c r="G18" i="3"/>
  <c r="G22" i="3"/>
  <c r="G26" i="3"/>
  <c r="G30" i="3"/>
  <c r="G34" i="3"/>
  <c r="G38" i="3"/>
  <c r="G42" i="3"/>
  <c r="G46" i="3"/>
  <c r="G50" i="3"/>
  <c r="G54" i="3"/>
  <c r="G58" i="3"/>
  <c r="G66" i="3"/>
  <c r="G83" i="3"/>
  <c r="G99" i="3"/>
  <c r="G205" i="3"/>
  <c r="G74" i="3"/>
  <c r="G78" i="3"/>
  <c r="G82" i="3"/>
  <c r="G86" i="3"/>
  <c r="G90" i="3"/>
  <c r="G94" i="3"/>
  <c r="G98" i="3"/>
  <c r="G102" i="3"/>
  <c r="G106" i="3"/>
  <c r="G116" i="3"/>
  <c r="G128" i="3"/>
  <c r="G144" i="3"/>
  <c r="G165" i="3"/>
  <c r="G197" i="3"/>
  <c r="G65" i="3"/>
  <c r="G69" i="3"/>
  <c r="G73" i="3"/>
  <c r="G77" i="3"/>
  <c r="G81" i="3"/>
  <c r="G85" i="3"/>
  <c r="G89" i="3"/>
  <c r="G93" i="3"/>
  <c r="G97" i="3"/>
  <c r="G101" i="3"/>
  <c r="G105" i="3"/>
  <c r="G109" i="3"/>
  <c r="G114" i="3"/>
  <c r="G124" i="3"/>
  <c r="G140" i="3"/>
  <c r="G157" i="3"/>
  <c r="G189" i="3"/>
  <c r="G64" i="3"/>
  <c r="G68" i="3"/>
  <c r="G72" i="3"/>
  <c r="G76" i="3"/>
  <c r="G80" i="3"/>
  <c r="G84" i="3"/>
  <c r="G88" i="3"/>
  <c r="G92" i="3"/>
  <c r="G96" i="3"/>
  <c r="G100" i="3"/>
  <c r="G104" i="3"/>
  <c r="G108" i="3"/>
  <c r="G112" i="3"/>
  <c r="G120" i="3"/>
  <c r="G136" i="3"/>
  <c r="G149" i="3"/>
  <c r="G181" i="3"/>
  <c r="G111" i="3"/>
  <c r="G115" i="3"/>
  <c r="G119" i="3"/>
  <c r="G123" i="3"/>
  <c r="G127" i="3"/>
  <c r="G131" i="3"/>
  <c r="G135" i="3"/>
  <c r="G139" i="3"/>
  <c r="G143" i="3"/>
  <c r="G148" i="3"/>
  <c r="G156" i="3"/>
  <c r="G164" i="3"/>
  <c r="G172" i="3"/>
  <c r="G180" i="3"/>
  <c r="G188" i="3"/>
  <c r="G196" i="3"/>
  <c r="G204" i="3"/>
  <c r="G122" i="3"/>
  <c r="G126" i="3"/>
  <c r="G130" i="3"/>
  <c r="G134" i="3"/>
  <c r="G138" i="3"/>
  <c r="G142" i="3"/>
  <c r="G153" i="3"/>
  <c r="G161" i="3"/>
  <c r="G169" i="3"/>
  <c r="G177" i="3"/>
  <c r="G185" i="3"/>
  <c r="G193" i="3"/>
  <c r="G201" i="3"/>
  <c r="G209" i="3"/>
  <c r="G113" i="3"/>
  <c r="G117" i="3"/>
  <c r="G121" i="3"/>
  <c r="G125" i="3"/>
  <c r="G129" i="3"/>
  <c r="G133" i="3"/>
  <c r="G137" i="3"/>
  <c r="G141" i="3"/>
  <c r="G145" i="3"/>
  <c r="G152" i="3"/>
  <c r="G160" i="3"/>
  <c r="G168" i="3"/>
  <c r="G176" i="3"/>
  <c r="G184" i="3"/>
  <c r="G192" i="3"/>
  <c r="G200" i="3"/>
  <c r="G208" i="3"/>
  <c r="G147" i="3"/>
  <c r="G151" i="3"/>
  <c r="G155" i="3"/>
  <c r="G159" i="3"/>
  <c r="G163" i="3"/>
  <c r="G167" i="3"/>
  <c r="G171" i="3"/>
  <c r="G175" i="3"/>
  <c r="G179" i="3"/>
  <c r="G183" i="3"/>
  <c r="G187" i="3"/>
  <c r="G191" i="3"/>
  <c r="G195" i="3"/>
  <c r="G199" i="3"/>
  <c r="G203" i="3"/>
  <c r="G207" i="3"/>
  <c r="G150" i="3"/>
  <c r="G154" i="3"/>
  <c r="G158" i="3"/>
  <c r="G162" i="3"/>
  <c r="G166" i="3"/>
  <c r="G170" i="3"/>
  <c r="G174" i="3"/>
  <c r="G178" i="3"/>
  <c r="G182" i="3"/>
  <c r="G186" i="3"/>
  <c r="G190" i="3"/>
  <c r="G194" i="3"/>
  <c r="G198" i="3"/>
  <c r="G202" i="3"/>
  <c r="G206" i="3"/>
  <c r="C49" i="1"/>
  <c r="G2" i="4"/>
  <c r="C21" i="1"/>
  <c r="C25" i="1" s="1"/>
  <c r="C27" i="1" s="1"/>
  <c r="C29" i="1" s="1"/>
  <c r="C31" i="1" s="1"/>
  <c r="C33" i="1" s="1"/>
  <c r="I2" i="4"/>
  <c r="E21" i="1"/>
  <c r="E25" i="1" s="1"/>
  <c r="E27" i="1" s="1"/>
  <c r="E29" i="1" s="1"/>
  <c r="E31" i="1" s="1"/>
  <c r="E33" i="1" s="1"/>
  <c r="B13" i="4"/>
  <c r="E83" i="1"/>
  <c r="F2" i="4"/>
  <c r="B21" i="1"/>
  <c r="B25" i="1" s="1"/>
  <c r="B27" i="1" s="1"/>
  <c r="B29" i="1" s="1"/>
  <c r="B31" i="1" s="1"/>
  <c r="B33" i="1" s="1"/>
  <c r="H2" i="4"/>
  <c r="D21" i="1"/>
  <c r="D25" i="1" s="1"/>
  <c r="D27" i="1" s="1"/>
  <c r="D29" i="1" s="1"/>
  <c r="D31" i="1" s="1"/>
  <c r="D33" i="1" s="1"/>
  <c r="B12" i="4"/>
  <c r="B4" i="4" l="1"/>
  <c r="B2" i="4" s="1"/>
  <c r="B11" i="4" s="1"/>
  <c r="B15" i="4" s="1" a="1"/>
  <c r="B15" i="4" s="1"/>
  <c r="B9" i="4"/>
  <c r="B7" i="4" s="1"/>
</calcChain>
</file>

<file path=xl/sharedStrings.xml><?xml version="1.0" encoding="utf-8"?>
<sst xmlns="http://schemas.openxmlformats.org/spreadsheetml/2006/main" count="132" uniqueCount="130">
  <si>
    <t>BMW Income Statement</t>
  </si>
  <si>
    <t>EUR, '000 000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</si>
  <si>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</si>
  <si>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</si>
  <si>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</si>
  <si>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</si>
  <si>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</si>
  <si>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</si>
  <si>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</si>
  <si>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</si>
  <si>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</si>
  <si>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</si>
  <si>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</si>
  <si>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</si>
  <si>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</si>
  <si>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</si>
  <si>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</si>
  <si>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</si>
  <si>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</si>
  <si>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</si>
  <si>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</si>
  <si>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</si>
  <si>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</si>
  <si>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</si>
  <si>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</si>
  <si>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</si>
  <si>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</si>
  <si>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</si>
  <si>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</si>
  <si>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</si>
  <si>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</si>
  <si>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</si>
  <si>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</si>
  <si>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</si>
  <si>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</si>
  <si>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</si>
  <si>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</si>
  <si>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</si>
  <si>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</si>
  <si>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</si>
  <si>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</si>
  <si>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</si>
  <si>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</si>
  <si>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</si>
  <si>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</si>
  <si>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</si>
  <si>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</si>
  <si>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</si>
  <si>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</si>
  <si>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</si>
  <si>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</si>
  <si>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</si>
  <si>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</si>
  <si>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</si>
  <si>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</si>
  <si>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</si>
  <si>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</si>
  <si>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</si>
  <si>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</si>
  <si>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</si>
  <si>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</si>
  <si>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</si>
  <si>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</si>
  <si>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</si>
  <si>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</si>
  <si>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</si>
  <si>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</si>
  <si>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</si>
  <si>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</si>
  <si>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</si>
  <si>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</si>
  <si>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</si>
  <si>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</si>
  <si>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</si>
  <si>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</si>
  <si>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</si>
  <si>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</si>
  <si>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</si>
  <si>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</si>
  <si>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</si>
  <si>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</si>
  <si>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</si>
  <si>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</si>
  <si>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</si>
  <si>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</si>
  <si>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</si>
  <si>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</si>
  <si>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</si>
  <si>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</si>
  <si>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</si>
  <si>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</si>
  <si>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</si>
  <si>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</si>
  <si>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</si>
  <si>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</si>
  <si>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</si>
  <si>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</si>
  <si>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</si>
  <si>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</si>
  <si>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</si>
  <si>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</si>
  <si>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</si>
  <si>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</si>
  <si>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</si>
  <si>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</si>
  <si>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</si>
  <si>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</si>
  <si>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</si>
  <si>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</si>
  <si>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</si>
  <si>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</si>
  <si>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Cost of Equity</t>
  </si>
  <si>
    <t>долевое финансирование</t>
  </si>
  <si>
    <t>Tax shedule</t>
  </si>
  <si>
    <t>Equity Risk Premium</t>
  </si>
  <si>
    <t>Interest Payments</t>
  </si>
  <si>
    <t>Beta</t>
  </si>
  <si>
    <t>Cash Flow Growth</t>
  </si>
  <si>
    <t>Risk Free Rate</t>
  </si>
  <si>
    <t>Cost of Debt</t>
  </si>
  <si>
    <t>Cash Flow Schedule</t>
  </si>
  <si>
    <t>Average Debt Yield</t>
  </si>
  <si>
    <t>Tax Shield</t>
  </si>
  <si>
    <t>WACC</t>
  </si>
  <si>
    <t>средневзвешенная стоимость капитала</t>
  </si>
  <si>
    <t>% Equity</t>
  </si>
  <si>
    <t>% Debt</t>
  </si>
  <si>
    <t>NPV</t>
  </si>
  <si>
    <t>чистая приведенная стоимость инвестиции</t>
  </si>
  <si>
    <t>долговое финансирование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</si>
</sst>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\(#,##0.00\)"/>
    <numFmt numFmtId="165" formatCode="#,##0;\(#,##0\)"/>
    <numFmt numFmtId="166" formatCode="m/d/yyyy"/>
    <numFmt numFmtId="167" formatCode="&quot;$&quot;#,##0.00"/>
  </numFmts>
  <fonts count="11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  <font>
      <sz val="12"/>
      <color rgb="FF000000"/>
      <name val="Arial"/>
    </font>
    <font>
      <sz val="12"/>
      <color theme="1"/>
      <name val="Arial"/>
      <scheme val="minor"/>
    </font>
    <font>
      <b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5" fillId="3" borderId="0" xfId="0" applyFont="1" applyFill="1" applyAlignment="1"/>
    <xf numFmtId="0" fontId="6" fillId="0" borderId="0" xfId="0" applyFont="1" applyAlignment="1"/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center"/>
    </xf>
    <xf numFmtId="0" fontId="3" fillId="0" borderId="0" xfId="0" applyFont="1"/>
    <xf numFmtId="3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166" fontId="9" fillId="0" borderId="0" xfId="0" applyNumberFormat="1" applyFont="1"/>
    <xf numFmtId="0" fontId="9" fillId="0" borderId="0" xfId="0" applyFont="1"/>
    <xf numFmtId="10" fontId="9" fillId="0" borderId="0" xfId="0" applyNumberFormat="1" applyFont="1"/>
    <xf numFmtId="0" fontId="9" fillId="0" borderId="0" xfId="0" applyFont="1" applyAlignment="1"/>
    <xf numFmtId="0" fontId="10" fillId="0" borderId="0" xfId="0" applyFont="1" applyAlignment="1"/>
    <xf numFmtId="10" fontId="9" fillId="0" borderId="0" xfId="0" applyNumberFormat="1" applyFont="1" applyAlignment="1"/>
    <xf numFmtId="2" fontId="9" fillId="0" borderId="0" xfId="0" applyNumberFormat="1" applyFont="1"/>
    <xf numFmtId="4" fontId="9" fillId="0" borderId="0" xfId="0" applyNumberFormat="1" applyFont="1"/>
    <xf numFmtId="167" fontId="9" fillId="0" borderId="0" xfId="0" applyNumberFormat="1" applyFont="1"/>
    <xf numFmtId="0" fontId="9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5"/>
  <sheetViews>
    <sheetView workbookViewId="0"/>
  </sheetViews>
  <sheetFormatPr defaultColWidth="12.5703125" defaultRowHeight="15.75" customHeight="1" x14ac:dyDescent="0.2"/>
  <cols>
    <col min="1" max="1" width="47.5703125" customWidth="1"/>
    <col min="2" max="2" width="10.5703125" customWidth="1"/>
    <col min="3" max="3" width="11.140625" customWidth="1"/>
    <col min="4" max="4" width="11.28515625" customWidth="1"/>
    <col min="5" max="5" width="12" customWidth="1"/>
  </cols>
  <sheetData>
    <row r="1" spans="1:8" x14ac:dyDescent="0.2">
      <c r="A1" s="1" t="s">
        <v>0</v>
      </c>
      <c r="B1" s="1"/>
      <c r="C1" s="1"/>
      <c r="D1" s="1"/>
      <c r="E1" s="1"/>
    </row>
    <row r="2" spans="1:8" x14ac:dyDescent="0.2">
      <c r="A2" s="2" t="s">
        <v>1</v>
      </c>
      <c r="B2" s="1">
        <v>2016</v>
      </c>
      <c r="C2" s="1">
        <v>2017</v>
      </c>
      <c r="D2" s="1">
        <v>2018</v>
      </c>
      <c r="E2" s="1">
        <v>2019</v>
      </c>
    </row>
    <row r="3" spans="1:8" x14ac:dyDescent="0.2">
      <c r="A3" s="3" t="s">
        <v>2</v>
      </c>
      <c r="B3" s="4">
        <f t="shared" ref="B3:E3" si="0">SUM(B4:B5)</f>
        <v>94163</v>
      </c>
      <c r="C3" s="4">
        <f t="shared" si="0"/>
        <v>98282</v>
      </c>
      <c r="D3" s="4">
        <f t="shared" si="0"/>
        <v>96855</v>
      </c>
      <c r="E3" s="4">
        <f t="shared" si="0"/>
        <v>104210</v>
      </c>
    </row>
    <row r="4" spans="1:8" x14ac:dyDescent="0.2">
      <c r="A4" s="5" t="s">
        <v>3</v>
      </c>
      <c r="B4" s="6">
        <v>94163</v>
      </c>
      <c r="C4" s="6">
        <v>98282</v>
      </c>
      <c r="D4" s="6">
        <v>96855</v>
      </c>
      <c r="E4" s="6">
        <v>104210</v>
      </c>
    </row>
    <row r="5" spans="1:8" x14ac:dyDescent="0.2">
      <c r="A5" s="5" t="s">
        <v>4</v>
      </c>
      <c r="B5" s="6">
        <v>0</v>
      </c>
      <c r="C5" s="6">
        <v>0</v>
      </c>
      <c r="D5" s="6">
        <v>0</v>
      </c>
      <c r="E5" s="6">
        <v>0</v>
      </c>
      <c r="H5" s="7"/>
    </row>
    <row r="6" spans="1:8" x14ac:dyDescent="0.2">
      <c r="A6" s="5" t="s">
        <v>5</v>
      </c>
      <c r="B6" s="6">
        <v>75442</v>
      </c>
      <c r="C6" s="6">
        <v>78329</v>
      </c>
      <c r="D6" s="6">
        <v>78477</v>
      </c>
      <c r="E6" s="6">
        <v>86147</v>
      </c>
      <c r="H6" s="7"/>
    </row>
    <row r="7" spans="1:8" x14ac:dyDescent="0.2">
      <c r="A7" s="3" t="s">
        <v>6</v>
      </c>
      <c r="B7" s="4">
        <f t="shared" ref="B7:E7" si="1">B3-B6</f>
        <v>18721</v>
      </c>
      <c r="C7" s="4">
        <f t="shared" si="1"/>
        <v>19953</v>
      </c>
      <c r="D7" s="4">
        <f t="shared" si="1"/>
        <v>18378</v>
      </c>
      <c r="E7" s="4">
        <f t="shared" si="1"/>
        <v>18063</v>
      </c>
    </row>
    <row r="8" spans="1:8" x14ac:dyDescent="0.2">
      <c r="A8" s="3" t="s">
        <v>7</v>
      </c>
      <c r="B8" s="4">
        <f t="shared" ref="B8:E8" si="2">B6+SUM(B9:B14)</f>
        <v>84777</v>
      </c>
      <c r="C8" s="4">
        <f t="shared" si="2"/>
        <v>88383</v>
      </c>
      <c r="D8" s="4">
        <f t="shared" si="2"/>
        <v>87922</v>
      </c>
      <c r="E8" s="4">
        <f t="shared" si="2"/>
        <v>96799</v>
      </c>
      <c r="H8" s="8"/>
    </row>
    <row r="9" spans="1:8" x14ac:dyDescent="0.2">
      <c r="A9" s="5" t="s">
        <v>8</v>
      </c>
      <c r="B9" s="6">
        <v>9158</v>
      </c>
      <c r="C9" s="6">
        <v>9560</v>
      </c>
      <c r="D9" s="6">
        <v>9568</v>
      </c>
      <c r="E9" s="6">
        <v>9367</v>
      </c>
      <c r="H9" s="8"/>
    </row>
    <row r="10" spans="1:8" x14ac:dyDescent="0.2">
      <c r="A10" s="5" t="s">
        <v>9</v>
      </c>
      <c r="B10" s="6">
        <v>0</v>
      </c>
      <c r="C10" s="6">
        <v>0</v>
      </c>
      <c r="D10" s="6">
        <v>0</v>
      </c>
      <c r="E10" s="6">
        <v>0</v>
      </c>
    </row>
    <row r="11" spans="1:8" x14ac:dyDescent="0.2">
      <c r="A11" s="5" t="s">
        <v>10</v>
      </c>
      <c r="B11" s="6">
        <v>0</v>
      </c>
      <c r="C11" s="6">
        <v>0</v>
      </c>
      <c r="D11" s="6">
        <v>0</v>
      </c>
      <c r="E11" s="6">
        <v>0</v>
      </c>
      <c r="H11" s="8"/>
    </row>
    <row r="12" spans="1:8" x14ac:dyDescent="0.2">
      <c r="A12" s="5" t="s">
        <v>11</v>
      </c>
      <c r="B12" s="6">
        <v>-13</v>
      </c>
      <c r="C12" s="6">
        <v>-36</v>
      </c>
      <c r="D12" s="6">
        <v>-50</v>
      </c>
      <c r="E12" s="6">
        <v>33</v>
      </c>
      <c r="H12" s="8"/>
    </row>
    <row r="13" spans="1:8" x14ac:dyDescent="0.2">
      <c r="A13" s="5" t="s">
        <v>12</v>
      </c>
      <c r="B13" s="6">
        <v>-69</v>
      </c>
      <c r="C13" s="6">
        <v>-59</v>
      </c>
      <c r="D13" s="6">
        <v>-63</v>
      </c>
      <c r="E13" s="6">
        <v>124</v>
      </c>
    </row>
    <row r="14" spans="1:8" x14ac:dyDescent="0.2">
      <c r="A14" s="5" t="s">
        <v>13</v>
      </c>
      <c r="B14" s="6">
        <v>259</v>
      </c>
      <c r="C14" s="6">
        <v>589</v>
      </c>
      <c r="D14" s="6">
        <v>-10</v>
      </c>
      <c r="E14" s="6">
        <v>1128</v>
      </c>
    </row>
    <row r="15" spans="1:8" x14ac:dyDescent="0.2">
      <c r="A15" s="9" t="s">
        <v>14</v>
      </c>
      <c r="B15" s="4">
        <f t="shared" ref="B15:E15" si="3">B7-SUM(B9:B14)</f>
        <v>9386</v>
      </c>
      <c r="C15" s="4">
        <f t="shared" si="3"/>
        <v>9899</v>
      </c>
      <c r="D15" s="4">
        <f t="shared" si="3"/>
        <v>8933</v>
      </c>
      <c r="E15" s="4">
        <f t="shared" si="3"/>
        <v>7411</v>
      </c>
    </row>
    <row r="16" spans="1:8" x14ac:dyDescent="0.2">
      <c r="A16" s="10" t="s">
        <v>15</v>
      </c>
      <c r="B16" s="6">
        <v>363</v>
      </c>
      <c r="C16" s="6">
        <v>842</v>
      </c>
      <c r="D16" s="6">
        <v>785</v>
      </c>
      <c r="E16" s="6">
        <v>-67</v>
      </c>
    </row>
    <row r="17" spans="1:5" x14ac:dyDescent="0.2">
      <c r="A17" s="10" t="s">
        <v>16</v>
      </c>
      <c r="B17" s="6">
        <v>0</v>
      </c>
      <c r="C17" s="6">
        <v>0</v>
      </c>
      <c r="D17" s="6">
        <v>0</v>
      </c>
      <c r="E17" s="6">
        <v>0</v>
      </c>
    </row>
    <row r="18" spans="1:5" x14ac:dyDescent="0.2">
      <c r="A18" s="10" t="s">
        <v>17</v>
      </c>
      <c r="B18" s="6">
        <v>-84</v>
      </c>
      <c r="C18" s="6">
        <v>-66</v>
      </c>
      <c r="D18" s="6">
        <v>-91</v>
      </c>
      <c r="E18" s="6">
        <v>-226</v>
      </c>
    </row>
    <row r="19" spans="1:5" x14ac:dyDescent="0.2">
      <c r="A19" s="9" t="s">
        <v>18</v>
      </c>
      <c r="B19" s="4">
        <f t="shared" ref="B19:E19" si="4">SUM(B15:B18)</f>
        <v>9665</v>
      </c>
      <c r="C19" s="4">
        <f t="shared" si="4"/>
        <v>10675</v>
      </c>
      <c r="D19" s="4">
        <f t="shared" si="4"/>
        <v>9627</v>
      </c>
      <c r="E19" s="4">
        <f t="shared" si="4"/>
        <v>7118</v>
      </c>
    </row>
    <row r="20" spans="1:5" x14ac:dyDescent="0.2">
      <c r="A20" s="10" t="s">
        <v>19</v>
      </c>
      <c r="B20" s="6">
        <v>2755</v>
      </c>
      <c r="C20" s="6">
        <v>2000</v>
      </c>
      <c r="D20" s="6">
        <v>2530</v>
      </c>
      <c r="E20" s="6">
        <v>2140</v>
      </c>
    </row>
    <row r="21" spans="1:5" x14ac:dyDescent="0.2">
      <c r="A21" s="9" t="s">
        <v>20</v>
      </c>
      <c r="B21" s="4">
        <f t="shared" ref="B21:E21" si="5">B19-B20</f>
        <v>6910</v>
      </c>
      <c r="C21" s="4">
        <f t="shared" si="5"/>
        <v>8675</v>
      </c>
      <c r="D21" s="4">
        <f t="shared" si="5"/>
        <v>7097</v>
      </c>
      <c r="E21" s="4">
        <f t="shared" si="5"/>
        <v>4978</v>
      </c>
    </row>
    <row r="22" spans="1:5" x14ac:dyDescent="0.2">
      <c r="A22" s="10" t="s">
        <v>21</v>
      </c>
      <c r="B22" s="6">
        <v>-47</v>
      </c>
      <c r="C22" s="6">
        <v>-86</v>
      </c>
      <c r="D22" s="6">
        <v>-90</v>
      </c>
      <c r="E22" s="6">
        <v>-107</v>
      </c>
    </row>
    <row r="23" spans="1:5" x14ac:dyDescent="0.2">
      <c r="A23" s="10" t="s">
        <v>22</v>
      </c>
      <c r="B23" s="6">
        <v>0</v>
      </c>
      <c r="C23" s="6">
        <v>0</v>
      </c>
      <c r="D23" s="6">
        <v>0</v>
      </c>
      <c r="E23" s="6">
        <v>0</v>
      </c>
    </row>
    <row r="24" spans="1:5" x14ac:dyDescent="0.2">
      <c r="A24" s="10" t="s">
        <v>23</v>
      </c>
      <c r="B24" s="6">
        <v>0</v>
      </c>
      <c r="C24" s="6">
        <v>0</v>
      </c>
      <c r="D24" s="6">
        <v>0</v>
      </c>
      <c r="E24" s="6">
        <v>0</v>
      </c>
    </row>
    <row r="25" spans="1:5" x14ac:dyDescent="0.2">
      <c r="A25" s="9" t="s">
        <v>24</v>
      </c>
      <c r="B25" s="4">
        <f t="shared" ref="B25:E25" si="6">SUM(B21:B24)</f>
        <v>6863</v>
      </c>
      <c r="C25" s="4">
        <f t="shared" si="6"/>
        <v>8589</v>
      </c>
      <c r="D25" s="4">
        <f t="shared" si="6"/>
        <v>7007</v>
      </c>
      <c r="E25" s="4">
        <f t="shared" si="6"/>
        <v>4871</v>
      </c>
    </row>
    <row r="26" spans="1:5" x14ac:dyDescent="0.2">
      <c r="A26" s="10" t="s">
        <v>25</v>
      </c>
      <c r="B26" s="6">
        <v>0</v>
      </c>
      <c r="C26" s="6">
        <v>0</v>
      </c>
      <c r="D26" s="6">
        <v>-33</v>
      </c>
      <c r="E26" s="6">
        <v>44</v>
      </c>
    </row>
    <row r="27" spans="1:5" x14ac:dyDescent="0.2">
      <c r="A27" s="9" t="s">
        <v>26</v>
      </c>
      <c r="B27" s="4">
        <f t="shared" ref="B27:E27" si="7">SUM(B25:B26)</f>
        <v>6863</v>
      </c>
      <c r="C27" s="4">
        <f t="shared" si="7"/>
        <v>8589</v>
      </c>
      <c r="D27" s="4">
        <f t="shared" si="7"/>
        <v>6974</v>
      </c>
      <c r="E27" s="4">
        <f t="shared" si="7"/>
        <v>4915</v>
      </c>
    </row>
    <row r="28" spans="1:5" x14ac:dyDescent="0.2">
      <c r="A28" s="10" t="s">
        <v>27</v>
      </c>
      <c r="B28" s="6">
        <v>0</v>
      </c>
      <c r="C28" s="6">
        <v>0</v>
      </c>
      <c r="D28" s="6">
        <v>0</v>
      </c>
      <c r="E28" s="6">
        <v>0</v>
      </c>
    </row>
    <row r="29" spans="1:5" x14ac:dyDescent="0.2">
      <c r="A29" s="9" t="s">
        <v>28</v>
      </c>
      <c r="B29" s="4">
        <f t="shared" ref="B29:E29" si="8">SUM(B27:B28)</f>
        <v>6863</v>
      </c>
      <c r="C29" s="4">
        <f t="shared" si="8"/>
        <v>8589</v>
      </c>
      <c r="D29" s="4">
        <f t="shared" si="8"/>
        <v>6974</v>
      </c>
      <c r="E29" s="4">
        <f t="shared" si="8"/>
        <v>4915</v>
      </c>
    </row>
    <row r="30" spans="1:5" x14ac:dyDescent="0.2">
      <c r="A30" s="10" t="s">
        <v>29</v>
      </c>
      <c r="B30" s="6">
        <v>0</v>
      </c>
      <c r="C30" s="6">
        <v>0</v>
      </c>
      <c r="D30" s="6">
        <v>0</v>
      </c>
      <c r="E30" s="6">
        <v>0</v>
      </c>
    </row>
    <row r="31" spans="1:5" x14ac:dyDescent="0.2">
      <c r="A31" s="10" t="s">
        <v>30</v>
      </c>
      <c r="B31" s="11">
        <f t="shared" ref="B31:E31" si="9">SUM(B29:B30)</f>
        <v>6863</v>
      </c>
      <c r="C31" s="11">
        <f t="shared" si="9"/>
        <v>8589</v>
      </c>
      <c r="D31" s="11">
        <f t="shared" si="9"/>
        <v>6974</v>
      </c>
      <c r="E31" s="11">
        <f t="shared" si="9"/>
        <v>4915</v>
      </c>
    </row>
    <row r="32" spans="1:5" x14ac:dyDescent="0.2">
      <c r="A32" s="10" t="s">
        <v>31</v>
      </c>
      <c r="B32" s="6">
        <v>656.8</v>
      </c>
      <c r="C32" s="6">
        <v>657.11</v>
      </c>
      <c r="D32" s="6">
        <v>657.6</v>
      </c>
      <c r="E32" s="6">
        <v>658.12</v>
      </c>
    </row>
    <row r="33" spans="1:5" x14ac:dyDescent="0.2">
      <c r="A33" s="3" t="s">
        <v>32</v>
      </c>
      <c r="B33" s="12">
        <f t="shared" ref="B33:E33" si="10">B31/B32</f>
        <v>10.449147381242389</v>
      </c>
      <c r="C33" s="12">
        <f t="shared" si="10"/>
        <v>13.07087093485109</v>
      </c>
      <c r="D33" s="12">
        <f t="shared" si="10"/>
        <v>10.605231143552311</v>
      </c>
      <c r="E33" s="12">
        <f t="shared" si="10"/>
        <v>7.4682428736400652</v>
      </c>
    </row>
    <row r="34" spans="1:5" x14ac:dyDescent="0.2">
      <c r="A34" s="10" t="s">
        <v>33</v>
      </c>
      <c r="B34" s="6">
        <v>3.5</v>
      </c>
      <c r="C34" s="6">
        <v>4</v>
      </c>
      <c r="D34" s="6">
        <v>3.5</v>
      </c>
      <c r="E34" s="6">
        <v>2.5</v>
      </c>
    </row>
    <row r="35" spans="1:5" x14ac:dyDescent="0.2">
      <c r="A35" s="10" t="s">
        <v>34</v>
      </c>
      <c r="B35" s="6">
        <v>10.37</v>
      </c>
      <c r="C35" s="6">
        <v>13</v>
      </c>
      <c r="D35" s="6">
        <v>10.58</v>
      </c>
      <c r="E35" s="6">
        <v>7.53</v>
      </c>
    </row>
    <row r="36" spans="1:5" x14ac:dyDescent="0.2">
      <c r="A36" s="13"/>
      <c r="B36" s="14"/>
      <c r="C36" s="14"/>
      <c r="D36" s="14"/>
      <c r="E36" s="14"/>
    </row>
    <row r="37" spans="1:5" x14ac:dyDescent="0.2">
      <c r="A37" s="1" t="s">
        <v>35</v>
      </c>
      <c r="B37" s="1"/>
      <c r="C37" s="1"/>
      <c r="D37" s="1"/>
      <c r="E37" s="1"/>
    </row>
    <row r="38" spans="1:5" x14ac:dyDescent="0.2">
      <c r="A38" s="2" t="s">
        <v>1</v>
      </c>
      <c r="B38" s="1">
        <v>2016</v>
      </c>
      <c r="C38" s="1">
        <v>2017</v>
      </c>
      <c r="D38" s="1">
        <v>2018</v>
      </c>
      <c r="E38" s="1">
        <v>2019</v>
      </c>
    </row>
    <row r="39" spans="1:5" x14ac:dyDescent="0.2">
      <c r="A39" s="15" t="s">
        <v>36</v>
      </c>
      <c r="B39" s="16">
        <f t="shared" ref="B39:E39" si="11">B40+B44+B46+B47+B48</f>
        <v>66864</v>
      </c>
      <c r="C39" s="16">
        <f t="shared" si="11"/>
        <v>73542</v>
      </c>
      <c r="D39" s="16">
        <f t="shared" si="11"/>
        <v>84736</v>
      </c>
      <c r="E39" s="16">
        <f t="shared" si="11"/>
        <v>90630</v>
      </c>
    </row>
    <row r="40" spans="1:5" x14ac:dyDescent="0.2">
      <c r="A40" s="10" t="s">
        <v>37</v>
      </c>
      <c r="B40" s="17">
        <f t="shared" ref="B40:E40" si="12">SUM(B41:B43)</f>
        <v>14945</v>
      </c>
      <c r="C40" s="17">
        <f t="shared" si="12"/>
        <v>17004</v>
      </c>
      <c r="D40" s="17">
        <f t="shared" si="12"/>
        <v>17654</v>
      </c>
      <c r="E40" s="17">
        <f t="shared" si="12"/>
        <v>17991</v>
      </c>
    </row>
    <row r="41" spans="1:5" x14ac:dyDescent="0.2">
      <c r="A41" s="10" t="s">
        <v>38</v>
      </c>
      <c r="B41" s="18">
        <v>0</v>
      </c>
      <c r="C41" s="18">
        <v>0</v>
      </c>
      <c r="D41" s="18">
        <v>0</v>
      </c>
      <c r="E41" s="18">
        <v>0</v>
      </c>
    </row>
    <row r="42" spans="1:5" x14ac:dyDescent="0.2">
      <c r="A42" s="10" t="s">
        <v>39</v>
      </c>
      <c r="B42" s="18">
        <v>7880</v>
      </c>
      <c r="C42" s="18">
        <v>9039</v>
      </c>
      <c r="D42" s="18">
        <v>10979</v>
      </c>
      <c r="E42" s="18">
        <v>12036</v>
      </c>
    </row>
    <row r="43" spans="1:5" x14ac:dyDescent="0.2">
      <c r="A43" s="10" t="s">
        <v>40</v>
      </c>
      <c r="B43" s="18">
        <v>7065</v>
      </c>
      <c r="C43" s="18">
        <v>7965</v>
      </c>
      <c r="D43" s="18">
        <v>6675</v>
      </c>
      <c r="E43" s="18">
        <v>5955</v>
      </c>
    </row>
    <row r="44" spans="1:5" x14ac:dyDescent="0.2">
      <c r="A44" s="10" t="s">
        <v>41</v>
      </c>
      <c r="B44" s="18">
        <v>34991</v>
      </c>
      <c r="C44" s="18">
        <v>36346</v>
      </c>
      <c r="D44" s="18">
        <v>42624</v>
      </c>
      <c r="E44" s="18">
        <v>45134</v>
      </c>
    </row>
    <row r="45" spans="1:5" x14ac:dyDescent="0.2">
      <c r="A45" s="10" t="s">
        <v>42</v>
      </c>
      <c r="B45" s="18">
        <v>33053</v>
      </c>
      <c r="C45" s="18">
        <v>34780</v>
      </c>
      <c r="D45" s="18">
        <v>41246</v>
      </c>
      <c r="E45" s="18">
        <v>43925</v>
      </c>
    </row>
    <row r="46" spans="1:5" x14ac:dyDescent="0.2">
      <c r="A46" s="10" t="s">
        <v>43</v>
      </c>
      <c r="B46" s="18">
        <v>11841</v>
      </c>
      <c r="C46" s="18">
        <v>12707</v>
      </c>
      <c r="D46" s="18">
        <v>14248</v>
      </c>
      <c r="E46" s="18">
        <v>15891</v>
      </c>
    </row>
    <row r="47" spans="1:5" x14ac:dyDescent="0.2">
      <c r="A47" s="10" t="s">
        <v>44</v>
      </c>
      <c r="B47" s="18">
        <v>0</v>
      </c>
      <c r="C47" s="18">
        <v>0</v>
      </c>
      <c r="D47" s="18">
        <v>0</v>
      </c>
      <c r="E47" s="18">
        <v>0</v>
      </c>
    </row>
    <row r="48" spans="1:5" x14ac:dyDescent="0.2">
      <c r="A48" s="10" t="s">
        <v>45</v>
      </c>
      <c r="B48" s="18">
        <v>5087</v>
      </c>
      <c r="C48" s="18">
        <v>7485</v>
      </c>
      <c r="D48" s="18">
        <v>10210</v>
      </c>
      <c r="E48" s="18">
        <v>11614</v>
      </c>
    </row>
    <row r="49" spans="1:5" x14ac:dyDescent="0.2">
      <c r="A49" s="9" t="s">
        <v>46</v>
      </c>
      <c r="B49" s="16">
        <f t="shared" ref="B49:E49" si="13">B50+SUM(B53:B58)+B39</f>
        <v>188535</v>
      </c>
      <c r="C49" s="16">
        <f t="shared" si="13"/>
        <v>195506</v>
      </c>
      <c r="D49" s="16">
        <f t="shared" si="13"/>
        <v>208938</v>
      </c>
      <c r="E49" s="16">
        <f t="shared" si="13"/>
        <v>228034</v>
      </c>
    </row>
    <row r="50" spans="1:5" x14ac:dyDescent="0.2">
      <c r="A50" s="10" t="s">
        <v>47</v>
      </c>
      <c r="B50" s="17">
        <f t="shared" ref="B50:E50" si="14">SUM(B51:B52)</f>
        <v>55749</v>
      </c>
      <c r="C50" s="17">
        <f t="shared" si="14"/>
        <v>54728</v>
      </c>
      <c r="D50" s="17">
        <f t="shared" si="14"/>
        <v>58060</v>
      </c>
      <c r="E50" s="17">
        <f t="shared" si="14"/>
        <v>65854</v>
      </c>
    </row>
    <row r="51" spans="1:5" x14ac:dyDescent="0.2">
      <c r="A51" s="10" t="s">
        <v>48</v>
      </c>
      <c r="B51" s="18">
        <v>97377</v>
      </c>
      <c r="C51" s="18">
        <v>97388</v>
      </c>
      <c r="D51" s="18">
        <v>101155</v>
      </c>
      <c r="E51" s="18">
        <v>110615</v>
      </c>
    </row>
    <row r="52" spans="1:5" x14ac:dyDescent="0.2">
      <c r="A52" s="10" t="s">
        <v>49</v>
      </c>
      <c r="B52" s="18">
        <v>-41628</v>
      </c>
      <c r="C52" s="18">
        <v>-42660</v>
      </c>
      <c r="D52" s="18">
        <v>-43095</v>
      </c>
      <c r="E52" s="18">
        <v>-44761</v>
      </c>
    </row>
    <row r="53" spans="1:5" x14ac:dyDescent="0.2">
      <c r="A53" s="10" t="s">
        <v>50</v>
      </c>
      <c r="B53" s="18">
        <v>364</v>
      </c>
      <c r="C53" s="18">
        <v>380</v>
      </c>
      <c r="D53" s="18">
        <v>380</v>
      </c>
      <c r="E53" s="18">
        <v>380</v>
      </c>
    </row>
    <row r="54" spans="1:5" x14ac:dyDescent="0.2">
      <c r="A54" s="10" t="s">
        <v>51</v>
      </c>
      <c r="B54" s="18">
        <v>7793</v>
      </c>
      <c r="C54" s="18">
        <v>9084</v>
      </c>
      <c r="D54" s="18">
        <v>10591</v>
      </c>
      <c r="E54" s="18">
        <v>11349</v>
      </c>
    </row>
    <row r="55" spans="1:5" x14ac:dyDescent="0.2">
      <c r="A55" s="10" t="s">
        <v>52</v>
      </c>
      <c r="B55" s="18">
        <v>5811</v>
      </c>
      <c r="C55" s="18">
        <v>5828</v>
      </c>
      <c r="D55" s="18">
        <v>4373</v>
      </c>
      <c r="E55" s="18">
        <v>5272</v>
      </c>
    </row>
    <row r="56" spans="1:5" x14ac:dyDescent="0.2">
      <c r="A56" s="10" t="s">
        <v>53</v>
      </c>
      <c r="B56" s="18">
        <v>48032</v>
      </c>
      <c r="C56" s="18">
        <v>48321</v>
      </c>
      <c r="D56" s="18">
        <v>48313</v>
      </c>
      <c r="E56" s="18">
        <v>51030</v>
      </c>
    </row>
    <row r="57" spans="1:5" x14ac:dyDescent="0.2">
      <c r="A57" s="10" t="s">
        <v>54</v>
      </c>
      <c r="B57" s="18">
        <v>3922</v>
      </c>
      <c r="C57" s="18">
        <v>3623</v>
      </c>
      <c r="D57" s="18">
        <v>2485</v>
      </c>
      <c r="E57" s="18">
        <v>3519</v>
      </c>
    </row>
    <row r="58" spans="1:5" x14ac:dyDescent="0.2">
      <c r="A58" s="10" t="s">
        <v>55</v>
      </c>
      <c r="B58" s="18">
        <v>0</v>
      </c>
      <c r="C58" s="18">
        <v>0</v>
      </c>
      <c r="D58" s="18">
        <v>0</v>
      </c>
      <c r="E58" s="18">
        <v>0</v>
      </c>
    </row>
    <row r="59" spans="1:5" x14ac:dyDescent="0.2">
      <c r="A59" s="9" t="s">
        <v>56</v>
      </c>
      <c r="B59" s="16">
        <f t="shared" ref="B59:C59" si="15">SUM(B60:B65)</f>
        <v>67989</v>
      </c>
      <c r="C59" s="16">
        <f t="shared" si="15"/>
        <v>71765</v>
      </c>
      <c r="D59" s="19">
        <v>71411</v>
      </c>
      <c r="E59" s="16">
        <f>SUM(E60:E65)</f>
        <v>82625</v>
      </c>
    </row>
    <row r="60" spans="1:5" x14ac:dyDescent="0.2">
      <c r="A60" s="10" t="s">
        <v>57</v>
      </c>
      <c r="B60" s="18">
        <v>9226</v>
      </c>
      <c r="C60" s="18">
        <v>10604</v>
      </c>
      <c r="D60" s="18">
        <v>9669</v>
      </c>
      <c r="E60" s="18">
        <v>10182</v>
      </c>
    </row>
    <row r="61" spans="1:5" x14ac:dyDescent="0.2">
      <c r="A61" s="10" t="s">
        <v>58</v>
      </c>
      <c r="B61" s="18">
        <v>0</v>
      </c>
      <c r="C61" s="18">
        <v>0</v>
      </c>
      <c r="D61" s="18">
        <v>0</v>
      </c>
      <c r="E61" s="18">
        <v>0</v>
      </c>
    </row>
    <row r="62" spans="1:5" x14ac:dyDescent="0.2">
      <c r="A62" s="10" t="s">
        <v>59</v>
      </c>
      <c r="B62" s="18">
        <v>4331</v>
      </c>
      <c r="C62" s="18">
        <v>2359</v>
      </c>
      <c r="D62" s="18">
        <v>4214</v>
      </c>
      <c r="E62" s="18">
        <v>0</v>
      </c>
    </row>
    <row r="63" spans="1:5" x14ac:dyDescent="0.2">
      <c r="A63" s="10" t="s">
        <v>60</v>
      </c>
      <c r="B63" s="18">
        <v>3852</v>
      </c>
      <c r="C63" s="18">
        <v>4461</v>
      </c>
      <c r="D63" s="18">
        <v>2480</v>
      </c>
      <c r="E63" s="18">
        <v>2615</v>
      </c>
    </row>
    <row r="64" spans="1:5" x14ac:dyDescent="0.2">
      <c r="A64" s="10" t="s">
        <v>61</v>
      </c>
      <c r="B64" s="18">
        <v>36818</v>
      </c>
      <c r="C64" s="18">
        <v>36266</v>
      </c>
      <c r="D64" s="18">
        <v>35699</v>
      </c>
      <c r="E64" s="18">
        <v>42329</v>
      </c>
    </row>
    <row r="65" spans="1:5" x14ac:dyDescent="0.2">
      <c r="A65" s="10" t="s">
        <v>62</v>
      </c>
      <c r="B65" s="18">
        <v>13762</v>
      </c>
      <c r="C65" s="18">
        <v>18075</v>
      </c>
      <c r="D65" s="18">
        <v>23563</v>
      </c>
      <c r="E65" s="18">
        <v>27499</v>
      </c>
    </row>
    <row r="66" spans="1:5" x14ac:dyDescent="0.2">
      <c r="A66" s="9" t="s">
        <v>63</v>
      </c>
      <c r="B66" s="16">
        <f t="shared" ref="B66:E66" si="16">B67+B70+B71+B72+B59</f>
        <v>141427</v>
      </c>
      <c r="C66" s="16">
        <f t="shared" si="16"/>
        <v>141835</v>
      </c>
      <c r="D66" s="16">
        <f t="shared" si="16"/>
        <v>151638</v>
      </c>
      <c r="E66" s="16">
        <f t="shared" si="16"/>
        <v>168710</v>
      </c>
    </row>
    <row r="67" spans="1:5" x14ac:dyDescent="0.2">
      <c r="A67" s="10" t="s">
        <v>64</v>
      </c>
      <c r="B67" s="17">
        <f t="shared" ref="B67:E67" si="17">SUM(B68:B69)</f>
        <v>53730</v>
      </c>
      <c r="C67" s="17">
        <f t="shared" si="17"/>
        <v>52831</v>
      </c>
      <c r="D67" s="17">
        <f t="shared" si="17"/>
        <v>63743</v>
      </c>
      <c r="E67" s="17">
        <f t="shared" si="17"/>
        <v>69700</v>
      </c>
    </row>
    <row r="68" spans="1:5" x14ac:dyDescent="0.2">
      <c r="A68" s="10" t="s">
        <v>65</v>
      </c>
      <c r="B68" s="18">
        <v>53730</v>
      </c>
      <c r="C68" s="18">
        <v>52831</v>
      </c>
      <c r="D68" s="18">
        <v>63734</v>
      </c>
      <c r="E68" s="18">
        <v>69156</v>
      </c>
    </row>
    <row r="69" spans="1:5" x14ac:dyDescent="0.2">
      <c r="A69" s="10" t="s">
        <v>66</v>
      </c>
      <c r="B69" s="18">
        <v>0</v>
      </c>
      <c r="C69" s="18">
        <v>0</v>
      </c>
      <c r="D69" s="18">
        <v>9</v>
      </c>
      <c r="E69" s="18">
        <v>544</v>
      </c>
    </row>
    <row r="70" spans="1:5" x14ac:dyDescent="0.2">
      <c r="A70" s="10" t="s">
        <v>67</v>
      </c>
      <c r="B70" s="18">
        <v>2795</v>
      </c>
      <c r="C70" s="18">
        <v>2157</v>
      </c>
      <c r="D70" s="18">
        <v>1773</v>
      </c>
      <c r="E70" s="18">
        <v>632</v>
      </c>
    </row>
    <row r="71" spans="1:5" x14ac:dyDescent="0.2">
      <c r="A71" s="10" t="s">
        <v>68</v>
      </c>
      <c r="B71" s="18">
        <v>255</v>
      </c>
      <c r="C71" s="18">
        <v>436</v>
      </c>
      <c r="D71" s="18">
        <v>529</v>
      </c>
      <c r="E71" s="18">
        <v>583</v>
      </c>
    </row>
    <row r="72" spans="1:5" x14ac:dyDescent="0.2">
      <c r="A72" s="10" t="s">
        <v>69</v>
      </c>
      <c r="B72" s="18">
        <v>16658</v>
      </c>
      <c r="C72" s="18">
        <v>14646</v>
      </c>
      <c r="D72" s="18">
        <v>14182</v>
      </c>
      <c r="E72" s="18">
        <v>15170</v>
      </c>
    </row>
    <row r="73" spans="1:5" x14ac:dyDescent="0.2">
      <c r="A73" s="9" t="s">
        <v>70</v>
      </c>
      <c r="B73" s="16">
        <f>SUM(B74:B82)</f>
        <v>47108</v>
      </c>
      <c r="C73" s="19">
        <v>53671</v>
      </c>
      <c r="D73" s="19">
        <v>57300</v>
      </c>
      <c r="E73" s="20">
        <f>SUM(E74:E82)</f>
        <v>59324</v>
      </c>
    </row>
    <row r="74" spans="1:5" x14ac:dyDescent="0.2">
      <c r="A74" s="10" t="s">
        <v>71</v>
      </c>
      <c r="B74" s="18">
        <v>0</v>
      </c>
      <c r="C74" s="18">
        <v>0</v>
      </c>
      <c r="D74" s="18">
        <v>0</v>
      </c>
      <c r="E74" s="18">
        <v>0</v>
      </c>
    </row>
    <row r="75" spans="1:5" x14ac:dyDescent="0.2">
      <c r="A75" s="10" t="s">
        <v>72</v>
      </c>
      <c r="B75" s="18">
        <v>0</v>
      </c>
      <c r="C75" s="18">
        <v>0</v>
      </c>
      <c r="D75" s="18">
        <v>0</v>
      </c>
      <c r="E75" s="18">
        <v>0</v>
      </c>
    </row>
    <row r="76" spans="1:5" x14ac:dyDescent="0.2">
      <c r="A76" s="10" t="s">
        <v>73</v>
      </c>
      <c r="B76" s="18">
        <v>657</v>
      </c>
      <c r="C76" s="18">
        <v>658</v>
      </c>
      <c r="D76" s="18">
        <v>658</v>
      </c>
      <c r="E76" s="18">
        <v>659</v>
      </c>
    </row>
    <row r="77" spans="1:5" x14ac:dyDescent="0.2">
      <c r="A77" s="10" t="s">
        <v>74</v>
      </c>
      <c r="B77" s="18">
        <v>2047</v>
      </c>
      <c r="C77" s="18">
        <v>2084</v>
      </c>
      <c r="D77" s="18">
        <v>2118</v>
      </c>
      <c r="E77" s="18">
        <v>0</v>
      </c>
    </row>
    <row r="78" spans="1:5" x14ac:dyDescent="0.2">
      <c r="A78" s="10" t="s">
        <v>75</v>
      </c>
      <c r="B78" s="18">
        <v>44445</v>
      </c>
      <c r="C78" s="18">
        <v>52899</v>
      </c>
      <c r="D78" s="18">
        <v>57980</v>
      </c>
      <c r="E78" s="18">
        <v>59828</v>
      </c>
    </row>
    <row r="79" spans="1:5" x14ac:dyDescent="0.2">
      <c r="A79" s="10" t="s">
        <v>76</v>
      </c>
      <c r="B79" s="18">
        <v>0</v>
      </c>
      <c r="C79" s="18">
        <v>0</v>
      </c>
      <c r="D79" s="18">
        <v>0</v>
      </c>
      <c r="E79" s="18">
        <v>0</v>
      </c>
    </row>
    <row r="80" spans="1:5" x14ac:dyDescent="0.2">
      <c r="A80" s="10" t="s">
        <v>77</v>
      </c>
      <c r="B80" s="18">
        <v>0</v>
      </c>
      <c r="C80" s="18">
        <v>0</v>
      </c>
      <c r="D80" s="18">
        <v>0</v>
      </c>
      <c r="E80" s="18">
        <v>0</v>
      </c>
    </row>
    <row r="81" spans="1:5" x14ac:dyDescent="0.2">
      <c r="A81" s="10" t="s">
        <v>78</v>
      </c>
      <c r="B81" s="18">
        <v>52</v>
      </c>
      <c r="C81" s="18">
        <v>93</v>
      </c>
      <c r="D81" s="18">
        <v>-1</v>
      </c>
      <c r="E81" s="18">
        <v>29</v>
      </c>
    </row>
    <row r="82" spans="1:5" x14ac:dyDescent="0.2">
      <c r="A82" s="10" t="s">
        <v>79</v>
      </c>
      <c r="B82" s="18">
        <v>-93</v>
      </c>
      <c r="C82" s="18">
        <v>21</v>
      </c>
      <c r="D82" s="18">
        <v>-1337</v>
      </c>
      <c r="E82" s="18">
        <v>-1192</v>
      </c>
    </row>
    <row r="83" spans="1:5" x14ac:dyDescent="0.2">
      <c r="A83" s="9" t="s">
        <v>80</v>
      </c>
      <c r="B83" s="16">
        <f t="shared" ref="B83:E83" si="18">B66+B73</f>
        <v>188535</v>
      </c>
      <c r="C83" s="16">
        <f t="shared" si="18"/>
        <v>195506</v>
      </c>
      <c r="D83" s="16">
        <f t="shared" si="18"/>
        <v>208938</v>
      </c>
      <c r="E83" s="16">
        <f t="shared" si="18"/>
        <v>228034</v>
      </c>
    </row>
    <row r="84" spans="1:5" x14ac:dyDescent="0.2">
      <c r="A84" s="9" t="s">
        <v>81</v>
      </c>
      <c r="B84" s="19">
        <v>657.11</v>
      </c>
      <c r="C84" s="19">
        <v>657.6</v>
      </c>
      <c r="D84" s="19">
        <v>658.12</v>
      </c>
      <c r="E84" s="19">
        <v>658.86</v>
      </c>
    </row>
    <row r="85" spans="1:5" x14ac:dyDescent="0.2">
      <c r="A85" s="9" t="s">
        <v>82</v>
      </c>
      <c r="B85" s="19">
        <v>0</v>
      </c>
      <c r="C85" s="19">
        <v>0</v>
      </c>
      <c r="D85" s="19">
        <v>0</v>
      </c>
      <c r="E85" s="19">
        <v>0</v>
      </c>
    </row>
    <row r="86" spans="1:5" x14ac:dyDescent="0.2">
      <c r="A86" s="21"/>
      <c r="B86" s="14"/>
      <c r="C86" s="14"/>
      <c r="D86" s="14"/>
      <c r="E86" s="14"/>
    </row>
    <row r="87" spans="1:5" x14ac:dyDescent="0.2">
      <c r="A87" s="1" t="s">
        <v>83</v>
      </c>
      <c r="B87" s="1"/>
      <c r="C87" s="1"/>
      <c r="D87" s="1"/>
      <c r="E87" s="1"/>
    </row>
    <row r="88" spans="1:5" x14ac:dyDescent="0.2">
      <c r="A88" s="2" t="s">
        <v>1</v>
      </c>
      <c r="B88" s="1">
        <v>2016</v>
      </c>
      <c r="C88" s="1">
        <v>2017</v>
      </c>
      <c r="D88" s="1">
        <v>2018</v>
      </c>
      <c r="E88" s="1">
        <v>2019</v>
      </c>
    </row>
    <row r="89" spans="1:5" x14ac:dyDescent="0.2">
      <c r="A89" s="22" t="s">
        <v>84</v>
      </c>
      <c r="B89" s="19">
        <v>6910</v>
      </c>
      <c r="C89" s="19">
        <v>8675</v>
      </c>
      <c r="D89" s="19">
        <v>7064</v>
      </c>
      <c r="E89" s="19">
        <v>5022</v>
      </c>
    </row>
    <row r="90" spans="1:5" x14ac:dyDescent="0.2">
      <c r="A90" s="22" t="s">
        <v>85</v>
      </c>
      <c r="B90" s="19">
        <v>3211</v>
      </c>
      <c r="C90" s="19">
        <v>5973</v>
      </c>
      <c r="D90" s="19">
        <v>5026</v>
      </c>
      <c r="E90" s="19">
        <v>3579</v>
      </c>
    </row>
    <row r="91" spans="1:5" x14ac:dyDescent="0.2">
      <c r="A91" s="23" t="s">
        <v>86</v>
      </c>
      <c r="B91" s="18">
        <v>4998</v>
      </c>
      <c r="C91" s="18">
        <v>4822</v>
      </c>
      <c r="D91" s="18">
        <v>5113</v>
      </c>
      <c r="E91" s="18">
        <v>6017</v>
      </c>
    </row>
    <row r="92" spans="1:5" x14ac:dyDescent="0.2">
      <c r="A92" s="23" t="s">
        <v>87</v>
      </c>
      <c r="B92" s="18">
        <v>0</v>
      </c>
      <c r="C92" s="18">
        <v>0</v>
      </c>
      <c r="D92" s="18">
        <v>0</v>
      </c>
      <c r="E92" s="18">
        <v>0</v>
      </c>
    </row>
    <row r="93" spans="1:5" x14ac:dyDescent="0.2">
      <c r="A93" s="23" t="s">
        <v>88</v>
      </c>
      <c r="B93" s="18">
        <v>85</v>
      </c>
      <c r="C93" s="18">
        <v>-559</v>
      </c>
      <c r="D93" s="18">
        <v>312</v>
      </c>
      <c r="E93" s="18">
        <v>-1176</v>
      </c>
    </row>
    <row r="94" spans="1:5" x14ac:dyDescent="0.2">
      <c r="A94" s="23" t="s">
        <v>89</v>
      </c>
      <c r="B94" s="18">
        <v>-7670</v>
      </c>
      <c r="C94" s="18">
        <v>-6230</v>
      </c>
      <c r="D94" s="18">
        <v>-5957</v>
      </c>
      <c r="E94" s="18">
        <v>-2882</v>
      </c>
    </row>
    <row r="95" spans="1:5" x14ac:dyDescent="0.2">
      <c r="A95" s="23" t="s">
        <v>90</v>
      </c>
      <c r="B95" s="18">
        <v>0</v>
      </c>
      <c r="C95" s="18">
        <v>0</v>
      </c>
      <c r="D95" s="18">
        <v>0</v>
      </c>
      <c r="E95" s="18">
        <v>0</v>
      </c>
    </row>
    <row r="96" spans="1:5" x14ac:dyDescent="0.2">
      <c r="A96" s="23" t="s">
        <v>91</v>
      </c>
      <c r="B96" s="18">
        <v>0</v>
      </c>
      <c r="C96" s="18">
        <v>0</v>
      </c>
      <c r="D96" s="18">
        <v>0</v>
      </c>
      <c r="E96" s="18">
        <v>0</v>
      </c>
    </row>
    <row r="97" spans="1:5" x14ac:dyDescent="0.2">
      <c r="A97" s="23" t="s">
        <v>92</v>
      </c>
      <c r="B97" s="18">
        <v>2417</v>
      </c>
      <c r="C97" s="18">
        <v>2301</v>
      </c>
      <c r="D97" s="18">
        <v>1972</v>
      </c>
      <c r="E97" s="18">
        <v>3389</v>
      </c>
    </row>
    <row r="98" spans="1:5" x14ac:dyDescent="0.2">
      <c r="A98" s="23" t="s">
        <v>93</v>
      </c>
      <c r="B98" s="18">
        <v>118</v>
      </c>
      <c r="C98" s="18">
        <v>165</v>
      </c>
      <c r="D98" s="18">
        <v>136</v>
      </c>
      <c r="E98" s="18">
        <v>199</v>
      </c>
    </row>
    <row r="99" spans="1:5" x14ac:dyDescent="0.2">
      <c r="A99" s="23" t="s">
        <v>94</v>
      </c>
      <c r="B99" s="18">
        <v>-1112</v>
      </c>
      <c r="C99" s="18">
        <v>-735</v>
      </c>
      <c r="D99" s="18">
        <v>-1506</v>
      </c>
      <c r="E99" s="18">
        <v>-3402</v>
      </c>
    </row>
    <row r="100" spans="1:5" x14ac:dyDescent="0.2">
      <c r="A100" s="22" t="s">
        <v>95</v>
      </c>
      <c r="B100" s="16">
        <f t="shared" ref="B100:E100" si="19">SUM(B101:B102)</f>
        <v>-5863</v>
      </c>
      <c r="C100" s="16">
        <f t="shared" si="19"/>
        <v>-6163</v>
      </c>
      <c r="D100" s="16">
        <f t="shared" si="19"/>
        <v>-7363</v>
      </c>
      <c r="E100" s="16">
        <f t="shared" si="19"/>
        <v>-7284</v>
      </c>
    </row>
    <row r="101" spans="1:5" x14ac:dyDescent="0.2">
      <c r="A101" s="23" t="s">
        <v>96</v>
      </c>
      <c r="B101" s="18">
        <v>-5823</v>
      </c>
      <c r="C101" s="18">
        <v>-7112</v>
      </c>
      <c r="D101" s="18">
        <v>-7777</v>
      </c>
      <c r="E101" s="18">
        <v>-6902</v>
      </c>
    </row>
    <row r="102" spans="1:5" x14ac:dyDescent="0.2">
      <c r="A102" s="23" t="s">
        <v>97</v>
      </c>
      <c r="B102" s="18">
        <v>-40</v>
      </c>
      <c r="C102" s="18">
        <v>949</v>
      </c>
      <c r="D102" s="18">
        <v>414</v>
      </c>
      <c r="E102" s="18">
        <v>-382</v>
      </c>
    </row>
    <row r="103" spans="1:5" x14ac:dyDescent="0.2">
      <c r="A103" s="22" t="s">
        <v>98</v>
      </c>
      <c r="B103" s="19">
        <v>4393</v>
      </c>
      <c r="C103" s="19">
        <v>1572</v>
      </c>
      <c r="D103" s="19">
        <v>4296</v>
      </c>
      <c r="E103" s="19">
        <v>4790</v>
      </c>
    </row>
    <row r="104" spans="1:5" x14ac:dyDescent="0.2">
      <c r="A104" s="23" t="s">
        <v>99</v>
      </c>
      <c r="B104" s="18">
        <v>-98</v>
      </c>
      <c r="C104" s="18">
        <v>-127</v>
      </c>
      <c r="D104" s="18">
        <v>-111</v>
      </c>
      <c r="E104" s="18">
        <v>-166</v>
      </c>
    </row>
    <row r="105" spans="1:5" x14ac:dyDescent="0.2">
      <c r="A105" s="23" t="s">
        <v>100</v>
      </c>
      <c r="B105" s="18">
        <v>-2121</v>
      </c>
      <c r="C105" s="18">
        <v>-2324</v>
      </c>
      <c r="D105" s="18">
        <v>-2630</v>
      </c>
      <c r="E105" s="18">
        <v>-2366</v>
      </c>
    </row>
    <row r="106" spans="1:5" x14ac:dyDescent="0.2">
      <c r="A106" s="23" t="s">
        <v>101</v>
      </c>
      <c r="B106" s="18">
        <v>0</v>
      </c>
      <c r="C106" s="18">
        <v>0</v>
      </c>
      <c r="D106" s="18">
        <v>0</v>
      </c>
      <c r="E106" s="18">
        <v>0</v>
      </c>
    </row>
    <row r="107" spans="1:5" x14ac:dyDescent="0.2">
      <c r="A107" s="23" t="s">
        <v>102</v>
      </c>
      <c r="B107" s="18">
        <v>6612</v>
      </c>
      <c r="C107" s="18">
        <v>4023</v>
      </c>
      <c r="D107" s="18">
        <v>7037</v>
      </c>
      <c r="E107" s="18">
        <v>7322</v>
      </c>
    </row>
    <row r="108" spans="1:5" x14ac:dyDescent="0.2">
      <c r="A108" s="23" t="s">
        <v>103</v>
      </c>
      <c r="B108" s="18">
        <v>17</v>
      </c>
      <c r="C108" s="18">
        <v>-223</v>
      </c>
      <c r="D108" s="18">
        <v>-19</v>
      </c>
      <c r="E108" s="18">
        <v>-28</v>
      </c>
    </row>
    <row r="109" spans="1:5" x14ac:dyDescent="0.2">
      <c r="A109" s="22" t="s">
        <v>104</v>
      </c>
      <c r="B109" s="19">
        <v>1758</v>
      </c>
      <c r="C109" s="19">
        <v>1159</v>
      </c>
      <c r="D109" s="19">
        <v>1940</v>
      </c>
      <c r="E109" s="19">
        <v>1057</v>
      </c>
    </row>
    <row r="110" spans="1:5" x14ac:dyDescent="0.2">
      <c r="A110" s="23" t="s">
        <v>105</v>
      </c>
      <c r="B110" s="18">
        <v>0</v>
      </c>
      <c r="C110" s="18">
        <v>7880</v>
      </c>
      <c r="D110" s="18">
        <v>9039</v>
      </c>
      <c r="E110" s="18">
        <v>10979</v>
      </c>
    </row>
    <row r="111" spans="1:5" x14ac:dyDescent="0.2">
      <c r="A111" s="23" t="s">
        <v>106</v>
      </c>
      <c r="B111" s="18">
        <v>0</v>
      </c>
      <c r="C111" s="18">
        <v>9039</v>
      </c>
      <c r="D111" s="18">
        <v>10979</v>
      </c>
      <c r="E111" s="18">
        <v>12036</v>
      </c>
    </row>
    <row r="112" spans="1:5" x14ac:dyDescent="0.2">
      <c r="A112" s="23" t="s">
        <v>107</v>
      </c>
      <c r="B112" s="18">
        <v>0</v>
      </c>
      <c r="C112" s="18">
        <v>-1139</v>
      </c>
      <c r="D112" s="18">
        <v>-2751</v>
      </c>
      <c r="E112" s="18">
        <v>-3323</v>
      </c>
    </row>
    <row r="113" spans="1:6" x14ac:dyDescent="0.2">
      <c r="A113" s="23" t="s">
        <v>108</v>
      </c>
      <c r="B113" s="18">
        <v>0</v>
      </c>
      <c r="C113" s="18">
        <v>0</v>
      </c>
      <c r="D113" s="18">
        <v>-141.53</v>
      </c>
      <c r="E113" s="18">
        <v>-20.79</v>
      </c>
    </row>
    <row r="114" spans="1:6" x14ac:dyDescent="0.2">
      <c r="A114" s="23" t="s">
        <v>109</v>
      </c>
      <c r="B114" s="18">
        <v>0</v>
      </c>
      <c r="C114" s="18">
        <v>0</v>
      </c>
      <c r="D114" s="18">
        <v>-5.81</v>
      </c>
      <c r="E114" s="18">
        <v>-12.89</v>
      </c>
    </row>
    <row r="116" spans="1:6" x14ac:dyDescent="0.2">
      <c r="A116" s="24"/>
      <c r="B116" s="14"/>
      <c r="C116" s="14"/>
      <c r="D116" s="14"/>
      <c r="E116" s="14"/>
    </row>
    <row r="117" spans="1:6" x14ac:dyDescent="0.2">
      <c r="A117" s="21"/>
      <c r="B117" s="14"/>
      <c r="C117" s="14"/>
      <c r="D117" s="14"/>
      <c r="E117" s="14"/>
    </row>
    <row r="118" spans="1:6" x14ac:dyDescent="0.2">
      <c r="A118" s="25"/>
      <c r="B118" s="14"/>
      <c r="C118" s="14"/>
      <c r="D118" s="14"/>
      <c r="E118" s="14"/>
    </row>
    <row r="119" spans="1:6" x14ac:dyDescent="0.2">
      <c r="A119" s="35" t="s">
        <v>110</v>
      </c>
      <c r="B119" s="36"/>
      <c r="C119" s="36"/>
      <c r="D119" s="36"/>
      <c r="E119" s="36"/>
      <c r="F119" s="36"/>
    </row>
    <row r="120" spans="1:6" ht="15.75" customHeight="1" x14ac:dyDescent="0.2">
      <c r="A120" s="36"/>
      <c r="B120" s="36"/>
      <c r="C120" s="36"/>
      <c r="D120" s="36"/>
      <c r="E120" s="36"/>
      <c r="F120" s="36"/>
    </row>
    <row r="121" spans="1:6" ht="15.75" customHeight="1" x14ac:dyDescent="0.2">
      <c r="A121" s="36"/>
      <c r="B121" s="36"/>
      <c r="C121" s="36"/>
      <c r="D121" s="36"/>
      <c r="E121" s="36"/>
      <c r="F121" s="36"/>
    </row>
    <row r="122" spans="1:6" ht="15.75" customHeight="1" x14ac:dyDescent="0.2">
      <c r="A122" s="36"/>
      <c r="B122" s="36"/>
      <c r="C122" s="36"/>
      <c r="D122" s="36"/>
      <c r="E122" s="36"/>
      <c r="F122" s="36"/>
    </row>
    <row r="123" spans="1:6" ht="15.75" customHeight="1" x14ac:dyDescent="0.2">
      <c r="A123" s="36"/>
      <c r="B123" s="36"/>
      <c r="C123" s="36"/>
      <c r="D123" s="36"/>
      <c r="E123" s="36"/>
      <c r="F123" s="36"/>
    </row>
    <row r="124" spans="1:6" ht="15.75" customHeight="1" x14ac:dyDescent="0.2">
      <c r="A124" s="36"/>
      <c r="B124" s="36"/>
      <c r="C124" s="36"/>
      <c r="D124" s="36"/>
      <c r="E124" s="36"/>
      <c r="F124" s="36"/>
    </row>
    <row r="125" spans="1:6" x14ac:dyDescent="0.2">
      <c r="A125" s="25"/>
      <c r="B125" s="14"/>
      <c r="C125" s="14"/>
      <c r="D125" s="14"/>
      <c r="E125" s="14"/>
    </row>
    <row r="126" spans="1:6" x14ac:dyDescent="0.2">
      <c r="A126" s="25"/>
      <c r="B126" s="14"/>
      <c r="C126" s="14"/>
      <c r="D126" s="14"/>
      <c r="E126" s="14"/>
    </row>
    <row r="127" spans="1:6" x14ac:dyDescent="0.2">
      <c r="A127" s="25"/>
      <c r="B127" s="14"/>
      <c r="C127" s="14"/>
      <c r="D127" s="14"/>
      <c r="E127" s="14"/>
    </row>
    <row r="128" spans="1:6" x14ac:dyDescent="0.2">
      <c r="A128" s="14"/>
      <c r="B128" s="14"/>
      <c r="C128" s="14"/>
      <c r="D128" s="14"/>
      <c r="E128" s="14"/>
    </row>
    <row r="129" spans="1:5" x14ac:dyDescent="0.2">
      <c r="A129" s="14"/>
      <c r="B129" s="14"/>
      <c r="C129" s="14"/>
      <c r="D129" s="14"/>
      <c r="E129" s="14"/>
    </row>
    <row r="130" spans="1:5" x14ac:dyDescent="0.2">
      <c r="A130" s="14"/>
      <c r="B130" s="14"/>
      <c r="C130" s="14"/>
      <c r="D130" s="14"/>
      <c r="E130" s="14"/>
    </row>
    <row r="131" spans="1:5" x14ac:dyDescent="0.2">
      <c r="A131" s="14"/>
      <c r="B131" s="14"/>
      <c r="C131" s="14"/>
      <c r="D131" s="14"/>
      <c r="E131" s="14"/>
    </row>
    <row r="132" spans="1:5" x14ac:dyDescent="0.2">
      <c r="A132" s="14"/>
      <c r="B132" s="14"/>
      <c r="C132" s="14"/>
      <c r="D132" s="14"/>
      <c r="E132" s="14"/>
    </row>
    <row r="133" spans="1:5" x14ac:dyDescent="0.2">
      <c r="A133" s="14"/>
      <c r="B133" s="14"/>
      <c r="C133" s="14"/>
      <c r="D133" s="14"/>
      <c r="E133" s="14"/>
    </row>
    <row r="134" spans="1:5" x14ac:dyDescent="0.2">
      <c r="A134" s="14"/>
      <c r="B134" s="14"/>
      <c r="C134" s="14"/>
      <c r="D134" s="14"/>
      <c r="E134" s="14"/>
    </row>
    <row r="135" spans="1:5" x14ac:dyDescent="0.2">
      <c r="A135" s="14"/>
      <c r="B135" s="14"/>
      <c r="C135" s="14"/>
      <c r="D135" s="14"/>
      <c r="E135" s="14"/>
    </row>
    <row r="136" spans="1:5" x14ac:dyDescent="0.2">
      <c r="A136" s="14"/>
      <c r="B136" s="14"/>
      <c r="C136" s="14"/>
      <c r="D136" s="14"/>
      <c r="E136" s="14"/>
    </row>
    <row r="137" spans="1:5" x14ac:dyDescent="0.2">
      <c r="A137" s="14"/>
      <c r="B137" s="14"/>
      <c r="C137" s="14"/>
      <c r="D137" s="14"/>
      <c r="E137" s="14"/>
    </row>
    <row r="138" spans="1:5" x14ac:dyDescent="0.2">
      <c r="A138" s="14"/>
      <c r="B138" s="14"/>
      <c r="C138" s="14"/>
      <c r="D138" s="14"/>
      <c r="E138" s="14"/>
    </row>
    <row r="139" spans="1:5" x14ac:dyDescent="0.2">
      <c r="A139" s="14"/>
      <c r="B139" s="14"/>
      <c r="C139" s="14"/>
      <c r="D139" s="14"/>
      <c r="E139" s="14"/>
    </row>
    <row r="140" spans="1:5" x14ac:dyDescent="0.2">
      <c r="A140" s="14"/>
      <c r="B140" s="14"/>
      <c r="C140" s="14"/>
      <c r="D140" s="14"/>
      <c r="E140" s="14"/>
    </row>
    <row r="141" spans="1:5" x14ac:dyDescent="0.2">
      <c r="A141" s="14"/>
      <c r="B141" s="14"/>
      <c r="C141" s="14"/>
      <c r="D141" s="14"/>
      <c r="E141" s="14"/>
    </row>
    <row r="142" spans="1:5" x14ac:dyDescent="0.2">
      <c r="A142" s="14"/>
      <c r="B142" s="14"/>
      <c r="C142" s="14"/>
      <c r="D142" s="14"/>
      <c r="E142" s="14"/>
    </row>
    <row r="143" spans="1:5" x14ac:dyDescent="0.2">
      <c r="A143" s="14"/>
      <c r="B143" s="14"/>
      <c r="C143" s="14"/>
      <c r="D143" s="14"/>
      <c r="E143" s="14"/>
    </row>
    <row r="144" spans="1:5" x14ac:dyDescent="0.2">
      <c r="A144" s="14"/>
      <c r="B144" s="14"/>
      <c r="C144" s="14"/>
      <c r="D144" s="14"/>
      <c r="E144" s="14"/>
    </row>
    <row r="145" spans="1:5" x14ac:dyDescent="0.2">
      <c r="A145" s="14"/>
      <c r="B145" s="14"/>
      <c r="C145" s="14"/>
      <c r="D145" s="14"/>
      <c r="E145" s="14"/>
    </row>
    <row r="146" spans="1:5" x14ac:dyDescent="0.2">
      <c r="A146" s="14"/>
      <c r="B146" s="14"/>
      <c r="C146" s="14"/>
      <c r="D146" s="14"/>
      <c r="E146" s="14"/>
    </row>
    <row r="147" spans="1:5" x14ac:dyDescent="0.2">
      <c r="A147" s="14"/>
      <c r="B147" s="14"/>
      <c r="C147" s="14"/>
      <c r="D147" s="14"/>
      <c r="E147" s="14"/>
    </row>
    <row r="148" spans="1:5" x14ac:dyDescent="0.2">
      <c r="A148" s="14"/>
      <c r="B148" s="14"/>
      <c r="C148" s="14"/>
      <c r="D148" s="14"/>
      <c r="E148" s="14"/>
    </row>
    <row r="149" spans="1:5" x14ac:dyDescent="0.2">
      <c r="A149" s="14"/>
      <c r="B149" s="14"/>
      <c r="C149" s="14"/>
      <c r="D149" s="14"/>
      <c r="E149" s="14"/>
    </row>
    <row r="150" spans="1:5" x14ac:dyDescent="0.2">
      <c r="A150" s="14"/>
      <c r="B150" s="14"/>
      <c r="C150" s="14"/>
      <c r="D150" s="14"/>
      <c r="E150" s="14"/>
    </row>
    <row r="151" spans="1:5" x14ac:dyDescent="0.2">
      <c r="A151" s="14"/>
      <c r="B151" s="14"/>
      <c r="C151" s="14"/>
      <c r="D151" s="14"/>
      <c r="E151" s="14"/>
    </row>
    <row r="152" spans="1:5" x14ac:dyDescent="0.2">
      <c r="A152" s="14"/>
      <c r="B152" s="14"/>
      <c r="C152" s="14"/>
      <c r="D152" s="14"/>
      <c r="E152" s="14"/>
    </row>
    <row r="153" spans="1:5" x14ac:dyDescent="0.2">
      <c r="A153" s="14"/>
      <c r="B153" s="14"/>
      <c r="C153" s="14"/>
      <c r="D153" s="14"/>
      <c r="E153" s="14"/>
    </row>
    <row r="154" spans="1:5" x14ac:dyDescent="0.2">
      <c r="A154" s="14"/>
      <c r="B154" s="14"/>
      <c r="C154" s="14"/>
      <c r="D154" s="14"/>
      <c r="E154" s="14"/>
    </row>
    <row r="155" spans="1:5" x14ac:dyDescent="0.2">
      <c r="A155" s="14"/>
      <c r="B155" s="14"/>
      <c r="C155" s="14"/>
      <c r="D155" s="14"/>
      <c r="E155" s="14"/>
    </row>
    <row r="156" spans="1:5" x14ac:dyDescent="0.2">
      <c r="A156" s="14"/>
      <c r="B156" s="14"/>
      <c r="C156" s="14"/>
      <c r="D156" s="14"/>
      <c r="E156" s="14"/>
    </row>
    <row r="157" spans="1:5" x14ac:dyDescent="0.2">
      <c r="A157" s="14"/>
      <c r="B157" s="14"/>
      <c r="C157" s="14"/>
      <c r="D157" s="14"/>
      <c r="E157" s="14"/>
    </row>
    <row r="158" spans="1:5" x14ac:dyDescent="0.2">
      <c r="A158" s="14"/>
      <c r="B158" s="14"/>
      <c r="C158" s="14"/>
      <c r="D158" s="14"/>
      <c r="E158" s="14"/>
    </row>
    <row r="159" spans="1:5" x14ac:dyDescent="0.2">
      <c r="A159" s="14"/>
      <c r="B159" s="14"/>
      <c r="C159" s="14"/>
      <c r="D159" s="14"/>
      <c r="E159" s="14"/>
    </row>
    <row r="160" spans="1:5" x14ac:dyDescent="0.2">
      <c r="A160" s="14"/>
      <c r="B160" s="14"/>
      <c r="C160" s="14"/>
      <c r="D160" s="14"/>
      <c r="E160" s="14"/>
    </row>
    <row r="161" spans="1:5" x14ac:dyDescent="0.2">
      <c r="A161" s="14"/>
      <c r="B161" s="14"/>
      <c r="C161" s="14"/>
      <c r="D161" s="14"/>
      <c r="E161" s="14"/>
    </row>
    <row r="162" spans="1:5" x14ac:dyDescent="0.2">
      <c r="A162" s="14"/>
      <c r="B162" s="14"/>
      <c r="C162" s="14"/>
      <c r="D162" s="14"/>
      <c r="E162" s="14"/>
    </row>
    <row r="163" spans="1:5" x14ac:dyDescent="0.2">
      <c r="A163" s="14"/>
      <c r="B163" s="14"/>
      <c r="C163" s="14"/>
      <c r="D163" s="14"/>
      <c r="E163" s="14"/>
    </row>
    <row r="164" spans="1:5" x14ac:dyDescent="0.2">
      <c r="A164" s="14"/>
      <c r="B164" s="14"/>
      <c r="C164" s="14"/>
      <c r="D164" s="14"/>
      <c r="E164" s="14"/>
    </row>
    <row r="165" spans="1:5" x14ac:dyDescent="0.2">
      <c r="A165" s="14"/>
      <c r="B165" s="14"/>
      <c r="C165" s="14"/>
      <c r="D165" s="14"/>
      <c r="E165" s="14"/>
    </row>
    <row r="166" spans="1:5" x14ac:dyDescent="0.2">
      <c r="A166" s="14"/>
      <c r="B166" s="14"/>
      <c r="C166" s="14"/>
      <c r="D166" s="14"/>
      <c r="E166" s="14"/>
    </row>
    <row r="167" spans="1:5" x14ac:dyDescent="0.2">
      <c r="A167" s="14"/>
      <c r="B167" s="14"/>
      <c r="C167" s="14"/>
      <c r="D167" s="14"/>
      <c r="E167" s="14"/>
    </row>
    <row r="168" spans="1:5" x14ac:dyDescent="0.2">
      <c r="A168" s="14"/>
      <c r="B168" s="14"/>
      <c r="C168" s="14"/>
      <c r="D168" s="14"/>
      <c r="E168" s="14"/>
    </row>
    <row r="169" spans="1:5" x14ac:dyDescent="0.2">
      <c r="A169" s="14"/>
      <c r="B169" s="14"/>
      <c r="C169" s="14"/>
      <c r="D169" s="14"/>
      <c r="E169" s="14"/>
    </row>
    <row r="170" spans="1:5" x14ac:dyDescent="0.2">
      <c r="A170" s="14"/>
      <c r="B170" s="14"/>
      <c r="C170" s="14"/>
      <c r="D170" s="14"/>
      <c r="E170" s="14"/>
    </row>
    <row r="171" spans="1:5" x14ac:dyDescent="0.2">
      <c r="A171" s="14"/>
      <c r="B171" s="14"/>
      <c r="C171" s="14"/>
      <c r="D171" s="14"/>
      <c r="E171" s="14"/>
    </row>
    <row r="172" spans="1:5" x14ac:dyDescent="0.2">
      <c r="A172" s="14"/>
      <c r="B172" s="14"/>
      <c r="C172" s="14"/>
      <c r="D172" s="14"/>
      <c r="E172" s="14"/>
    </row>
    <row r="173" spans="1:5" x14ac:dyDescent="0.2">
      <c r="A173" s="14"/>
      <c r="B173" s="14"/>
      <c r="C173" s="14"/>
      <c r="D173" s="14"/>
      <c r="E173" s="14"/>
    </row>
    <row r="174" spans="1:5" x14ac:dyDescent="0.2">
      <c r="A174" s="14"/>
      <c r="B174" s="14"/>
      <c r="C174" s="14"/>
      <c r="D174" s="14"/>
      <c r="E174" s="14"/>
    </row>
    <row r="175" spans="1:5" x14ac:dyDescent="0.2">
      <c r="A175" s="14"/>
      <c r="B175" s="14"/>
      <c r="C175" s="14"/>
      <c r="D175" s="14"/>
      <c r="E175" s="14"/>
    </row>
    <row r="176" spans="1:5" x14ac:dyDescent="0.2">
      <c r="A176" s="14"/>
      <c r="B176" s="14"/>
      <c r="C176" s="14"/>
      <c r="D176" s="14"/>
      <c r="E176" s="14"/>
    </row>
    <row r="177" spans="1:5" x14ac:dyDescent="0.2">
      <c r="A177" s="14"/>
      <c r="B177" s="14"/>
      <c r="C177" s="14"/>
      <c r="D177" s="14"/>
      <c r="E177" s="14"/>
    </row>
    <row r="178" spans="1:5" x14ac:dyDescent="0.2">
      <c r="A178" s="14"/>
      <c r="B178" s="14"/>
      <c r="C178" s="14"/>
      <c r="D178" s="14"/>
      <c r="E178" s="14"/>
    </row>
    <row r="179" spans="1:5" x14ac:dyDescent="0.2">
      <c r="A179" s="14"/>
      <c r="B179" s="14"/>
      <c r="C179" s="14"/>
      <c r="D179" s="14"/>
      <c r="E179" s="14"/>
    </row>
    <row r="180" spans="1:5" x14ac:dyDescent="0.2">
      <c r="A180" s="14"/>
      <c r="B180" s="14"/>
      <c r="C180" s="14"/>
      <c r="D180" s="14"/>
      <c r="E180" s="14"/>
    </row>
    <row r="181" spans="1:5" x14ac:dyDescent="0.2">
      <c r="A181" s="14"/>
      <c r="B181" s="14"/>
      <c r="C181" s="14"/>
      <c r="D181" s="14"/>
      <c r="E181" s="14"/>
    </row>
    <row r="182" spans="1:5" x14ac:dyDescent="0.2">
      <c r="A182" s="14"/>
      <c r="B182" s="14"/>
      <c r="C182" s="14"/>
      <c r="D182" s="14"/>
      <c r="E182" s="14"/>
    </row>
    <row r="183" spans="1:5" x14ac:dyDescent="0.2">
      <c r="A183" s="14"/>
      <c r="B183" s="14"/>
      <c r="C183" s="14"/>
      <c r="D183" s="14"/>
      <c r="E183" s="14"/>
    </row>
    <row r="184" spans="1:5" x14ac:dyDescent="0.2">
      <c r="A184" s="14"/>
      <c r="B184" s="14"/>
      <c r="C184" s="14"/>
      <c r="D184" s="14"/>
      <c r="E184" s="14"/>
    </row>
    <row r="185" spans="1:5" x14ac:dyDescent="0.2">
      <c r="A185" s="14"/>
      <c r="B185" s="14"/>
      <c r="C185" s="14"/>
      <c r="D185" s="14"/>
      <c r="E185" s="14"/>
    </row>
    <row r="186" spans="1:5" x14ac:dyDescent="0.2">
      <c r="A186" s="14"/>
      <c r="B186" s="14"/>
      <c r="C186" s="14"/>
      <c r="D186" s="14"/>
      <c r="E186" s="14"/>
    </row>
    <row r="187" spans="1:5" x14ac:dyDescent="0.2">
      <c r="A187" s="14"/>
      <c r="B187" s="14"/>
      <c r="C187" s="14"/>
      <c r="D187" s="14"/>
      <c r="E187" s="14"/>
    </row>
    <row r="188" spans="1:5" x14ac:dyDescent="0.2">
      <c r="A188" s="14"/>
      <c r="B188" s="14"/>
      <c r="C188" s="14"/>
      <c r="D188" s="14"/>
      <c r="E188" s="14"/>
    </row>
    <row r="189" spans="1:5" x14ac:dyDescent="0.2">
      <c r="A189" s="14"/>
      <c r="B189" s="14"/>
      <c r="C189" s="14"/>
      <c r="D189" s="14"/>
      <c r="E189" s="14"/>
    </row>
    <row r="190" spans="1:5" x14ac:dyDescent="0.2">
      <c r="A190" s="14"/>
      <c r="B190" s="14"/>
      <c r="C190" s="14"/>
      <c r="D190" s="14"/>
      <c r="E190" s="14"/>
    </row>
    <row r="191" spans="1:5" x14ac:dyDescent="0.2">
      <c r="A191" s="14"/>
      <c r="B191" s="14"/>
      <c r="C191" s="14"/>
      <c r="D191" s="14"/>
      <c r="E191" s="14"/>
    </row>
    <row r="192" spans="1:5" x14ac:dyDescent="0.2">
      <c r="A192" s="14"/>
      <c r="B192" s="14"/>
      <c r="C192" s="14"/>
      <c r="D192" s="14"/>
      <c r="E192" s="14"/>
    </row>
    <row r="193" spans="1:5" x14ac:dyDescent="0.2">
      <c r="A193" s="14"/>
      <c r="B193" s="14"/>
      <c r="C193" s="14"/>
      <c r="D193" s="14"/>
      <c r="E193" s="14"/>
    </row>
    <row r="194" spans="1:5" x14ac:dyDescent="0.2">
      <c r="A194" s="14"/>
      <c r="B194" s="14"/>
      <c r="C194" s="14"/>
      <c r="D194" s="14"/>
      <c r="E194" s="14"/>
    </row>
    <row r="195" spans="1:5" x14ac:dyDescent="0.2">
      <c r="A195" s="14"/>
      <c r="B195" s="14"/>
      <c r="C195" s="14"/>
      <c r="D195" s="14"/>
      <c r="E195" s="14"/>
    </row>
    <row r="196" spans="1:5" x14ac:dyDescent="0.2">
      <c r="A196" s="14"/>
      <c r="B196" s="14"/>
      <c r="C196" s="14"/>
      <c r="D196" s="14"/>
      <c r="E196" s="14"/>
    </row>
    <row r="197" spans="1:5" x14ac:dyDescent="0.2">
      <c r="A197" s="14"/>
      <c r="B197" s="14"/>
      <c r="C197" s="14"/>
      <c r="D197" s="14"/>
      <c r="E197" s="14"/>
    </row>
    <row r="198" spans="1:5" x14ac:dyDescent="0.2">
      <c r="A198" s="14"/>
      <c r="B198" s="14"/>
      <c r="C198" s="14"/>
      <c r="D198" s="14"/>
      <c r="E198" s="14"/>
    </row>
    <row r="199" spans="1:5" x14ac:dyDescent="0.2">
      <c r="A199" s="14"/>
      <c r="B199" s="14"/>
      <c r="C199" s="14"/>
      <c r="D199" s="14"/>
      <c r="E199" s="14"/>
    </row>
    <row r="200" spans="1:5" x14ac:dyDescent="0.2">
      <c r="A200" s="14"/>
      <c r="B200" s="14"/>
      <c r="C200" s="14"/>
      <c r="D200" s="14"/>
      <c r="E200" s="14"/>
    </row>
    <row r="201" spans="1:5" x14ac:dyDescent="0.2">
      <c r="A201" s="14"/>
      <c r="B201" s="14"/>
      <c r="C201" s="14"/>
      <c r="D201" s="14"/>
      <c r="E201" s="14"/>
    </row>
    <row r="202" spans="1:5" x14ac:dyDescent="0.2">
      <c r="A202" s="14"/>
      <c r="B202" s="14"/>
      <c r="C202" s="14"/>
      <c r="D202" s="14"/>
      <c r="E202" s="14"/>
    </row>
    <row r="203" spans="1:5" x14ac:dyDescent="0.2">
      <c r="A203" s="14"/>
      <c r="B203" s="14"/>
      <c r="C203" s="14"/>
      <c r="D203" s="14"/>
      <c r="E203" s="14"/>
    </row>
    <row r="204" spans="1:5" x14ac:dyDescent="0.2">
      <c r="A204" s="14"/>
      <c r="B204" s="14"/>
      <c r="C204" s="14"/>
      <c r="D204" s="14"/>
      <c r="E204" s="14"/>
    </row>
    <row r="205" spans="1:5" x14ac:dyDescent="0.2">
      <c r="A205" s="14"/>
      <c r="B205" s="14"/>
      <c r="C205" s="14"/>
      <c r="D205" s="14"/>
      <c r="E205" s="14"/>
    </row>
    <row r="206" spans="1:5" x14ac:dyDescent="0.2">
      <c r="A206" s="14"/>
      <c r="B206" s="14"/>
      <c r="C206" s="14"/>
      <c r="D206" s="14"/>
      <c r="E206" s="14"/>
    </row>
    <row r="207" spans="1:5" x14ac:dyDescent="0.2">
      <c r="A207" s="14"/>
      <c r="B207" s="14"/>
      <c r="C207" s="14"/>
      <c r="D207" s="14"/>
      <c r="E207" s="14"/>
    </row>
    <row r="208" spans="1:5" x14ac:dyDescent="0.2">
      <c r="A208" s="14"/>
      <c r="B208" s="14"/>
      <c r="C208" s="14"/>
      <c r="D208" s="14"/>
      <c r="E208" s="14"/>
    </row>
    <row r="209" spans="1:5" x14ac:dyDescent="0.2">
      <c r="A209" s="14"/>
      <c r="B209" s="14"/>
      <c r="C209" s="14"/>
      <c r="D209" s="14"/>
      <c r="E209" s="14"/>
    </row>
    <row r="210" spans="1:5" x14ac:dyDescent="0.2">
      <c r="A210" s="14"/>
      <c r="B210" s="14"/>
      <c r="C210" s="14"/>
      <c r="D210" s="14"/>
      <c r="E210" s="14"/>
    </row>
    <row r="211" spans="1:5" x14ac:dyDescent="0.2">
      <c r="A211" s="14"/>
      <c r="B211" s="14"/>
      <c r="C211" s="14"/>
      <c r="D211" s="14"/>
      <c r="E211" s="14"/>
    </row>
    <row r="212" spans="1:5" x14ac:dyDescent="0.2">
      <c r="A212" s="14"/>
      <c r="B212" s="14"/>
      <c r="C212" s="14"/>
      <c r="D212" s="14"/>
      <c r="E212" s="14"/>
    </row>
    <row r="213" spans="1:5" x14ac:dyDescent="0.2">
      <c r="A213" s="14"/>
      <c r="B213" s="14"/>
      <c r="C213" s="14"/>
      <c r="D213" s="14"/>
      <c r="E213" s="14"/>
    </row>
    <row r="214" spans="1:5" x14ac:dyDescent="0.2">
      <c r="A214" s="14"/>
      <c r="B214" s="14"/>
      <c r="C214" s="14"/>
      <c r="D214" s="14"/>
      <c r="E214" s="14"/>
    </row>
    <row r="215" spans="1:5" x14ac:dyDescent="0.2">
      <c r="A215" s="14"/>
      <c r="B215" s="14"/>
      <c r="C215" s="14"/>
      <c r="D215" s="14"/>
      <c r="E215" s="14"/>
    </row>
    <row r="216" spans="1:5" x14ac:dyDescent="0.2">
      <c r="A216" s="14"/>
      <c r="B216" s="14"/>
      <c r="C216" s="14"/>
      <c r="D216" s="14"/>
      <c r="E216" s="14"/>
    </row>
    <row r="217" spans="1:5" x14ac:dyDescent="0.2">
      <c r="A217" s="14"/>
      <c r="B217" s="14"/>
      <c r="C217" s="14"/>
      <c r="D217" s="14"/>
      <c r="E217" s="14"/>
    </row>
    <row r="218" spans="1:5" x14ac:dyDescent="0.2">
      <c r="A218" s="14"/>
      <c r="B218" s="14"/>
      <c r="C218" s="14"/>
      <c r="D218" s="14"/>
      <c r="E218" s="14"/>
    </row>
    <row r="219" spans="1:5" x14ac:dyDescent="0.2">
      <c r="A219" s="14"/>
      <c r="B219" s="14"/>
      <c r="C219" s="14"/>
      <c r="D219" s="14"/>
      <c r="E219" s="14"/>
    </row>
    <row r="220" spans="1:5" x14ac:dyDescent="0.2">
      <c r="A220" s="14"/>
      <c r="B220" s="14"/>
      <c r="C220" s="14"/>
      <c r="D220" s="14"/>
      <c r="E220" s="14"/>
    </row>
    <row r="221" spans="1:5" x14ac:dyDescent="0.2">
      <c r="A221" s="14"/>
      <c r="B221" s="14"/>
      <c r="C221" s="14"/>
      <c r="D221" s="14"/>
      <c r="E221" s="14"/>
    </row>
    <row r="222" spans="1:5" x14ac:dyDescent="0.2">
      <c r="A222" s="14"/>
      <c r="B222" s="14"/>
      <c r="C222" s="14"/>
      <c r="D222" s="14"/>
      <c r="E222" s="14"/>
    </row>
    <row r="223" spans="1:5" x14ac:dyDescent="0.2">
      <c r="A223" s="14"/>
      <c r="B223" s="14"/>
      <c r="C223" s="14"/>
      <c r="D223" s="14"/>
      <c r="E223" s="14"/>
    </row>
    <row r="224" spans="1:5" x14ac:dyDescent="0.2">
      <c r="A224" s="14"/>
      <c r="B224" s="14"/>
      <c r="C224" s="14"/>
      <c r="D224" s="14"/>
      <c r="E224" s="14"/>
    </row>
    <row r="225" spans="1:5" x14ac:dyDescent="0.2">
      <c r="A225" s="14"/>
      <c r="B225" s="14"/>
      <c r="C225" s="14"/>
      <c r="D225" s="14"/>
      <c r="E225" s="14"/>
    </row>
    <row r="226" spans="1:5" x14ac:dyDescent="0.2">
      <c r="A226" s="14"/>
      <c r="B226" s="14"/>
      <c r="C226" s="14"/>
      <c r="D226" s="14"/>
      <c r="E226" s="14"/>
    </row>
    <row r="227" spans="1:5" x14ac:dyDescent="0.2">
      <c r="A227" s="14"/>
      <c r="B227" s="14"/>
      <c r="C227" s="14"/>
      <c r="D227" s="14"/>
      <c r="E227" s="14"/>
    </row>
    <row r="228" spans="1:5" x14ac:dyDescent="0.2">
      <c r="A228" s="14"/>
      <c r="B228" s="14"/>
      <c r="C228" s="14"/>
      <c r="D228" s="14"/>
      <c r="E228" s="14"/>
    </row>
    <row r="229" spans="1:5" x14ac:dyDescent="0.2">
      <c r="A229" s="14"/>
      <c r="B229" s="14"/>
      <c r="C229" s="14"/>
      <c r="D229" s="14"/>
      <c r="E229" s="14"/>
    </row>
    <row r="230" spans="1:5" x14ac:dyDescent="0.2">
      <c r="A230" s="14"/>
      <c r="B230" s="14"/>
      <c r="C230" s="14"/>
      <c r="D230" s="14"/>
      <c r="E230" s="14"/>
    </row>
    <row r="231" spans="1:5" x14ac:dyDescent="0.2">
      <c r="A231" s="14"/>
      <c r="B231" s="14"/>
      <c r="C231" s="14"/>
      <c r="D231" s="14"/>
      <c r="E231" s="14"/>
    </row>
    <row r="232" spans="1:5" x14ac:dyDescent="0.2">
      <c r="A232" s="14"/>
      <c r="B232" s="14"/>
      <c r="C232" s="14"/>
      <c r="D232" s="14"/>
      <c r="E232" s="14"/>
    </row>
    <row r="233" spans="1:5" x14ac:dyDescent="0.2">
      <c r="A233" s="14"/>
      <c r="B233" s="14"/>
      <c r="C233" s="14"/>
      <c r="D233" s="14"/>
      <c r="E233" s="14"/>
    </row>
    <row r="234" spans="1:5" x14ac:dyDescent="0.2">
      <c r="A234" s="14"/>
      <c r="B234" s="14"/>
      <c r="C234" s="14"/>
      <c r="D234" s="14"/>
      <c r="E234" s="14"/>
    </row>
    <row r="235" spans="1:5" x14ac:dyDescent="0.2">
      <c r="A235" s="14"/>
      <c r="B235" s="14"/>
      <c r="C235" s="14"/>
      <c r="D235" s="14"/>
      <c r="E235" s="14"/>
    </row>
    <row r="236" spans="1:5" x14ac:dyDescent="0.2">
      <c r="A236" s="14"/>
      <c r="B236" s="14"/>
      <c r="C236" s="14"/>
      <c r="D236" s="14"/>
      <c r="E236" s="14"/>
    </row>
    <row r="237" spans="1:5" x14ac:dyDescent="0.2">
      <c r="A237" s="14"/>
      <c r="B237" s="14"/>
      <c r="C237" s="14"/>
      <c r="D237" s="14"/>
      <c r="E237" s="14"/>
    </row>
    <row r="238" spans="1:5" x14ac:dyDescent="0.2">
      <c r="A238" s="14"/>
      <c r="B238" s="14"/>
      <c r="C238" s="14"/>
      <c r="D238" s="14"/>
      <c r="E238" s="14"/>
    </row>
    <row r="239" spans="1:5" x14ac:dyDescent="0.2">
      <c r="A239" s="14"/>
      <c r="B239" s="14"/>
      <c r="C239" s="14"/>
      <c r="D239" s="14"/>
      <c r="E239" s="14"/>
    </row>
    <row r="240" spans="1:5" x14ac:dyDescent="0.2">
      <c r="A240" s="14"/>
      <c r="B240" s="14"/>
      <c r="C240" s="14"/>
      <c r="D240" s="14"/>
      <c r="E240" s="14"/>
    </row>
    <row r="241" spans="1:5" x14ac:dyDescent="0.2">
      <c r="A241" s="14"/>
      <c r="B241" s="14"/>
      <c r="C241" s="14"/>
      <c r="D241" s="14"/>
      <c r="E241" s="14"/>
    </row>
    <row r="242" spans="1:5" x14ac:dyDescent="0.2">
      <c r="A242" s="14"/>
      <c r="B242" s="14"/>
      <c r="C242" s="14"/>
      <c r="D242" s="14"/>
      <c r="E242" s="14"/>
    </row>
    <row r="243" spans="1:5" x14ac:dyDescent="0.2">
      <c r="A243" s="14"/>
      <c r="B243" s="14"/>
      <c r="C243" s="14"/>
      <c r="D243" s="14"/>
      <c r="E243" s="14"/>
    </row>
    <row r="244" spans="1:5" x14ac:dyDescent="0.2">
      <c r="A244" s="14"/>
      <c r="B244" s="14"/>
      <c r="C244" s="14"/>
      <c r="D244" s="14"/>
      <c r="E244" s="14"/>
    </row>
    <row r="245" spans="1:5" x14ac:dyDescent="0.2">
      <c r="A245" s="14"/>
      <c r="B245" s="14"/>
      <c r="C245" s="14"/>
      <c r="D245" s="14"/>
      <c r="E245" s="14"/>
    </row>
    <row r="246" spans="1:5" x14ac:dyDescent="0.2">
      <c r="A246" s="14"/>
      <c r="B246" s="14"/>
      <c r="C246" s="14"/>
      <c r="D246" s="14"/>
      <c r="E246" s="14"/>
    </row>
    <row r="247" spans="1:5" x14ac:dyDescent="0.2">
      <c r="A247" s="14"/>
      <c r="B247" s="14"/>
      <c r="C247" s="14"/>
      <c r="D247" s="14"/>
      <c r="E247" s="14"/>
    </row>
    <row r="248" spans="1:5" x14ac:dyDescent="0.2">
      <c r="A248" s="14"/>
      <c r="B248" s="14"/>
      <c r="C248" s="14"/>
      <c r="D248" s="14"/>
      <c r="E248" s="14"/>
    </row>
    <row r="249" spans="1:5" x14ac:dyDescent="0.2">
      <c r="A249" s="14"/>
      <c r="B249" s="14"/>
      <c r="C249" s="14"/>
      <c r="D249" s="14"/>
      <c r="E249" s="14"/>
    </row>
    <row r="250" spans="1:5" x14ac:dyDescent="0.2">
      <c r="A250" s="14"/>
      <c r="B250" s="14"/>
      <c r="C250" s="14"/>
      <c r="D250" s="14"/>
      <c r="E250" s="14"/>
    </row>
    <row r="251" spans="1:5" x14ac:dyDescent="0.2">
      <c r="A251" s="14"/>
      <c r="B251" s="14"/>
      <c r="C251" s="14"/>
      <c r="D251" s="14"/>
      <c r="E251" s="14"/>
    </row>
    <row r="252" spans="1:5" x14ac:dyDescent="0.2">
      <c r="A252" s="14"/>
      <c r="B252" s="14"/>
      <c r="C252" s="14"/>
      <c r="D252" s="14"/>
      <c r="E252" s="14"/>
    </row>
    <row r="253" spans="1:5" x14ac:dyDescent="0.2">
      <c r="A253" s="14"/>
      <c r="B253" s="14"/>
      <c r="C253" s="14"/>
      <c r="D253" s="14"/>
      <c r="E253" s="14"/>
    </row>
    <row r="254" spans="1:5" x14ac:dyDescent="0.2">
      <c r="A254" s="14"/>
      <c r="B254" s="14"/>
      <c r="C254" s="14"/>
      <c r="D254" s="14"/>
      <c r="E254" s="14"/>
    </row>
    <row r="255" spans="1:5" x14ac:dyDescent="0.2">
      <c r="A255" s="14"/>
      <c r="B255" s="14"/>
      <c r="C255" s="14"/>
      <c r="D255" s="14"/>
      <c r="E255" s="14"/>
    </row>
    <row r="256" spans="1:5" x14ac:dyDescent="0.2">
      <c r="A256" s="14"/>
      <c r="B256" s="14"/>
      <c r="C256" s="14"/>
      <c r="D256" s="14"/>
      <c r="E256" s="14"/>
    </row>
    <row r="257" spans="1:5" x14ac:dyDescent="0.2">
      <c r="A257" s="14"/>
      <c r="B257" s="14"/>
      <c r="C257" s="14"/>
      <c r="D257" s="14"/>
      <c r="E257" s="14"/>
    </row>
    <row r="258" spans="1:5" x14ac:dyDescent="0.2">
      <c r="A258" s="14"/>
      <c r="B258" s="14"/>
      <c r="C258" s="14"/>
      <c r="D258" s="14"/>
      <c r="E258" s="14"/>
    </row>
    <row r="259" spans="1:5" x14ac:dyDescent="0.2">
      <c r="A259" s="14"/>
      <c r="B259" s="14"/>
      <c r="C259" s="14"/>
      <c r="D259" s="14"/>
      <c r="E259" s="14"/>
    </row>
    <row r="260" spans="1:5" x14ac:dyDescent="0.2">
      <c r="A260" s="14"/>
      <c r="B260" s="14"/>
      <c r="C260" s="14"/>
      <c r="D260" s="14"/>
      <c r="E260" s="14"/>
    </row>
    <row r="261" spans="1:5" x14ac:dyDescent="0.2">
      <c r="A261" s="14"/>
      <c r="B261" s="14"/>
      <c r="C261" s="14"/>
      <c r="D261" s="14"/>
      <c r="E261" s="14"/>
    </row>
    <row r="262" spans="1:5" x14ac:dyDescent="0.2">
      <c r="A262" s="14"/>
      <c r="B262" s="14"/>
      <c r="C262" s="14"/>
      <c r="D262" s="14"/>
      <c r="E262" s="14"/>
    </row>
    <row r="263" spans="1:5" x14ac:dyDescent="0.2">
      <c r="A263" s="14"/>
      <c r="B263" s="14"/>
      <c r="C263" s="14"/>
      <c r="D263" s="14"/>
      <c r="E263" s="14"/>
    </row>
    <row r="264" spans="1:5" x14ac:dyDescent="0.2">
      <c r="A264" s="14"/>
      <c r="B264" s="14"/>
      <c r="C264" s="14"/>
      <c r="D264" s="14"/>
      <c r="E264" s="14"/>
    </row>
    <row r="265" spans="1:5" x14ac:dyDescent="0.2">
      <c r="A265" s="14"/>
      <c r="B265" s="14"/>
      <c r="C265" s="14"/>
      <c r="D265" s="14"/>
      <c r="E265" s="14"/>
    </row>
    <row r="266" spans="1:5" x14ac:dyDescent="0.2">
      <c r="A266" s="14"/>
      <c r="B266" s="14"/>
      <c r="C266" s="14"/>
      <c r="D266" s="14"/>
      <c r="E266" s="14"/>
    </row>
    <row r="267" spans="1:5" x14ac:dyDescent="0.2">
      <c r="A267" s="14"/>
      <c r="B267" s="14"/>
      <c r="C267" s="14"/>
      <c r="D267" s="14"/>
      <c r="E267" s="14"/>
    </row>
    <row r="268" spans="1:5" x14ac:dyDescent="0.2">
      <c r="A268" s="14"/>
      <c r="B268" s="14"/>
      <c r="C268" s="14"/>
      <c r="D268" s="14"/>
      <c r="E268" s="14"/>
    </row>
    <row r="269" spans="1:5" x14ac:dyDescent="0.2">
      <c r="A269" s="14"/>
      <c r="B269" s="14"/>
      <c r="C269" s="14"/>
      <c r="D269" s="14"/>
      <c r="E269" s="14"/>
    </row>
    <row r="270" spans="1:5" x14ac:dyDescent="0.2">
      <c r="A270" s="14"/>
      <c r="B270" s="14"/>
      <c r="C270" s="14"/>
      <c r="D270" s="14"/>
      <c r="E270" s="14"/>
    </row>
    <row r="271" spans="1:5" x14ac:dyDescent="0.2">
      <c r="A271" s="14"/>
      <c r="B271" s="14"/>
      <c r="C271" s="14"/>
      <c r="D271" s="14"/>
      <c r="E271" s="14"/>
    </row>
    <row r="272" spans="1:5" x14ac:dyDescent="0.2">
      <c r="A272" s="14"/>
      <c r="B272" s="14"/>
      <c r="C272" s="14"/>
      <c r="D272" s="14"/>
      <c r="E272" s="14"/>
    </row>
    <row r="273" spans="1:5" x14ac:dyDescent="0.2">
      <c r="A273" s="14"/>
      <c r="B273" s="14"/>
      <c r="C273" s="14"/>
      <c r="D273" s="14"/>
      <c r="E273" s="14"/>
    </row>
    <row r="274" spans="1:5" x14ac:dyDescent="0.2">
      <c r="A274" s="14"/>
      <c r="B274" s="14"/>
      <c r="C274" s="14"/>
      <c r="D274" s="14"/>
      <c r="E274" s="14"/>
    </row>
    <row r="275" spans="1:5" x14ac:dyDescent="0.2">
      <c r="A275" s="14"/>
      <c r="B275" s="14"/>
      <c r="C275" s="14"/>
      <c r="D275" s="14"/>
      <c r="E275" s="14"/>
    </row>
    <row r="276" spans="1:5" x14ac:dyDescent="0.2">
      <c r="A276" s="14"/>
      <c r="B276" s="14"/>
      <c r="C276" s="14"/>
      <c r="D276" s="14"/>
      <c r="E276" s="14"/>
    </row>
    <row r="277" spans="1:5" x14ac:dyDescent="0.2">
      <c r="A277" s="14"/>
      <c r="B277" s="14"/>
      <c r="C277" s="14"/>
      <c r="D277" s="14"/>
      <c r="E277" s="14"/>
    </row>
    <row r="278" spans="1:5" x14ac:dyDescent="0.2">
      <c r="A278" s="14"/>
      <c r="B278" s="14"/>
      <c r="C278" s="14"/>
      <c r="D278" s="14"/>
      <c r="E278" s="14"/>
    </row>
    <row r="279" spans="1:5" x14ac:dyDescent="0.2">
      <c r="A279" s="14"/>
      <c r="B279" s="14"/>
      <c r="C279" s="14"/>
      <c r="D279" s="14"/>
      <c r="E279" s="14"/>
    </row>
    <row r="280" spans="1:5" x14ac:dyDescent="0.2">
      <c r="A280" s="14"/>
      <c r="B280" s="14"/>
      <c r="C280" s="14"/>
      <c r="D280" s="14"/>
      <c r="E280" s="14"/>
    </row>
    <row r="281" spans="1:5" x14ac:dyDescent="0.2">
      <c r="A281" s="14"/>
      <c r="B281" s="14"/>
      <c r="C281" s="14"/>
      <c r="D281" s="14"/>
      <c r="E281" s="14"/>
    </row>
    <row r="282" spans="1:5" x14ac:dyDescent="0.2">
      <c r="A282" s="14"/>
      <c r="B282" s="14"/>
      <c r="C282" s="14"/>
      <c r="D282" s="14"/>
      <c r="E282" s="14"/>
    </row>
    <row r="283" spans="1:5" x14ac:dyDescent="0.2">
      <c r="A283" s="14"/>
      <c r="B283" s="14"/>
      <c r="C283" s="14"/>
      <c r="D283" s="14"/>
      <c r="E283" s="14"/>
    </row>
    <row r="284" spans="1:5" x14ac:dyDescent="0.2">
      <c r="A284" s="14"/>
      <c r="B284" s="14"/>
      <c r="C284" s="14"/>
      <c r="D284" s="14"/>
      <c r="E284" s="14"/>
    </row>
    <row r="285" spans="1:5" x14ac:dyDescent="0.2">
      <c r="A285" s="14"/>
      <c r="B285" s="14"/>
      <c r="C285" s="14"/>
      <c r="D285" s="14"/>
      <c r="E285" s="14"/>
    </row>
    <row r="286" spans="1:5" x14ac:dyDescent="0.2">
      <c r="A286" s="14"/>
      <c r="B286" s="14"/>
      <c r="C286" s="14"/>
      <c r="D286" s="14"/>
      <c r="E286" s="14"/>
    </row>
    <row r="287" spans="1:5" x14ac:dyDescent="0.2">
      <c r="A287" s="14"/>
      <c r="B287" s="14"/>
      <c r="C287" s="14"/>
      <c r="D287" s="14"/>
      <c r="E287" s="14"/>
    </row>
    <row r="288" spans="1:5" x14ac:dyDescent="0.2">
      <c r="A288" s="14"/>
      <c r="B288" s="14"/>
      <c r="C288" s="14"/>
      <c r="D288" s="14"/>
      <c r="E288" s="14"/>
    </row>
    <row r="289" spans="1:5" x14ac:dyDescent="0.2">
      <c r="A289" s="14"/>
      <c r="B289" s="14"/>
      <c r="C289" s="14"/>
      <c r="D289" s="14"/>
      <c r="E289" s="14"/>
    </row>
    <row r="290" spans="1:5" x14ac:dyDescent="0.2">
      <c r="A290" s="14"/>
      <c r="B290" s="14"/>
      <c r="C290" s="14"/>
      <c r="D290" s="14"/>
      <c r="E290" s="14"/>
    </row>
    <row r="291" spans="1:5" x14ac:dyDescent="0.2">
      <c r="A291" s="14"/>
      <c r="B291" s="14"/>
      <c r="C291" s="14"/>
      <c r="D291" s="14"/>
      <c r="E291" s="14"/>
    </row>
    <row r="292" spans="1:5" x14ac:dyDescent="0.2">
      <c r="A292" s="14"/>
      <c r="B292" s="14"/>
      <c r="C292" s="14"/>
      <c r="D292" s="14"/>
      <c r="E292" s="14"/>
    </row>
    <row r="293" spans="1:5" x14ac:dyDescent="0.2">
      <c r="A293" s="14"/>
      <c r="B293" s="14"/>
      <c r="C293" s="14"/>
      <c r="D293" s="14"/>
      <c r="E293" s="14"/>
    </row>
    <row r="294" spans="1:5" x14ac:dyDescent="0.2">
      <c r="A294" s="14"/>
      <c r="B294" s="14"/>
      <c r="C294" s="14"/>
      <c r="D294" s="14"/>
      <c r="E294" s="14"/>
    </row>
    <row r="295" spans="1:5" x14ac:dyDescent="0.2">
      <c r="A295" s="14"/>
      <c r="B295" s="14"/>
      <c r="C295" s="14"/>
      <c r="D295" s="14"/>
      <c r="E295" s="14"/>
    </row>
    <row r="296" spans="1:5" x14ac:dyDescent="0.2">
      <c r="A296" s="14"/>
      <c r="B296" s="14"/>
      <c r="C296" s="14"/>
      <c r="D296" s="14"/>
      <c r="E296" s="14"/>
    </row>
    <row r="297" spans="1:5" x14ac:dyDescent="0.2">
      <c r="A297" s="14"/>
      <c r="B297" s="14"/>
      <c r="C297" s="14"/>
      <c r="D297" s="14"/>
      <c r="E297" s="14"/>
    </row>
    <row r="298" spans="1:5" x14ac:dyDescent="0.2">
      <c r="A298" s="14"/>
      <c r="B298" s="14"/>
      <c r="C298" s="14"/>
      <c r="D298" s="14"/>
      <c r="E298" s="14"/>
    </row>
    <row r="299" spans="1:5" x14ac:dyDescent="0.2">
      <c r="A299" s="14"/>
      <c r="B299" s="14"/>
      <c r="C299" s="14"/>
      <c r="D299" s="14"/>
      <c r="E299" s="14"/>
    </row>
    <row r="300" spans="1:5" x14ac:dyDescent="0.2">
      <c r="A300" s="14"/>
      <c r="B300" s="14"/>
      <c r="C300" s="14"/>
      <c r="D300" s="14"/>
      <c r="E300" s="14"/>
    </row>
    <row r="301" spans="1:5" x14ac:dyDescent="0.2">
      <c r="A301" s="14"/>
      <c r="B301" s="14"/>
      <c r="C301" s="14"/>
      <c r="D301" s="14"/>
      <c r="E301" s="14"/>
    </row>
    <row r="302" spans="1:5" x14ac:dyDescent="0.2">
      <c r="A302" s="14"/>
      <c r="B302" s="14"/>
      <c r="C302" s="14"/>
      <c r="D302" s="14"/>
      <c r="E302" s="14"/>
    </row>
    <row r="303" spans="1:5" x14ac:dyDescent="0.2">
      <c r="A303" s="14"/>
      <c r="B303" s="14"/>
      <c r="C303" s="14"/>
      <c r="D303" s="14"/>
      <c r="E303" s="14"/>
    </row>
    <row r="304" spans="1:5" x14ac:dyDescent="0.2">
      <c r="A304" s="14"/>
      <c r="B304" s="14"/>
      <c r="C304" s="14"/>
      <c r="D304" s="14"/>
      <c r="E304" s="14"/>
    </row>
    <row r="305" spans="1:5" x14ac:dyDescent="0.2">
      <c r="A305" s="14"/>
      <c r="B305" s="14"/>
      <c r="C305" s="14"/>
      <c r="D305" s="14"/>
      <c r="E305" s="14"/>
    </row>
    <row r="306" spans="1:5" x14ac:dyDescent="0.2">
      <c r="A306" s="14"/>
      <c r="B306" s="14"/>
      <c r="C306" s="14"/>
      <c r="D306" s="14"/>
      <c r="E306" s="14"/>
    </row>
    <row r="307" spans="1:5" x14ac:dyDescent="0.2">
      <c r="A307" s="14"/>
      <c r="B307" s="14"/>
      <c r="C307" s="14"/>
      <c r="D307" s="14"/>
      <c r="E307" s="14"/>
    </row>
    <row r="308" spans="1:5" x14ac:dyDescent="0.2">
      <c r="A308" s="14"/>
      <c r="B308" s="14"/>
      <c r="C308" s="14"/>
      <c r="D308" s="14"/>
      <c r="E308" s="14"/>
    </row>
    <row r="309" spans="1:5" x14ac:dyDescent="0.2">
      <c r="A309" s="14"/>
      <c r="B309" s="14"/>
      <c r="C309" s="14"/>
      <c r="D309" s="14"/>
      <c r="E309" s="14"/>
    </row>
    <row r="310" spans="1:5" x14ac:dyDescent="0.2">
      <c r="A310" s="14"/>
      <c r="B310" s="14"/>
      <c r="C310" s="14"/>
      <c r="D310" s="14"/>
      <c r="E310" s="14"/>
    </row>
    <row r="311" spans="1:5" x14ac:dyDescent="0.2">
      <c r="A311" s="14"/>
      <c r="B311" s="14"/>
      <c r="C311" s="14"/>
      <c r="D311" s="14"/>
      <c r="E311" s="14"/>
    </row>
    <row r="312" spans="1:5" x14ac:dyDescent="0.2">
      <c r="A312" s="14"/>
      <c r="B312" s="14"/>
      <c r="C312" s="14"/>
      <c r="D312" s="14"/>
      <c r="E312" s="14"/>
    </row>
    <row r="313" spans="1:5" x14ac:dyDescent="0.2">
      <c r="A313" s="14"/>
      <c r="B313" s="14"/>
      <c r="C313" s="14"/>
      <c r="D313" s="14"/>
      <c r="E313" s="14"/>
    </row>
    <row r="314" spans="1:5" x14ac:dyDescent="0.2">
      <c r="A314" s="14"/>
      <c r="B314" s="14"/>
      <c r="C314" s="14"/>
      <c r="D314" s="14"/>
      <c r="E314" s="14"/>
    </row>
    <row r="315" spans="1:5" x14ac:dyDescent="0.2">
      <c r="A315" s="14"/>
      <c r="B315" s="14"/>
      <c r="C315" s="14"/>
      <c r="D315" s="14"/>
      <c r="E315" s="14"/>
    </row>
    <row r="316" spans="1:5" x14ac:dyDescent="0.2">
      <c r="A316" s="14"/>
      <c r="B316" s="14"/>
      <c r="C316" s="14"/>
      <c r="D316" s="14"/>
      <c r="E316" s="14"/>
    </row>
    <row r="317" spans="1:5" x14ac:dyDescent="0.2">
      <c r="A317" s="14"/>
      <c r="B317" s="14"/>
      <c r="C317" s="14"/>
      <c r="D317" s="14"/>
      <c r="E317" s="14"/>
    </row>
    <row r="318" spans="1:5" x14ac:dyDescent="0.2">
      <c r="A318" s="14"/>
      <c r="B318" s="14"/>
      <c r="C318" s="14"/>
      <c r="D318" s="14"/>
      <c r="E318" s="14"/>
    </row>
    <row r="319" spans="1:5" x14ac:dyDescent="0.2">
      <c r="A319" s="14"/>
      <c r="B319" s="14"/>
      <c r="C319" s="14"/>
      <c r="D319" s="14"/>
      <c r="E319" s="14"/>
    </row>
    <row r="320" spans="1:5" x14ac:dyDescent="0.2">
      <c r="A320" s="14"/>
      <c r="B320" s="14"/>
      <c r="C320" s="14"/>
      <c r="D320" s="14"/>
      <c r="E320" s="14"/>
    </row>
    <row r="321" spans="1:5" x14ac:dyDescent="0.2">
      <c r="A321" s="14"/>
      <c r="B321" s="14"/>
      <c r="C321" s="14"/>
      <c r="D321" s="14"/>
      <c r="E321" s="14"/>
    </row>
    <row r="322" spans="1:5" x14ac:dyDescent="0.2">
      <c r="A322" s="14"/>
      <c r="B322" s="14"/>
      <c r="C322" s="14"/>
      <c r="D322" s="14"/>
      <c r="E322" s="14"/>
    </row>
    <row r="323" spans="1:5" x14ac:dyDescent="0.2">
      <c r="A323" s="14"/>
      <c r="B323" s="14"/>
      <c r="C323" s="14"/>
      <c r="D323" s="14"/>
      <c r="E323" s="14"/>
    </row>
    <row r="324" spans="1:5" x14ac:dyDescent="0.2">
      <c r="A324" s="14"/>
      <c r="B324" s="14"/>
      <c r="C324" s="14"/>
      <c r="D324" s="14"/>
      <c r="E324" s="14"/>
    </row>
    <row r="325" spans="1:5" x14ac:dyDescent="0.2">
      <c r="A325" s="14"/>
      <c r="B325" s="14"/>
      <c r="C325" s="14"/>
      <c r="D325" s="14"/>
      <c r="E325" s="14"/>
    </row>
    <row r="326" spans="1:5" x14ac:dyDescent="0.2">
      <c r="A326" s="14"/>
      <c r="B326" s="14"/>
      <c r="C326" s="14"/>
      <c r="D326" s="14"/>
      <c r="E326" s="14"/>
    </row>
    <row r="327" spans="1:5" x14ac:dyDescent="0.2">
      <c r="A327" s="14"/>
      <c r="B327" s="14"/>
      <c r="C327" s="14"/>
      <c r="D327" s="14"/>
      <c r="E327" s="14"/>
    </row>
    <row r="328" spans="1:5" x14ac:dyDescent="0.2">
      <c r="A328" s="14"/>
      <c r="B328" s="14"/>
      <c r="C328" s="14"/>
      <c r="D328" s="14"/>
      <c r="E328" s="14"/>
    </row>
    <row r="329" spans="1:5" x14ac:dyDescent="0.2">
      <c r="A329" s="14"/>
      <c r="B329" s="14"/>
      <c r="C329" s="14"/>
      <c r="D329" s="14"/>
      <c r="E329" s="14"/>
    </row>
    <row r="330" spans="1:5" x14ac:dyDescent="0.2">
      <c r="A330" s="14"/>
      <c r="B330" s="14"/>
      <c r="C330" s="14"/>
      <c r="D330" s="14"/>
      <c r="E330" s="14"/>
    </row>
    <row r="331" spans="1:5" x14ac:dyDescent="0.2">
      <c r="A331" s="14"/>
      <c r="B331" s="14"/>
      <c r="C331" s="14"/>
      <c r="D331" s="14"/>
      <c r="E331" s="14"/>
    </row>
    <row r="332" spans="1:5" x14ac:dyDescent="0.2">
      <c r="A332" s="14"/>
      <c r="B332" s="14"/>
      <c r="C332" s="14"/>
      <c r="D332" s="14"/>
      <c r="E332" s="14"/>
    </row>
    <row r="333" spans="1:5" x14ac:dyDescent="0.2">
      <c r="A333" s="14"/>
      <c r="B333" s="14"/>
      <c r="C333" s="14"/>
      <c r="D333" s="14"/>
      <c r="E333" s="14"/>
    </row>
    <row r="334" spans="1:5" x14ac:dyDescent="0.2">
      <c r="A334" s="14"/>
      <c r="B334" s="14"/>
      <c r="C334" s="14"/>
      <c r="D334" s="14"/>
      <c r="E334" s="14"/>
    </row>
    <row r="335" spans="1:5" x14ac:dyDescent="0.2">
      <c r="A335" s="14"/>
      <c r="B335" s="14"/>
      <c r="C335" s="14"/>
      <c r="D335" s="14"/>
      <c r="E335" s="14"/>
    </row>
    <row r="336" spans="1:5" x14ac:dyDescent="0.2">
      <c r="A336" s="14"/>
      <c r="B336" s="14"/>
      <c r="C336" s="14"/>
      <c r="D336" s="14"/>
      <c r="E336" s="14"/>
    </row>
    <row r="337" spans="1:5" x14ac:dyDescent="0.2">
      <c r="A337" s="14"/>
      <c r="B337" s="14"/>
      <c r="C337" s="14"/>
      <c r="D337" s="14"/>
      <c r="E337" s="14"/>
    </row>
    <row r="338" spans="1:5" x14ac:dyDescent="0.2">
      <c r="A338" s="14"/>
      <c r="B338" s="14"/>
      <c r="C338" s="14"/>
      <c r="D338" s="14"/>
      <c r="E338" s="14"/>
    </row>
    <row r="339" spans="1:5" x14ac:dyDescent="0.2">
      <c r="A339" s="14"/>
      <c r="B339" s="14"/>
      <c r="C339" s="14"/>
      <c r="D339" s="14"/>
      <c r="E339" s="14"/>
    </row>
    <row r="340" spans="1:5" x14ac:dyDescent="0.2">
      <c r="A340" s="14"/>
      <c r="B340" s="14"/>
      <c r="C340" s="14"/>
      <c r="D340" s="14"/>
      <c r="E340" s="14"/>
    </row>
    <row r="341" spans="1:5" x14ac:dyDescent="0.2">
      <c r="A341" s="14"/>
      <c r="B341" s="14"/>
      <c r="C341" s="14"/>
      <c r="D341" s="14"/>
      <c r="E341" s="14"/>
    </row>
    <row r="342" spans="1:5" x14ac:dyDescent="0.2">
      <c r="A342" s="14"/>
      <c r="B342" s="14"/>
      <c r="C342" s="14"/>
      <c r="D342" s="14"/>
      <c r="E342" s="14"/>
    </row>
    <row r="343" spans="1:5" x14ac:dyDescent="0.2">
      <c r="A343" s="14"/>
      <c r="B343" s="14"/>
      <c r="C343" s="14"/>
      <c r="D343" s="14"/>
      <c r="E343" s="14"/>
    </row>
    <row r="344" spans="1:5" x14ac:dyDescent="0.2">
      <c r="A344" s="14"/>
      <c r="B344" s="14"/>
      <c r="C344" s="14"/>
      <c r="D344" s="14"/>
      <c r="E344" s="14"/>
    </row>
    <row r="345" spans="1:5" x14ac:dyDescent="0.2">
      <c r="A345" s="14"/>
      <c r="B345" s="14"/>
      <c r="C345" s="14"/>
      <c r="D345" s="14"/>
      <c r="E345" s="14"/>
    </row>
    <row r="346" spans="1:5" x14ac:dyDescent="0.2">
      <c r="A346" s="14"/>
      <c r="B346" s="14"/>
      <c r="C346" s="14"/>
      <c r="D346" s="14"/>
      <c r="E346" s="14"/>
    </row>
    <row r="347" spans="1:5" x14ac:dyDescent="0.2">
      <c r="A347" s="14"/>
      <c r="B347" s="14"/>
      <c r="C347" s="14"/>
      <c r="D347" s="14"/>
      <c r="E347" s="14"/>
    </row>
    <row r="348" spans="1:5" x14ac:dyDescent="0.2">
      <c r="A348" s="14"/>
      <c r="B348" s="14"/>
      <c r="C348" s="14"/>
      <c r="D348" s="14"/>
      <c r="E348" s="14"/>
    </row>
    <row r="349" spans="1:5" x14ac:dyDescent="0.2">
      <c r="A349" s="14"/>
      <c r="B349" s="14"/>
      <c r="C349" s="14"/>
      <c r="D349" s="14"/>
      <c r="E349" s="14"/>
    </row>
    <row r="350" spans="1:5" x14ac:dyDescent="0.2">
      <c r="A350" s="14"/>
      <c r="B350" s="14"/>
      <c r="C350" s="14"/>
      <c r="D350" s="14"/>
      <c r="E350" s="14"/>
    </row>
    <row r="351" spans="1:5" x14ac:dyDescent="0.2">
      <c r="A351" s="14"/>
      <c r="B351" s="14"/>
      <c r="C351" s="14"/>
      <c r="D351" s="14"/>
      <c r="E351" s="14"/>
    </row>
    <row r="352" spans="1:5" x14ac:dyDescent="0.2">
      <c r="A352" s="14"/>
      <c r="B352" s="14"/>
      <c r="C352" s="14"/>
      <c r="D352" s="14"/>
      <c r="E352" s="14"/>
    </row>
    <row r="353" spans="1:5" x14ac:dyDescent="0.2">
      <c r="A353" s="14"/>
      <c r="B353" s="14"/>
      <c r="C353" s="14"/>
      <c r="D353" s="14"/>
      <c r="E353" s="14"/>
    </row>
    <row r="354" spans="1:5" x14ac:dyDescent="0.2">
      <c r="A354" s="14"/>
      <c r="B354" s="14"/>
      <c r="C354" s="14"/>
      <c r="D354" s="14"/>
      <c r="E354" s="14"/>
    </row>
    <row r="355" spans="1:5" x14ac:dyDescent="0.2">
      <c r="A355" s="14"/>
      <c r="B355" s="14"/>
      <c r="C355" s="14"/>
      <c r="D355" s="14"/>
      <c r="E355" s="14"/>
    </row>
    <row r="356" spans="1:5" x14ac:dyDescent="0.2">
      <c r="A356" s="14"/>
      <c r="B356" s="14"/>
      <c r="C356" s="14"/>
      <c r="D356" s="14"/>
      <c r="E356" s="14"/>
    </row>
    <row r="357" spans="1:5" x14ac:dyDescent="0.2">
      <c r="A357" s="14"/>
      <c r="B357" s="14"/>
      <c r="C357" s="14"/>
      <c r="D357" s="14"/>
      <c r="E357" s="14"/>
    </row>
    <row r="358" spans="1:5" x14ac:dyDescent="0.2">
      <c r="A358" s="14"/>
      <c r="B358" s="14"/>
      <c r="C358" s="14"/>
      <c r="D358" s="14"/>
      <c r="E358" s="14"/>
    </row>
    <row r="359" spans="1:5" x14ac:dyDescent="0.2">
      <c r="A359" s="14"/>
      <c r="B359" s="14"/>
      <c r="C359" s="14"/>
      <c r="D359" s="14"/>
      <c r="E359" s="14"/>
    </row>
    <row r="360" spans="1:5" x14ac:dyDescent="0.2">
      <c r="A360" s="14"/>
      <c r="B360" s="14"/>
      <c r="C360" s="14"/>
      <c r="D360" s="14"/>
      <c r="E360" s="14"/>
    </row>
    <row r="361" spans="1:5" x14ac:dyDescent="0.2">
      <c r="A361" s="14"/>
      <c r="B361" s="14"/>
      <c r="C361" s="14"/>
      <c r="D361" s="14"/>
      <c r="E361" s="14"/>
    </row>
    <row r="362" spans="1:5" x14ac:dyDescent="0.2">
      <c r="A362" s="14"/>
      <c r="B362" s="14"/>
      <c r="C362" s="14"/>
      <c r="D362" s="14"/>
      <c r="E362" s="14"/>
    </row>
    <row r="363" spans="1:5" x14ac:dyDescent="0.2">
      <c r="A363" s="14"/>
      <c r="B363" s="14"/>
      <c r="C363" s="14"/>
      <c r="D363" s="14"/>
      <c r="E363" s="14"/>
    </row>
    <row r="364" spans="1:5" x14ac:dyDescent="0.2">
      <c r="A364" s="14"/>
      <c r="B364" s="14"/>
      <c r="C364" s="14"/>
      <c r="D364" s="14"/>
      <c r="E364" s="14"/>
    </row>
    <row r="365" spans="1:5" x14ac:dyDescent="0.2">
      <c r="A365" s="14"/>
      <c r="B365" s="14"/>
      <c r="C365" s="14"/>
      <c r="D365" s="14"/>
      <c r="E365" s="14"/>
    </row>
    <row r="366" spans="1:5" x14ac:dyDescent="0.2">
      <c r="A366" s="14"/>
      <c r="B366" s="14"/>
      <c r="C366" s="14"/>
      <c r="D366" s="14"/>
      <c r="E366" s="14"/>
    </row>
    <row r="367" spans="1:5" x14ac:dyDescent="0.2">
      <c r="A367" s="14"/>
      <c r="B367" s="14"/>
      <c r="C367" s="14"/>
      <c r="D367" s="14"/>
      <c r="E367" s="14"/>
    </row>
    <row r="368" spans="1:5" x14ac:dyDescent="0.2">
      <c r="A368" s="14"/>
      <c r="B368" s="14"/>
      <c r="C368" s="14"/>
      <c r="D368" s="14"/>
      <c r="E368" s="14"/>
    </row>
    <row r="369" spans="1:5" x14ac:dyDescent="0.2">
      <c r="A369" s="14"/>
      <c r="B369" s="14"/>
      <c r="C369" s="14"/>
      <c r="D369" s="14"/>
      <c r="E369" s="14"/>
    </row>
    <row r="370" spans="1:5" x14ac:dyDescent="0.2">
      <c r="A370" s="14"/>
      <c r="B370" s="14"/>
      <c r="C370" s="14"/>
      <c r="D370" s="14"/>
      <c r="E370" s="14"/>
    </row>
    <row r="371" spans="1:5" x14ac:dyDescent="0.2">
      <c r="A371" s="14"/>
      <c r="B371" s="14"/>
      <c r="C371" s="14"/>
      <c r="D371" s="14"/>
      <c r="E371" s="14"/>
    </row>
    <row r="372" spans="1:5" x14ac:dyDescent="0.2">
      <c r="A372" s="14"/>
      <c r="B372" s="14"/>
      <c r="C372" s="14"/>
      <c r="D372" s="14"/>
      <c r="E372" s="14"/>
    </row>
    <row r="373" spans="1:5" x14ac:dyDescent="0.2">
      <c r="A373" s="14"/>
      <c r="B373" s="14"/>
      <c r="C373" s="14"/>
      <c r="D373" s="14"/>
      <c r="E373" s="14"/>
    </row>
    <row r="374" spans="1:5" x14ac:dyDescent="0.2">
      <c r="A374" s="14"/>
      <c r="B374" s="14"/>
      <c r="C374" s="14"/>
      <c r="D374" s="14"/>
      <c r="E374" s="14"/>
    </row>
    <row r="375" spans="1:5" x14ac:dyDescent="0.2">
      <c r="A375" s="14"/>
      <c r="B375" s="14"/>
      <c r="C375" s="14"/>
      <c r="D375" s="14"/>
      <c r="E375" s="14"/>
    </row>
    <row r="376" spans="1:5" x14ac:dyDescent="0.2">
      <c r="A376" s="14"/>
      <c r="B376" s="14"/>
      <c r="C376" s="14"/>
      <c r="D376" s="14"/>
      <c r="E376" s="14"/>
    </row>
    <row r="377" spans="1:5" x14ac:dyDescent="0.2">
      <c r="A377" s="14"/>
      <c r="B377" s="14"/>
      <c r="C377" s="14"/>
      <c r="D377" s="14"/>
      <c r="E377" s="14"/>
    </row>
    <row r="378" spans="1:5" x14ac:dyDescent="0.2">
      <c r="A378" s="14"/>
      <c r="B378" s="14"/>
      <c r="C378" s="14"/>
      <c r="D378" s="14"/>
      <c r="E378" s="14"/>
    </row>
    <row r="379" spans="1:5" x14ac:dyDescent="0.2">
      <c r="A379" s="14"/>
      <c r="B379" s="14"/>
      <c r="C379" s="14"/>
      <c r="D379" s="14"/>
      <c r="E379" s="14"/>
    </row>
    <row r="380" spans="1:5" x14ac:dyDescent="0.2">
      <c r="A380" s="14"/>
      <c r="B380" s="14"/>
      <c r="C380" s="14"/>
      <c r="D380" s="14"/>
      <c r="E380" s="14"/>
    </row>
    <row r="381" spans="1:5" x14ac:dyDescent="0.2">
      <c r="A381" s="14"/>
      <c r="B381" s="14"/>
      <c r="C381" s="14"/>
      <c r="D381" s="14"/>
      <c r="E381" s="14"/>
    </row>
    <row r="382" spans="1:5" x14ac:dyDescent="0.2">
      <c r="A382" s="14"/>
      <c r="B382" s="14"/>
      <c r="C382" s="14"/>
      <c r="D382" s="14"/>
      <c r="E382" s="14"/>
    </row>
    <row r="383" spans="1:5" x14ac:dyDescent="0.2">
      <c r="A383" s="14"/>
      <c r="B383" s="14"/>
      <c r="C383" s="14"/>
      <c r="D383" s="14"/>
      <c r="E383" s="14"/>
    </row>
    <row r="384" spans="1:5" x14ac:dyDescent="0.2">
      <c r="A384" s="14"/>
      <c r="B384" s="14"/>
      <c r="C384" s="14"/>
      <c r="D384" s="14"/>
      <c r="E384" s="14"/>
    </row>
    <row r="385" spans="1:5" x14ac:dyDescent="0.2">
      <c r="A385" s="14"/>
      <c r="B385" s="14"/>
      <c r="C385" s="14"/>
      <c r="D385" s="14"/>
      <c r="E385" s="14"/>
    </row>
    <row r="386" spans="1:5" x14ac:dyDescent="0.2">
      <c r="A386" s="14"/>
      <c r="B386" s="14"/>
      <c r="C386" s="14"/>
      <c r="D386" s="14"/>
      <c r="E386" s="14"/>
    </row>
    <row r="387" spans="1:5" x14ac:dyDescent="0.2">
      <c r="A387" s="14"/>
      <c r="B387" s="14"/>
      <c r="C387" s="14"/>
      <c r="D387" s="14"/>
      <c r="E387" s="14"/>
    </row>
    <row r="388" spans="1:5" x14ac:dyDescent="0.2">
      <c r="A388" s="14"/>
      <c r="B388" s="14"/>
      <c r="C388" s="14"/>
      <c r="D388" s="14"/>
      <c r="E388" s="14"/>
    </row>
    <row r="389" spans="1:5" x14ac:dyDescent="0.2">
      <c r="A389" s="14"/>
      <c r="B389" s="14"/>
      <c r="C389" s="14"/>
      <c r="D389" s="14"/>
      <c r="E389" s="14"/>
    </row>
    <row r="390" spans="1:5" x14ac:dyDescent="0.2">
      <c r="A390" s="14"/>
      <c r="B390" s="14"/>
      <c r="C390" s="14"/>
      <c r="D390" s="14"/>
      <c r="E390" s="14"/>
    </row>
    <row r="391" spans="1:5" x14ac:dyDescent="0.2">
      <c r="A391" s="14"/>
      <c r="B391" s="14"/>
      <c r="C391" s="14"/>
      <c r="D391" s="14"/>
      <c r="E391" s="14"/>
    </row>
    <row r="392" spans="1:5" x14ac:dyDescent="0.2">
      <c r="A392" s="14"/>
      <c r="B392" s="14"/>
      <c r="C392" s="14"/>
      <c r="D392" s="14"/>
      <c r="E392" s="14"/>
    </row>
    <row r="393" spans="1:5" x14ac:dyDescent="0.2">
      <c r="A393" s="14"/>
      <c r="B393" s="14"/>
      <c r="C393" s="14"/>
      <c r="D393" s="14"/>
      <c r="E393" s="14"/>
    </row>
    <row r="394" spans="1:5" x14ac:dyDescent="0.2">
      <c r="A394" s="14"/>
      <c r="B394" s="14"/>
      <c r="C394" s="14"/>
      <c r="D394" s="14"/>
      <c r="E394" s="14"/>
    </row>
    <row r="395" spans="1:5" x14ac:dyDescent="0.2">
      <c r="A395" s="14"/>
      <c r="B395" s="14"/>
      <c r="C395" s="14"/>
      <c r="D395" s="14"/>
      <c r="E395" s="14"/>
    </row>
    <row r="396" spans="1:5" x14ac:dyDescent="0.2">
      <c r="A396" s="14"/>
      <c r="B396" s="14"/>
      <c r="C396" s="14"/>
      <c r="D396" s="14"/>
      <c r="E396" s="14"/>
    </row>
    <row r="397" spans="1:5" x14ac:dyDescent="0.2">
      <c r="A397" s="14"/>
      <c r="B397" s="14"/>
      <c r="C397" s="14"/>
      <c r="D397" s="14"/>
      <c r="E397" s="14"/>
    </row>
    <row r="398" spans="1:5" x14ac:dyDescent="0.2">
      <c r="A398" s="14"/>
      <c r="B398" s="14"/>
      <c r="C398" s="14"/>
      <c r="D398" s="14"/>
      <c r="E398" s="14"/>
    </row>
    <row r="399" spans="1:5" x14ac:dyDescent="0.2">
      <c r="A399" s="14"/>
      <c r="B399" s="14"/>
      <c r="C399" s="14"/>
      <c r="D399" s="14"/>
      <c r="E399" s="14"/>
    </row>
    <row r="400" spans="1:5" x14ac:dyDescent="0.2">
      <c r="A400" s="14"/>
      <c r="B400" s="14"/>
      <c r="C400" s="14"/>
      <c r="D400" s="14"/>
      <c r="E400" s="14"/>
    </row>
    <row r="401" spans="1:5" x14ac:dyDescent="0.2">
      <c r="A401" s="14"/>
      <c r="B401" s="14"/>
      <c r="C401" s="14"/>
      <c r="D401" s="14"/>
      <c r="E401" s="14"/>
    </row>
    <row r="402" spans="1:5" x14ac:dyDescent="0.2">
      <c r="A402" s="14"/>
      <c r="B402" s="14"/>
      <c r="C402" s="14"/>
      <c r="D402" s="14"/>
      <c r="E402" s="14"/>
    </row>
    <row r="403" spans="1:5" x14ac:dyDescent="0.2">
      <c r="A403" s="14"/>
      <c r="B403" s="14"/>
      <c r="C403" s="14"/>
      <c r="D403" s="14"/>
      <c r="E403" s="14"/>
    </row>
    <row r="404" spans="1:5" x14ac:dyDescent="0.2">
      <c r="A404" s="14"/>
      <c r="B404" s="14"/>
      <c r="C404" s="14"/>
      <c r="D404" s="14"/>
      <c r="E404" s="14"/>
    </row>
    <row r="405" spans="1:5" x14ac:dyDescent="0.2">
      <c r="A405" s="14"/>
      <c r="B405" s="14"/>
      <c r="C405" s="14"/>
      <c r="D405" s="14"/>
      <c r="E405" s="14"/>
    </row>
    <row r="406" spans="1:5" x14ac:dyDescent="0.2">
      <c r="A406" s="14"/>
      <c r="B406" s="14"/>
      <c r="C406" s="14"/>
      <c r="D406" s="14"/>
      <c r="E406" s="14"/>
    </row>
    <row r="407" spans="1:5" x14ac:dyDescent="0.2">
      <c r="A407" s="14"/>
      <c r="B407" s="14"/>
      <c r="C407" s="14"/>
      <c r="D407" s="14"/>
      <c r="E407" s="14"/>
    </row>
    <row r="408" spans="1:5" x14ac:dyDescent="0.2">
      <c r="A408" s="14"/>
      <c r="B408" s="14"/>
      <c r="C408" s="14"/>
      <c r="D408" s="14"/>
      <c r="E408" s="14"/>
    </row>
    <row r="409" spans="1:5" x14ac:dyDescent="0.2">
      <c r="A409" s="14"/>
      <c r="B409" s="14"/>
      <c r="C409" s="14"/>
      <c r="D409" s="14"/>
      <c r="E409" s="14"/>
    </row>
    <row r="410" spans="1:5" x14ac:dyDescent="0.2">
      <c r="A410" s="14"/>
      <c r="B410" s="14"/>
      <c r="C410" s="14"/>
      <c r="D410" s="14"/>
      <c r="E410" s="14"/>
    </row>
    <row r="411" spans="1:5" x14ac:dyDescent="0.2">
      <c r="A411" s="14"/>
      <c r="B411" s="14"/>
      <c r="C411" s="14"/>
      <c r="D411" s="14"/>
      <c r="E411" s="14"/>
    </row>
    <row r="412" spans="1:5" x14ac:dyDescent="0.2">
      <c r="A412" s="14"/>
      <c r="B412" s="14"/>
      <c r="C412" s="14"/>
      <c r="D412" s="14"/>
      <c r="E412" s="14"/>
    </row>
    <row r="413" spans="1:5" x14ac:dyDescent="0.2">
      <c r="A413" s="14"/>
      <c r="B413" s="14"/>
      <c r="C413" s="14"/>
      <c r="D413" s="14"/>
      <c r="E413" s="14"/>
    </row>
    <row r="414" spans="1:5" x14ac:dyDescent="0.2">
      <c r="A414" s="14"/>
      <c r="B414" s="14"/>
      <c r="C414" s="14"/>
      <c r="D414" s="14"/>
      <c r="E414" s="14"/>
    </row>
    <row r="415" spans="1:5" x14ac:dyDescent="0.2">
      <c r="A415" s="14"/>
      <c r="B415" s="14"/>
      <c r="C415" s="14"/>
      <c r="D415" s="14"/>
      <c r="E415" s="14"/>
    </row>
    <row r="416" spans="1:5" x14ac:dyDescent="0.2">
      <c r="A416" s="14"/>
      <c r="B416" s="14"/>
      <c r="C416" s="14"/>
      <c r="D416" s="14"/>
      <c r="E416" s="14"/>
    </row>
    <row r="417" spans="1:5" x14ac:dyDescent="0.2">
      <c r="A417" s="14"/>
      <c r="B417" s="14"/>
      <c r="C417" s="14"/>
      <c r="D417" s="14"/>
      <c r="E417" s="14"/>
    </row>
    <row r="418" spans="1:5" x14ac:dyDescent="0.2">
      <c r="A418" s="14"/>
      <c r="B418" s="14"/>
      <c r="C418" s="14"/>
      <c r="D418" s="14"/>
      <c r="E418" s="14"/>
    </row>
    <row r="419" spans="1:5" x14ac:dyDescent="0.2">
      <c r="A419" s="14"/>
      <c r="B419" s="14"/>
      <c r="C419" s="14"/>
      <c r="D419" s="14"/>
      <c r="E419" s="14"/>
    </row>
    <row r="420" spans="1:5" x14ac:dyDescent="0.2">
      <c r="A420" s="14"/>
      <c r="B420" s="14"/>
      <c r="C420" s="14"/>
      <c r="D420" s="14"/>
      <c r="E420" s="14"/>
    </row>
    <row r="421" spans="1:5" x14ac:dyDescent="0.2">
      <c r="A421" s="14"/>
      <c r="B421" s="14"/>
      <c r="C421" s="14"/>
      <c r="D421" s="14"/>
      <c r="E421" s="14"/>
    </row>
    <row r="422" spans="1:5" x14ac:dyDescent="0.2">
      <c r="A422" s="14"/>
      <c r="B422" s="14"/>
      <c r="C422" s="14"/>
      <c r="D422" s="14"/>
      <c r="E422" s="14"/>
    </row>
    <row r="423" spans="1:5" x14ac:dyDescent="0.2">
      <c r="A423" s="14"/>
      <c r="B423" s="14"/>
      <c r="C423" s="14"/>
      <c r="D423" s="14"/>
      <c r="E423" s="14"/>
    </row>
    <row r="424" spans="1:5" x14ac:dyDescent="0.2">
      <c r="A424" s="14"/>
      <c r="B424" s="14"/>
      <c r="C424" s="14"/>
      <c r="D424" s="14"/>
      <c r="E424" s="14"/>
    </row>
    <row r="425" spans="1:5" x14ac:dyDescent="0.2">
      <c r="A425" s="14"/>
      <c r="B425" s="14"/>
      <c r="C425" s="14"/>
      <c r="D425" s="14"/>
      <c r="E425" s="14"/>
    </row>
    <row r="426" spans="1:5" x14ac:dyDescent="0.2">
      <c r="A426" s="14"/>
      <c r="B426" s="14"/>
      <c r="C426" s="14"/>
      <c r="D426" s="14"/>
      <c r="E426" s="14"/>
    </row>
    <row r="427" spans="1:5" x14ac:dyDescent="0.2">
      <c r="A427" s="14"/>
      <c r="B427" s="14"/>
      <c r="C427" s="14"/>
      <c r="D427" s="14"/>
      <c r="E427" s="14"/>
    </row>
    <row r="428" spans="1:5" x14ac:dyDescent="0.2">
      <c r="A428" s="14"/>
      <c r="B428" s="14"/>
      <c r="C428" s="14"/>
      <c r="D428" s="14"/>
      <c r="E428" s="14"/>
    </row>
    <row r="429" spans="1:5" x14ac:dyDescent="0.2">
      <c r="A429" s="14"/>
      <c r="B429" s="14"/>
      <c r="C429" s="14"/>
      <c r="D429" s="14"/>
      <c r="E429" s="14"/>
    </row>
    <row r="430" spans="1:5" x14ac:dyDescent="0.2">
      <c r="A430" s="14"/>
      <c r="B430" s="14"/>
      <c r="C430" s="14"/>
      <c r="D430" s="14"/>
      <c r="E430" s="14"/>
    </row>
    <row r="431" spans="1:5" x14ac:dyDescent="0.2">
      <c r="A431" s="14"/>
      <c r="B431" s="14"/>
      <c r="C431" s="14"/>
      <c r="D431" s="14"/>
      <c r="E431" s="14"/>
    </row>
    <row r="432" spans="1:5" x14ac:dyDescent="0.2">
      <c r="A432" s="14"/>
      <c r="B432" s="14"/>
      <c r="C432" s="14"/>
      <c r="D432" s="14"/>
      <c r="E432" s="14"/>
    </row>
    <row r="433" spans="1:5" x14ac:dyDescent="0.2">
      <c r="A433" s="14"/>
      <c r="B433" s="14"/>
      <c r="C433" s="14"/>
      <c r="D433" s="14"/>
      <c r="E433" s="14"/>
    </row>
    <row r="434" spans="1:5" x14ac:dyDescent="0.2">
      <c r="A434" s="14"/>
      <c r="B434" s="14"/>
      <c r="C434" s="14"/>
      <c r="D434" s="14"/>
      <c r="E434" s="14"/>
    </row>
    <row r="435" spans="1:5" x14ac:dyDescent="0.2">
      <c r="A435" s="14"/>
      <c r="B435" s="14"/>
      <c r="C435" s="14"/>
      <c r="D435" s="14"/>
      <c r="E435" s="14"/>
    </row>
    <row r="436" spans="1:5" x14ac:dyDescent="0.2">
      <c r="A436" s="14"/>
      <c r="B436" s="14"/>
      <c r="C436" s="14"/>
      <c r="D436" s="14"/>
      <c r="E436" s="14"/>
    </row>
    <row r="437" spans="1:5" x14ac:dyDescent="0.2">
      <c r="A437" s="14"/>
      <c r="B437" s="14"/>
      <c r="C437" s="14"/>
      <c r="D437" s="14"/>
      <c r="E437" s="14"/>
    </row>
    <row r="438" spans="1:5" x14ac:dyDescent="0.2">
      <c r="A438" s="14"/>
      <c r="B438" s="14"/>
      <c r="C438" s="14"/>
      <c r="D438" s="14"/>
      <c r="E438" s="14"/>
    </row>
    <row r="439" spans="1:5" x14ac:dyDescent="0.2">
      <c r="A439" s="14"/>
      <c r="B439" s="14"/>
      <c r="C439" s="14"/>
      <c r="D439" s="14"/>
      <c r="E439" s="14"/>
    </row>
    <row r="440" spans="1:5" x14ac:dyDescent="0.2">
      <c r="A440" s="14"/>
      <c r="B440" s="14"/>
      <c r="C440" s="14"/>
      <c r="D440" s="14"/>
      <c r="E440" s="14"/>
    </row>
    <row r="441" spans="1:5" x14ac:dyDescent="0.2">
      <c r="A441" s="14"/>
      <c r="B441" s="14"/>
      <c r="C441" s="14"/>
      <c r="D441" s="14"/>
      <c r="E441" s="14"/>
    </row>
    <row r="442" spans="1:5" x14ac:dyDescent="0.2">
      <c r="A442" s="14"/>
      <c r="B442" s="14"/>
      <c r="C442" s="14"/>
      <c r="D442" s="14"/>
      <c r="E442" s="14"/>
    </row>
    <row r="443" spans="1:5" x14ac:dyDescent="0.2">
      <c r="A443" s="14"/>
      <c r="B443" s="14"/>
      <c r="C443" s="14"/>
      <c r="D443" s="14"/>
      <c r="E443" s="14"/>
    </row>
    <row r="444" spans="1:5" x14ac:dyDescent="0.2">
      <c r="A444" s="14"/>
      <c r="B444" s="14"/>
      <c r="C444" s="14"/>
      <c r="D444" s="14"/>
      <c r="E444" s="14"/>
    </row>
    <row r="445" spans="1:5" x14ac:dyDescent="0.2">
      <c r="A445" s="14"/>
      <c r="B445" s="14"/>
      <c r="C445" s="14"/>
      <c r="D445" s="14"/>
      <c r="E445" s="14"/>
    </row>
    <row r="446" spans="1:5" x14ac:dyDescent="0.2">
      <c r="A446" s="14"/>
      <c r="B446" s="14"/>
      <c r="C446" s="14"/>
      <c r="D446" s="14"/>
      <c r="E446" s="14"/>
    </row>
    <row r="447" spans="1:5" x14ac:dyDescent="0.2">
      <c r="A447" s="14"/>
      <c r="B447" s="14"/>
      <c r="C447" s="14"/>
      <c r="D447" s="14"/>
      <c r="E447" s="14"/>
    </row>
    <row r="448" spans="1:5" x14ac:dyDescent="0.2">
      <c r="A448" s="14"/>
      <c r="B448" s="14"/>
      <c r="C448" s="14"/>
      <c r="D448" s="14"/>
      <c r="E448" s="14"/>
    </row>
    <row r="449" spans="1:5" x14ac:dyDescent="0.2">
      <c r="A449" s="14"/>
      <c r="B449" s="14"/>
      <c r="C449" s="14"/>
      <c r="D449" s="14"/>
      <c r="E449" s="14"/>
    </row>
    <row r="450" spans="1:5" x14ac:dyDescent="0.2">
      <c r="A450" s="14"/>
      <c r="B450" s="14"/>
      <c r="C450" s="14"/>
      <c r="D450" s="14"/>
      <c r="E450" s="14"/>
    </row>
    <row r="451" spans="1:5" x14ac:dyDescent="0.2">
      <c r="A451" s="14"/>
      <c r="B451" s="14"/>
      <c r="C451" s="14"/>
      <c r="D451" s="14"/>
      <c r="E451" s="14"/>
    </row>
    <row r="452" spans="1:5" x14ac:dyDescent="0.2">
      <c r="A452" s="14"/>
      <c r="B452" s="14"/>
      <c r="C452" s="14"/>
      <c r="D452" s="14"/>
      <c r="E452" s="14"/>
    </row>
    <row r="453" spans="1:5" x14ac:dyDescent="0.2">
      <c r="A453" s="14"/>
      <c r="B453" s="14"/>
      <c r="C453" s="14"/>
      <c r="D453" s="14"/>
      <c r="E453" s="14"/>
    </row>
    <row r="454" spans="1:5" x14ac:dyDescent="0.2">
      <c r="A454" s="14"/>
      <c r="B454" s="14"/>
      <c r="C454" s="14"/>
      <c r="D454" s="14"/>
      <c r="E454" s="14"/>
    </row>
    <row r="455" spans="1:5" x14ac:dyDescent="0.2">
      <c r="A455" s="14"/>
      <c r="B455" s="14"/>
      <c r="C455" s="14"/>
      <c r="D455" s="14"/>
      <c r="E455" s="14"/>
    </row>
    <row r="456" spans="1:5" x14ac:dyDescent="0.2">
      <c r="A456" s="14"/>
      <c r="B456" s="14"/>
      <c r="C456" s="14"/>
      <c r="D456" s="14"/>
      <c r="E456" s="14"/>
    </row>
    <row r="457" spans="1:5" x14ac:dyDescent="0.2">
      <c r="A457" s="14"/>
      <c r="B457" s="14"/>
      <c r="C457" s="14"/>
      <c r="D457" s="14"/>
      <c r="E457" s="14"/>
    </row>
    <row r="458" spans="1:5" x14ac:dyDescent="0.2">
      <c r="A458" s="14"/>
      <c r="B458" s="14"/>
      <c r="C458" s="14"/>
      <c r="D458" s="14"/>
      <c r="E458" s="14"/>
    </row>
    <row r="459" spans="1:5" x14ac:dyDescent="0.2">
      <c r="A459" s="14"/>
      <c r="B459" s="14"/>
      <c r="C459" s="14"/>
      <c r="D459" s="14"/>
      <c r="E459" s="14"/>
    </row>
    <row r="460" spans="1:5" x14ac:dyDescent="0.2">
      <c r="A460" s="14"/>
      <c r="B460" s="14"/>
      <c r="C460" s="14"/>
      <c r="D460" s="14"/>
      <c r="E460" s="14"/>
    </row>
    <row r="461" spans="1:5" x14ac:dyDescent="0.2">
      <c r="A461" s="14"/>
      <c r="B461" s="14"/>
      <c r="C461" s="14"/>
      <c r="D461" s="14"/>
      <c r="E461" s="14"/>
    </row>
    <row r="462" spans="1:5" x14ac:dyDescent="0.2">
      <c r="A462" s="14"/>
      <c r="B462" s="14"/>
      <c r="C462" s="14"/>
      <c r="D462" s="14"/>
      <c r="E462" s="14"/>
    </row>
    <row r="463" spans="1:5" x14ac:dyDescent="0.2">
      <c r="A463" s="14"/>
      <c r="B463" s="14"/>
      <c r="C463" s="14"/>
      <c r="D463" s="14"/>
      <c r="E463" s="14"/>
    </row>
    <row r="464" spans="1:5" x14ac:dyDescent="0.2">
      <c r="A464" s="14"/>
      <c r="B464" s="14"/>
      <c r="C464" s="14"/>
      <c r="D464" s="14"/>
      <c r="E464" s="14"/>
    </row>
    <row r="465" spans="1:5" x14ac:dyDescent="0.2">
      <c r="A465" s="14"/>
      <c r="B465" s="14"/>
      <c r="C465" s="14"/>
      <c r="D465" s="14"/>
      <c r="E465" s="14"/>
    </row>
    <row r="466" spans="1:5" x14ac:dyDescent="0.2">
      <c r="A466" s="14"/>
      <c r="B466" s="14"/>
      <c r="C466" s="14"/>
      <c r="D466" s="14"/>
      <c r="E466" s="14"/>
    </row>
    <row r="467" spans="1:5" x14ac:dyDescent="0.2">
      <c r="A467" s="14"/>
      <c r="B467" s="14"/>
      <c r="C467" s="14"/>
      <c r="D467" s="14"/>
      <c r="E467" s="14"/>
    </row>
    <row r="468" spans="1:5" x14ac:dyDescent="0.2">
      <c r="A468" s="14"/>
      <c r="B468" s="14"/>
      <c r="C468" s="14"/>
      <c r="D468" s="14"/>
      <c r="E468" s="14"/>
    </row>
    <row r="469" spans="1:5" x14ac:dyDescent="0.2">
      <c r="A469" s="14"/>
      <c r="B469" s="14"/>
      <c r="C469" s="14"/>
      <c r="D469" s="14"/>
      <c r="E469" s="14"/>
    </row>
    <row r="470" spans="1:5" x14ac:dyDescent="0.2">
      <c r="A470" s="14"/>
      <c r="B470" s="14"/>
      <c r="C470" s="14"/>
      <c r="D470" s="14"/>
      <c r="E470" s="14"/>
    </row>
    <row r="471" spans="1:5" x14ac:dyDescent="0.2">
      <c r="A471" s="14"/>
      <c r="B471" s="14"/>
      <c r="C471" s="14"/>
      <c r="D471" s="14"/>
      <c r="E471" s="14"/>
    </row>
    <row r="472" spans="1:5" x14ac:dyDescent="0.2">
      <c r="A472" s="14"/>
      <c r="B472" s="14"/>
      <c r="C472" s="14"/>
      <c r="D472" s="14"/>
      <c r="E472" s="14"/>
    </row>
    <row r="473" spans="1:5" x14ac:dyDescent="0.2">
      <c r="A473" s="14"/>
      <c r="B473" s="14"/>
      <c r="C473" s="14"/>
      <c r="D473" s="14"/>
      <c r="E473" s="14"/>
    </row>
    <row r="474" spans="1:5" x14ac:dyDescent="0.2">
      <c r="A474" s="14"/>
      <c r="B474" s="14"/>
      <c r="C474" s="14"/>
      <c r="D474" s="14"/>
      <c r="E474" s="14"/>
    </row>
    <row r="475" spans="1:5" x14ac:dyDescent="0.2">
      <c r="A475" s="14"/>
      <c r="B475" s="14"/>
      <c r="C475" s="14"/>
      <c r="D475" s="14"/>
      <c r="E475" s="14"/>
    </row>
    <row r="476" spans="1:5" x14ac:dyDescent="0.2">
      <c r="A476" s="14"/>
      <c r="B476" s="14"/>
      <c r="C476" s="14"/>
      <c r="D476" s="14"/>
      <c r="E476" s="14"/>
    </row>
    <row r="477" spans="1:5" x14ac:dyDescent="0.2">
      <c r="A477" s="14"/>
      <c r="B477" s="14"/>
      <c r="C477" s="14"/>
      <c r="D477" s="14"/>
      <c r="E477" s="14"/>
    </row>
    <row r="478" spans="1:5" x14ac:dyDescent="0.2">
      <c r="A478" s="14"/>
      <c r="B478" s="14"/>
      <c r="C478" s="14"/>
      <c r="D478" s="14"/>
      <c r="E478" s="14"/>
    </row>
    <row r="479" spans="1:5" x14ac:dyDescent="0.2">
      <c r="A479" s="14"/>
      <c r="B479" s="14"/>
      <c r="C479" s="14"/>
      <c r="D479" s="14"/>
      <c r="E479" s="14"/>
    </row>
    <row r="480" spans="1:5" x14ac:dyDescent="0.2">
      <c r="A480" s="14"/>
      <c r="B480" s="14"/>
      <c r="C480" s="14"/>
      <c r="D480" s="14"/>
      <c r="E480" s="14"/>
    </row>
    <row r="481" spans="1:5" x14ac:dyDescent="0.2">
      <c r="A481" s="14"/>
      <c r="B481" s="14"/>
      <c r="C481" s="14"/>
      <c r="D481" s="14"/>
      <c r="E481" s="14"/>
    </row>
    <row r="482" spans="1:5" x14ac:dyDescent="0.2">
      <c r="A482" s="14"/>
      <c r="B482" s="14"/>
      <c r="C482" s="14"/>
      <c r="D482" s="14"/>
      <c r="E482" s="14"/>
    </row>
    <row r="483" spans="1:5" x14ac:dyDescent="0.2">
      <c r="A483" s="14"/>
      <c r="B483" s="14"/>
      <c r="C483" s="14"/>
      <c r="D483" s="14"/>
      <c r="E483" s="14"/>
    </row>
    <row r="484" spans="1:5" x14ac:dyDescent="0.2">
      <c r="A484" s="14"/>
      <c r="B484" s="14"/>
      <c r="C484" s="14"/>
      <c r="D484" s="14"/>
      <c r="E484" s="14"/>
    </row>
    <row r="485" spans="1:5" x14ac:dyDescent="0.2">
      <c r="A485" s="14"/>
      <c r="B485" s="14"/>
      <c r="C485" s="14"/>
      <c r="D485" s="14"/>
      <c r="E485" s="14"/>
    </row>
    <row r="486" spans="1:5" x14ac:dyDescent="0.2">
      <c r="A486" s="14"/>
      <c r="B486" s="14"/>
      <c r="C486" s="14"/>
      <c r="D486" s="14"/>
      <c r="E486" s="14"/>
    </row>
    <row r="487" spans="1:5" x14ac:dyDescent="0.2">
      <c r="A487" s="14"/>
      <c r="B487" s="14"/>
      <c r="C487" s="14"/>
      <c r="D487" s="14"/>
      <c r="E487" s="14"/>
    </row>
    <row r="488" spans="1:5" x14ac:dyDescent="0.2">
      <c r="A488" s="14"/>
      <c r="B488" s="14"/>
      <c r="C488" s="14"/>
      <c r="D488" s="14"/>
      <c r="E488" s="14"/>
    </row>
    <row r="489" spans="1:5" x14ac:dyDescent="0.2">
      <c r="A489" s="14"/>
      <c r="B489" s="14"/>
      <c r="C489" s="14"/>
      <c r="D489" s="14"/>
      <c r="E489" s="14"/>
    </row>
    <row r="490" spans="1:5" x14ac:dyDescent="0.2">
      <c r="A490" s="14"/>
      <c r="B490" s="14"/>
      <c r="C490" s="14"/>
      <c r="D490" s="14"/>
      <c r="E490" s="14"/>
    </row>
    <row r="491" spans="1:5" x14ac:dyDescent="0.2">
      <c r="A491" s="14"/>
      <c r="B491" s="14"/>
      <c r="C491" s="14"/>
      <c r="D491" s="14"/>
      <c r="E491" s="14"/>
    </row>
    <row r="492" spans="1:5" x14ac:dyDescent="0.2">
      <c r="A492" s="14"/>
      <c r="B492" s="14"/>
      <c r="C492" s="14"/>
      <c r="D492" s="14"/>
      <c r="E492" s="14"/>
    </row>
    <row r="493" spans="1:5" x14ac:dyDescent="0.2">
      <c r="A493" s="14"/>
      <c r="B493" s="14"/>
      <c r="C493" s="14"/>
      <c r="D493" s="14"/>
      <c r="E493" s="14"/>
    </row>
    <row r="494" spans="1:5" x14ac:dyDescent="0.2">
      <c r="A494" s="14"/>
      <c r="B494" s="14"/>
      <c r="C494" s="14"/>
      <c r="D494" s="14"/>
      <c r="E494" s="14"/>
    </row>
    <row r="495" spans="1:5" x14ac:dyDescent="0.2">
      <c r="A495" s="14"/>
      <c r="B495" s="14"/>
      <c r="C495" s="14"/>
      <c r="D495" s="14"/>
      <c r="E495" s="14"/>
    </row>
    <row r="496" spans="1:5" x14ac:dyDescent="0.2">
      <c r="A496" s="14"/>
      <c r="B496" s="14"/>
      <c r="C496" s="14"/>
      <c r="D496" s="14"/>
      <c r="E496" s="14"/>
    </row>
    <row r="497" spans="1:5" x14ac:dyDescent="0.2">
      <c r="A497" s="14"/>
      <c r="B497" s="14"/>
      <c r="C497" s="14"/>
      <c r="D497" s="14"/>
      <c r="E497" s="14"/>
    </row>
    <row r="498" spans="1:5" x14ac:dyDescent="0.2">
      <c r="A498" s="14"/>
      <c r="B498" s="14"/>
      <c r="C498" s="14"/>
      <c r="D498" s="14"/>
      <c r="E498" s="14"/>
    </row>
    <row r="499" spans="1:5" x14ac:dyDescent="0.2">
      <c r="A499" s="14"/>
      <c r="B499" s="14"/>
      <c r="C499" s="14"/>
      <c r="D499" s="14"/>
      <c r="E499" s="14"/>
    </row>
    <row r="500" spans="1:5" x14ac:dyDescent="0.2">
      <c r="A500" s="14"/>
      <c r="B500" s="14"/>
      <c r="C500" s="14"/>
      <c r="D500" s="14"/>
      <c r="E500" s="14"/>
    </row>
    <row r="501" spans="1:5" x14ac:dyDescent="0.2">
      <c r="A501" s="14"/>
      <c r="B501" s="14"/>
      <c r="C501" s="14"/>
      <c r="D501" s="14"/>
      <c r="E501" s="14"/>
    </row>
    <row r="502" spans="1:5" x14ac:dyDescent="0.2">
      <c r="A502" s="14"/>
      <c r="B502" s="14"/>
      <c r="C502" s="14"/>
      <c r="D502" s="14"/>
      <c r="E502" s="14"/>
    </row>
    <row r="503" spans="1:5" x14ac:dyDescent="0.2">
      <c r="A503" s="14"/>
      <c r="B503" s="14"/>
      <c r="C503" s="14"/>
      <c r="D503" s="14"/>
      <c r="E503" s="14"/>
    </row>
    <row r="504" spans="1:5" x14ac:dyDescent="0.2">
      <c r="A504" s="14"/>
      <c r="B504" s="14"/>
      <c r="C504" s="14"/>
      <c r="D504" s="14"/>
      <c r="E504" s="14"/>
    </row>
    <row r="505" spans="1:5" x14ac:dyDescent="0.2">
      <c r="A505" s="14"/>
      <c r="B505" s="14"/>
      <c r="C505" s="14"/>
      <c r="D505" s="14"/>
      <c r="E505" s="14"/>
    </row>
    <row r="506" spans="1:5" x14ac:dyDescent="0.2">
      <c r="A506" s="14"/>
      <c r="B506" s="14"/>
      <c r="C506" s="14"/>
      <c r="D506" s="14"/>
      <c r="E506" s="14"/>
    </row>
    <row r="507" spans="1:5" x14ac:dyDescent="0.2">
      <c r="A507" s="14"/>
      <c r="B507" s="14"/>
      <c r="C507" s="14"/>
      <c r="D507" s="14"/>
      <c r="E507" s="14"/>
    </row>
    <row r="508" spans="1:5" x14ac:dyDescent="0.2">
      <c r="A508" s="14"/>
      <c r="B508" s="14"/>
      <c r="C508" s="14"/>
      <c r="D508" s="14"/>
      <c r="E508" s="14"/>
    </row>
    <row r="509" spans="1:5" x14ac:dyDescent="0.2">
      <c r="A509" s="14"/>
      <c r="B509" s="14"/>
      <c r="C509" s="14"/>
      <c r="D509" s="14"/>
      <c r="E509" s="14"/>
    </row>
    <row r="510" spans="1:5" x14ac:dyDescent="0.2">
      <c r="A510" s="14"/>
      <c r="B510" s="14"/>
      <c r="C510" s="14"/>
      <c r="D510" s="14"/>
      <c r="E510" s="14"/>
    </row>
    <row r="511" spans="1:5" x14ac:dyDescent="0.2">
      <c r="A511" s="14"/>
      <c r="B511" s="14"/>
      <c r="C511" s="14"/>
      <c r="D511" s="14"/>
      <c r="E511" s="14"/>
    </row>
    <row r="512" spans="1:5" x14ac:dyDescent="0.2">
      <c r="A512" s="14"/>
      <c r="B512" s="14"/>
      <c r="C512" s="14"/>
      <c r="D512" s="14"/>
      <c r="E512" s="14"/>
    </row>
    <row r="513" spans="1:5" x14ac:dyDescent="0.2">
      <c r="A513" s="14"/>
      <c r="B513" s="14"/>
      <c r="C513" s="14"/>
      <c r="D513" s="14"/>
      <c r="E513" s="14"/>
    </row>
    <row r="514" spans="1:5" x14ac:dyDescent="0.2">
      <c r="A514" s="14"/>
      <c r="B514" s="14"/>
      <c r="C514" s="14"/>
      <c r="D514" s="14"/>
      <c r="E514" s="14"/>
    </row>
    <row r="515" spans="1:5" x14ac:dyDescent="0.2">
      <c r="A515" s="14"/>
      <c r="B515" s="14"/>
      <c r="C515" s="14"/>
      <c r="D515" s="14"/>
      <c r="E515" s="14"/>
    </row>
    <row r="516" spans="1:5" x14ac:dyDescent="0.2">
      <c r="A516" s="14"/>
      <c r="B516" s="14"/>
      <c r="C516" s="14"/>
      <c r="D516" s="14"/>
      <c r="E516" s="14"/>
    </row>
    <row r="517" spans="1:5" x14ac:dyDescent="0.2">
      <c r="A517" s="14"/>
      <c r="B517" s="14"/>
      <c r="C517" s="14"/>
      <c r="D517" s="14"/>
      <c r="E517" s="14"/>
    </row>
    <row r="518" spans="1:5" x14ac:dyDescent="0.2">
      <c r="A518" s="14"/>
      <c r="B518" s="14"/>
      <c r="C518" s="14"/>
      <c r="D518" s="14"/>
      <c r="E518" s="14"/>
    </row>
    <row r="519" spans="1:5" x14ac:dyDescent="0.2">
      <c r="A519" s="14"/>
      <c r="B519" s="14"/>
      <c r="C519" s="14"/>
      <c r="D519" s="14"/>
      <c r="E519" s="14"/>
    </row>
    <row r="520" spans="1:5" x14ac:dyDescent="0.2">
      <c r="A520" s="14"/>
      <c r="B520" s="14"/>
      <c r="C520" s="14"/>
      <c r="D520" s="14"/>
      <c r="E520" s="14"/>
    </row>
    <row r="521" spans="1:5" x14ac:dyDescent="0.2">
      <c r="A521" s="14"/>
      <c r="B521" s="14"/>
      <c r="C521" s="14"/>
      <c r="D521" s="14"/>
      <c r="E521" s="14"/>
    </row>
    <row r="522" spans="1:5" x14ac:dyDescent="0.2">
      <c r="A522" s="14"/>
      <c r="B522" s="14"/>
      <c r="C522" s="14"/>
      <c r="D522" s="14"/>
      <c r="E522" s="14"/>
    </row>
    <row r="523" spans="1:5" x14ac:dyDescent="0.2">
      <c r="A523" s="14"/>
      <c r="B523" s="14"/>
      <c r="C523" s="14"/>
      <c r="D523" s="14"/>
      <c r="E523" s="14"/>
    </row>
    <row r="524" spans="1:5" x14ac:dyDescent="0.2">
      <c r="A524" s="14"/>
      <c r="B524" s="14"/>
      <c r="C524" s="14"/>
      <c r="D524" s="14"/>
      <c r="E524" s="14"/>
    </row>
    <row r="525" spans="1:5" x14ac:dyDescent="0.2">
      <c r="A525" s="14"/>
      <c r="B525" s="14"/>
      <c r="C525" s="14"/>
      <c r="D525" s="14"/>
      <c r="E525" s="14"/>
    </row>
    <row r="526" spans="1:5" x14ac:dyDescent="0.2">
      <c r="A526" s="14"/>
      <c r="B526" s="14"/>
      <c r="C526" s="14"/>
      <c r="D526" s="14"/>
      <c r="E526" s="14"/>
    </row>
    <row r="527" spans="1:5" x14ac:dyDescent="0.2">
      <c r="A527" s="14"/>
      <c r="B527" s="14"/>
      <c r="C527" s="14"/>
      <c r="D527" s="14"/>
      <c r="E527" s="14"/>
    </row>
    <row r="528" spans="1:5" x14ac:dyDescent="0.2">
      <c r="A528" s="14"/>
      <c r="B528" s="14"/>
      <c r="C528" s="14"/>
      <c r="D528" s="14"/>
      <c r="E528" s="14"/>
    </row>
    <row r="529" spans="1:5" x14ac:dyDescent="0.2">
      <c r="A529" s="14"/>
      <c r="B529" s="14"/>
      <c r="C529" s="14"/>
      <c r="D529" s="14"/>
      <c r="E529" s="14"/>
    </row>
    <row r="530" spans="1:5" x14ac:dyDescent="0.2">
      <c r="A530" s="14"/>
      <c r="B530" s="14"/>
      <c r="C530" s="14"/>
      <c r="D530" s="14"/>
      <c r="E530" s="14"/>
    </row>
    <row r="531" spans="1:5" x14ac:dyDescent="0.2">
      <c r="A531" s="14"/>
      <c r="B531" s="14"/>
      <c r="C531" s="14"/>
      <c r="D531" s="14"/>
      <c r="E531" s="14"/>
    </row>
    <row r="532" spans="1:5" x14ac:dyDescent="0.2">
      <c r="A532" s="14"/>
      <c r="B532" s="14"/>
      <c r="C532" s="14"/>
      <c r="D532" s="14"/>
      <c r="E532" s="14"/>
    </row>
    <row r="533" spans="1:5" x14ac:dyDescent="0.2">
      <c r="A533" s="14"/>
      <c r="B533" s="14"/>
      <c r="C533" s="14"/>
      <c r="D533" s="14"/>
      <c r="E533" s="14"/>
    </row>
    <row r="534" spans="1:5" x14ac:dyDescent="0.2">
      <c r="A534" s="14"/>
      <c r="B534" s="14"/>
      <c r="C534" s="14"/>
      <c r="D534" s="14"/>
      <c r="E534" s="14"/>
    </row>
    <row r="535" spans="1:5" x14ac:dyDescent="0.2">
      <c r="A535" s="14"/>
      <c r="B535" s="14"/>
      <c r="C535" s="14"/>
      <c r="D535" s="14"/>
      <c r="E535" s="14"/>
    </row>
    <row r="536" spans="1:5" x14ac:dyDescent="0.2">
      <c r="A536" s="14"/>
      <c r="B536" s="14"/>
      <c r="C536" s="14"/>
      <c r="D536" s="14"/>
      <c r="E536" s="14"/>
    </row>
    <row r="537" spans="1:5" x14ac:dyDescent="0.2">
      <c r="A537" s="14"/>
      <c r="B537" s="14"/>
      <c r="C537" s="14"/>
      <c r="D537" s="14"/>
      <c r="E537" s="14"/>
    </row>
    <row r="538" spans="1:5" x14ac:dyDescent="0.2">
      <c r="A538" s="14"/>
      <c r="B538" s="14"/>
      <c r="C538" s="14"/>
      <c r="D538" s="14"/>
      <c r="E538" s="14"/>
    </row>
    <row r="539" spans="1:5" x14ac:dyDescent="0.2">
      <c r="A539" s="14"/>
      <c r="B539" s="14"/>
      <c r="C539" s="14"/>
      <c r="D539" s="14"/>
      <c r="E539" s="14"/>
    </row>
    <row r="540" spans="1:5" x14ac:dyDescent="0.2">
      <c r="A540" s="14"/>
      <c r="B540" s="14"/>
      <c r="C540" s="14"/>
      <c r="D540" s="14"/>
      <c r="E540" s="14"/>
    </row>
    <row r="541" spans="1:5" x14ac:dyDescent="0.2">
      <c r="A541" s="14"/>
      <c r="B541" s="14"/>
      <c r="C541" s="14"/>
      <c r="D541" s="14"/>
      <c r="E541" s="14"/>
    </row>
    <row r="542" spans="1:5" x14ac:dyDescent="0.2">
      <c r="A542" s="14"/>
      <c r="B542" s="14"/>
      <c r="C542" s="14"/>
      <c r="D542" s="14"/>
      <c r="E542" s="14"/>
    </row>
    <row r="543" spans="1:5" x14ac:dyDescent="0.2">
      <c r="A543" s="14"/>
      <c r="B543" s="14"/>
      <c r="C543" s="14"/>
      <c r="D543" s="14"/>
      <c r="E543" s="14"/>
    </row>
    <row r="544" spans="1:5" x14ac:dyDescent="0.2">
      <c r="A544" s="14"/>
      <c r="B544" s="14"/>
      <c r="C544" s="14"/>
      <c r="D544" s="14"/>
      <c r="E544" s="14"/>
    </row>
    <row r="545" spans="1:5" x14ac:dyDescent="0.2">
      <c r="A545" s="14"/>
      <c r="B545" s="14"/>
      <c r="C545" s="14"/>
      <c r="D545" s="14"/>
      <c r="E545" s="14"/>
    </row>
    <row r="546" spans="1:5" x14ac:dyDescent="0.2">
      <c r="A546" s="14"/>
      <c r="B546" s="14"/>
      <c r="C546" s="14"/>
      <c r="D546" s="14"/>
      <c r="E546" s="14"/>
    </row>
    <row r="547" spans="1:5" x14ac:dyDescent="0.2">
      <c r="A547" s="14"/>
      <c r="B547" s="14"/>
      <c r="C547" s="14"/>
      <c r="D547" s="14"/>
      <c r="E547" s="14"/>
    </row>
    <row r="548" spans="1:5" x14ac:dyDescent="0.2">
      <c r="A548" s="14"/>
      <c r="B548" s="14"/>
      <c r="C548" s="14"/>
      <c r="D548" s="14"/>
      <c r="E548" s="14"/>
    </row>
    <row r="549" spans="1:5" x14ac:dyDescent="0.2">
      <c r="A549" s="14"/>
      <c r="B549" s="14"/>
      <c r="C549" s="14"/>
      <c r="D549" s="14"/>
      <c r="E549" s="14"/>
    </row>
    <row r="550" spans="1:5" x14ac:dyDescent="0.2">
      <c r="A550" s="14"/>
      <c r="B550" s="14"/>
      <c r="C550" s="14"/>
      <c r="D550" s="14"/>
      <c r="E550" s="14"/>
    </row>
    <row r="551" spans="1:5" x14ac:dyDescent="0.2">
      <c r="A551" s="14"/>
      <c r="B551" s="14"/>
      <c r="C551" s="14"/>
      <c r="D551" s="14"/>
      <c r="E551" s="14"/>
    </row>
    <row r="552" spans="1:5" x14ac:dyDescent="0.2">
      <c r="A552" s="14"/>
      <c r="B552" s="14"/>
      <c r="C552" s="14"/>
      <c r="D552" s="14"/>
      <c r="E552" s="14"/>
    </row>
    <row r="553" spans="1:5" x14ac:dyDescent="0.2">
      <c r="A553" s="14"/>
      <c r="B553" s="14"/>
      <c r="C553" s="14"/>
      <c r="D553" s="14"/>
      <c r="E553" s="14"/>
    </row>
    <row r="554" spans="1:5" x14ac:dyDescent="0.2">
      <c r="A554" s="14"/>
      <c r="B554" s="14"/>
      <c r="C554" s="14"/>
      <c r="D554" s="14"/>
      <c r="E554" s="14"/>
    </row>
    <row r="555" spans="1:5" x14ac:dyDescent="0.2">
      <c r="A555" s="14"/>
      <c r="B555" s="14"/>
      <c r="C555" s="14"/>
      <c r="D555" s="14"/>
      <c r="E555" s="14"/>
    </row>
    <row r="556" spans="1:5" x14ac:dyDescent="0.2">
      <c r="A556" s="14"/>
      <c r="B556" s="14"/>
      <c r="C556" s="14"/>
      <c r="D556" s="14"/>
      <c r="E556" s="14"/>
    </row>
    <row r="557" spans="1:5" x14ac:dyDescent="0.2">
      <c r="A557" s="14"/>
      <c r="B557" s="14"/>
      <c r="C557" s="14"/>
      <c r="D557" s="14"/>
      <c r="E557" s="14"/>
    </row>
    <row r="558" spans="1:5" x14ac:dyDescent="0.2">
      <c r="A558" s="14"/>
      <c r="B558" s="14"/>
      <c r="C558" s="14"/>
      <c r="D558" s="14"/>
      <c r="E558" s="14"/>
    </row>
    <row r="559" spans="1:5" x14ac:dyDescent="0.2">
      <c r="A559" s="14"/>
      <c r="B559" s="14"/>
      <c r="C559" s="14"/>
      <c r="D559" s="14"/>
      <c r="E559" s="14"/>
    </row>
    <row r="560" spans="1:5" x14ac:dyDescent="0.2">
      <c r="A560" s="14"/>
      <c r="B560" s="14"/>
      <c r="C560" s="14"/>
      <c r="D560" s="14"/>
      <c r="E560" s="14"/>
    </row>
    <row r="561" spans="1:5" x14ac:dyDescent="0.2">
      <c r="A561" s="14"/>
      <c r="B561" s="14"/>
      <c r="C561" s="14"/>
      <c r="D561" s="14"/>
      <c r="E561" s="14"/>
    </row>
    <row r="562" spans="1:5" x14ac:dyDescent="0.2">
      <c r="A562" s="14"/>
      <c r="B562" s="14"/>
      <c r="C562" s="14"/>
      <c r="D562" s="14"/>
      <c r="E562" s="14"/>
    </row>
    <row r="563" spans="1:5" x14ac:dyDescent="0.2">
      <c r="A563" s="14"/>
      <c r="B563" s="14"/>
      <c r="C563" s="14"/>
      <c r="D563" s="14"/>
      <c r="E563" s="14"/>
    </row>
    <row r="564" spans="1:5" x14ac:dyDescent="0.2">
      <c r="A564" s="14"/>
      <c r="B564" s="14"/>
      <c r="C564" s="14"/>
      <c r="D564" s="14"/>
      <c r="E564" s="14"/>
    </row>
    <row r="565" spans="1:5" x14ac:dyDescent="0.2">
      <c r="A565" s="14"/>
      <c r="B565" s="14"/>
      <c r="C565" s="14"/>
      <c r="D565" s="14"/>
      <c r="E565" s="14"/>
    </row>
    <row r="566" spans="1:5" x14ac:dyDescent="0.2">
      <c r="A566" s="14"/>
      <c r="B566" s="14"/>
      <c r="C566" s="14"/>
      <c r="D566" s="14"/>
      <c r="E566" s="14"/>
    </row>
    <row r="567" spans="1:5" x14ac:dyDescent="0.2">
      <c r="A567" s="14"/>
      <c r="B567" s="14"/>
      <c r="C567" s="14"/>
      <c r="D567" s="14"/>
      <c r="E567" s="14"/>
    </row>
    <row r="568" spans="1:5" x14ac:dyDescent="0.2">
      <c r="A568" s="14"/>
      <c r="B568" s="14"/>
      <c r="C568" s="14"/>
      <c r="D568" s="14"/>
      <c r="E568" s="14"/>
    </row>
    <row r="569" spans="1:5" x14ac:dyDescent="0.2">
      <c r="A569" s="14"/>
      <c r="B569" s="14"/>
      <c r="C569" s="14"/>
      <c r="D569" s="14"/>
      <c r="E569" s="14"/>
    </row>
    <row r="570" spans="1:5" x14ac:dyDescent="0.2">
      <c r="A570" s="14"/>
      <c r="B570" s="14"/>
      <c r="C570" s="14"/>
      <c r="D570" s="14"/>
      <c r="E570" s="14"/>
    </row>
    <row r="571" spans="1:5" x14ac:dyDescent="0.2">
      <c r="A571" s="14"/>
      <c r="B571" s="14"/>
      <c r="C571" s="14"/>
      <c r="D571" s="14"/>
      <c r="E571" s="14"/>
    </row>
    <row r="572" spans="1:5" x14ac:dyDescent="0.2">
      <c r="A572" s="14"/>
      <c r="B572" s="14"/>
      <c r="C572" s="14"/>
      <c r="D572" s="14"/>
      <c r="E572" s="14"/>
    </row>
    <row r="573" spans="1:5" x14ac:dyDescent="0.2">
      <c r="A573" s="14"/>
      <c r="B573" s="14"/>
      <c r="C573" s="14"/>
      <c r="D573" s="14"/>
      <c r="E573" s="14"/>
    </row>
    <row r="574" spans="1:5" x14ac:dyDescent="0.2">
      <c r="A574" s="14"/>
      <c r="B574" s="14"/>
      <c r="C574" s="14"/>
      <c r="D574" s="14"/>
      <c r="E574" s="14"/>
    </row>
    <row r="575" spans="1:5" x14ac:dyDescent="0.2">
      <c r="A575" s="14"/>
      <c r="B575" s="14"/>
      <c r="C575" s="14"/>
      <c r="D575" s="14"/>
      <c r="E575" s="14"/>
    </row>
    <row r="576" spans="1:5" x14ac:dyDescent="0.2">
      <c r="A576" s="14"/>
      <c r="B576" s="14"/>
      <c r="C576" s="14"/>
      <c r="D576" s="14"/>
      <c r="E576" s="14"/>
    </row>
    <row r="577" spans="1:5" x14ac:dyDescent="0.2">
      <c r="A577" s="14"/>
      <c r="B577" s="14"/>
      <c r="C577" s="14"/>
      <c r="D577" s="14"/>
      <c r="E577" s="14"/>
    </row>
    <row r="578" spans="1:5" x14ac:dyDescent="0.2">
      <c r="A578" s="14"/>
      <c r="B578" s="14"/>
      <c r="C578" s="14"/>
      <c r="D578" s="14"/>
      <c r="E578" s="14"/>
    </row>
    <row r="579" spans="1:5" x14ac:dyDescent="0.2">
      <c r="A579" s="14"/>
      <c r="B579" s="14"/>
      <c r="C579" s="14"/>
      <c r="D579" s="14"/>
      <c r="E579" s="14"/>
    </row>
    <row r="580" spans="1:5" x14ac:dyDescent="0.2">
      <c r="A580" s="14"/>
      <c r="B580" s="14"/>
      <c r="C580" s="14"/>
      <c r="D580" s="14"/>
      <c r="E580" s="14"/>
    </row>
    <row r="581" spans="1:5" x14ac:dyDescent="0.2">
      <c r="A581" s="14"/>
      <c r="B581" s="14"/>
      <c r="C581" s="14"/>
      <c r="D581" s="14"/>
      <c r="E581" s="14"/>
    </row>
    <row r="582" spans="1:5" x14ac:dyDescent="0.2">
      <c r="A582" s="14"/>
      <c r="B582" s="14"/>
      <c r="C582" s="14"/>
      <c r="D582" s="14"/>
      <c r="E582" s="14"/>
    </row>
    <row r="583" spans="1:5" x14ac:dyDescent="0.2">
      <c r="A583" s="14"/>
      <c r="B583" s="14"/>
      <c r="C583" s="14"/>
      <c r="D583" s="14"/>
      <c r="E583" s="14"/>
    </row>
    <row r="584" spans="1:5" x14ac:dyDescent="0.2">
      <c r="A584" s="14"/>
      <c r="B584" s="14"/>
      <c r="C584" s="14"/>
      <c r="D584" s="14"/>
      <c r="E584" s="14"/>
    </row>
    <row r="585" spans="1:5" x14ac:dyDescent="0.2">
      <c r="A585" s="14"/>
      <c r="B585" s="14"/>
      <c r="C585" s="14"/>
      <c r="D585" s="14"/>
      <c r="E585" s="14"/>
    </row>
    <row r="586" spans="1:5" x14ac:dyDescent="0.2">
      <c r="A586" s="14"/>
      <c r="B586" s="14"/>
      <c r="C586" s="14"/>
      <c r="D586" s="14"/>
      <c r="E586" s="14"/>
    </row>
    <row r="587" spans="1:5" x14ac:dyDescent="0.2">
      <c r="A587" s="14"/>
      <c r="B587" s="14"/>
      <c r="C587" s="14"/>
      <c r="D587" s="14"/>
      <c r="E587" s="14"/>
    </row>
    <row r="588" spans="1:5" x14ac:dyDescent="0.2">
      <c r="A588" s="14"/>
      <c r="B588" s="14"/>
      <c r="C588" s="14"/>
      <c r="D588" s="14"/>
      <c r="E588" s="14"/>
    </row>
    <row r="589" spans="1:5" x14ac:dyDescent="0.2">
      <c r="A589" s="14"/>
      <c r="B589" s="14"/>
      <c r="C589" s="14"/>
      <c r="D589" s="14"/>
      <c r="E589" s="14"/>
    </row>
    <row r="590" spans="1:5" x14ac:dyDescent="0.2">
      <c r="A590" s="14"/>
      <c r="B590" s="14"/>
      <c r="C590" s="14"/>
      <c r="D590" s="14"/>
      <c r="E590" s="14"/>
    </row>
    <row r="591" spans="1:5" x14ac:dyDescent="0.2">
      <c r="A591" s="14"/>
      <c r="B591" s="14"/>
      <c r="C591" s="14"/>
      <c r="D591" s="14"/>
      <c r="E591" s="14"/>
    </row>
    <row r="592" spans="1:5" x14ac:dyDescent="0.2">
      <c r="A592" s="14"/>
      <c r="B592" s="14"/>
      <c r="C592" s="14"/>
      <c r="D592" s="14"/>
      <c r="E592" s="14"/>
    </row>
    <row r="593" spans="1:5" x14ac:dyDescent="0.2">
      <c r="A593" s="14"/>
      <c r="B593" s="14"/>
      <c r="C593" s="14"/>
      <c r="D593" s="14"/>
      <c r="E593" s="14"/>
    </row>
    <row r="594" spans="1:5" x14ac:dyDescent="0.2">
      <c r="A594" s="14"/>
      <c r="B594" s="14"/>
      <c r="C594" s="14"/>
      <c r="D594" s="14"/>
      <c r="E594" s="14"/>
    </row>
    <row r="595" spans="1:5" x14ac:dyDescent="0.2">
      <c r="A595" s="14"/>
      <c r="B595" s="14"/>
      <c r="C595" s="14"/>
      <c r="D595" s="14"/>
      <c r="E595" s="14"/>
    </row>
    <row r="596" spans="1:5" x14ac:dyDescent="0.2">
      <c r="A596" s="14"/>
      <c r="B596" s="14"/>
      <c r="C596" s="14"/>
      <c r="D596" s="14"/>
      <c r="E596" s="14"/>
    </row>
    <row r="597" spans="1:5" x14ac:dyDescent="0.2">
      <c r="A597" s="14"/>
      <c r="B597" s="14"/>
      <c r="C597" s="14"/>
      <c r="D597" s="14"/>
      <c r="E597" s="14"/>
    </row>
    <row r="598" spans="1:5" x14ac:dyDescent="0.2">
      <c r="A598" s="14"/>
      <c r="B598" s="14"/>
      <c r="C598" s="14"/>
      <c r="D598" s="14"/>
      <c r="E598" s="14"/>
    </row>
    <row r="599" spans="1:5" x14ac:dyDescent="0.2">
      <c r="A599" s="14"/>
      <c r="B599" s="14"/>
      <c r="C599" s="14"/>
      <c r="D599" s="14"/>
      <c r="E599" s="14"/>
    </row>
    <row r="600" spans="1:5" x14ac:dyDescent="0.2">
      <c r="A600" s="14"/>
      <c r="B600" s="14"/>
      <c r="C600" s="14"/>
      <c r="D600" s="14"/>
      <c r="E600" s="14"/>
    </row>
    <row r="601" spans="1:5" x14ac:dyDescent="0.2">
      <c r="A601" s="14"/>
      <c r="B601" s="14"/>
      <c r="C601" s="14"/>
      <c r="D601" s="14"/>
      <c r="E601" s="14"/>
    </row>
    <row r="602" spans="1:5" x14ac:dyDescent="0.2">
      <c r="A602" s="14"/>
      <c r="B602" s="14"/>
      <c r="C602" s="14"/>
      <c r="D602" s="14"/>
      <c r="E602" s="14"/>
    </row>
    <row r="603" spans="1:5" x14ac:dyDescent="0.2">
      <c r="A603" s="14"/>
      <c r="B603" s="14"/>
      <c r="C603" s="14"/>
      <c r="D603" s="14"/>
      <c r="E603" s="14"/>
    </row>
    <row r="604" spans="1:5" x14ac:dyDescent="0.2">
      <c r="A604" s="14"/>
      <c r="B604" s="14"/>
      <c r="C604" s="14"/>
      <c r="D604" s="14"/>
      <c r="E604" s="14"/>
    </row>
    <row r="605" spans="1:5" x14ac:dyDescent="0.2">
      <c r="A605" s="14"/>
      <c r="B605" s="14"/>
      <c r="C605" s="14"/>
      <c r="D605" s="14"/>
      <c r="E605" s="14"/>
    </row>
    <row r="606" spans="1:5" x14ac:dyDescent="0.2">
      <c r="A606" s="14"/>
      <c r="B606" s="14"/>
      <c r="C606" s="14"/>
      <c r="D606" s="14"/>
      <c r="E606" s="14"/>
    </row>
    <row r="607" spans="1:5" x14ac:dyDescent="0.2">
      <c r="A607" s="14"/>
      <c r="B607" s="14"/>
      <c r="C607" s="14"/>
      <c r="D607" s="14"/>
      <c r="E607" s="14"/>
    </row>
    <row r="608" spans="1:5" x14ac:dyDescent="0.2">
      <c r="A608" s="14"/>
      <c r="B608" s="14"/>
      <c r="C608" s="14"/>
      <c r="D608" s="14"/>
      <c r="E608" s="14"/>
    </row>
    <row r="609" spans="1:5" x14ac:dyDescent="0.2">
      <c r="A609" s="14"/>
      <c r="B609" s="14"/>
      <c r="C609" s="14"/>
      <c r="D609" s="14"/>
      <c r="E609" s="14"/>
    </row>
    <row r="610" spans="1:5" x14ac:dyDescent="0.2">
      <c r="A610" s="14"/>
      <c r="B610" s="14"/>
      <c r="C610" s="14"/>
      <c r="D610" s="14"/>
      <c r="E610" s="14"/>
    </row>
    <row r="611" spans="1:5" x14ac:dyDescent="0.2">
      <c r="A611" s="14"/>
      <c r="B611" s="14"/>
      <c r="C611" s="14"/>
      <c r="D611" s="14"/>
      <c r="E611" s="14"/>
    </row>
    <row r="612" spans="1:5" x14ac:dyDescent="0.2">
      <c r="A612" s="14"/>
      <c r="B612" s="14"/>
      <c r="C612" s="14"/>
      <c r="D612" s="14"/>
      <c r="E612" s="14"/>
    </row>
    <row r="613" spans="1:5" x14ac:dyDescent="0.2">
      <c r="A613" s="14"/>
      <c r="B613" s="14"/>
      <c r="C613" s="14"/>
      <c r="D613" s="14"/>
      <c r="E613" s="14"/>
    </row>
    <row r="614" spans="1:5" x14ac:dyDescent="0.2">
      <c r="A614" s="14"/>
      <c r="B614" s="14"/>
      <c r="C614" s="14"/>
      <c r="D614" s="14"/>
      <c r="E614" s="14"/>
    </row>
    <row r="615" spans="1:5" x14ac:dyDescent="0.2">
      <c r="A615" s="14"/>
      <c r="B615" s="14"/>
      <c r="C615" s="14"/>
      <c r="D615" s="14"/>
      <c r="E615" s="14"/>
    </row>
    <row r="616" spans="1:5" x14ac:dyDescent="0.2">
      <c r="A616" s="14"/>
      <c r="B616" s="14"/>
      <c r="C616" s="14"/>
      <c r="D616" s="14"/>
      <c r="E616" s="14"/>
    </row>
    <row r="617" spans="1:5" x14ac:dyDescent="0.2">
      <c r="A617" s="14"/>
      <c r="B617" s="14"/>
      <c r="C617" s="14"/>
      <c r="D617" s="14"/>
      <c r="E617" s="14"/>
    </row>
    <row r="618" spans="1:5" x14ac:dyDescent="0.2">
      <c r="A618" s="14"/>
      <c r="B618" s="14"/>
      <c r="C618" s="14"/>
      <c r="D618" s="14"/>
      <c r="E618" s="14"/>
    </row>
    <row r="619" spans="1:5" x14ac:dyDescent="0.2">
      <c r="A619" s="14"/>
      <c r="B619" s="14"/>
      <c r="C619" s="14"/>
      <c r="D619" s="14"/>
      <c r="E619" s="14"/>
    </row>
    <row r="620" spans="1:5" x14ac:dyDescent="0.2">
      <c r="A620" s="14"/>
      <c r="B620" s="14"/>
      <c r="C620" s="14"/>
      <c r="D620" s="14"/>
      <c r="E620" s="14"/>
    </row>
    <row r="621" spans="1:5" x14ac:dyDescent="0.2">
      <c r="A621" s="14"/>
      <c r="B621" s="14"/>
      <c r="C621" s="14"/>
      <c r="D621" s="14"/>
      <c r="E621" s="14"/>
    </row>
    <row r="622" spans="1:5" x14ac:dyDescent="0.2">
      <c r="A622" s="14"/>
      <c r="B622" s="14"/>
      <c r="C622" s="14"/>
      <c r="D622" s="14"/>
      <c r="E622" s="14"/>
    </row>
    <row r="623" spans="1:5" x14ac:dyDescent="0.2">
      <c r="A623" s="14"/>
      <c r="B623" s="14"/>
      <c r="C623" s="14"/>
      <c r="D623" s="14"/>
      <c r="E623" s="14"/>
    </row>
    <row r="624" spans="1:5" x14ac:dyDescent="0.2">
      <c r="A624" s="14"/>
      <c r="B624" s="14"/>
      <c r="C624" s="14"/>
      <c r="D624" s="14"/>
      <c r="E624" s="14"/>
    </row>
    <row r="625" spans="1:5" x14ac:dyDescent="0.2">
      <c r="A625" s="14"/>
      <c r="B625" s="14"/>
      <c r="C625" s="14"/>
      <c r="D625" s="14"/>
      <c r="E625" s="14"/>
    </row>
    <row r="626" spans="1:5" x14ac:dyDescent="0.2">
      <c r="A626" s="14"/>
      <c r="B626" s="14"/>
      <c r="C626" s="14"/>
      <c r="D626" s="14"/>
      <c r="E626" s="14"/>
    </row>
    <row r="627" spans="1:5" x14ac:dyDescent="0.2">
      <c r="A627" s="14"/>
      <c r="B627" s="14"/>
      <c r="C627" s="14"/>
      <c r="D627" s="14"/>
      <c r="E627" s="14"/>
    </row>
    <row r="628" spans="1:5" x14ac:dyDescent="0.2">
      <c r="A628" s="14"/>
      <c r="B628" s="14"/>
      <c r="C628" s="14"/>
      <c r="D628" s="14"/>
      <c r="E628" s="14"/>
    </row>
    <row r="629" spans="1:5" x14ac:dyDescent="0.2">
      <c r="A629" s="14"/>
      <c r="B629" s="14"/>
      <c r="C629" s="14"/>
      <c r="D629" s="14"/>
      <c r="E629" s="14"/>
    </row>
    <row r="630" spans="1:5" x14ac:dyDescent="0.2">
      <c r="A630" s="14"/>
      <c r="B630" s="14"/>
      <c r="C630" s="14"/>
      <c r="D630" s="14"/>
      <c r="E630" s="14"/>
    </row>
    <row r="631" spans="1:5" x14ac:dyDescent="0.2">
      <c r="A631" s="14"/>
      <c r="B631" s="14"/>
      <c r="C631" s="14"/>
      <c r="D631" s="14"/>
      <c r="E631" s="14"/>
    </row>
    <row r="632" spans="1:5" x14ac:dyDescent="0.2">
      <c r="A632" s="14"/>
      <c r="B632" s="14"/>
      <c r="C632" s="14"/>
      <c r="D632" s="14"/>
      <c r="E632" s="14"/>
    </row>
    <row r="633" spans="1:5" x14ac:dyDescent="0.2">
      <c r="A633" s="14"/>
      <c r="B633" s="14"/>
      <c r="C633" s="14"/>
      <c r="D633" s="14"/>
      <c r="E633" s="14"/>
    </row>
    <row r="634" spans="1:5" x14ac:dyDescent="0.2">
      <c r="A634" s="14"/>
      <c r="B634" s="14"/>
      <c r="C634" s="14"/>
      <c r="D634" s="14"/>
      <c r="E634" s="14"/>
    </row>
    <row r="635" spans="1:5" x14ac:dyDescent="0.2">
      <c r="A635" s="14"/>
      <c r="B635" s="14"/>
      <c r="C635" s="14"/>
      <c r="D635" s="14"/>
      <c r="E635" s="14"/>
    </row>
    <row r="636" spans="1:5" x14ac:dyDescent="0.2">
      <c r="A636" s="14"/>
      <c r="B636" s="14"/>
      <c r="C636" s="14"/>
      <c r="D636" s="14"/>
      <c r="E636" s="14"/>
    </row>
    <row r="637" spans="1:5" x14ac:dyDescent="0.2">
      <c r="A637" s="14"/>
      <c r="B637" s="14"/>
      <c r="C637" s="14"/>
      <c r="D637" s="14"/>
      <c r="E637" s="14"/>
    </row>
    <row r="638" spans="1:5" x14ac:dyDescent="0.2">
      <c r="A638" s="14"/>
      <c r="B638" s="14"/>
      <c r="C638" s="14"/>
      <c r="D638" s="14"/>
      <c r="E638" s="14"/>
    </row>
    <row r="639" spans="1:5" x14ac:dyDescent="0.2">
      <c r="A639" s="14"/>
      <c r="B639" s="14"/>
      <c r="C639" s="14"/>
      <c r="D639" s="14"/>
      <c r="E639" s="14"/>
    </row>
    <row r="640" spans="1:5" x14ac:dyDescent="0.2">
      <c r="A640" s="14"/>
      <c r="B640" s="14"/>
      <c r="C640" s="14"/>
      <c r="D640" s="14"/>
      <c r="E640" s="14"/>
    </row>
    <row r="641" spans="1:5" x14ac:dyDescent="0.2">
      <c r="A641" s="14"/>
      <c r="B641" s="14"/>
      <c r="C641" s="14"/>
      <c r="D641" s="14"/>
      <c r="E641" s="14"/>
    </row>
    <row r="642" spans="1:5" x14ac:dyDescent="0.2">
      <c r="A642" s="14"/>
      <c r="B642" s="14"/>
      <c r="C642" s="14"/>
      <c r="D642" s="14"/>
      <c r="E642" s="14"/>
    </row>
    <row r="643" spans="1:5" x14ac:dyDescent="0.2">
      <c r="A643" s="14"/>
      <c r="B643" s="14"/>
      <c r="C643" s="14"/>
      <c r="D643" s="14"/>
      <c r="E643" s="14"/>
    </row>
    <row r="644" spans="1:5" x14ac:dyDescent="0.2">
      <c r="A644" s="14"/>
      <c r="B644" s="14"/>
      <c r="C644" s="14"/>
      <c r="D644" s="14"/>
      <c r="E644" s="14"/>
    </row>
    <row r="645" spans="1:5" x14ac:dyDescent="0.2">
      <c r="A645" s="14"/>
      <c r="B645" s="14"/>
      <c r="C645" s="14"/>
      <c r="D645" s="14"/>
      <c r="E645" s="14"/>
    </row>
    <row r="646" spans="1:5" x14ac:dyDescent="0.2">
      <c r="A646" s="14"/>
      <c r="B646" s="14"/>
      <c r="C646" s="14"/>
      <c r="D646" s="14"/>
      <c r="E646" s="14"/>
    </row>
    <row r="647" spans="1:5" x14ac:dyDescent="0.2">
      <c r="A647" s="14"/>
      <c r="B647" s="14"/>
      <c r="C647" s="14"/>
      <c r="D647" s="14"/>
      <c r="E647" s="14"/>
    </row>
    <row r="648" spans="1:5" x14ac:dyDescent="0.2">
      <c r="A648" s="14"/>
      <c r="B648" s="14"/>
      <c r="C648" s="14"/>
      <c r="D648" s="14"/>
      <c r="E648" s="14"/>
    </row>
    <row r="649" spans="1:5" x14ac:dyDescent="0.2">
      <c r="A649" s="14"/>
      <c r="B649" s="14"/>
      <c r="C649" s="14"/>
      <c r="D649" s="14"/>
      <c r="E649" s="14"/>
    </row>
    <row r="650" spans="1:5" x14ac:dyDescent="0.2">
      <c r="A650" s="14"/>
      <c r="B650" s="14"/>
      <c r="C650" s="14"/>
      <c r="D650" s="14"/>
      <c r="E650" s="14"/>
    </row>
    <row r="651" spans="1:5" x14ac:dyDescent="0.2">
      <c r="A651" s="14"/>
      <c r="B651" s="14"/>
      <c r="C651" s="14"/>
      <c r="D651" s="14"/>
      <c r="E651" s="14"/>
    </row>
    <row r="652" spans="1:5" x14ac:dyDescent="0.2">
      <c r="A652" s="14"/>
      <c r="B652" s="14"/>
      <c r="C652" s="14"/>
      <c r="D652" s="14"/>
      <c r="E652" s="14"/>
    </row>
    <row r="653" spans="1:5" x14ac:dyDescent="0.2">
      <c r="A653" s="14"/>
      <c r="B653" s="14"/>
      <c r="C653" s="14"/>
      <c r="D653" s="14"/>
      <c r="E653" s="14"/>
    </row>
    <row r="654" spans="1:5" x14ac:dyDescent="0.2">
      <c r="A654" s="14"/>
      <c r="B654" s="14"/>
      <c r="C654" s="14"/>
      <c r="D654" s="14"/>
      <c r="E654" s="14"/>
    </row>
    <row r="655" spans="1:5" x14ac:dyDescent="0.2">
      <c r="A655" s="14"/>
      <c r="B655" s="14"/>
      <c r="C655" s="14"/>
      <c r="D655" s="14"/>
      <c r="E655" s="14"/>
    </row>
    <row r="656" spans="1:5" x14ac:dyDescent="0.2">
      <c r="A656" s="14"/>
      <c r="B656" s="14"/>
      <c r="C656" s="14"/>
      <c r="D656" s="14"/>
      <c r="E656" s="14"/>
    </row>
    <row r="657" spans="1:5" x14ac:dyDescent="0.2">
      <c r="A657" s="14"/>
      <c r="B657" s="14"/>
      <c r="C657" s="14"/>
      <c r="D657" s="14"/>
      <c r="E657" s="14"/>
    </row>
    <row r="658" spans="1:5" x14ac:dyDescent="0.2">
      <c r="A658" s="14"/>
      <c r="B658" s="14"/>
      <c r="C658" s="14"/>
      <c r="D658" s="14"/>
      <c r="E658" s="14"/>
    </row>
    <row r="659" spans="1:5" x14ac:dyDescent="0.2">
      <c r="A659" s="14"/>
      <c r="B659" s="14"/>
      <c r="C659" s="14"/>
      <c r="D659" s="14"/>
      <c r="E659" s="14"/>
    </row>
    <row r="660" spans="1:5" x14ac:dyDescent="0.2">
      <c r="A660" s="14"/>
      <c r="B660" s="14"/>
      <c r="C660" s="14"/>
      <c r="D660" s="14"/>
      <c r="E660" s="14"/>
    </row>
    <row r="661" spans="1:5" x14ac:dyDescent="0.2">
      <c r="A661" s="14"/>
      <c r="B661" s="14"/>
      <c r="C661" s="14"/>
      <c r="D661" s="14"/>
      <c r="E661" s="14"/>
    </row>
    <row r="662" spans="1:5" x14ac:dyDescent="0.2">
      <c r="A662" s="14"/>
      <c r="B662" s="14"/>
      <c r="C662" s="14"/>
      <c r="D662" s="14"/>
      <c r="E662" s="14"/>
    </row>
    <row r="663" spans="1:5" x14ac:dyDescent="0.2">
      <c r="A663" s="14"/>
      <c r="B663" s="14"/>
      <c r="C663" s="14"/>
      <c r="D663" s="14"/>
      <c r="E663" s="14"/>
    </row>
    <row r="664" spans="1:5" x14ac:dyDescent="0.2">
      <c r="A664" s="14"/>
      <c r="B664" s="14"/>
      <c r="C664" s="14"/>
      <c r="D664" s="14"/>
      <c r="E664" s="14"/>
    </row>
    <row r="665" spans="1:5" x14ac:dyDescent="0.2">
      <c r="A665" s="14"/>
      <c r="B665" s="14"/>
      <c r="C665" s="14"/>
      <c r="D665" s="14"/>
      <c r="E665" s="14"/>
    </row>
    <row r="666" spans="1:5" x14ac:dyDescent="0.2">
      <c r="A666" s="14"/>
      <c r="B666" s="14"/>
      <c r="C666" s="14"/>
      <c r="D666" s="14"/>
      <c r="E666" s="14"/>
    </row>
    <row r="667" spans="1:5" x14ac:dyDescent="0.2">
      <c r="A667" s="14"/>
      <c r="B667" s="14"/>
      <c r="C667" s="14"/>
      <c r="D667" s="14"/>
      <c r="E667" s="14"/>
    </row>
    <row r="668" spans="1:5" x14ac:dyDescent="0.2">
      <c r="A668" s="14"/>
      <c r="B668" s="14"/>
      <c r="C668" s="14"/>
      <c r="D668" s="14"/>
      <c r="E668" s="14"/>
    </row>
    <row r="669" spans="1:5" x14ac:dyDescent="0.2">
      <c r="A669" s="14"/>
      <c r="B669" s="14"/>
      <c r="C669" s="14"/>
      <c r="D669" s="14"/>
      <c r="E669" s="14"/>
    </row>
    <row r="670" spans="1:5" x14ac:dyDescent="0.2">
      <c r="A670" s="14"/>
      <c r="B670" s="14"/>
      <c r="C670" s="14"/>
      <c r="D670" s="14"/>
      <c r="E670" s="14"/>
    </row>
    <row r="671" spans="1:5" x14ac:dyDescent="0.2">
      <c r="A671" s="14"/>
      <c r="B671" s="14"/>
      <c r="C671" s="14"/>
      <c r="D671" s="14"/>
      <c r="E671" s="14"/>
    </row>
    <row r="672" spans="1:5" x14ac:dyDescent="0.2">
      <c r="A672" s="14"/>
      <c r="B672" s="14"/>
      <c r="C672" s="14"/>
      <c r="D672" s="14"/>
      <c r="E672" s="14"/>
    </row>
    <row r="673" spans="1:5" x14ac:dyDescent="0.2">
      <c r="A673" s="14"/>
      <c r="B673" s="14"/>
      <c r="C673" s="14"/>
      <c r="D673" s="14"/>
      <c r="E673" s="14"/>
    </row>
    <row r="674" spans="1:5" x14ac:dyDescent="0.2">
      <c r="A674" s="14"/>
      <c r="B674" s="14"/>
      <c r="C674" s="14"/>
      <c r="D674" s="14"/>
      <c r="E674" s="14"/>
    </row>
    <row r="675" spans="1:5" x14ac:dyDescent="0.2">
      <c r="A675" s="14"/>
      <c r="B675" s="14"/>
      <c r="C675" s="14"/>
      <c r="D675" s="14"/>
      <c r="E675" s="14"/>
    </row>
    <row r="676" spans="1:5" x14ac:dyDescent="0.2">
      <c r="A676" s="14"/>
      <c r="B676" s="14"/>
      <c r="C676" s="14"/>
      <c r="D676" s="14"/>
      <c r="E676" s="14"/>
    </row>
    <row r="677" spans="1:5" x14ac:dyDescent="0.2">
      <c r="A677" s="14"/>
      <c r="B677" s="14"/>
      <c r="C677" s="14"/>
      <c r="D677" s="14"/>
      <c r="E677" s="14"/>
    </row>
    <row r="678" spans="1:5" x14ac:dyDescent="0.2">
      <c r="A678" s="14"/>
      <c r="B678" s="14"/>
      <c r="C678" s="14"/>
      <c r="D678" s="14"/>
      <c r="E678" s="14"/>
    </row>
    <row r="679" spans="1:5" x14ac:dyDescent="0.2">
      <c r="A679" s="14"/>
      <c r="B679" s="14"/>
      <c r="C679" s="14"/>
      <c r="D679" s="14"/>
      <c r="E679" s="14"/>
    </row>
    <row r="680" spans="1:5" x14ac:dyDescent="0.2">
      <c r="A680" s="14"/>
      <c r="B680" s="14"/>
      <c r="C680" s="14"/>
      <c r="D680" s="14"/>
      <c r="E680" s="14"/>
    </row>
    <row r="681" spans="1:5" x14ac:dyDescent="0.2">
      <c r="A681" s="14"/>
      <c r="B681" s="14"/>
      <c r="C681" s="14"/>
      <c r="D681" s="14"/>
      <c r="E681" s="14"/>
    </row>
    <row r="682" spans="1:5" x14ac:dyDescent="0.2">
      <c r="A682" s="14"/>
      <c r="B682" s="14"/>
      <c r="C682" s="14"/>
      <c r="D682" s="14"/>
      <c r="E682" s="14"/>
    </row>
    <row r="683" spans="1:5" x14ac:dyDescent="0.2">
      <c r="A683" s="14"/>
      <c r="B683" s="14"/>
      <c r="C683" s="14"/>
      <c r="D683" s="14"/>
      <c r="E683" s="14"/>
    </row>
    <row r="684" spans="1:5" x14ac:dyDescent="0.2">
      <c r="A684" s="14"/>
      <c r="B684" s="14"/>
      <c r="C684" s="14"/>
      <c r="D684" s="14"/>
      <c r="E684" s="14"/>
    </row>
    <row r="685" spans="1:5" x14ac:dyDescent="0.2">
      <c r="A685" s="14"/>
      <c r="B685" s="14"/>
      <c r="C685" s="14"/>
      <c r="D685" s="14"/>
      <c r="E685" s="14"/>
    </row>
    <row r="686" spans="1:5" x14ac:dyDescent="0.2">
      <c r="A686" s="14"/>
      <c r="B686" s="14"/>
      <c r="C686" s="14"/>
      <c r="D686" s="14"/>
      <c r="E686" s="14"/>
    </row>
    <row r="687" spans="1:5" x14ac:dyDescent="0.2">
      <c r="A687" s="14"/>
      <c r="B687" s="14"/>
      <c r="C687" s="14"/>
      <c r="D687" s="14"/>
      <c r="E687" s="14"/>
    </row>
    <row r="688" spans="1:5" x14ac:dyDescent="0.2">
      <c r="A688" s="14"/>
      <c r="B688" s="14"/>
      <c r="C688" s="14"/>
      <c r="D688" s="14"/>
      <c r="E688" s="14"/>
    </row>
    <row r="689" spans="1:5" x14ac:dyDescent="0.2">
      <c r="A689" s="14"/>
      <c r="B689" s="14"/>
      <c r="C689" s="14"/>
      <c r="D689" s="14"/>
      <c r="E689" s="14"/>
    </row>
    <row r="690" spans="1:5" x14ac:dyDescent="0.2">
      <c r="A690" s="14"/>
      <c r="B690" s="14"/>
      <c r="C690" s="14"/>
      <c r="D690" s="14"/>
      <c r="E690" s="14"/>
    </row>
    <row r="691" spans="1:5" x14ac:dyDescent="0.2">
      <c r="A691" s="14"/>
      <c r="B691" s="14"/>
      <c r="C691" s="14"/>
      <c r="D691" s="14"/>
      <c r="E691" s="14"/>
    </row>
    <row r="692" spans="1:5" x14ac:dyDescent="0.2">
      <c r="A692" s="14"/>
      <c r="B692" s="14"/>
      <c r="C692" s="14"/>
      <c r="D692" s="14"/>
      <c r="E692" s="14"/>
    </row>
    <row r="693" spans="1:5" x14ac:dyDescent="0.2">
      <c r="A693" s="14"/>
      <c r="B693" s="14"/>
      <c r="C693" s="14"/>
      <c r="D693" s="14"/>
      <c r="E693" s="14"/>
    </row>
    <row r="694" spans="1:5" x14ac:dyDescent="0.2">
      <c r="A694" s="14"/>
      <c r="B694" s="14"/>
      <c r="C694" s="14"/>
      <c r="D694" s="14"/>
      <c r="E694" s="14"/>
    </row>
    <row r="695" spans="1:5" x14ac:dyDescent="0.2">
      <c r="A695" s="14"/>
      <c r="B695" s="14"/>
      <c r="C695" s="14"/>
      <c r="D695" s="14"/>
      <c r="E695" s="14"/>
    </row>
    <row r="696" spans="1:5" x14ac:dyDescent="0.2">
      <c r="A696" s="14"/>
      <c r="B696" s="14"/>
      <c r="C696" s="14"/>
      <c r="D696" s="14"/>
      <c r="E696" s="14"/>
    </row>
    <row r="697" spans="1:5" x14ac:dyDescent="0.2">
      <c r="A697" s="14"/>
      <c r="B697" s="14"/>
      <c r="C697" s="14"/>
      <c r="D697" s="14"/>
      <c r="E697" s="14"/>
    </row>
    <row r="698" spans="1:5" x14ac:dyDescent="0.2">
      <c r="A698" s="14"/>
      <c r="B698" s="14"/>
      <c r="C698" s="14"/>
      <c r="D698" s="14"/>
      <c r="E698" s="14"/>
    </row>
    <row r="699" spans="1:5" x14ac:dyDescent="0.2">
      <c r="A699" s="14"/>
      <c r="B699" s="14"/>
      <c r="C699" s="14"/>
      <c r="D699" s="14"/>
      <c r="E699" s="14"/>
    </row>
    <row r="700" spans="1:5" x14ac:dyDescent="0.2">
      <c r="A700" s="14"/>
      <c r="B700" s="14"/>
      <c r="C700" s="14"/>
      <c r="D700" s="14"/>
      <c r="E700" s="14"/>
    </row>
    <row r="701" spans="1:5" x14ac:dyDescent="0.2">
      <c r="A701" s="14"/>
      <c r="B701" s="14"/>
      <c r="C701" s="14"/>
      <c r="D701" s="14"/>
      <c r="E701" s="14"/>
    </row>
    <row r="702" spans="1:5" x14ac:dyDescent="0.2">
      <c r="A702" s="14"/>
      <c r="B702" s="14"/>
      <c r="C702" s="14"/>
      <c r="D702" s="14"/>
      <c r="E702" s="14"/>
    </row>
    <row r="703" spans="1:5" x14ac:dyDescent="0.2">
      <c r="A703" s="14"/>
      <c r="B703" s="14"/>
      <c r="C703" s="14"/>
      <c r="D703" s="14"/>
      <c r="E703" s="14"/>
    </row>
    <row r="704" spans="1:5" x14ac:dyDescent="0.2">
      <c r="A704" s="14"/>
      <c r="B704" s="14"/>
      <c r="C704" s="14"/>
      <c r="D704" s="14"/>
      <c r="E704" s="14"/>
    </row>
    <row r="705" spans="1:5" x14ac:dyDescent="0.2">
      <c r="A705" s="14"/>
      <c r="B705" s="14"/>
      <c r="C705" s="14"/>
      <c r="D705" s="14"/>
      <c r="E705" s="14"/>
    </row>
    <row r="706" spans="1:5" x14ac:dyDescent="0.2">
      <c r="A706" s="14"/>
      <c r="B706" s="14"/>
      <c r="C706" s="14"/>
      <c r="D706" s="14"/>
      <c r="E706" s="14"/>
    </row>
    <row r="707" spans="1:5" x14ac:dyDescent="0.2">
      <c r="A707" s="14"/>
      <c r="B707" s="14"/>
      <c r="C707" s="14"/>
      <c r="D707" s="14"/>
      <c r="E707" s="14"/>
    </row>
    <row r="708" spans="1:5" x14ac:dyDescent="0.2">
      <c r="A708" s="14"/>
      <c r="B708" s="14"/>
      <c r="C708" s="14"/>
      <c r="D708" s="14"/>
      <c r="E708" s="14"/>
    </row>
    <row r="709" spans="1:5" x14ac:dyDescent="0.2">
      <c r="A709" s="14"/>
      <c r="B709" s="14"/>
      <c r="C709" s="14"/>
      <c r="D709" s="14"/>
      <c r="E709" s="14"/>
    </row>
    <row r="710" spans="1:5" x14ac:dyDescent="0.2">
      <c r="A710" s="14"/>
      <c r="B710" s="14"/>
      <c r="C710" s="14"/>
      <c r="D710" s="14"/>
      <c r="E710" s="14"/>
    </row>
    <row r="711" spans="1:5" x14ac:dyDescent="0.2">
      <c r="A711" s="14"/>
      <c r="B711" s="14"/>
      <c r="C711" s="14"/>
      <c r="D711" s="14"/>
      <c r="E711" s="14"/>
    </row>
    <row r="712" spans="1:5" x14ac:dyDescent="0.2">
      <c r="A712" s="14"/>
      <c r="B712" s="14"/>
      <c r="C712" s="14"/>
      <c r="D712" s="14"/>
      <c r="E712" s="14"/>
    </row>
    <row r="713" spans="1:5" x14ac:dyDescent="0.2">
      <c r="A713" s="14"/>
      <c r="B713" s="14"/>
      <c r="C713" s="14"/>
      <c r="D713" s="14"/>
      <c r="E713" s="14"/>
    </row>
    <row r="714" spans="1:5" x14ac:dyDescent="0.2">
      <c r="A714" s="14"/>
      <c r="B714" s="14"/>
      <c r="C714" s="14"/>
      <c r="D714" s="14"/>
      <c r="E714" s="14"/>
    </row>
    <row r="715" spans="1:5" x14ac:dyDescent="0.2">
      <c r="A715" s="14"/>
      <c r="B715" s="14"/>
      <c r="C715" s="14"/>
      <c r="D715" s="14"/>
      <c r="E715" s="14"/>
    </row>
    <row r="716" spans="1:5" x14ac:dyDescent="0.2">
      <c r="A716" s="14"/>
      <c r="B716" s="14"/>
      <c r="C716" s="14"/>
      <c r="D716" s="14"/>
      <c r="E716" s="14"/>
    </row>
    <row r="717" spans="1:5" x14ac:dyDescent="0.2">
      <c r="A717" s="14"/>
      <c r="B717" s="14"/>
      <c r="C717" s="14"/>
      <c r="D717" s="14"/>
      <c r="E717" s="14"/>
    </row>
    <row r="718" spans="1:5" x14ac:dyDescent="0.2">
      <c r="A718" s="14"/>
      <c r="B718" s="14"/>
      <c r="C718" s="14"/>
      <c r="D718" s="14"/>
      <c r="E718" s="14"/>
    </row>
    <row r="719" spans="1:5" x14ac:dyDescent="0.2">
      <c r="A719" s="14"/>
      <c r="B719" s="14"/>
      <c r="C719" s="14"/>
      <c r="D719" s="14"/>
      <c r="E719" s="14"/>
    </row>
    <row r="720" spans="1:5" x14ac:dyDescent="0.2">
      <c r="A720" s="14"/>
      <c r="B720" s="14"/>
      <c r="C720" s="14"/>
      <c r="D720" s="14"/>
      <c r="E720" s="14"/>
    </row>
    <row r="721" spans="1:5" x14ac:dyDescent="0.2">
      <c r="A721" s="14"/>
      <c r="B721" s="14"/>
      <c r="C721" s="14"/>
      <c r="D721" s="14"/>
      <c r="E721" s="14"/>
    </row>
    <row r="722" spans="1:5" x14ac:dyDescent="0.2">
      <c r="A722" s="14"/>
      <c r="B722" s="14"/>
      <c r="C722" s="14"/>
      <c r="D722" s="14"/>
      <c r="E722" s="14"/>
    </row>
    <row r="723" spans="1:5" x14ac:dyDescent="0.2">
      <c r="A723" s="14"/>
      <c r="B723" s="14"/>
      <c r="C723" s="14"/>
      <c r="D723" s="14"/>
      <c r="E723" s="14"/>
    </row>
    <row r="724" spans="1:5" x14ac:dyDescent="0.2">
      <c r="A724" s="14"/>
      <c r="B724" s="14"/>
      <c r="C724" s="14"/>
      <c r="D724" s="14"/>
      <c r="E724" s="14"/>
    </row>
    <row r="725" spans="1:5" x14ac:dyDescent="0.2">
      <c r="A725" s="14"/>
      <c r="B725" s="14"/>
      <c r="C725" s="14"/>
      <c r="D725" s="14"/>
      <c r="E725" s="14"/>
    </row>
    <row r="726" spans="1:5" x14ac:dyDescent="0.2">
      <c r="A726" s="14"/>
      <c r="B726" s="14"/>
      <c r="C726" s="14"/>
      <c r="D726" s="14"/>
      <c r="E726" s="14"/>
    </row>
    <row r="727" spans="1:5" x14ac:dyDescent="0.2">
      <c r="A727" s="14"/>
      <c r="B727" s="14"/>
      <c r="C727" s="14"/>
      <c r="D727" s="14"/>
      <c r="E727" s="14"/>
    </row>
    <row r="728" spans="1:5" x14ac:dyDescent="0.2">
      <c r="A728" s="14"/>
      <c r="B728" s="14"/>
      <c r="C728" s="14"/>
      <c r="D728" s="14"/>
      <c r="E728" s="14"/>
    </row>
    <row r="729" spans="1:5" x14ac:dyDescent="0.2">
      <c r="A729" s="14"/>
      <c r="B729" s="14"/>
      <c r="C729" s="14"/>
      <c r="D729" s="14"/>
      <c r="E729" s="14"/>
    </row>
    <row r="730" spans="1:5" x14ac:dyDescent="0.2">
      <c r="A730" s="14"/>
      <c r="B730" s="14"/>
      <c r="C730" s="14"/>
      <c r="D730" s="14"/>
      <c r="E730" s="14"/>
    </row>
    <row r="731" spans="1:5" x14ac:dyDescent="0.2">
      <c r="A731" s="14"/>
      <c r="B731" s="14"/>
      <c r="C731" s="14"/>
      <c r="D731" s="14"/>
      <c r="E731" s="14"/>
    </row>
    <row r="732" spans="1:5" x14ac:dyDescent="0.2">
      <c r="A732" s="14"/>
      <c r="B732" s="14"/>
      <c r="C732" s="14"/>
      <c r="D732" s="14"/>
      <c r="E732" s="14"/>
    </row>
    <row r="733" spans="1:5" x14ac:dyDescent="0.2">
      <c r="A733" s="14"/>
      <c r="B733" s="14"/>
      <c r="C733" s="14"/>
      <c r="D733" s="14"/>
      <c r="E733" s="14"/>
    </row>
    <row r="734" spans="1:5" x14ac:dyDescent="0.2">
      <c r="A734" s="14"/>
      <c r="B734" s="14"/>
      <c r="C734" s="14"/>
      <c r="D734" s="14"/>
      <c r="E734" s="14"/>
    </row>
    <row r="735" spans="1:5" x14ac:dyDescent="0.2">
      <c r="A735" s="14"/>
      <c r="B735" s="14"/>
      <c r="C735" s="14"/>
      <c r="D735" s="14"/>
      <c r="E735" s="14"/>
    </row>
    <row r="736" spans="1:5" x14ac:dyDescent="0.2">
      <c r="A736" s="14"/>
      <c r="B736" s="14"/>
      <c r="C736" s="14"/>
      <c r="D736" s="14"/>
      <c r="E736" s="14"/>
    </row>
    <row r="737" spans="1:5" x14ac:dyDescent="0.2">
      <c r="A737" s="14"/>
      <c r="B737" s="14"/>
      <c r="C737" s="14"/>
      <c r="D737" s="14"/>
      <c r="E737" s="14"/>
    </row>
    <row r="738" spans="1:5" x14ac:dyDescent="0.2">
      <c r="A738" s="14"/>
      <c r="B738" s="14"/>
      <c r="C738" s="14"/>
      <c r="D738" s="14"/>
      <c r="E738" s="14"/>
    </row>
    <row r="739" spans="1:5" x14ac:dyDescent="0.2">
      <c r="A739" s="14"/>
      <c r="B739" s="14"/>
      <c r="C739" s="14"/>
      <c r="D739" s="14"/>
      <c r="E739" s="14"/>
    </row>
    <row r="740" spans="1:5" x14ac:dyDescent="0.2">
      <c r="A740" s="14"/>
      <c r="B740" s="14"/>
      <c r="C740" s="14"/>
      <c r="D740" s="14"/>
      <c r="E740" s="14"/>
    </row>
    <row r="741" spans="1:5" x14ac:dyDescent="0.2">
      <c r="A741" s="14"/>
      <c r="B741" s="14"/>
      <c r="C741" s="14"/>
      <c r="D741" s="14"/>
      <c r="E741" s="14"/>
    </row>
    <row r="742" spans="1:5" x14ac:dyDescent="0.2">
      <c r="A742" s="14"/>
      <c r="B742" s="14"/>
      <c r="C742" s="14"/>
      <c r="D742" s="14"/>
      <c r="E742" s="14"/>
    </row>
    <row r="743" spans="1:5" x14ac:dyDescent="0.2">
      <c r="A743" s="14"/>
      <c r="B743" s="14"/>
      <c r="C743" s="14"/>
      <c r="D743" s="14"/>
      <c r="E743" s="14"/>
    </row>
    <row r="744" spans="1:5" x14ac:dyDescent="0.2">
      <c r="A744" s="14"/>
      <c r="B744" s="14"/>
      <c r="C744" s="14"/>
      <c r="D744" s="14"/>
      <c r="E744" s="14"/>
    </row>
    <row r="745" spans="1:5" x14ac:dyDescent="0.2">
      <c r="A745" s="14"/>
      <c r="B745" s="14"/>
      <c r="C745" s="14"/>
      <c r="D745" s="14"/>
      <c r="E745" s="14"/>
    </row>
    <row r="746" spans="1:5" x14ac:dyDescent="0.2">
      <c r="A746" s="14"/>
      <c r="B746" s="14"/>
      <c r="C746" s="14"/>
      <c r="D746" s="14"/>
      <c r="E746" s="14"/>
    </row>
    <row r="747" spans="1:5" x14ac:dyDescent="0.2">
      <c r="A747" s="14"/>
      <c r="B747" s="14"/>
      <c r="C747" s="14"/>
      <c r="D747" s="14"/>
      <c r="E747" s="14"/>
    </row>
    <row r="748" spans="1:5" x14ac:dyDescent="0.2">
      <c r="A748" s="14"/>
      <c r="B748" s="14"/>
      <c r="C748" s="14"/>
      <c r="D748" s="14"/>
      <c r="E748" s="14"/>
    </row>
    <row r="749" spans="1:5" x14ac:dyDescent="0.2">
      <c r="A749" s="14"/>
      <c r="B749" s="14"/>
      <c r="C749" s="14"/>
      <c r="D749" s="14"/>
      <c r="E749" s="14"/>
    </row>
    <row r="750" spans="1:5" x14ac:dyDescent="0.2">
      <c r="A750" s="14"/>
      <c r="B750" s="14"/>
      <c r="C750" s="14"/>
      <c r="D750" s="14"/>
      <c r="E750" s="14"/>
    </row>
    <row r="751" spans="1:5" x14ac:dyDescent="0.2">
      <c r="A751" s="14"/>
      <c r="B751" s="14"/>
      <c r="C751" s="14"/>
      <c r="D751" s="14"/>
      <c r="E751" s="14"/>
    </row>
    <row r="752" spans="1:5" x14ac:dyDescent="0.2">
      <c r="A752" s="14"/>
      <c r="B752" s="14"/>
      <c r="C752" s="14"/>
      <c r="D752" s="14"/>
      <c r="E752" s="14"/>
    </row>
    <row r="753" spans="1:5" x14ac:dyDescent="0.2">
      <c r="A753" s="14"/>
      <c r="B753" s="14"/>
      <c r="C753" s="14"/>
      <c r="D753" s="14"/>
      <c r="E753" s="14"/>
    </row>
    <row r="754" spans="1:5" x14ac:dyDescent="0.2">
      <c r="A754" s="14"/>
      <c r="B754" s="14"/>
      <c r="C754" s="14"/>
      <c r="D754" s="14"/>
      <c r="E754" s="14"/>
    </row>
    <row r="755" spans="1:5" x14ac:dyDescent="0.2">
      <c r="A755" s="14"/>
      <c r="B755" s="14"/>
      <c r="C755" s="14"/>
      <c r="D755" s="14"/>
      <c r="E755" s="14"/>
    </row>
    <row r="756" spans="1:5" x14ac:dyDescent="0.2">
      <c r="A756" s="14"/>
      <c r="B756" s="14"/>
      <c r="C756" s="14"/>
      <c r="D756" s="14"/>
      <c r="E756" s="14"/>
    </row>
    <row r="757" spans="1:5" x14ac:dyDescent="0.2">
      <c r="A757" s="14"/>
      <c r="B757" s="14"/>
      <c r="C757" s="14"/>
      <c r="D757" s="14"/>
      <c r="E757" s="14"/>
    </row>
    <row r="758" spans="1:5" x14ac:dyDescent="0.2">
      <c r="A758" s="14"/>
      <c r="B758" s="14"/>
      <c r="C758" s="14"/>
      <c r="D758" s="14"/>
      <c r="E758" s="14"/>
    </row>
    <row r="759" spans="1:5" x14ac:dyDescent="0.2">
      <c r="A759" s="14"/>
      <c r="B759" s="14"/>
      <c r="C759" s="14"/>
      <c r="D759" s="14"/>
      <c r="E759" s="14"/>
    </row>
    <row r="760" spans="1:5" x14ac:dyDescent="0.2">
      <c r="A760" s="14"/>
      <c r="B760" s="14"/>
      <c r="C760" s="14"/>
      <c r="D760" s="14"/>
      <c r="E760" s="14"/>
    </row>
    <row r="761" spans="1:5" x14ac:dyDescent="0.2">
      <c r="A761" s="14"/>
      <c r="B761" s="14"/>
      <c r="C761" s="14"/>
      <c r="D761" s="14"/>
      <c r="E761" s="14"/>
    </row>
    <row r="762" spans="1:5" x14ac:dyDescent="0.2">
      <c r="A762" s="14"/>
      <c r="B762" s="14"/>
      <c r="C762" s="14"/>
      <c r="D762" s="14"/>
      <c r="E762" s="14"/>
    </row>
    <row r="763" spans="1:5" x14ac:dyDescent="0.2">
      <c r="A763" s="14"/>
      <c r="B763" s="14"/>
      <c r="C763" s="14"/>
      <c r="D763" s="14"/>
      <c r="E763" s="14"/>
    </row>
    <row r="764" spans="1:5" x14ac:dyDescent="0.2">
      <c r="A764" s="14"/>
      <c r="B764" s="14"/>
      <c r="C764" s="14"/>
      <c r="D764" s="14"/>
      <c r="E764" s="14"/>
    </row>
    <row r="765" spans="1:5" x14ac:dyDescent="0.2">
      <c r="A765" s="14"/>
      <c r="B765" s="14"/>
      <c r="C765" s="14"/>
      <c r="D765" s="14"/>
      <c r="E765" s="14"/>
    </row>
    <row r="766" spans="1:5" x14ac:dyDescent="0.2">
      <c r="A766" s="14"/>
      <c r="B766" s="14"/>
      <c r="C766" s="14"/>
      <c r="D766" s="14"/>
      <c r="E766" s="14"/>
    </row>
    <row r="767" spans="1:5" x14ac:dyDescent="0.2">
      <c r="A767" s="14"/>
      <c r="B767" s="14"/>
      <c r="C767" s="14"/>
      <c r="D767" s="14"/>
      <c r="E767" s="14"/>
    </row>
    <row r="768" spans="1:5" x14ac:dyDescent="0.2">
      <c r="A768" s="14"/>
      <c r="B768" s="14"/>
      <c r="C768" s="14"/>
      <c r="D768" s="14"/>
      <c r="E768" s="14"/>
    </row>
    <row r="769" spans="1:5" x14ac:dyDescent="0.2">
      <c r="A769" s="14"/>
      <c r="B769" s="14"/>
      <c r="C769" s="14"/>
      <c r="D769" s="14"/>
      <c r="E769" s="14"/>
    </row>
    <row r="770" spans="1:5" x14ac:dyDescent="0.2">
      <c r="A770" s="14"/>
      <c r="B770" s="14"/>
      <c r="C770" s="14"/>
      <c r="D770" s="14"/>
      <c r="E770" s="14"/>
    </row>
    <row r="771" spans="1:5" x14ac:dyDescent="0.2">
      <c r="A771" s="14"/>
      <c r="B771" s="14"/>
      <c r="C771" s="14"/>
      <c r="D771" s="14"/>
      <c r="E771" s="14"/>
    </row>
    <row r="772" spans="1:5" x14ac:dyDescent="0.2">
      <c r="A772" s="14"/>
      <c r="B772" s="14"/>
      <c r="C772" s="14"/>
      <c r="D772" s="14"/>
      <c r="E772" s="14"/>
    </row>
    <row r="773" spans="1:5" x14ac:dyDescent="0.2">
      <c r="A773" s="14"/>
      <c r="B773" s="14"/>
      <c r="C773" s="14"/>
      <c r="D773" s="14"/>
      <c r="E773" s="14"/>
    </row>
    <row r="774" spans="1:5" x14ac:dyDescent="0.2">
      <c r="A774" s="14"/>
      <c r="B774" s="14"/>
      <c r="C774" s="14"/>
      <c r="D774" s="14"/>
      <c r="E774" s="14"/>
    </row>
    <row r="775" spans="1:5" x14ac:dyDescent="0.2">
      <c r="A775" s="14"/>
      <c r="B775" s="14"/>
      <c r="C775" s="14"/>
      <c r="D775" s="14"/>
      <c r="E775" s="14"/>
    </row>
    <row r="776" spans="1:5" x14ac:dyDescent="0.2">
      <c r="A776" s="14"/>
      <c r="B776" s="14"/>
      <c r="C776" s="14"/>
      <c r="D776" s="14"/>
      <c r="E776" s="14"/>
    </row>
    <row r="777" spans="1:5" x14ac:dyDescent="0.2">
      <c r="A777" s="14"/>
      <c r="B777" s="14"/>
      <c r="C777" s="14"/>
      <c r="D777" s="14"/>
      <c r="E777" s="14"/>
    </row>
    <row r="778" spans="1:5" x14ac:dyDescent="0.2">
      <c r="A778" s="14"/>
      <c r="B778" s="14"/>
      <c r="C778" s="14"/>
      <c r="D778" s="14"/>
      <c r="E778" s="14"/>
    </row>
    <row r="779" spans="1:5" x14ac:dyDescent="0.2">
      <c r="A779" s="14"/>
      <c r="B779" s="14"/>
      <c r="C779" s="14"/>
      <c r="D779" s="14"/>
      <c r="E779" s="14"/>
    </row>
    <row r="780" spans="1:5" x14ac:dyDescent="0.2">
      <c r="A780" s="14"/>
      <c r="B780" s="14"/>
      <c r="C780" s="14"/>
      <c r="D780" s="14"/>
      <c r="E780" s="14"/>
    </row>
    <row r="781" spans="1:5" x14ac:dyDescent="0.2">
      <c r="A781" s="14"/>
      <c r="B781" s="14"/>
      <c r="C781" s="14"/>
      <c r="D781" s="14"/>
      <c r="E781" s="14"/>
    </row>
    <row r="782" spans="1:5" x14ac:dyDescent="0.2">
      <c r="A782" s="14"/>
      <c r="B782" s="14"/>
      <c r="C782" s="14"/>
      <c r="D782" s="14"/>
      <c r="E782" s="14"/>
    </row>
    <row r="783" spans="1:5" x14ac:dyDescent="0.2">
      <c r="A783" s="14"/>
      <c r="B783" s="14"/>
      <c r="C783" s="14"/>
      <c r="D783" s="14"/>
      <c r="E783" s="14"/>
    </row>
    <row r="784" spans="1:5" x14ac:dyDescent="0.2">
      <c r="A784" s="14"/>
      <c r="B784" s="14"/>
      <c r="C784" s="14"/>
      <c r="D784" s="14"/>
      <c r="E784" s="14"/>
    </row>
    <row r="785" spans="1:5" x14ac:dyDescent="0.2">
      <c r="A785" s="14"/>
      <c r="B785" s="14"/>
      <c r="C785" s="14"/>
      <c r="D785" s="14"/>
      <c r="E785" s="14"/>
    </row>
    <row r="786" spans="1:5" x14ac:dyDescent="0.2">
      <c r="A786" s="14"/>
      <c r="B786" s="14"/>
      <c r="C786" s="14"/>
      <c r="D786" s="14"/>
      <c r="E786" s="14"/>
    </row>
    <row r="787" spans="1:5" x14ac:dyDescent="0.2">
      <c r="A787" s="14"/>
      <c r="B787" s="14"/>
      <c r="C787" s="14"/>
      <c r="D787" s="14"/>
      <c r="E787" s="14"/>
    </row>
    <row r="788" spans="1:5" x14ac:dyDescent="0.2">
      <c r="A788" s="14"/>
      <c r="B788" s="14"/>
      <c r="C788" s="14"/>
      <c r="D788" s="14"/>
      <c r="E788" s="14"/>
    </row>
    <row r="789" spans="1:5" x14ac:dyDescent="0.2">
      <c r="A789" s="14"/>
      <c r="B789" s="14"/>
      <c r="C789" s="14"/>
      <c r="D789" s="14"/>
      <c r="E789" s="14"/>
    </row>
    <row r="790" spans="1:5" x14ac:dyDescent="0.2">
      <c r="A790" s="14"/>
      <c r="B790" s="14"/>
      <c r="C790" s="14"/>
      <c r="D790" s="14"/>
      <c r="E790" s="14"/>
    </row>
    <row r="791" spans="1:5" x14ac:dyDescent="0.2">
      <c r="A791" s="14"/>
      <c r="B791" s="14"/>
      <c r="C791" s="14"/>
      <c r="D791" s="14"/>
      <c r="E791" s="14"/>
    </row>
    <row r="792" spans="1:5" x14ac:dyDescent="0.2">
      <c r="A792" s="14"/>
      <c r="B792" s="14"/>
      <c r="C792" s="14"/>
      <c r="D792" s="14"/>
      <c r="E792" s="14"/>
    </row>
    <row r="793" spans="1:5" x14ac:dyDescent="0.2">
      <c r="A793" s="14"/>
      <c r="B793" s="14"/>
      <c r="C793" s="14"/>
      <c r="D793" s="14"/>
      <c r="E793" s="14"/>
    </row>
    <row r="794" spans="1:5" x14ac:dyDescent="0.2">
      <c r="A794" s="14"/>
      <c r="B794" s="14"/>
      <c r="C794" s="14"/>
      <c r="D794" s="14"/>
      <c r="E794" s="14"/>
    </row>
    <row r="795" spans="1:5" x14ac:dyDescent="0.2">
      <c r="A795" s="14"/>
      <c r="B795" s="14"/>
      <c r="C795" s="14"/>
      <c r="D795" s="14"/>
      <c r="E795" s="14"/>
    </row>
    <row r="796" spans="1:5" x14ac:dyDescent="0.2">
      <c r="A796" s="14"/>
      <c r="B796" s="14"/>
      <c r="C796" s="14"/>
      <c r="D796" s="14"/>
      <c r="E796" s="14"/>
    </row>
    <row r="797" spans="1:5" x14ac:dyDescent="0.2">
      <c r="A797" s="14"/>
      <c r="B797" s="14"/>
      <c r="C797" s="14"/>
      <c r="D797" s="14"/>
      <c r="E797" s="14"/>
    </row>
    <row r="798" spans="1:5" x14ac:dyDescent="0.2">
      <c r="A798" s="14"/>
      <c r="B798" s="14"/>
      <c r="C798" s="14"/>
      <c r="D798" s="14"/>
      <c r="E798" s="14"/>
    </row>
    <row r="799" spans="1:5" x14ac:dyDescent="0.2">
      <c r="A799" s="14"/>
      <c r="B799" s="14"/>
      <c r="C799" s="14"/>
      <c r="D799" s="14"/>
      <c r="E799" s="14"/>
    </row>
    <row r="800" spans="1:5" x14ac:dyDescent="0.2">
      <c r="A800" s="14"/>
      <c r="B800" s="14"/>
      <c r="C800" s="14"/>
      <c r="D800" s="14"/>
      <c r="E800" s="14"/>
    </row>
    <row r="801" spans="1:5" x14ac:dyDescent="0.2">
      <c r="A801" s="14"/>
      <c r="B801" s="14"/>
      <c r="C801" s="14"/>
      <c r="D801" s="14"/>
      <c r="E801" s="14"/>
    </row>
    <row r="802" spans="1:5" x14ac:dyDescent="0.2">
      <c r="A802" s="14"/>
      <c r="B802" s="14"/>
      <c r="C802" s="14"/>
      <c r="D802" s="14"/>
      <c r="E802" s="14"/>
    </row>
    <row r="803" spans="1:5" x14ac:dyDescent="0.2">
      <c r="A803" s="14"/>
      <c r="B803" s="14"/>
      <c r="C803" s="14"/>
      <c r="D803" s="14"/>
      <c r="E803" s="14"/>
    </row>
    <row r="804" spans="1:5" x14ac:dyDescent="0.2">
      <c r="A804" s="14"/>
      <c r="B804" s="14"/>
      <c r="C804" s="14"/>
      <c r="D804" s="14"/>
      <c r="E804" s="14"/>
    </row>
    <row r="805" spans="1:5" x14ac:dyDescent="0.2">
      <c r="A805" s="14"/>
      <c r="B805" s="14"/>
      <c r="C805" s="14"/>
      <c r="D805" s="14"/>
      <c r="E805" s="14"/>
    </row>
    <row r="806" spans="1:5" x14ac:dyDescent="0.2">
      <c r="A806" s="14"/>
      <c r="B806" s="14"/>
      <c r="C806" s="14"/>
      <c r="D806" s="14"/>
      <c r="E806" s="14"/>
    </row>
    <row r="807" spans="1:5" x14ac:dyDescent="0.2">
      <c r="A807" s="14"/>
      <c r="B807" s="14"/>
      <c r="C807" s="14"/>
      <c r="D807" s="14"/>
      <c r="E807" s="14"/>
    </row>
    <row r="808" spans="1:5" x14ac:dyDescent="0.2">
      <c r="A808" s="14"/>
      <c r="B808" s="14"/>
      <c r="C808" s="14"/>
      <c r="D808" s="14"/>
      <c r="E808" s="14"/>
    </row>
    <row r="809" spans="1:5" x14ac:dyDescent="0.2">
      <c r="A809" s="14"/>
      <c r="B809" s="14"/>
      <c r="C809" s="14"/>
      <c r="D809" s="14"/>
      <c r="E809" s="14"/>
    </row>
    <row r="810" spans="1:5" x14ac:dyDescent="0.2">
      <c r="A810" s="14"/>
      <c r="B810" s="14"/>
      <c r="C810" s="14"/>
      <c r="D810" s="14"/>
      <c r="E810" s="14"/>
    </row>
    <row r="811" spans="1:5" x14ac:dyDescent="0.2">
      <c r="A811" s="14"/>
      <c r="B811" s="14"/>
      <c r="C811" s="14"/>
      <c r="D811" s="14"/>
      <c r="E811" s="14"/>
    </row>
    <row r="812" spans="1:5" x14ac:dyDescent="0.2">
      <c r="A812" s="14"/>
      <c r="B812" s="14"/>
      <c r="C812" s="14"/>
      <c r="D812" s="14"/>
      <c r="E812" s="14"/>
    </row>
    <row r="813" spans="1:5" x14ac:dyDescent="0.2">
      <c r="A813" s="14"/>
      <c r="B813" s="14"/>
      <c r="C813" s="14"/>
      <c r="D813" s="14"/>
      <c r="E813" s="14"/>
    </row>
    <row r="814" spans="1:5" x14ac:dyDescent="0.2">
      <c r="A814" s="14"/>
      <c r="B814" s="14"/>
      <c r="C814" s="14"/>
      <c r="D814" s="14"/>
      <c r="E814" s="14"/>
    </row>
    <row r="815" spans="1:5" x14ac:dyDescent="0.2">
      <c r="A815" s="14"/>
      <c r="B815" s="14"/>
      <c r="C815" s="14"/>
      <c r="D815" s="14"/>
      <c r="E815" s="14"/>
    </row>
    <row r="816" spans="1:5" x14ac:dyDescent="0.2">
      <c r="A816" s="14"/>
      <c r="B816" s="14"/>
      <c r="C816" s="14"/>
      <c r="D816" s="14"/>
      <c r="E816" s="14"/>
    </row>
    <row r="817" spans="1:5" x14ac:dyDescent="0.2">
      <c r="A817" s="14"/>
      <c r="B817" s="14"/>
      <c r="C817" s="14"/>
      <c r="D817" s="14"/>
      <c r="E817" s="14"/>
    </row>
    <row r="818" spans="1:5" x14ac:dyDescent="0.2">
      <c r="A818" s="14"/>
      <c r="B818" s="14"/>
      <c r="C818" s="14"/>
      <c r="D818" s="14"/>
      <c r="E818" s="14"/>
    </row>
    <row r="819" spans="1:5" x14ac:dyDescent="0.2">
      <c r="A819" s="14"/>
      <c r="B819" s="14"/>
      <c r="C819" s="14"/>
      <c r="D819" s="14"/>
      <c r="E819" s="14"/>
    </row>
    <row r="820" spans="1:5" x14ac:dyDescent="0.2">
      <c r="A820" s="14"/>
      <c r="B820" s="14"/>
      <c r="C820" s="14"/>
      <c r="D820" s="14"/>
      <c r="E820" s="14"/>
    </row>
    <row r="821" spans="1:5" x14ac:dyDescent="0.2">
      <c r="A821" s="14"/>
      <c r="B821" s="14"/>
      <c r="C821" s="14"/>
      <c r="D821" s="14"/>
      <c r="E821" s="14"/>
    </row>
    <row r="822" spans="1:5" x14ac:dyDescent="0.2">
      <c r="A822" s="14"/>
      <c r="B822" s="14"/>
      <c r="C822" s="14"/>
      <c r="D822" s="14"/>
      <c r="E822" s="14"/>
    </row>
    <row r="823" spans="1:5" x14ac:dyDescent="0.2">
      <c r="A823" s="14"/>
      <c r="B823" s="14"/>
      <c r="C823" s="14"/>
      <c r="D823" s="14"/>
      <c r="E823" s="14"/>
    </row>
    <row r="824" spans="1:5" x14ac:dyDescent="0.2">
      <c r="A824" s="14"/>
      <c r="B824" s="14"/>
      <c r="C824" s="14"/>
      <c r="D824" s="14"/>
      <c r="E824" s="14"/>
    </row>
    <row r="825" spans="1:5" x14ac:dyDescent="0.2">
      <c r="A825" s="14"/>
      <c r="B825" s="14"/>
      <c r="C825" s="14"/>
      <c r="D825" s="14"/>
      <c r="E825" s="14"/>
    </row>
    <row r="826" spans="1:5" x14ac:dyDescent="0.2">
      <c r="A826" s="14"/>
      <c r="B826" s="14"/>
      <c r="C826" s="14"/>
      <c r="D826" s="14"/>
      <c r="E826" s="14"/>
    </row>
    <row r="827" spans="1:5" x14ac:dyDescent="0.2">
      <c r="A827" s="14"/>
      <c r="B827" s="14"/>
      <c r="C827" s="14"/>
      <c r="D827" s="14"/>
      <c r="E827" s="14"/>
    </row>
    <row r="828" spans="1:5" x14ac:dyDescent="0.2">
      <c r="A828" s="14"/>
      <c r="B828" s="14"/>
      <c r="C828" s="14"/>
      <c r="D828" s="14"/>
      <c r="E828" s="14"/>
    </row>
    <row r="829" spans="1:5" x14ac:dyDescent="0.2">
      <c r="A829" s="14"/>
      <c r="B829" s="14"/>
      <c r="C829" s="14"/>
      <c r="D829" s="14"/>
      <c r="E829" s="14"/>
    </row>
    <row r="830" spans="1:5" x14ac:dyDescent="0.2">
      <c r="A830" s="14"/>
      <c r="B830" s="14"/>
      <c r="C830" s="14"/>
      <c r="D830" s="14"/>
      <c r="E830" s="14"/>
    </row>
    <row r="831" spans="1:5" x14ac:dyDescent="0.2">
      <c r="A831" s="14"/>
      <c r="B831" s="14"/>
      <c r="C831" s="14"/>
      <c r="D831" s="14"/>
      <c r="E831" s="14"/>
    </row>
    <row r="832" spans="1:5" x14ac:dyDescent="0.2">
      <c r="A832" s="14"/>
      <c r="B832" s="14"/>
      <c r="C832" s="14"/>
      <c r="D832" s="14"/>
      <c r="E832" s="14"/>
    </row>
    <row r="833" spans="1:5" x14ac:dyDescent="0.2">
      <c r="A833" s="14"/>
      <c r="B833" s="14"/>
      <c r="C833" s="14"/>
      <c r="D833" s="14"/>
      <c r="E833" s="14"/>
    </row>
    <row r="834" spans="1:5" x14ac:dyDescent="0.2">
      <c r="A834" s="14"/>
      <c r="B834" s="14"/>
      <c r="C834" s="14"/>
      <c r="D834" s="14"/>
      <c r="E834" s="14"/>
    </row>
    <row r="835" spans="1:5" x14ac:dyDescent="0.2">
      <c r="A835" s="14"/>
      <c r="B835" s="14"/>
      <c r="C835" s="14"/>
      <c r="D835" s="14"/>
      <c r="E835" s="14"/>
    </row>
    <row r="836" spans="1:5" x14ac:dyDescent="0.2">
      <c r="A836" s="14"/>
      <c r="B836" s="14"/>
      <c r="C836" s="14"/>
      <c r="D836" s="14"/>
      <c r="E836" s="14"/>
    </row>
    <row r="837" spans="1:5" x14ac:dyDescent="0.2">
      <c r="A837" s="14"/>
      <c r="B837" s="14"/>
      <c r="C837" s="14"/>
      <c r="D837" s="14"/>
      <c r="E837" s="14"/>
    </row>
    <row r="838" spans="1:5" x14ac:dyDescent="0.2">
      <c r="A838" s="14"/>
      <c r="B838" s="14"/>
      <c r="C838" s="14"/>
      <c r="D838" s="14"/>
      <c r="E838" s="14"/>
    </row>
    <row r="839" spans="1:5" x14ac:dyDescent="0.2">
      <c r="A839" s="14"/>
      <c r="B839" s="14"/>
      <c r="C839" s="14"/>
      <c r="D839" s="14"/>
      <c r="E839" s="14"/>
    </row>
    <row r="840" spans="1:5" x14ac:dyDescent="0.2">
      <c r="A840" s="14"/>
      <c r="B840" s="14"/>
      <c r="C840" s="14"/>
      <c r="D840" s="14"/>
      <c r="E840" s="14"/>
    </row>
    <row r="841" spans="1:5" x14ac:dyDescent="0.2">
      <c r="A841" s="14"/>
      <c r="B841" s="14"/>
      <c r="C841" s="14"/>
      <c r="D841" s="14"/>
      <c r="E841" s="14"/>
    </row>
    <row r="842" spans="1:5" x14ac:dyDescent="0.2">
      <c r="A842" s="14"/>
      <c r="B842" s="14"/>
      <c r="C842" s="14"/>
      <c r="D842" s="14"/>
      <c r="E842" s="14"/>
    </row>
    <row r="843" spans="1:5" x14ac:dyDescent="0.2">
      <c r="A843" s="14"/>
      <c r="B843" s="14"/>
      <c r="C843" s="14"/>
      <c r="D843" s="14"/>
      <c r="E843" s="14"/>
    </row>
    <row r="844" spans="1:5" x14ac:dyDescent="0.2">
      <c r="A844" s="14"/>
      <c r="B844" s="14"/>
      <c r="C844" s="14"/>
      <c r="D844" s="14"/>
      <c r="E844" s="14"/>
    </row>
    <row r="845" spans="1:5" x14ac:dyDescent="0.2">
      <c r="A845" s="14"/>
      <c r="B845" s="14"/>
      <c r="C845" s="14"/>
      <c r="D845" s="14"/>
      <c r="E845" s="14"/>
    </row>
    <row r="846" spans="1:5" x14ac:dyDescent="0.2">
      <c r="A846" s="14"/>
      <c r="B846" s="14"/>
      <c r="C846" s="14"/>
      <c r="D846" s="14"/>
      <c r="E846" s="14"/>
    </row>
    <row r="847" spans="1:5" x14ac:dyDescent="0.2">
      <c r="A847" s="14"/>
      <c r="B847" s="14"/>
      <c r="C847" s="14"/>
      <c r="D847" s="14"/>
      <c r="E847" s="14"/>
    </row>
    <row r="848" spans="1:5" x14ac:dyDescent="0.2">
      <c r="A848" s="14"/>
      <c r="B848" s="14"/>
      <c r="C848" s="14"/>
      <c r="D848" s="14"/>
      <c r="E848" s="14"/>
    </row>
    <row r="849" spans="1:5" x14ac:dyDescent="0.2">
      <c r="A849" s="14"/>
      <c r="B849" s="14"/>
      <c r="C849" s="14"/>
      <c r="D849" s="14"/>
      <c r="E849" s="14"/>
    </row>
    <row r="850" spans="1:5" x14ac:dyDescent="0.2">
      <c r="A850" s="14"/>
      <c r="B850" s="14"/>
      <c r="C850" s="14"/>
      <c r="D850" s="14"/>
      <c r="E850" s="14"/>
    </row>
    <row r="851" spans="1:5" x14ac:dyDescent="0.2">
      <c r="A851" s="14"/>
      <c r="B851" s="14"/>
      <c r="C851" s="14"/>
      <c r="D851" s="14"/>
      <c r="E851" s="14"/>
    </row>
    <row r="852" spans="1:5" x14ac:dyDescent="0.2">
      <c r="A852" s="14"/>
      <c r="B852" s="14"/>
      <c r="C852" s="14"/>
      <c r="D852" s="14"/>
      <c r="E852" s="14"/>
    </row>
    <row r="853" spans="1:5" x14ac:dyDescent="0.2">
      <c r="A853" s="14"/>
      <c r="B853" s="14"/>
      <c r="C853" s="14"/>
      <c r="D853" s="14"/>
      <c r="E853" s="14"/>
    </row>
    <row r="854" spans="1:5" x14ac:dyDescent="0.2">
      <c r="A854" s="14"/>
      <c r="B854" s="14"/>
      <c r="C854" s="14"/>
      <c r="D854" s="14"/>
      <c r="E854" s="14"/>
    </row>
    <row r="855" spans="1:5" x14ac:dyDescent="0.2">
      <c r="A855" s="14"/>
      <c r="B855" s="14"/>
      <c r="C855" s="14"/>
      <c r="D855" s="14"/>
      <c r="E855" s="14"/>
    </row>
    <row r="856" spans="1:5" x14ac:dyDescent="0.2">
      <c r="A856" s="14"/>
      <c r="B856" s="14"/>
      <c r="C856" s="14"/>
      <c r="D856" s="14"/>
      <c r="E856" s="14"/>
    </row>
    <row r="857" spans="1:5" x14ac:dyDescent="0.2">
      <c r="A857" s="14"/>
      <c r="B857" s="14"/>
      <c r="C857" s="14"/>
      <c r="D857" s="14"/>
      <c r="E857" s="14"/>
    </row>
    <row r="858" spans="1:5" x14ac:dyDescent="0.2">
      <c r="A858" s="14"/>
      <c r="B858" s="14"/>
      <c r="C858" s="14"/>
      <c r="D858" s="14"/>
      <c r="E858" s="14"/>
    </row>
    <row r="859" spans="1:5" x14ac:dyDescent="0.2">
      <c r="A859" s="14"/>
      <c r="B859" s="14"/>
      <c r="C859" s="14"/>
      <c r="D859" s="14"/>
      <c r="E859" s="14"/>
    </row>
    <row r="860" spans="1:5" x14ac:dyDescent="0.2">
      <c r="A860" s="14"/>
      <c r="B860" s="14"/>
      <c r="C860" s="14"/>
      <c r="D860" s="14"/>
      <c r="E860" s="14"/>
    </row>
    <row r="861" spans="1:5" x14ac:dyDescent="0.2">
      <c r="A861" s="14"/>
      <c r="B861" s="14"/>
      <c r="C861" s="14"/>
      <c r="D861" s="14"/>
      <c r="E861" s="14"/>
    </row>
    <row r="862" spans="1:5" x14ac:dyDescent="0.2">
      <c r="A862" s="14"/>
      <c r="B862" s="14"/>
      <c r="C862" s="14"/>
      <c r="D862" s="14"/>
      <c r="E862" s="14"/>
    </row>
    <row r="863" spans="1:5" x14ac:dyDescent="0.2">
      <c r="A863" s="14"/>
      <c r="B863" s="14"/>
      <c r="C863" s="14"/>
      <c r="D863" s="14"/>
      <c r="E863" s="14"/>
    </row>
    <row r="864" spans="1:5" x14ac:dyDescent="0.2">
      <c r="A864" s="14"/>
      <c r="B864" s="14"/>
      <c r="C864" s="14"/>
      <c r="D864" s="14"/>
      <c r="E864" s="14"/>
    </row>
    <row r="865" spans="1:5" x14ac:dyDescent="0.2">
      <c r="A865" s="14"/>
      <c r="B865" s="14"/>
      <c r="C865" s="14"/>
      <c r="D865" s="14"/>
      <c r="E865" s="14"/>
    </row>
    <row r="866" spans="1:5" x14ac:dyDescent="0.2">
      <c r="A866" s="14"/>
      <c r="B866" s="14"/>
      <c r="C866" s="14"/>
      <c r="D866" s="14"/>
      <c r="E866" s="14"/>
    </row>
    <row r="867" spans="1:5" x14ac:dyDescent="0.2">
      <c r="A867" s="14"/>
      <c r="B867" s="14"/>
      <c r="C867" s="14"/>
      <c r="D867" s="14"/>
      <c r="E867" s="14"/>
    </row>
    <row r="868" spans="1:5" x14ac:dyDescent="0.2">
      <c r="A868" s="14"/>
      <c r="B868" s="14"/>
      <c r="C868" s="14"/>
      <c r="D868" s="14"/>
      <c r="E868" s="14"/>
    </row>
    <row r="869" spans="1:5" x14ac:dyDescent="0.2">
      <c r="A869" s="14"/>
      <c r="B869" s="14"/>
      <c r="C869" s="14"/>
      <c r="D869" s="14"/>
      <c r="E869" s="14"/>
    </row>
    <row r="870" spans="1:5" x14ac:dyDescent="0.2">
      <c r="A870" s="14"/>
      <c r="B870" s="14"/>
      <c r="C870" s="14"/>
      <c r="D870" s="14"/>
      <c r="E870" s="14"/>
    </row>
    <row r="871" spans="1:5" x14ac:dyDescent="0.2">
      <c r="A871" s="14"/>
      <c r="B871" s="14"/>
      <c r="C871" s="14"/>
      <c r="D871" s="14"/>
      <c r="E871" s="14"/>
    </row>
    <row r="872" spans="1:5" x14ac:dyDescent="0.2">
      <c r="A872" s="14"/>
      <c r="B872" s="14"/>
      <c r="C872" s="14"/>
      <c r="D872" s="14"/>
      <c r="E872" s="14"/>
    </row>
    <row r="873" spans="1:5" x14ac:dyDescent="0.2">
      <c r="A873" s="14"/>
      <c r="B873" s="14"/>
      <c r="C873" s="14"/>
      <c r="D873" s="14"/>
      <c r="E873" s="14"/>
    </row>
    <row r="874" spans="1:5" x14ac:dyDescent="0.2">
      <c r="A874" s="14"/>
      <c r="B874" s="14"/>
      <c r="C874" s="14"/>
      <c r="D874" s="14"/>
      <c r="E874" s="14"/>
    </row>
    <row r="875" spans="1:5" x14ac:dyDescent="0.2">
      <c r="A875" s="14"/>
      <c r="B875" s="14"/>
      <c r="C875" s="14"/>
      <c r="D875" s="14"/>
      <c r="E875" s="14"/>
    </row>
    <row r="876" spans="1:5" x14ac:dyDescent="0.2">
      <c r="A876" s="14"/>
      <c r="B876" s="14"/>
      <c r="C876" s="14"/>
      <c r="D876" s="14"/>
      <c r="E876" s="14"/>
    </row>
    <row r="877" spans="1:5" x14ac:dyDescent="0.2">
      <c r="A877" s="14"/>
      <c r="B877" s="14"/>
      <c r="C877" s="14"/>
      <c r="D877" s="14"/>
      <c r="E877" s="14"/>
    </row>
    <row r="878" spans="1:5" x14ac:dyDescent="0.2">
      <c r="A878" s="14"/>
      <c r="B878" s="14"/>
      <c r="C878" s="14"/>
      <c r="D878" s="14"/>
      <c r="E878" s="14"/>
    </row>
    <row r="879" spans="1:5" x14ac:dyDescent="0.2">
      <c r="A879" s="14"/>
      <c r="B879" s="14"/>
      <c r="C879" s="14"/>
      <c r="D879" s="14"/>
      <c r="E879" s="14"/>
    </row>
    <row r="880" spans="1:5" x14ac:dyDescent="0.2">
      <c r="A880" s="14"/>
      <c r="B880" s="14"/>
      <c r="C880" s="14"/>
      <c r="D880" s="14"/>
      <c r="E880" s="14"/>
    </row>
    <row r="881" spans="1:5" x14ac:dyDescent="0.2">
      <c r="A881" s="14"/>
      <c r="B881" s="14"/>
      <c r="C881" s="14"/>
      <c r="D881" s="14"/>
      <c r="E881" s="14"/>
    </row>
    <row r="882" spans="1:5" x14ac:dyDescent="0.2">
      <c r="A882" s="14"/>
      <c r="B882" s="14"/>
      <c r="C882" s="14"/>
      <c r="D882" s="14"/>
      <c r="E882" s="14"/>
    </row>
    <row r="883" spans="1:5" x14ac:dyDescent="0.2">
      <c r="A883" s="14"/>
      <c r="B883" s="14"/>
      <c r="C883" s="14"/>
      <c r="D883" s="14"/>
      <c r="E883" s="14"/>
    </row>
    <row r="884" spans="1:5" x14ac:dyDescent="0.2">
      <c r="A884" s="14"/>
      <c r="B884" s="14"/>
      <c r="C884" s="14"/>
      <c r="D884" s="14"/>
      <c r="E884" s="14"/>
    </row>
    <row r="885" spans="1:5" x14ac:dyDescent="0.2">
      <c r="A885" s="14"/>
      <c r="B885" s="14"/>
      <c r="C885" s="14"/>
      <c r="D885" s="14"/>
      <c r="E885" s="14"/>
    </row>
    <row r="886" spans="1:5" x14ac:dyDescent="0.2">
      <c r="A886" s="14"/>
      <c r="B886" s="14"/>
      <c r="C886" s="14"/>
      <c r="D886" s="14"/>
      <c r="E886" s="14"/>
    </row>
    <row r="887" spans="1:5" x14ac:dyDescent="0.2">
      <c r="A887" s="14"/>
      <c r="B887" s="14"/>
      <c r="C887" s="14"/>
      <c r="D887" s="14"/>
      <c r="E887" s="14"/>
    </row>
    <row r="888" spans="1:5" x14ac:dyDescent="0.2">
      <c r="A888" s="14"/>
      <c r="B888" s="14"/>
      <c r="C888" s="14"/>
      <c r="D888" s="14"/>
      <c r="E888" s="14"/>
    </row>
    <row r="889" spans="1:5" x14ac:dyDescent="0.2">
      <c r="A889" s="14"/>
      <c r="B889" s="14"/>
      <c r="C889" s="14"/>
      <c r="D889" s="14"/>
      <c r="E889" s="14"/>
    </row>
    <row r="890" spans="1:5" x14ac:dyDescent="0.2">
      <c r="A890" s="14"/>
      <c r="B890" s="14"/>
      <c r="C890" s="14"/>
      <c r="D890" s="14"/>
      <c r="E890" s="14"/>
    </row>
    <row r="891" spans="1:5" x14ac:dyDescent="0.2">
      <c r="A891" s="14"/>
      <c r="B891" s="14"/>
      <c r="C891" s="14"/>
      <c r="D891" s="14"/>
      <c r="E891" s="14"/>
    </row>
    <row r="892" spans="1:5" x14ac:dyDescent="0.2">
      <c r="A892" s="14"/>
      <c r="B892" s="14"/>
      <c r="C892" s="14"/>
      <c r="D892" s="14"/>
      <c r="E892" s="14"/>
    </row>
    <row r="893" spans="1:5" x14ac:dyDescent="0.2">
      <c r="A893" s="14"/>
      <c r="B893" s="14"/>
      <c r="C893" s="14"/>
      <c r="D893" s="14"/>
      <c r="E893" s="14"/>
    </row>
    <row r="894" spans="1:5" x14ac:dyDescent="0.2">
      <c r="A894" s="14"/>
      <c r="B894" s="14"/>
      <c r="C894" s="14"/>
      <c r="D894" s="14"/>
      <c r="E894" s="14"/>
    </row>
    <row r="895" spans="1:5" x14ac:dyDescent="0.2">
      <c r="A895" s="14"/>
      <c r="B895" s="14"/>
      <c r="C895" s="14"/>
      <c r="D895" s="14"/>
      <c r="E895" s="14"/>
    </row>
    <row r="896" spans="1:5" x14ac:dyDescent="0.2">
      <c r="A896" s="14"/>
      <c r="B896" s="14"/>
      <c r="C896" s="14"/>
      <c r="D896" s="14"/>
      <c r="E896" s="14"/>
    </row>
    <row r="897" spans="1:5" x14ac:dyDescent="0.2">
      <c r="A897" s="14"/>
      <c r="B897" s="14"/>
      <c r="C897" s="14"/>
      <c r="D897" s="14"/>
      <c r="E897" s="14"/>
    </row>
    <row r="898" spans="1:5" x14ac:dyDescent="0.2">
      <c r="A898" s="14"/>
      <c r="B898" s="14"/>
      <c r="C898" s="14"/>
      <c r="D898" s="14"/>
      <c r="E898" s="14"/>
    </row>
    <row r="899" spans="1:5" x14ac:dyDescent="0.2">
      <c r="A899" s="14"/>
      <c r="B899" s="14"/>
      <c r="C899" s="14"/>
      <c r="D899" s="14"/>
      <c r="E899" s="14"/>
    </row>
    <row r="900" spans="1:5" x14ac:dyDescent="0.2">
      <c r="A900" s="14"/>
      <c r="B900" s="14"/>
      <c r="C900" s="14"/>
      <c r="D900" s="14"/>
      <c r="E900" s="14"/>
    </row>
    <row r="901" spans="1:5" x14ac:dyDescent="0.2">
      <c r="A901" s="14"/>
      <c r="B901" s="14"/>
      <c r="C901" s="14"/>
      <c r="D901" s="14"/>
      <c r="E901" s="14"/>
    </row>
    <row r="902" spans="1:5" x14ac:dyDescent="0.2">
      <c r="A902" s="14"/>
      <c r="B902" s="14"/>
      <c r="C902" s="14"/>
      <c r="D902" s="14"/>
      <c r="E902" s="14"/>
    </row>
    <row r="903" spans="1:5" x14ac:dyDescent="0.2">
      <c r="A903" s="14"/>
      <c r="B903" s="14"/>
      <c r="C903" s="14"/>
      <c r="D903" s="14"/>
      <c r="E903" s="14"/>
    </row>
    <row r="904" spans="1:5" x14ac:dyDescent="0.2">
      <c r="A904" s="14"/>
      <c r="B904" s="14"/>
      <c r="C904" s="14"/>
      <c r="D904" s="14"/>
      <c r="E904" s="14"/>
    </row>
    <row r="905" spans="1:5" x14ac:dyDescent="0.2">
      <c r="A905" s="14"/>
      <c r="B905" s="14"/>
      <c r="C905" s="14"/>
      <c r="D905" s="14"/>
      <c r="E905" s="14"/>
    </row>
    <row r="906" spans="1:5" x14ac:dyDescent="0.2">
      <c r="A906" s="14"/>
      <c r="B906" s="14"/>
      <c r="C906" s="14"/>
      <c r="D906" s="14"/>
      <c r="E906" s="14"/>
    </row>
    <row r="907" spans="1:5" x14ac:dyDescent="0.2">
      <c r="A907" s="14"/>
      <c r="B907" s="14"/>
      <c r="C907" s="14"/>
      <c r="D907" s="14"/>
      <c r="E907" s="14"/>
    </row>
    <row r="908" spans="1:5" x14ac:dyDescent="0.2">
      <c r="A908" s="14"/>
      <c r="B908" s="14"/>
      <c r="C908" s="14"/>
      <c r="D908" s="14"/>
      <c r="E908" s="14"/>
    </row>
    <row r="909" spans="1:5" x14ac:dyDescent="0.2">
      <c r="A909" s="14"/>
      <c r="B909" s="14"/>
      <c r="C909" s="14"/>
      <c r="D909" s="14"/>
      <c r="E909" s="14"/>
    </row>
    <row r="910" spans="1:5" x14ac:dyDescent="0.2">
      <c r="A910" s="14"/>
      <c r="B910" s="14"/>
      <c r="C910" s="14"/>
      <c r="D910" s="14"/>
      <c r="E910" s="14"/>
    </row>
    <row r="911" spans="1:5" x14ac:dyDescent="0.2">
      <c r="A911" s="14"/>
      <c r="B911" s="14"/>
      <c r="C911" s="14"/>
      <c r="D911" s="14"/>
      <c r="E911" s="14"/>
    </row>
    <row r="912" spans="1:5" x14ac:dyDescent="0.2">
      <c r="A912" s="14"/>
      <c r="B912" s="14"/>
      <c r="C912" s="14"/>
      <c r="D912" s="14"/>
      <c r="E912" s="14"/>
    </row>
    <row r="913" spans="1:5" x14ac:dyDescent="0.2">
      <c r="A913" s="14"/>
      <c r="B913" s="14"/>
      <c r="C913" s="14"/>
      <c r="D913" s="14"/>
      <c r="E913" s="14"/>
    </row>
    <row r="914" spans="1:5" x14ac:dyDescent="0.2">
      <c r="A914" s="14"/>
      <c r="B914" s="14"/>
      <c r="C914" s="14"/>
      <c r="D914" s="14"/>
      <c r="E914" s="14"/>
    </row>
    <row r="915" spans="1:5" x14ac:dyDescent="0.2">
      <c r="A915" s="14"/>
      <c r="B915" s="14"/>
      <c r="C915" s="14"/>
      <c r="D915" s="14"/>
      <c r="E915" s="14"/>
    </row>
    <row r="916" spans="1:5" x14ac:dyDescent="0.2">
      <c r="A916" s="14"/>
      <c r="B916" s="14"/>
      <c r="C916" s="14"/>
      <c r="D916" s="14"/>
      <c r="E916" s="14"/>
    </row>
    <row r="917" spans="1:5" x14ac:dyDescent="0.2">
      <c r="A917" s="14"/>
      <c r="B917" s="14"/>
      <c r="C917" s="14"/>
      <c r="D917" s="14"/>
      <c r="E917" s="14"/>
    </row>
    <row r="918" spans="1:5" x14ac:dyDescent="0.2">
      <c r="A918" s="14"/>
      <c r="B918" s="14"/>
      <c r="C918" s="14"/>
      <c r="D918" s="14"/>
      <c r="E918" s="14"/>
    </row>
    <row r="919" spans="1:5" x14ac:dyDescent="0.2">
      <c r="A919" s="14"/>
      <c r="B919" s="14"/>
      <c r="C919" s="14"/>
      <c r="D919" s="14"/>
      <c r="E919" s="14"/>
    </row>
    <row r="920" spans="1:5" x14ac:dyDescent="0.2">
      <c r="A920" s="14"/>
      <c r="B920" s="14"/>
      <c r="C920" s="14"/>
      <c r="D920" s="14"/>
      <c r="E920" s="14"/>
    </row>
    <row r="921" spans="1:5" x14ac:dyDescent="0.2">
      <c r="A921" s="14"/>
      <c r="B921" s="14"/>
      <c r="C921" s="14"/>
      <c r="D921" s="14"/>
      <c r="E921" s="14"/>
    </row>
    <row r="922" spans="1:5" x14ac:dyDescent="0.2">
      <c r="A922" s="14"/>
      <c r="B922" s="14"/>
      <c r="C922" s="14"/>
      <c r="D922" s="14"/>
      <c r="E922" s="14"/>
    </row>
    <row r="923" spans="1:5" x14ac:dyDescent="0.2">
      <c r="A923" s="14"/>
      <c r="B923" s="14"/>
      <c r="C923" s="14"/>
      <c r="D923" s="14"/>
      <c r="E923" s="14"/>
    </row>
    <row r="924" spans="1:5" x14ac:dyDescent="0.2">
      <c r="A924" s="14"/>
      <c r="B924" s="14"/>
      <c r="C924" s="14"/>
      <c r="D924" s="14"/>
      <c r="E924" s="14"/>
    </row>
    <row r="925" spans="1:5" x14ac:dyDescent="0.2">
      <c r="A925" s="14"/>
      <c r="B925" s="14"/>
      <c r="C925" s="14"/>
      <c r="D925" s="14"/>
      <c r="E925" s="14"/>
    </row>
    <row r="926" spans="1:5" x14ac:dyDescent="0.2">
      <c r="A926" s="14"/>
      <c r="B926" s="14"/>
      <c r="C926" s="14"/>
      <c r="D926" s="14"/>
      <c r="E926" s="14"/>
    </row>
    <row r="927" spans="1:5" x14ac:dyDescent="0.2">
      <c r="A927" s="14"/>
      <c r="B927" s="14"/>
      <c r="C927" s="14"/>
      <c r="D927" s="14"/>
      <c r="E927" s="14"/>
    </row>
    <row r="928" spans="1:5" x14ac:dyDescent="0.2">
      <c r="A928" s="14"/>
      <c r="B928" s="14"/>
      <c r="C928" s="14"/>
      <c r="D928" s="14"/>
      <c r="E928" s="14"/>
    </row>
    <row r="929" spans="1:5" x14ac:dyDescent="0.2">
      <c r="A929" s="14"/>
      <c r="B929" s="14"/>
      <c r="C929" s="14"/>
      <c r="D929" s="14"/>
      <c r="E929" s="14"/>
    </row>
    <row r="930" spans="1:5" x14ac:dyDescent="0.2">
      <c r="A930" s="14"/>
      <c r="B930" s="14"/>
      <c r="C930" s="14"/>
      <c r="D930" s="14"/>
      <c r="E930" s="14"/>
    </row>
    <row r="931" spans="1:5" x14ac:dyDescent="0.2">
      <c r="A931" s="14"/>
      <c r="B931" s="14"/>
      <c r="C931" s="14"/>
      <c r="D931" s="14"/>
      <c r="E931" s="14"/>
    </row>
    <row r="932" spans="1:5" x14ac:dyDescent="0.2">
      <c r="A932" s="14"/>
      <c r="B932" s="14"/>
      <c r="C932" s="14"/>
      <c r="D932" s="14"/>
      <c r="E932" s="14"/>
    </row>
    <row r="933" spans="1:5" x14ac:dyDescent="0.2">
      <c r="A933" s="14"/>
      <c r="B933" s="14"/>
      <c r="C933" s="14"/>
      <c r="D933" s="14"/>
      <c r="E933" s="14"/>
    </row>
    <row r="934" spans="1:5" x14ac:dyDescent="0.2">
      <c r="A934" s="14"/>
      <c r="B934" s="14"/>
      <c r="C934" s="14"/>
      <c r="D934" s="14"/>
      <c r="E934" s="14"/>
    </row>
    <row r="935" spans="1:5" x14ac:dyDescent="0.2">
      <c r="A935" s="14"/>
      <c r="B935" s="14"/>
      <c r="C935" s="14"/>
      <c r="D935" s="14"/>
      <c r="E935" s="14"/>
    </row>
    <row r="936" spans="1:5" x14ac:dyDescent="0.2">
      <c r="A936" s="14"/>
      <c r="B936" s="14"/>
      <c r="C936" s="14"/>
      <c r="D936" s="14"/>
      <c r="E936" s="14"/>
    </row>
    <row r="937" spans="1:5" x14ac:dyDescent="0.2">
      <c r="A937" s="14"/>
      <c r="B937" s="14"/>
      <c r="C937" s="14"/>
      <c r="D937" s="14"/>
      <c r="E937" s="14"/>
    </row>
    <row r="938" spans="1:5" x14ac:dyDescent="0.2">
      <c r="A938" s="14"/>
      <c r="B938" s="14"/>
      <c r="C938" s="14"/>
      <c r="D938" s="14"/>
      <c r="E938" s="14"/>
    </row>
    <row r="939" spans="1:5" x14ac:dyDescent="0.2">
      <c r="A939" s="14"/>
      <c r="B939" s="14"/>
      <c r="C939" s="14"/>
      <c r="D939" s="14"/>
      <c r="E939" s="14"/>
    </row>
    <row r="940" spans="1:5" x14ac:dyDescent="0.2">
      <c r="A940" s="14"/>
      <c r="B940" s="14"/>
      <c r="C940" s="14"/>
      <c r="D940" s="14"/>
      <c r="E940" s="14"/>
    </row>
    <row r="941" spans="1:5" x14ac:dyDescent="0.2">
      <c r="A941" s="14"/>
      <c r="B941" s="14"/>
      <c r="C941" s="14"/>
      <c r="D941" s="14"/>
      <c r="E941" s="14"/>
    </row>
    <row r="942" spans="1:5" x14ac:dyDescent="0.2">
      <c r="A942" s="14"/>
      <c r="B942" s="14"/>
      <c r="C942" s="14"/>
      <c r="D942" s="14"/>
      <c r="E942" s="14"/>
    </row>
    <row r="943" spans="1:5" x14ac:dyDescent="0.2">
      <c r="A943" s="14"/>
      <c r="B943" s="14"/>
      <c r="C943" s="14"/>
      <c r="D943" s="14"/>
      <c r="E943" s="14"/>
    </row>
    <row r="944" spans="1:5" x14ac:dyDescent="0.2">
      <c r="A944" s="14"/>
      <c r="B944" s="14"/>
      <c r="C944" s="14"/>
      <c r="D944" s="14"/>
      <c r="E944" s="14"/>
    </row>
    <row r="945" spans="1:5" x14ac:dyDescent="0.2">
      <c r="A945" s="14"/>
      <c r="B945" s="14"/>
      <c r="C945" s="14"/>
      <c r="D945" s="14"/>
      <c r="E945" s="14"/>
    </row>
    <row r="946" spans="1:5" x14ac:dyDescent="0.2">
      <c r="A946" s="14"/>
      <c r="B946" s="14"/>
      <c r="C946" s="14"/>
      <c r="D946" s="14"/>
      <c r="E946" s="14"/>
    </row>
    <row r="947" spans="1:5" x14ac:dyDescent="0.2">
      <c r="A947" s="14"/>
      <c r="B947" s="14"/>
      <c r="C947" s="14"/>
      <c r="D947" s="14"/>
      <c r="E947" s="14"/>
    </row>
    <row r="948" spans="1:5" x14ac:dyDescent="0.2">
      <c r="A948" s="14"/>
      <c r="B948" s="14"/>
      <c r="C948" s="14"/>
      <c r="D948" s="14"/>
      <c r="E948" s="14"/>
    </row>
    <row r="949" spans="1:5" x14ac:dyDescent="0.2">
      <c r="A949" s="14"/>
      <c r="B949" s="14"/>
      <c r="C949" s="14"/>
      <c r="D949" s="14"/>
      <c r="E949" s="14"/>
    </row>
    <row r="950" spans="1:5" x14ac:dyDescent="0.2">
      <c r="A950" s="14"/>
      <c r="B950" s="14"/>
      <c r="C950" s="14"/>
      <c r="D950" s="14"/>
      <c r="E950" s="14"/>
    </row>
    <row r="951" spans="1:5" x14ac:dyDescent="0.2">
      <c r="A951" s="14"/>
      <c r="B951" s="14"/>
      <c r="C951" s="14"/>
      <c r="D951" s="14"/>
      <c r="E951" s="14"/>
    </row>
    <row r="952" spans="1:5" x14ac:dyDescent="0.2">
      <c r="A952" s="14"/>
      <c r="B952" s="14"/>
      <c r="C952" s="14"/>
      <c r="D952" s="14"/>
      <c r="E952" s="14"/>
    </row>
    <row r="953" spans="1:5" x14ac:dyDescent="0.2">
      <c r="A953" s="14"/>
      <c r="B953" s="14"/>
      <c r="C953" s="14"/>
      <c r="D953" s="14"/>
      <c r="E953" s="14"/>
    </row>
    <row r="954" spans="1:5" x14ac:dyDescent="0.2">
      <c r="A954" s="14"/>
      <c r="B954" s="14"/>
      <c r="C954" s="14"/>
      <c r="D954" s="14"/>
      <c r="E954" s="14"/>
    </row>
    <row r="955" spans="1:5" x14ac:dyDescent="0.2">
      <c r="A955" s="14"/>
      <c r="B955" s="14"/>
      <c r="C955" s="14"/>
      <c r="D955" s="14"/>
      <c r="E955" s="14"/>
    </row>
    <row r="956" spans="1:5" x14ac:dyDescent="0.2">
      <c r="A956" s="14"/>
      <c r="B956" s="14"/>
      <c r="C956" s="14"/>
      <c r="D956" s="14"/>
      <c r="E956" s="14"/>
    </row>
    <row r="957" spans="1:5" x14ac:dyDescent="0.2">
      <c r="A957" s="14"/>
      <c r="B957" s="14"/>
      <c r="C957" s="14"/>
      <c r="D957" s="14"/>
      <c r="E957" s="14"/>
    </row>
    <row r="958" spans="1:5" x14ac:dyDescent="0.2">
      <c r="A958" s="14"/>
      <c r="B958" s="14"/>
      <c r="C958" s="14"/>
      <c r="D958" s="14"/>
      <c r="E958" s="14"/>
    </row>
    <row r="959" spans="1:5" x14ac:dyDescent="0.2">
      <c r="A959" s="14"/>
      <c r="B959" s="14"/>
      <c r="C959" s="14"/>
      <c r="D959" s="14"/>
      <c r="E959" s="14"/>
    </row>
    <row r="960" spans="1:5" x14ac:dyDescent="0.2">
      <c r="A960" s="14"/>
      <c r="B960" s="14"/>
      <c r="C960" s="14"/>
      <c r="D960" s="14"/>
      <c r="E960" s="14"/>
    </row>
    <row r="961" spans="1:5" x14ac:dyDescent="0.2">
      <c r="A961" s="14"/>
      <c r="B961" s="14"/>
      <c r="C961" s="14"/>
      <c r="D961" s="14"/>
      <c r="E961" s="14"/>
    </row>
    <row r="962" spans="1:5" x14ac:dyDescent="0.2">
      <c r="A962" s="14"/>
      <c r="B962" s="14"/>
      <c r="C962" s="14"/>
      <c r="D962" s="14"/>
      <c r="E962" s="14"/>
    </row>
    <row r="963" spans="1:5" x14ac:dyDescent="0.2">
      <c r="A963" s="14"/>
      <c r="B963" s="14"/>
      <c r="C963" s="14"/>
      <c r="D963" s="14"/>
      <c r="E963" s="14"/>
    </row>
    <row r="964" spans="1:5" x14ac:dyDescent="0.2">
      <c r="A964" s="14"/>
      <c r="B964" s="14"/>
      <c r="C964" s="14"/>
      <c r="D964" s="14"/>
      <c r="E964" s="14"/>
    </row>
    <row r="965" spans="1:5" x14ac:dyDescent="0.2">
      <c r="A965" s="14"/>
      <c r="B965" s="14"/>
      <c r="C965" s="14"/>
      <c r="D965" s="14"/>
      <c r="E965" s="14"/>
    </row>
    <row r="966" spans="1:5" x14ac:dyDescent="0.2">
      <c r="A966" s="14"/>
      <c r="B966" s="14"/>
      <c r="C966" s="14"/>
      <c r="D966" s="14"/>
      <c r="E966" s="14"/>
    </row>
    <row r="967" spans="1:5" x14ac:dyDescent="0.2">
      <c r="A967" s="14"/>
      <c r="B967" s="14"/>
      <c r="C967" s="14"/>
      <c r="D967" s="14"/>
      <c r="E967" s="14"/>
    </row>
    <row r="968" spans="1:5" x14ac:dyDescent="0.2">
      <c r="A968" s="14"/>
      <c r="B968" s="14"/>
      <c r="C968" s="14"/>
      <c r="D968" s="14"/>
      <c r="E968" s="14"/>
    </row>
    <row r="969" spans="1:5" x14ac:dyDescent="0.2">
      <c r="A969" s="14"/>
      <c r="B969" s="14"/>
      <c r="C969" s="14"/>
      <c r="D969" s="14"/>
      <c r="E969" s="14"/>
    </row>
    <row r="970" spans="1:5" x14ac:dyDescent="0.2">
      <c r="A970" s="14"/>
      <c r="B970" s="14"/>
      <c r="C970" s="14"/>
      <c r="D970" s="14"/>
      <c r="E970" s="14"/>
    </row>
    <row r="971" spans="1:5" x14ac:dyDescent="0.2">
      <c r="A971" s="14"/>
      <c r="B971" s="14"/>
      <c r="C971" s="14"/>
      <c r="D971" s="14"/>
      <c r="E971" s="14"/>
    </row>
    <row r="972" spans="1:5" x14ac:dyDescent="0.2">
      <c r="A972" s="14"/>
      <c r="B972" s="14"/>
      <c r="C972" s="14"/>
      <c r="D972" s="14"/>
      <c r="E972" s="14"/>
    </row>
    <row r="973" spans="1:5" x14ac:dyDescent="0.2">
      <c r="A973" s="14"/>
      <c r="B973" s="14"/>
      <c r="C973" s="14"/>
      <c r="D973" s="14"/>
      <c r="E973" s="14"/>
    </row>
    <row r="974" spans="1:5" x14ac:dyDescent="0.2">
      <c r="A974" s="14"/>
      <c r="B974" s="14"/>
      <c r="C974" s="14"/>
      <c r="D974" s="14"/>
      <c r="E974" s="14"/>
    </row>
    <row r="975" spans="1:5" x14ac:dyDescent="0.2">
      <c r="A975" s="14"/>
      <c r="B975" s="14"/>
      <c r="C975" s="14"/>
      <c r="D975" s="14"/>
      <c r="E975" s="14"/>
    </row>
    <row r="976" spans="1:5" x14ac:dyDescent="0.2">
      <c r="A976" s="14"/>
      <c r="B976" s="14"/>
      <c r="C976" s="14"/>
      <c r="D976" s="14"/>
      <c r="E976" s="14"/>
    </row>
    <row r="977" spans="1:5" x14ac:dyDescent="0.2">
      <c r="A977" s="14"/>
      <c r="B977" s="14"/>
      <c r="C977" s="14"/>
      <c r="D977" s="14"/>
      <c r="E977" s="14"/>
    </row>
    <row r="978" spans="1:5" x14ac:dyDescent="0.2">
      <c r="A978" s="14"/>
      <c r="B978" s="14"/>
      <c r="C978" s="14"/>
      <c r="D978" s="14"/>
      <c r="E978" s="14"/>
    </row>
    <row r="979" spans="1:5" x14ac:dyDescent="0.2">
      <c r="A979" s="14"/>
      <c r="B979" s="14"/>
      <c r="C979" s="14"/>
      <c r="D979" s="14"/>
      <c r="E979" s="14"/>
    </row>
    <row r="980" spans="1:5" x14ac:dyDescent="0.2">
      <c r="A980" s="14"/>
      <c r="B980" s="14"/>
      <c r="C980" s="14"/>
      <c r="D980" s="14"/>
      <c r="E980" s="14"/>
    </row>
    <row r="981" spans="1:5" x14ac:dyDescent="0.2">
      <c r="A981" s="14"/>
      <c r="B981" s="14"/>
      <c r="C981" s="14"/>
      <c r="D981" s="14"/>
      <c r="E981" s="14"/>
    </row>
    <row r="982" spans="1:5" x14ac:dyDescent="0.2">
      <c r="A982" s="14"/>
      <c r="B982" s="14"/>
      <c r="C982" s="14"/>
      <c r="D982" s="14"/>
      <c r="E982" s="14"/>
    </row>
    <row r="983" spans="1:5" x14ac:dyDescent="0.2">
      <c r="A983" s="14"/>
      <c r="B983" s="14"/>
      <c r="C983" s="14"/>
      <c r="D983" s="14"/>
      <c r="E983" s="14"/>
    </row>
    <row r="984" spans="1:5" x14ac:dyDescent="0.2">
      <c r="A984" s="14"/>
      <c r="B984" s="14"/>
      <c r="C984" s="14"/>
      <c r="D984" s="14"/>
      <c r="E984" s="14"/>
    </row>
    <row r="985" spans="1:5" x14ac:dyDescent="0.2">
      <c r="A985" s="14"/>
      <c r="B985" s="14"/>
      <c r="C985" s="14"/>
      <c r="D985" s="14"/>
      <c r="E985" s="14"/>
    </row>
    <row r="986" spans="1:5" x14ac:dyDescent="0.2">
      <c r="A986" s="14"/>
      <c r="B986" s="14"/>
      <c r="C986" s="14"/>
      <c r="D986" s="14"/>
      <c r="E986" s="14"/>
    </row>
    <row r="987" spans="1:5" x14ac:dyDescent="0.2">
      <c r="A987" s="14"/>
      <c r="B987" s="14"/>
      <c r="C987" s="14"/>
      <c r="D987" s="14"/>
      <c r="E987" s="14"/>
    </row>
    <row r="988" spans="1:5" x14ac:dyDescent="0.2">
      <c r="A988" s="14"/>
      <c r="B988" s="14"/>
      <c r="C988" s="14"/>
      <c r="D988" s="14"/>
      <c r="E988" s="14"/>
    </row>
    <row r="989" spans="1:5" x14ac:dyDescent="0.2">
      <c r="A989" s="14"/>
      <c r="B989" s="14"/>
      <c r="C989" s="14"/>
      <c r="D989" s="14"/>
      <c r="E989" s="14"/>
    </row>
    <row r="990" spans="1:5" x14ac:dyDescent="0.2">
      <c r="A990" s="14"/>
      <c r="B990" s="14"/>
      <c r="C990" s="14"/>
      <c r="D990" s="14"/>
      <c r="E990" s="14"/>
    </row>
    <row r="991" spans="1:5" x14ac:dyDescent="0.2">
      <c r="A991" s="14"/>
      <c r="B991" s="14"/>
      <c r="C991" s="14"/>
      <c r="D991" s="14"/>
      <c r="E991" s="14"/>
    </row>
    <row r="992" spans="1:5" x14ac:dyDescent="0.2">
      <c r="A992" s="14"/>
      <c r="B992" s="14"/>
      <c r="C992" s="14"/>
      <c r="D992" s="14"/>
      <c r="E992" s="14"/>
    </row>
    <row r="993" spans="1:5" x14ac:dyDescent="0.2">
      <c r="A993" s="14"/>
      <c r="B993" s="14"/>
      <c r="C993" s="14"/>
      <c r="D993" s="14"/>
      <c r="E993" s="14"/>
    </row>
    <row r="994" spans="1:5" x14ac:dyDescent="0.2">
      <c r="A994" s="14"/>
      <c r="B994" s="14"/>
      <c r="C994" s="14"/>
      <c r="D994" s="14"/>
      <c r="E994" s="14"/>
    </row>
    <row r="995" spans="1:5" x14ac:dyDescent="0.2">
      <c r="A995" s="14"/>
      <c r="B995" s="14"/>
      <c r="C995" s="14"/>
      <c r="D995" s="14"/>
      <c r="E995" s="14"/>
    </row>
    <row r="996" spans="1:5" x14ac:dyDescent="0.2">
      <c r="A996" s="14"/>
      <c r="B996" s="14"/>
      <c r="C996" s="14"/>
      <c r="D996" s="14"/>
      <c r="E996" s="14"/>
    </row>
    <row r="997" spans="1:5" x14ac:dyDescent="0.2">
      <c r="A997" s="14"/>
      <c r="B997" s="14"/>
      <c r="C997" s="14"/>
      <c r="D997" s="14"/>
      <c r="E997" s="14"/>
    </row>
    <row r="998" spans="1:5" x14ac:dyDescent="0.2">
      <c r="A998" s="14"/>
      <c r="B998" s="14"/>
      <c r="C998" s="14"/>
      <c r="D998" s="14"/>
      <c r="E998" s="14"/>
    </row>
    <row r="999" spans="1:5" x14ac:dyDescent="0.2">
      <c r="A999" s="14"/>
      <c r="B999" s="14"/>
      <c r="C999" s="14"/>
      <c r="D999" s="14"/>
      <c r="E999" s="14"/>
    </row>
    <row r="1000" spans="1:5" x14ac:dyDescent="0.2">
      <c r="A1000" s="14"/>
      <c r="B1000" s="14"/>
      <c r="C1000" s="14"/>
      <c r="D1000" s="14"/>
      <c r="E1000" s="14"/>
    </row>
    <row r="1001" spans="1:5" x14ac:dyDescent="0.2">
      <c r="A1001" s="14"/>
      <c r="B1001" s="14"/>
      <c r="C1001" s="14"/>
      <c r="D1001" s="14"/>
      <c r="E1001" s="14"/>
    </row>
    <row r="1002" spans="1:5" x14ac:dyDescent="0.2">
      <c r="A1002" s="14"/>
      <c r="B1002" s="14"/>
      <c r="C1002" s="14"/>
      <c r="D1002" s="14"/>
      <c r="E1002" s="14"/>
    </row>
    <row r="1003" spans="1:5" x14ac:dyDescent="0.2">
      <c r="A1003" s="14"/>
      <c r="B1003" s="14"/>
      <c r="C1003" s="14"/>
      <c r="D1003" s="14"/>
      <c r="E1003" s="14"/>
    </row>
    <row r="1004" spans="1:5" x14ac:dyDescent="0.2">
      <c r="A1004" s="14"/>
      <c r="B1004" s="14"/>
      <c r="C1004" s="14"/>
      <c r="D1004" s="14"/>
      <c r="E1004" s="14"/>
    </row>
    <row r="1005" spans="1:5" x14ac:dyDescent="0.2">
      <c r="A1005" s="14"/>
      <c r="B1005" s="14"/>
      <c r="C1005" s="14"/>
      <c r="D1005" s="14"/>
      <c r="E1005" s="14"/>
    </row>
  </sheetData>
  <mergeCells count="1">
    <mergeCell ref="A119:F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2.5703125" defaultRowHeight="15.75" customHeight="1" x14ac:dyDescent="0.2"/>
  <cols>
    <col min="1" max="1" width="11.42578125" customWidth="1"/>
  </cols>
  <sheetData>
    <row r="1" spans="1:7" x14ac:dyDescent="0.2">
      <c r="A1" s="26" t="str">
        <f ca="1">IFERROR(__xludf.DUMMYFUNCTION("GOOGLEFINANCE(""ETR:BMW"", ""all"", DATE(2016,1,1),DATE(2020,1,1),""WEEKLY"")"),"Date")</f>
        <v>Date</v>
      </c>
      <c r="B1" s="27" t="str">
        <f ca="1">IFERROR(__xludf.DUMMYFUNCTION("""COMPUTED_VALUE"""),"Open")</f>
        <v>Open</v>
      </c>
      <c r="C1" s="27" t="str">
        <f ca="1">IFERROR(__xludf.DUMMYFUNCTION("""COMPUTED_VALUE"""),"High")</f>
        <v>High</v>
      </c>
      <c r="D1" s="27" t="str">
        <f ca="1">IFERROR(__xludf.DUMMYFUNCTION("""COMPUTED_VALUE"""),"Low")</f>
        <v>Low</v>
      </c>
      <c r="E1" s="27" t="str">
        <f ca="1">IFERROR(__xludf.DUMMYFUNCTION("""COMPUTED_VALUE"""),"Close")</f>
        <v>Close</v>
      </c>
      <c r="F1" s="27" t="str">
        <f ca="1">IFERROR(__xludf.DUMMYFUNCTION("""COMPUTED_VALUE"""),"Volume")</f>
        <v>Volume</v>
      </c>
      <c r="G1" s="28"/>
    </row>
    <row r="2" spans="1:7" x14ac:dyDescent="0.2">
      <c r="A2" s="26">
        <f ca="1">IFERROR(__xludf.DUMMYFUNCTION("""COMPUTED_VALUE"""),42377.7291666666)</f>
        <v>42377.729166666599</v>
      </c>
      <c r="B2" s="27">
        <f ca="1">IFERROR(__xludf.DUMMYFUNCTION("""COMPUTED_VALUE"""),94.71)</f>
        <v>94.71</v>
      </c>
      <c r="C2" s="27">
        <f ca="1">IFERROR(__xludf.DUMMYFUNCTION("""COMPUTED_VALUE"""),94.71)</f>
        <v>94.71</v>
      </c>
      <c r="D2" s="27">
        <f ca="1">IFERROR(__xludf.DUMMYFUNCTION("""COMPUTED_VALUE"""),83.41)</f>
        <v>83.41</v>
      </c>
      <c r="E2" s="27">
        <f ca="1">IFERROR(__xludf.DUMMYFUNCTION("""COMPUTED_VALUE"""),83.44)</f>
        <v>83.44</v>
      </c>
      <c r="F2" s="27">
        <f ca="1">IFERROR(__xludf.DUMMYFUNCTION("""COMPUTED_VALUE"""),10993048)</f>
        <v>10993048</v>
      </c>
      <c r="G2" s="28"/>
    </row>
    <row r="3" spans="1:7" x14ac:dyDescent="0.2">
      <c r="A3" s="26">
        <f ca="1">IFERROR(__xludf.DUMMYFUNCTION("""COMPUTED_VALUE"""),42384.7291666666)</f>
        <v>42384.729166666599</v>
      </c>
      <c r="B3" s="27">
        <f ca="1">IFERROR(__xludf.DUMMYFUNCTION("""COMPUTED_VALUE"""),83.11)</f>
        <v>83.11</v>
      </c>
      <c r="C3" s="27">
        <f ca="1">IFERROR(__xludf.DUMMYFUNCTION("""COMPUTED_VALUE"""),86.64)</f>
        <v>86.64</v>
      </c>
      <c r="D3" s="27">
        <f ca="1">IFERROR(__xludf.DUMMYFUNCTION("""COMPUTED_VALUE"""),76.58)</f>
        <v>76.58</v>
      </c>
      <c r="E3" s="27">
        <f ca="1">IFERROR(__xludf.DUMMYFUNCTION("""COMPUTED_VALUE"""),78.02)</f>
        <v>78.02</v>
      </c>
      <c r="F3" s="27">
        <f ca="1">IFERROR(__xludf.DUMMYFUNCTION("""COMPUTED_VALUE"""),12546620)</f>
        <v>12546620</v>
      </c>
      <c r="G3" s="28">
        <f t="shared" ref="G3:G209" ca="1" si="0">E3/E2-1</f>
        <v>-6.4956855225311583E-2</v>
      </c>
    </row>
    <row r="4" spans="1:7" x14ac:dyDescent="0.2">
      <c r="A4" s="26">
        <f ca="1">IFERROR(__xludf.DUMMYFUNCTION("""COMPUTED_VALUE"""),42391.7291666666)</f>
        <v>42391.729166666599</v>
      </c>
      <c r="B4" s="27">
        <f ca="1">IFERROR(__xludf.DUMMYFUNCTION("""COMPUTED_VALUE"""),77.98)</f>
        <v>77.98</v>
      </c>
      <c r="C4" s="27">
        <f ca="1">IFERROR(__xludf.DUMMYFUNCTION("""COMPUTED_VALUE"""),80.96)</f>
        <v>80.959999999999994</v>
      </c>
      <c r="D4" s="27">
        <f ca="1">IFERROR(__xludf.DUMMYFUNCTION("""COMPUTED_VALUE"""),75.46)</f>
        <v>75.459999999999994</v>
      </c>
      <c r="E4" s="27">
        <f ca="1">IFERROR(__xludf.DUMMYFUNCTION("""COMPUTED_VALUE"""),79.71)</f>
        <v>79.709999999999994</v>
      </c>
      <c r="F4" s="27">
        <f ca="1">IFERROR(__xludf.DUMMYFUNCTION("""COMPUTED_VALUE"""),9592422)</f>
        <v>9592422</v>
      </c>
      <c r="G4" s="28">
        <f t="shared" ca="1" si="0"/>
        <v>2.1661112535247273E-2</v>
      </c>
    </row>
    <row r="5" spans="1:7" x14ac:dyDescent="0.2">
      <c r="A5" s="26">
        <f ca="1">IFERROR(__xludf.DUMMYFUNCTION("""COMPUTED_VALUE"""),42398.7291666666)</f>
        <v>42398.729166666599</v>
      </c>
      <c r="B5" s="27">
        <f ca="1">IFERROR(__xludf.DUMMYFUNCTION("""COMPUTED_VALUE"""),80.31)</f>
        <v>80.31</v>
      </c>
      <c r="C5" s="27">
        <f ca="1">IFERROR(__xludf.DUMMYFUNCTION("""COMPUTED_VALUE"""),80.59)</f>
        <v>80.59</v>
      </c>
      <c r="D5" s="27">
        <f ca="1">IFERROR(__xludf.DUMMYFUNCTION("""COMPUTED_VALUE"""),75.72)</f>
        <v>75.72</v>
      </c>
      <c r="E5" s="27">
        <f ca="1">IFERROR(__xludf.DUMMYFUNCTION("""COMPUTED_VALUE"""),76.66)</f>
        <v>76.66</v>
      </c>
      <c r="F5" s="27">
        <f ca="1">IFERROR(__xludf.DUMMYFUNCTION("""COMPUTED_VALUE"""),8558345)</f>
        <v>8558345</v>
      </c>
      <c r="G5" s="28">
        <f t="shared" ca="1" si="0"/>
        <v>-3.8263705934010739E-2</v>
      </c>
    </row>
    <row r="6" spans="1:7" x14ac:dyDescent="0.2">
      <c r="A6" s="26">
        <f ca="1">IFERROR(__xludf.DUMMYFUNCTION("""COMPUTED_VALUE"""),42405.7291666666)</f>
        <v>42405.729166666599</v>
      </c>
      <c r="B6" s="27">
        <f ca="1">IFERROR(__xludf.DUMMYFUNCTION("""COMPUTED_VALUE"""),76.89)</f>
        <v>76.89</v>
      </c>
      <c r="C6" s="27">
        <f ca="1">IFERROR(__xludf.DUMMYFUNCTION("""COMPUTED_VALUE"""),77)</f>
        <v>77</v>
      </c>
      <c r="D6" s="27">
        <f ca="1">IFERROR(__xludf.DUMMYFUNCTION("""COMPUTED_VALUE"""),69.38)</f>
        <v>69.38</v>
      </c>
      <c r="E6" s="27">
        <f ca="1">IFERROR(__xludf.DUMMYFUNCTION("""COMPUTED_VALUE"""),72.41)</f>
        <v>72.41</v>
      </c>
      <c r="F6" s="27">
        <f ca="1">IFERROR(__xludf.DUMMYFUNCTION("""COMPUTED_VALUE"""),11716065)</f>
        <v>11716065</v>
      </c>
      <c r="G6" s="28">
        <f t="shared" ca="1" si="0"/>
        <v>-5.5439603443777741E-2</v>
      </c>
    </row>
    <row r="7" spans="1:7" x14ac:dyDescent="0.2">
      <c r="A7" s="26">
        <f ca="1">IFERROR(__xludf.DUMMYFUNCTION("""COMPUTED_VALUE"""),42412.7291666666)</f>
        <v>42412.729166666599</v>
      </c>
      <c r="B7" s="27">
        <f ca="1">IFERROR(__xludf.DUMMYFUNCTION("""COMPUTED_VALUE"""),72.76)</f>
        <v>72.760000000000005</v>
      </c>
      <c r="C7" s="27">
        <f ca="1">IFERROR(__xludf.DUMMYFUNCTION("""COMPUTED_VALUE"""),73.28)</f>
        <v>73.28</v>
      </c>
      <c r="D7" s="27">
        <f ca="1">IFERROR(__xludf.DUMMYFUNCTION("""COMPUTED_VALUE"""),66)</f>
        <v>66</v>
      </c>
      <c r="E7" s="27">
        <f ca="1">IFERROR(__xludf.DUMMYFUNCTION("""COMPUTED_VALUE"""),70.26)</f>
        <v>70.260000000000005</v>
      </c>
      <c r="F7" s="27">
        <f ca="1">IFERROR(__xludf.DUMMYFUNCTION("""COMPUTED_VALUE"""),11524129)</f>
        <v>11524129</v>
      </c>
      <c r="G7" s="28">
        <f t="shared" ca="1" si="0"/>
        <v>-2.9692031487363546E-2</v>
      </c>
    </row>
    <row r="8" spans="1:7" x14ac:dyDescent="0.2">
      <c r="A8" s="26">
        <f ca="1">IFERROR(__xludf.DUMMYFUNCTION("""COMPUTED_VALUE"""),42419.7291666666)</f>
        <v>42419.729166666599</v>
      </c>
      <c r="B8" s="27">
        <f ca="1">IFERROR(__xludf.DUMMYFUNCTION("""COMPUTED_VALUE"""),72.59)</f>
        <v>72.59</v>
      </c>
      <c r="C8" s="27">
        <f ca="1">IFERROR(__xludf.DUMMYFUNCTION("""COMPUTED_VALUE"""),76.64)</f>
        <v>76.64</v>
      </c>
      <c r="D8" s="27">
        <f ca="1">IFERROR(__xludf.DUMMYFUNCTION("""COMPUTED_VALUE"""),71.98)</f>
        <v>71.98</v>
      </c>
      <c r="E8" s="27">
        <f ca="1">IFERROR(__xludf.DUMMYFUNCTION("""COMPUTED_VALUE"""),73.83)</f>
        <v>73.83</v>
      </c>
      <c r="F8" s="27">
        <f ca="1">IFERROR(__xludf.DUMMYFUNCTION("""COMPUTED_VALUE"""),8885535)</f>
        <v>8885535</v>
      </c>
      <c r="G8" s="28">
        <f t="shared" ca="1" si="0"/>
        <v>5.0811272416737774E-2</v>
      </c>
    </row>
    <row r="9" spans="1:7" x14ac:dyDescent="0.2">
      <c r="A9" s="26">
        <f ca="1">IFERROR(__xludf.DUMMYFUNCTION("""COMPUTED_VALUE"""),42426.7291666666)</f>
        <v>42426.729166666599</v>
      </c>
      <c r="B9" s="27">
        <f ca="1">IFERROR(__xludf.DUMMYFUNCTION("""COMPUTED_VALUE"""),74.93)</f>
        <v>74.930000000000007</v>
      </c>
      <c r="C9" s="27">
        <f ca="1">IFERROR(__xludf.DUMMYFUNCTION("""COMPUTED_VALUE"""),75.76)</f>
        <v>75.760000000000005</v>
      </c>
      <c r="D9" s="27">
        <f ca="1">IFERROR(__xludf.DUMMYFUNCTION("""COMPUTED_VALUE"""),68.94)</f>
        <v>68.94</v>
      </c>
      <c r="E9" s="27">
        <f ca="1">IFERROR(__xludf.DUMMYFUNCTION("""COMPUTED_VALUE"""),73.89)</f>
        <v>73.89</v>
      </c>
      <c r="F9" s="27">
        <f ca="1">IFERROR(__xludf.DUMMYFUNCTION("""COMPUTED_VALUE"""),7804175)</f>
        <v>7804175</v>
      </c>
      <c r="G9" s="28">
        <f t="shared" ca="1" si="0"/>
        <v>8.1267777326288204E-4</v>
      </c>
    </row>
    <row r="10" spans="1:7" x14ac:dyDescent="0.2">
      <c r="A10" s="26">
        <f ca="1">IFERROR(__xludf.DUMMYFUNCTION("""COMPUTED_VALUE"""),42433.7291666666)</f>
        <v>42433.729166666599</v>
      </c>
      <c r="B10" s="27">
        <f ca="1">IFERROR(__xludf.DUMMYFUNCTION("""COMPUTED_VALUE"""),73.05)</f>
        <v>73.05</v>
      </c>
      <c r="C10" s="27">
        <f ca="1">IFERROR(__xludf.DUMMYFUNCTION("""COMPUTED_VALUE"""),83.3)</f>
        <v>83.3</v>
      </c>
      <c r="D10" s="27">
        <f ca="1">IFERROR(__xludf.DUMMYFUNCTION("""COMPUTED_VALUE"""),72.61)</f>
        <v>72.61</v>
      </c>
      <c r="E10" s="27">
        <f ca="1">IFERROR(__xludf.DUMMYFUNCTION("""COMPUTED_VALUE"""),82.63)</f>
        <v>82.63</v>
      </c>
      <c r="F10" s="27">
        <f ca="1">IFERROR(__xludf.DUMMYFUNCTION("""COMPUTED_VALUE"""),9201551)</f>
        <v>9201551</v>
      </c>
      <c r="G10" s="28">
        <f t="shared" ca="1" si="0"/>
        <v>0.11828393557991612</v>
      </c>
    </row>
    <row r="11" spans="1:7" x14ac:dyDescent="0.2">
      <c r="A11" s="26">
        <f ca="1">IFERROR(__xludf.DUMMYFUNCTION("""COMPUTED_VALUE"""),42440.7291666666)</f>
        <v>42440.729166666599</v>
      </c>
      <c r="B11" s="27">
        <f ca="1">IFERROR(__xludf.DUMMYFUNCTION("""COMPUTED_VALUE"""),82.25)</f>
        <v>82.25</v>
      </c>
      <c r="C11" s="27">
        <f ca="1">IFERROR(__xludf.DUMMYFUNCTION("""COMPUTED_VALUE"""),82.96)</f>
        <v>82.96</v>
      </c>
      <c r="D11" s="27">
        <f ca="1">IFERROR(__xludf.DUMMYFUNCTION("""COMPUTED_VALUE"""),75.36)</f>
        <v>75.36</v>
      </c>
      <c r="E11" s="27">
        <f ca="1">IFERROR(__xludf.DUMMYFUNCTION("""COMPUTED_VALUE"""),78.72)</f>
        <v>78.72</v>
      </c>
      <c r="F11" s="27">
        <f ca="1">IFERROR(__xludf.DUMMYFUNCTION("""COMPUTED_VALUE"""),13528541)</f>
        <v>13528541</v>
      </c>
      <c r="G11" s="28">
        <f t="shared" ca="1" si="0"/>
        <v>-4.7319375529468632E-2</v>
      </c>
    </row>
    <row r="12" spans="1:7" x14ac:dyDescent="0.2">
      <c r="A12" s="26">
        <f ca="1">IFERROR(__xludf.DUMMYFUNCTION("""COMPUTED_VALUE"""),42447.7291666666)</f>
        <v>42447.729166666599</v>
      </c>
      <c r="B12" s="27">
        <f ca="1">IFERROR(__xludf.DUMMYFUNCTION("""COMPUTED_VALUE"""),80.01)</f>
        <v>80.010000000000005</v>
      </c>
      <c r="C12" s="27">
        <f ca="1">IFERROR(__xludf.DUMMYFUNCTION("""COMPUTED_VALUE"""),83.51)</f>
        <v>83.51</v>
      </c>
      <c r="D12" s="27">
        <f ca="1">IFERROR(__xludf.DUMMYFUNCTION("""COMPUTED_VALUE"""),78.81)</f>
        <v>78.81</v>
      </c>
      <c r="E12" s="27">
        <f ca="1">IFERROR(__xludf.DUMMYFUNCTION("""COMPUTED_VALUE"""),81.58)</f>
        <v>81.58</v>
      </c>
      <c r="F12" s="27">
        <f ca="1">IFERROR(__xludf.DUMMYFUNCTION("""COMPUTED_VALUE"""),12247648)</f>
        <v>12247648</v>
      </c>
      <c r="G12" s="28">
        <f t="shared" ca="1" si="0"/>
        <v>3.6331300813008172E-2</v>
      </c>
    </row>
    <row r="13" spans="1:7" x14ac:dyDescent="0.2">
      <c r="A13" s="26">
        <f ca="1">IFERROR(__xludf.DUMMYFUNCTION("""COMPUTED_VALUE"""),42453.7291666666)</f>
        <v>42453.729166666599</v>
      </c>
      <c r="B13" s="27">
        <f ca="1">IFERROR(__xludf.DUMMYFUNCTION("""COMPUTED_VALUE"""),80.9)</f>
        <v>80.900000000000006</v>
      </c>
      <c r="C13" s="27">
        <f ca="1">IFERROR(__xludf.DUMMYFUNCTION("""COMPUTED_VALUE"""),82.75)</f>
        <v>82.75</v>
      </c>
      <c r="D13" s="27">
        <f ca="1">IFERROR(__xludf.DUMMYFUNCTION("""COMPUTED_VALUE"""),79.24)</f>
        <v>79.239999999999995</v>
      </c>
      <c r="E13" s="27">
        <f ca="1">IFERROR(__xludf.DUMMYFUNCTION("""COMPUTED_VALUE"""),79.58)</f>
        <v>79.58</v>
      </c>
      <c r="F13" s="27">
        <f ca="1">IFERROR(__xludf.DUMMYFUNCTION("""COMPUTED_VALUE"""),5621391)</f>
        <v>5621391</v>
      </c>
      <c r="G13" s="28">
        <f t="shared" ca="1" si="0"/>
        <v>-2.4515812699191009E-2</v>
      </c>
    </row>
    <row r="14" spans="1:7" x14ac:dyDescent="0.2">
      <c r="A14" s="26">
        <f ca="1">IFERROR(__xludf.DUMMYFUNCTION("""COMPUTED_VALUE"""),42461.7291666666)</f>
        <v>42461.729166666599</v>
      </c>
      <c r="B14" s="27">
        <f ca="1">IFERROR(__xludf.DUMMYFUNCTION("""COMPUTED_VALUE"""),79.58)</f>
        <v>79.58</v>
      </c>
      <c r="C14" s="27">
        <f ca="1">IFERROR(__xludf.DUMMYFUNCTION("""COMPUTED_VALUE"""),82.87)</f>
        <v>82.87</v>
      </c>
      <c r="D14" s="27">
        <f ca="1">IFERROR(__xludf.DUMMYFUNCTION("""COMPUTED_VALUE"""),77.26)</f>
        <v>77.260000000000005</v>
      </c>
      <c r="E14" s="27">
        <f ca="1">IFERROR(__xludf.DUMMYFUNCTION("""COMPUTED_VALUE"""),78)</f>
        <v>78</v>
      </c>
      <c r="F14" s="27">
        <f ca="1">IFERROR(__xludf.DUMMYFUNCTION("""COMPUTED_VALUE"""),6454729)</f>
        <v>6454729</v>
      </c>
      <c r="G14" s="28">
        <f t="shared" ca="1" si="0"/>
        <v>-1.9854234732344822E-2</v>
      </c>
    </row>
    <row r="15" spans="1:7" x14ac:dyDescent="0.2">
      <c r="A15" s="26">
        <f ca="1">IFERROR(__xludf.DUMMYFUNCTION("""COMPUTED_VALUE"""),42468.7291666666)</f>
        <v>42468.729166666599</v>
      </c>
      <c r="B15" s="27">
        <f ca="1">IFERROR(__xludf.DUMMYFUNCTION("""COMPUTED_VALUE"""),77.64)</f>
        <v>77.64</v>
      </c>
      <c r="C15" s="27">
        <f ca="1">IFERROR(__xludf.DUMMYFUNCTION("""COMPUTED_VALUE"""),78.44)</f>
        <v>78.44</v>
      </c>
      <c r="D15" s="27">
        <f ca="1">IFERROR(__xludf.DUMMYFUNCTION("""COMPUTED_VALUE"""),73.3)</f>
        <v>73.3</v>
      </c>
      <c r="E15" s="27">
        <f ca="1">IFERROR(__xludf.DUMMYFUNCTION("""COMPUTED_VALUE"""),74.3)</f>
        <v>74.3</v>
      </c>
      <c r="F15" s="27">
        <f ca="1">IFERROR(__xludf.DUMMYFUNCTION("""COMPUTED_VALUE"""),8472059)</f>
        <v>8472059</v>
      </c>
      <c r="G15" s="28">
        <f t="shared" ca="1" si="0"/>
        <v>-4.7435897435897489E-2</v>
      </c>
    </row>
    <row r="16" spans="1:7" x14ac:dyDescent="0.2">
      <c r="A16" s="26">
        <f ca="1">IFERROR(__xludf.DUMMYFUNCTION("""COMPUTED_VALUE"""),42475.7291666666)</f>
        <v>42475.729166666599</v>
      </c>
      <c r="B16" s="27">
        <f ca="1">IFERROR(__xludf.DUMMYFUNCTION("""COMPUTED_VALUE"""),74.34)</f>
        <v>74.34</v>
      </c>
      <c r="C16" s="27">
        <f ca="1">IFERROR(__xludf.DUMMYFUNCTION("""COMPUTED_VALUE"""),79.2)</f>
        <v>79.2</v>
      </c>
      <c r="D16" s="27">
        <f ca="1">IFERROR(__xludf.DUMMYFUNCTION("""COMPUTED_VALUE"""),73.66)</f>
        <v>73.66</v>
      </c>
      <c r="E16" s="27">
        <f ca="1">IFERROR(__xludf.DUMMYFUNCTION("""COMPUTED_VALUE"""),78.37)</f>
        <v>78.37</v>
      </c>
      <c r="F16" s="27">
        <f ca="1">IFERROR(__xludf.DUMMYFUNCTION("""COMPUTED_VALUE"""),7967756)</f>
        <v>7967756</v>
      </c>
      <c r="G16" s="28">
        <f t="shared" ca="1" si="0"/>
        <v>5.4777927321669084E-2</v>
      </c>
    </row>
    <row r="17" spans="1:7" x14ac:dyDescent="0.2">
      <c r="A17" s="26">
        <f ca="1">IFERROR(__xludf.DUMMYFUNCTION("""COMPUTED_VALUE"""),42482.7291666666)</f>
        <v>42482.729166666599</v>
      </c>
      <c r="B17" s="27">
        <f ca="1">IFERROR(__xludf.DUMMYFUNCTION("""COMPUTED_VALUE"""),78.27)</f>
        <v>78.27</v>
      </c>
      <c r="C17" s="27">
        <f ca="1">IFERROR(__xludf.DUMMYFUNCTION("""COMPUTED_VALUE"""),85.07)</f>
        <v>85.07</v>
      </c>
      <c r="D17" s="27">
        <f ca="1">IFERROR(__xludf.DUMMYFUNCTION("""COMPUTED_VALUE"""),77.8)</f>
        <v>77.8</v>
      </c>
      <c r="E17" s="27">
        <f ca="1">IFERROR(__xludf.DUMMYFUNCTION("""COMPUTED_VALUE"""),82.78)</f>
        <v>82.78</v>
      </c>
      <c r="F17" s="27">
        <f ca="1">IFERROR(__xludf.DUMMYFUNCTION("""COMPUTED_VALUE"""),9800972)</f>
        <v>9800972</v>
      </c>
      <c r="G17" s="28">
        <f t="shared" ca="1" si="0"/>
        <v>5.6271532474160946E-2</v>
      </c>
    </row>
    <row r="18" spans="1:7" x14ac:dyDescent="0.2">
      <c r="A18" s="26">
        <f ca="1">IFERROR(__xludf.DUMMYFUNCTION("""COMPUTED_VALUE"""),42489.7291666666)</f>
        <v>42489.729166666599</v>
      </c>
      <c r="B18" s="27">
        <f ca="1">IFERROR(__xludf.DUMMYFUNCTION("""COMPUTED_VALUE"""),83)</f>
        <v>83</v>
      </c>
      <c r="C18" s="27">
        <f ca="1">IFERROR(__xludf.DUMMYFUNCTION("""COMPUTED_VALUE"""),84.15)</f>
        <v>84.15</v>
      </c>
      <c r="D18" s="27">
        <f ca="1">IFERROR(__xludf.DUMMYFUNCTION("""COMPUTED_VALUE"""),80.5)</f>
        <v>80.5</v>
      </c>
      <c r="E18" s="27">
        <f ca="1">IFERROR(__xludf.DUMMYFUNCTION("""COMPUTED_VALUE"""),80.5)</f>
        <v>80.5</v>
      </c>
      <c r="F18" s="27">
        <f ca="1">IFERROR(__xludf.DUMMYFUNCTION("""COMPUTED_VALUE"""),8973100)</f>
        <v>8973100</v>
      </c>
      <c r="G18" s="28">
        <f t="shared" ca="1" si="0"/>
        <v>-2.7542884754771735E-2</v>
      </c>
    </row>
    <row r="19" spans="1:7" x14ac:dyDescent="0.2">
      <c r="A19" s="26">
        <f ca="1">IFERROR(__xludf.DUMMYFUNCTION("""COMPUTED_VALUE"""),42496.7291666666)</f>
        <v>42496.729166666599</v>
      </c>
      <c r="B19" s="27">
        <f ca="1">IFERROR(__xludf.DUMMYFUNCTION("""COMPUTED_VALUE"""),81.32)</f>
        <v>81.319999999999993</v>
      </c>
      <c r="C19" s="27">
        <f ca="1">IFERROR(__xludf.DUMMYFUNCTION("""COMPUTED_VALUE"""),82.73)</f>
        <v>82.73</v>
      </c>
      <c r="D19" s="27">
        <f ca="1">IFERROR(__xludf.DUMMYFUNCTION("""COMPUTED_VALUE"""),74.41)</f>
        <v>74.41</v>
      </c>
      <c r="E19" s="27">
        <f ca="1">IFERROR(__xludf.DUMMYFUNCTION("""COMPUTED_VALUE"""),75.69)</f>
        <v>75.69</v>
      </c>
      <c r="F19" s="27">
        <f ca="1">IFERROR(__xludf.DUMMYFUNCTION("""COMPUTED_VALUE"""),10648857)</f>
        <v>10648857</v>
      </c>
      <c r="G19" s="28">
        <f t="shared" ca="1" si="0"/>
        <v>-5.9751552795031082E-2</v>
      </c>
    </row>
    <row r="20" spans="1:7" x14ac:dyDescent="0.2">
      <c r="A20" s="26">
        <f ca="1">IFERROR(__xludf.DUMMYFUNCTION("""COMPUTED_VALUE"""),42503.7291666666)</f>
        <v>42503.729166666599</v>
      </c>
      <c r="B20" s="27">
        <f ca="1">IFERROR(__xludf.DUMMYFUNCTION("""COMPUTED_VALUE"""),76.73)</f>
        <v>76.73</v>
      </c>
      <c r="C20" s="27">
        <f ca="1">IFERROR(__xludf.DUMMYFUNCTION("""COMPUTED_VALUE"""),78.4)</f>
        <v>78.400000000000006</v>
      </c>
      <c r="D20" s="27">
        <f ca="1">IFERROR(__xludf.DUMMYFUNCTION("""COMPUTED_VALUE"""),72.25)</f>
        <v>72.25</v>
      </c>
      <c r="E20" s="27">
        <f ca="1">IFERROR(__xludf.DUMMYFUNCTION("""COMPUTED_VALUE"""),73.77)</f>
        <v>73.77</v>
      </c>
      <c r="F20" s="27">
        <f ca="1">IFERROR(__xludf.DUMMYFUNCTION("""COMPUTED_VALUE"""),9993964)</f>
        <v>9993964</v>
      </c>
      <c r="G20" s="28">
        <f t="shared" ca="1" si="0"/>
        <v>-2.5366627031311983E-2</v>
      </c>
    </row>
    <row r="21" spans="1:7" x14ac:dyDescent="0.2">
      <c r="A21" s="26">
        <f ca="1">IFERROR(__xludf.DUMMYFUNCTION("""COMPUTED_VALUE"""),42510.7291666666)</f>
        <v>42510.729166666599</v>
      </c>
      <c r="B21" s="27">
        <f ca="1">IFERROR(__xludf.DUMMYFUNCTION("""COMPUTED_VALUE"""),74.76)</f>
        <v>74.760000000000005</v>
      </c>
      <c r="C21" s="27">
        <f ca="1">IFERROR(__xludf.DUMMYFUNCTION("""COMPUTED_VALUE"""),74.88)</f>
        <v>74.88</v>
      </c>
      <c r="D21" s="27">
        <f ca="1">IFERROR(__xludf.DUMMYFUNCTION("""COMPUTED_VALUE"""),69.94)</f>
        <v>69.94</v>
      </c>
      <c r="E21" s="27">
        <f ca="1">IFERROR(__xludf.DUMMYFUNCTION("""COMPUTED_VALUE"""),71.7)</f>
        <v>71.7</v>
      </c>
      <c r="F21" s="27">
        <f ca="1">IFERROR(__xludf.DUMMYFUNCTION("""COMPUTED_VALUE"""),9268416)</f>
        <v>9268416</v>
      </c>
      <c r="G21" s="28">
        <f t="shared" ca="1" si="0"/>
        <v>-2.8060187067913689E-2</v>
      </c>
    </row>
    <row r="22" spans="1:7" x14ac:dyDescent="0.2">
      <c r="A22" s="26">
        <f ca="1">IFERROR(__xludf.DUMMYFUNCTION("""COMPUTED_VALUE"""),42517.7291666666)</f>
        <v>42517.729166666599</v>
      </c>
      <c r="B22" s="27">
        <f ca="1">IFERROR(__xludf.DUMMYFUNCTION("""COMPUTED_VALUE"""),71.95)</f>
        <v>71.95</v>
      </c>
      <c r="C22" s="27">
        <f ca="1">IFERROR(__xludf.DUMMYFUNCTION("""COMPUTED_VALUE"""),75.81)</f>
        <v>75.81</v>
      </c>
      <c r="D22" s="27">
        <f ca="1">IFERROR(__xludf.DUMMYFUNCTION("""COMPUTED_VALUE"""),70.05)</f>
        <v>70.05</v>
      </c>
      <c r="E22" s="27">
        <f ca="1">IFERROR(__xludf.DUMMYFUNCTION("""COMPUTED_VALUE"""),75.16)</f>
        <v>75.16</v>
      </c>
      <c r="F22" s="27">
        <f ca="1">IFERROR(__xludf.DUMMYFUNCTION("""COMPUTED_VALUE"""),9266793)</f>
        <v>9266793</v>
      </c>
      <c r="G22" s="28">
        <f t="shared" ca="1" si="0"/>
        <v>4.8256624825662398E-2</v>
      </c>
    </row>
    <row r="23" spans="1:7" x14ac:dyDescent="0.2">
      <c r="A23" s="26">
        <f ca="1">IFERROR(__xludf.DUMMYFUNCTION("""COMPUTED_VALUE"""),42524.7291666666)</f>
        <v>42524.729166666599</v>
      </c>
      <c r="B23" s="27">
        <f ca="1">IFERROR(__xludf.DUMMYFUNCTION("""COMPUTED_VALUE"""),75.49)</f>
        <v>75.489999999999995</v>
      </c>
      <c r="C23" s="27">
        <f ca="1">IFERROR(__xludf.DUMMYFUNCTION("""COMPUTED_VALUE"""),76.37)</f>
        <v>76.37</v>
      </c>
      <c r="D23" s="27">
        <f ca="1">IFERROR(__xludf.DUMMYFUNCTION("""COMPUTED_VALUE"""),71.59)</f>
        <v>71.59</v>
      </c>
      <c r="E23" s="27">
        <f ca="1">IFERROR(__xludf.DUMMYFUNCTION("""COMPUTED_VALUE"""),72.27)</f>
        <v>72.27</v>
      </c>
      <c r="F23" s="27">
        <f ca="1">IFERROR(__xludf.DUMMYFUNCTION("""COMPUTED_VALUE"""),7968328)</f>
        <v>7968328</v>
      </c>
      <c r="G23" s="28">
        <f t="shared" ca="1" si="0"/>
        <v>-3.8451303885045252E-2</v>
      </c>
    </row>
    <row r="24" spans="1:7" x14ac:dyDescent="0.2">
      <c r="A24" s="26">
        <f ca="1">IFERROR(__xludf.DUMMYFUNCTION("""COMPUTED_VALUE"""),42531.7291666666)</f>
        <v>42531.729166666599</v>
      </c>
      <c r="B24" s="27">
        <f ca="1">IFERROR(__xludf.DUMMYFUNCTION("""COMPUTED_VALUE"""),72.43)</f>
        <v>72.430000000000007</v>
      </c>
      <c r="C24" s="27">
        <f ca="1">IFERROR(__xludf.DUMMYFUNCTION("""COMPUTED_VALUE"""),74.05)</f>
        <v>74.05</v>
      </c>
      <c r="D24" s="27">
        <f ca="1">IFERROR(__xludf.DUMMYFUNCTION("""COMPUTED_VALUE"""),70.1)</f>
        <v>70.099999999999994</v>
      </c>
      <c r="E24" s="27">
        <f ca="1">IFERROR(__xludf.DUMMYFUNCTION("""COMPUTED_VALUE"""),70.7)</f>
        <v>70.7</v>
      </c>
      <c r="F24" s="27">
        <f ca="1">IFERROR(__xludf.DUMMYFUNCTION("""COMPUTED_VALUE"""),6742900)</f>
        <v>6742900</v>
      </c>
      <c r="G24" s="28">
        <f t="shared" ca="1" si="0"/>
        <v>-2.1724090217240755E-2</v>
      </c>
    </row>
    <row r="25" spans="1:7" x14ac:dyDescent="0.2">
      <c r="A25" s="26">
        <f ca="1">IFERROR(__xludf.DUMMYFUNCTION("""COMPUTED_VALUE"""),42538.7291666666)</f>
        <v>42538.729166666599</v>
      </c>
      <c r="B25" s="27">
        <f ca="1">IFERROR(__xludf.DUMMYFUNCTION("""COMPUTED_VALUE"""),70)</f>
        <v>70</v>
      </c>
      <c r="C25" s="27">
        <f ca="1">IFERROR(__xludf.DUMMYFUNCTION("""COMPUTED_VALUE"""),70.21)</f>
        <v>70.209999999999994</v>
      </c>
      <c r="D25" s="27">
        <f ca="1">IFERROR(__xludf.DUMMYFUNCTION("""COMPUTED_VALUE"""),67.11)</f>
        <v>67.11</v>
      </c>
      <c r="E25" s="27">
        <f ca="1">IFERROR(__xludf.DUMMYFUNCTION("""COMPUTED_VALUE"""),68.97)</f>
        <v>68.97</v>
      </c>
      <c r="F25" s="27">
        <f ca="1">IFERROR(__xludf.DUMMYFUNCTION("""COMPUTED_VALUE"""),11054384)</f>
        <v>11054384</v>
      </c>
      <c r="G25" s="28">
        <f t="shared" ca="1" si="0"/>
        <v>-2.4469589816124571E-2</v>
      </c>
    </row>
    <row r="26" spans="1:7" x14ac:dyDescent="0.2">
      <c r="A26" s="26">
        <f ca="1">IFERROR(__xludf.DUMMYFUNCTION("""COMPUTED_VALUE"""),42545.7291666666)</f>
        <v>42545.729166666599</v>
      </c>
      <c r="B26" s="27">
        <f ca="1">IFERROR(__xludf.DUMMYFUNCTION("""COMPUTED_VALUE"""),71.18)</f>
        <v>71.180000000000007</v>
      </c>
      <c r="C26" s="27">
        <f ca="1">IFERROR(__xludf.DUMMYFUNCTION("""COMPUTED_VALUE"""),74.39)</f>
        <v>74.39</v>
      </c>
      <c r="D26" s="27">
        <f ca="1">IFERROR(__xludf.DUMMYFUNCTION("""COMPUTED_VALUE"""),66)</f>
        <v>66</v>
      </c>
      <c r="E26" s="27">
        <f ca="1">IFERROR(__xludf.DUMMYFUNCTION("""COMPUTED_VALUE"""),68.66)</f>
        <v>68.66</v>
      </c>
      <c r="F26" s="27">
        <f ca="1">IFERROR(__xludf.DUMMYFUNCTION("""COMPUTED_VALUE"""),16030424)</f>
        <v>16030424</v>
      </c>
      <c r="G26" s="28">
        <f t="shared" ca="1" si="0"/>
        <v>-4.4947078439901977E-3</v>
      </c>
    </row>
    <row r="27" spans="1:7" x14ac:dyDescent="0.2">
      <c r="A27" s="26">
        <f ca="1">IFERROR(__xludf.DUMMYFUNCTION("""COMPUTED_VALUE"""),42552.7291666666)</f>
        <v>42552.729166666599</v>
      </c>
      <c r="B27" s="27">
        <f ca="1">IFERROR(__xludf.DUMMYFUNCTION("""COMPUTED_VALUE"""),68.24)</f>
        <v>68.239999999999995</v>
      </c>
      <c r="C27" s="27">
        <f ca="1">IFERROR(__xludf.DUMMYFUNCTION("""COMPUTED_VALUE"""),68.78)</f>
        <v>68.78</v>
      </c>
      <c r="D27" s="27">
        <f ca="1">IFERROR(__xludf.DUMMYFUNCTION("""COMPUTED_VALUE"""),64.98)</f>
        <v>64.98</v>
      </c>
      <c r="E27" s="27">
        <f ca="1">IFERROR(__xludf.DUMMYFUNCTION("""COMPUTED_VALUE"""),67.79)</f>
        <v>67.790000000000006</v>
      </c>
      <c r="F27" s="27">
        <f ca="1">IFERROR(__xludf.DUMMYFUNCTION("""COMPUTED_VALUE"""),14127859)</f>
        <v>14127859</v>
      </c>
      <c r="G27" s="28">
        <f t="shared" ca="1" si="0"/>
        <v>-1.2671133119720235E-2</v>
      </c>
    </row>
    <row r="28" spans="1:7" x14ac:dyDescent="0.2">
      <c r="A28" s="26">
        <f ca="1">IFERROR(__xludf.DUMMYFUNCTION("""COMPUTED_VALUE"""),42559.7291666666)</f>
        <v>42559.729166666599</v>
      </c>
      <c r="B28" s="27">
        <f ca="1">IFERROR(__xludf.DUMMYFUNCTION("""COMPUTED_VALUE"""),68.34)</f>
        <v>68.34</v>
      </c>
      <c r="C28" s="27">
        <f ca="1">IFERROR(__xludf.DUMMYFUNCTION("""COMPUTED_VALUE"""),68.9)</f>
        <v>68.900000000000006</v>
      </c>
      <c r="D28" s="27">
        <f ca="1">IFERROR(__xludf.DUMMYFUNCTION("""COMPUTED_VALUE"""),63.38)</f>
        <v>63.38</v>
      </c>
      <c r="E28" s="27">
        <f ca="1">IFERROR(__xludf.DUMMYFUNCTION("""COMPUTED_VALUE"""),68.44)</f>
        <v>68.44</v>
      </c>
      <c r="F28" s="27">
        <f ca="1">IFERROR(__xludf.DUMMYFUNCTION("""COMPUTED_VALUE"""),10990881)</f>
        <v>10990881</v>
      </c>
      <c r="G28" s="28">
        <f t="shared" ca="1" si="0"/>
        <v>9.5884348724000201E-3</v>
      </c>
    </row>
    <row r="29" spans="1:7" x14ac:dyDescent="0.2">
      <c r="A29" s="26">
        <f ca="1">IFERROR(__xludf.DUMMYFUNCTION("""COMPUTED_VALUE"""),42566.7291666666)</f>
        <v>42566.729166666599</v>
      </c>
      <c r="B29" s="27">
        <f ca="1">IFERROR(__xludf.DUMMYFUNCTION("""COMPUTED_VALUE"""),69.25)</f>
        <v>69.25</v>
      </c>
      <c r="C29" s="27">
        <f ca="1">IFERROR(__xludf.DUMMYFUNCTION("""COMPUTED_VALUE"""),75.22)</f>
        <v>75.22</v>
      </c>
      <c r="D29" s="27">
        <f ca="1">IFERROR(__xludf.DUMMYFUNCTION("""COMPUTED_VALUE"""),68.82)</f>
        <v>68.819999999999993</v>
      </c>
      <c r="E29" s="27">
        <f ca="1">IFERROR(__xludf.DUMMYFUNCTION("""COMPUTED_VALUE"""),74.66)</f>
        <v>74.66</v>
      </c>
      <c r="F29" s="27">
        <f ca="1">IFERROR(__xludf.DUMMYFUNCTION("""COMPUTED_VALUE"""),11173237)</f>
        <v>11173237</v>
      </c>
      <c r="G29" s="28">
        <f t="shared" ca="1" si="0"/>
        <v>9.088252483927528E-2</v>
      </c>
    </row>
    <row r="30" spans="1:7" x14ac:dyDescent="0.2">
      <c r="A30" s="26">
        <f ca="1">IFERROR(__xludf.DUMMYFUNCTION("""COMPUTED_VALUE"""),42573.7291666666)</f>
        <v>42573.729166666599</v>
      </c>
      <c r="B30" s="27">
        <f ca="1">IFERROR(__xludf.DUMMYFUNCTION("""COMPUTED_VALUE"""),74.9)</f>
        <v>74.900000000000006</v>
      </c>
      <c r="C30" s="27">
        <f ca="1">IFERROR(__xludf.DUMMYFUNCTION("""COMPUTED_VALUE"""),76.53)</f>
        <v>76.53</v>
      </c>
      <c r="D30" s="27">
        <f ca="1">IFERROR(__xludf.DUMMYFUNCTION("""COMPUTED_VALUE"""),72.68)</f>
        <v>72.680000000000007</v>
      </c>
      <c r="E30" s="27">
        <f ca="1">IFERROR(__xludf.DUMMYFUNCTION("""COMPUTED_VALUE"""),75.5)</f>
        <v>75.5</v>
      </c>
      <c r="F30" s="27">
        <f ca="1">IFERROR(__xludf.DUMMYFUNCTION("""COMPUTED_VALUE"""),7458789)</f>
        <v>7458789</v>
      </c>
      <c r="G30" s="28">
        <f t="shared" ca="1" si="0"/>
        <v>1.1251004553977983E-2</v>
      </c>
    </row>
    <row r="31" spans="1:7" x14ac:dyDescent="0.2">
      <c r="A31" s="26">
        <f ca="1">IFERROR(__xludf.DUMMYFUNCTION("""COMPUTED_VALUE"""),42580.7291666666)</f>
        <v>42580.729166666599</v>
      </c>
      <c r="B31" s="27">
        <f ca="1">IFERROR(__xludf.DUMMYFUNCTION("""COMPUTED_VALUE"""),75.72)</f>
        <v>75.72</v>
      </c>
      <c r="C31" s="27">
        <f ca="1">IFERROR(__xludf.DUMMYFUNCTION("""COMPUTED_VALUE"""),78.8)</f>
        <v>78.8</v>
      </c>
      <c r="D31" s="27">
        <f ca="1">IFERROR(__xludf.DUMMYFUNCTION("""COMPUTED_VALUE"""),75.08)</f>
        <v>75.08</v>
      </c>
      <c r="E31" s="27">
        <f ca="1">IFERROR(__xludf.DUMMYFUNCTION("""COMPUTED_VALUE"""),77.05)</f>
        <v>77.05</v>
      </c>
      <c r="F31" s="27">
        <f ca="1">IFERROR(__xludf.DUMMYFUNCTION("""COMPUTED_VALUE"""),8403254)</f>
        <v>8403254</v>
      </c>
      <c r="G31" s="28">
        <f t="shared" ca="1" si="0"/>
        <v>2.0529801324503216E-2</v>
      </c>
    </row>
    <row r="32" spans="1:7" x14ac:dyDescent="0.2">
      <c r="A32" s="26">
        <f ca="1">IFERROR(__xludf.DUMMYFUNCTION("""COMPUTED_VALUE"""),42587.7291666666)</f>
        <v>42587.729166666599</v>
      </c>
      <c r="B32" s="27">
        <f ca="1">IFERROR(__xludf.DUMMYFUNCTION("""COMPUTED_VALUE"""),78.44)</f>
        <v>78.44</v>
      </c>
      <c r="C32" s="27">
        <f ca="1">IFERROR(__xludf.DUMMYFUNCTION("""COMPUTED_VALUE"""),78.68)</f>
        <v>78.680000000000007</v>
      </c>
      <c r="D32" s="27">
        <f ca="1">IFERROR(__xludf.DUMMYFUNCTION("""COMPUTED_VALUE"""),73.73)</f>
        <v>73.73</v>
      </c>
      <c r="E32" s="27">
        <f ca="1">IFERROR(__xludf.DUMMYFUNCTION("""COMPUTED_VALUE"""),77.92)</f>
        <v>77.92</v>
      </c>
      <c r="F32" s="27">
        <f ca="1">IFERROR(__xludf.DUMMYFUNCTION("""COMPUTED_VALUE"""),8904935)</f>
        <v>8904935</v>
      </c>
      <c r="G32" s="28">
        <f t="shared" ca="1" si="0"/>
        <v>1.1291369240752802E-2</v>
      </c>
    </row>
    <row r="33" spans="1:7" x14ac:dyDescent="0.2">
      <c r="A33" s="26">
        <f ca="1">IFERROR(__xludf.DUMMYFUNCTION("""COMPUTED_VALUE"""),42594.7291666666)</f>
        <v>42594.729166666599</v>
      </c>
      <c r="B33" s="27">
        <f ca="1">IFERROR(__xludf.DUMMYFUNCTION("""COMPUTED_VALUE"""),78.5)</f>
        <v>78.5</v>
      </c>
      <c r="C33" s="27">
        <f ca="1">IFERROR(__xludf.DUMMYFUNCTION("""COMPUTED_VALUE"""),81.2)</f>
        <v>81.2</v>
      </c>
      <c r="D33" s="27">
        <f ca="1">IFERROR(__xludf.DUMMYFUNCTION("""COMPUTED_VALUE"""),77.29)</f>
        <v>77.290000000000006</v>
      </c>
      <c r="E33" s="27">
        <f ca="1">IFERROR(__xludf.DUMMYFUNCTION("""COMPUTED_VALUE"""),79.63)</f>
        <v>79.63</v>
      </c>
      <c r="F33" s="27">
        <f ca="1">IFERROR(__xludf.DUMMYFUNCTION("""COMPUTED_VALUE"""),7128775)</f>
        <v>7128775</v>
      </c>
      <c r="G33" s="28">
        <f t="shared" ca="1" si="0"/>
        <v>2.1945585215605634E-2</v>
      </c>
    </row>
    <row r="34" spans="1:7" x14ac:dyDescent="0.2">
      <c r="A34" s="26">
        <f ca="1">IFERROR(__xludf.DUMMYFUNCTION("""COMPUTED_VALUE"""),42601.7291666666)</f>
        <v>42601.729166666599</v>
      </c>
      <c r="B34" s="27">
        <f ca="1">IFERROR(__xludf.DUMMYFUNCTION("""COMPUTED_VALUE"""),79.87)</f>
        <v>79.87</v>
      </c>
      <c r="C34" s="27">
        <f ca="1">IFERROR(__xludf.DUMMYFUNCTION("""COMPUTED_VALUE"""),80.88)</f>
        <v>80.88</v>
      </c>
      <c r="D34" s="27">
        <f ca="1">IFERROR(__xludf.DUMMYFUNCTION("""COMPUTED_VALUE"""),76.47)</f>
        <v>76.47</v>
      </c>
      <c r="E34" s="27">
        <f ca="1">IFERROR(__xludf.DUMMYFUNCTION("""COMPUTED_VALUE"""),77.32)</f>
        <v>77.319999999999993</v>
      </c>
      <c r="F34" s="27">
        <f ca="1">IFERROR(__xludf.DUMMYFUNCTION("""COMPUTED_VALUE"""),5870526)</f>
        <v>5870526</v>
      </c>
      <c r="G34" s="28">
        <f t="shared" ca="1" si="0"/>
        <v>-2.9009167399221436E-2</v>
      </c>
    </row>
    <row r="35" spans="1:7" x14ac:dyDescent="0.2">
      <c r="A35" s="26">
        <f ca="1">IFERROR(__xludf.DUMMYFUNCTION("""COMPUTED_VALUE"""),42608.7291666666)</f>
        <v>42608.729166666599</v>
      </c>
      <c r="B35" s="27">
        <f ca="1">IFERROR(__xludf.DUMMYFUNCTION("""COMPUTED_VALUE"""),77.4)</f>
        <v>77.400000000000006</v>
      </c>
      <c r="C35" s="27">
        <f ca="1">IFERROR(__xludf.DUMMYFUNCTION("""COMPUTED_VALUE"""),78.45)</f>
        <v>78.45</v>
      </c>
      <c r="D35" s="27">
        <f ca="1">IFERROR(__xludf.DUMMYFUNCTION("""COMPUTED_VALUE"""),75.6)</f>
        <v>75.599999999999994</v>
      </c>
      <c r="E35" s="27">
        <f ca="1">IFERROR(__xludf.DUMMYFUNCTION("""COMPUTED_VALUE"""),77.23)</f>
        <v>77.23</v>
      </c>
      <c r="F35" s="27">
        <f ca="1">IFERROR(__xludf.DUMMYFUNCTION("""COMPUTED_VALUE"""),6142222)</f>
        <v>6142222</v>
      </c>
      <c r="G35" s="28">
        <f t="shared" ca="1" si="0"/>
        <v>-1.1639937920330246E-3</v>
      </c>
    </row>
    <row r="36" spans="1:7" x14ac:dyDescent="0.2">
      <c r="A36" s="26">
        <f ca="1">IFERROR(__xludf.DUMMYFUNCTION("""COMPUTED_VALUE"""),42615.7291666666)</f>
        <v>42615.729166666599</v>
      </c>
      <c r="B36" s="27">
        <f ca="1">IFERROR(__xludf.DUMMYFUNCTION("""COMPUTED_VALUE"""),76.71)</f>
        <v>76.709999999999994</v>
      </c>
      <c r="C36" s="27">
        <f ca="1">IFERROR(__xludf.DUMMYFUNCTION("""COMPUTED_VALUE"""),79.8)</f>
        <v>79.8</v>
      </c>
      <c r="D36" s="27">
        <f ca="1">IFERROR(__xludf.DUMMYFUNCTION("""COMPUTED_VALUE"""),76.07)</f>
        <v>76.069999999999993</v>
      </c>
      <c r="E36" s="27">
        <f ca="1">IFERROR(__xludf.DUMMYFUNCTION("""COMPUTED_VALUE"""),78.57)</f>
        <v>78.569999999999993</v>
      </c>
      <c r="F36" s="27">
        <f ca="1">IFERROR(__xludf.DUMMYFUNCTION("""COMPUTED_VALUE"""),6310245)</f>
        <v>6310245</v>
      </c>
      <c r="G36" s="28">
        <f t="shared" ca="1" si="0"/>
        <v>1.7350770426000084E-2</v>
      </c>
    </row>
    <row r="37" spans="1:7" x14ac:dyDescent="0.2">
      <c r="A37" s="26">
        <f ca="1">IFERROR(__xludf.DUMMYFUNCTION("""COMPUTED_VALUE"""),42622.7291666666)</f>
        <v>42622.729166666599</v>
      </c>
      <c r="B37" s="27">
        <f ca="1">IFERROR(__xludf.DUMMYFUNCTION("""COMPUTED_VALUE"""),78.97)</f>
        <v>78.97</v>
      </c>
      <c r="C37" s="27">
        <f ca="1">IFERROR(__xludf.DUMMYFUNCTION("""COMPUTED_VALUE"""),79.06)</f>
        <v>79.06</v>
      </c>
      <c r="D37" s="27">
        <f ca="1">IFERROR(__xludf.DUMMYFUNCTION("""COMPUTED_VALUE"""),76.14)</f>
        <v>76.14</v>
      </c>
      <c r="E37" s="27">
        <f ca="1">IFERROR(__xludf.DUMMYFUNCTION("""COMPUTED_VALUE"""),76.93)</f>
        <v>76.930000000000007</v>
      </c>
      <c r="F37" s="27">
        <f ca="1">IFERROR(__xludf.DUMMYFUNCTION("""COMPUTED_VALUE"""),6584500)</f>
        <v>6584500</v>
      </c>
      <c r="G37" s="28">
        <f t="shared" ca="1" si="0"/>
        <v>-2.0873106783759532E-2</v>
      </c>
    </row>
    <row r="38" spans="1:7" x14ac:dyDescent="0.2">
      <c r="A38" s="26">
        <f ca="1">IFERROR(__xludf.DUMMYFUNCTION("""COMPUTED_VALUE"""),42629.7291666666)</f>
        <v>42629.729166666599</v>
      </c>
      <c r="B38" s="27">
        <f ca="1">IFERROR(__xludf.DUMMYFUNCTION("""COMPUTED_VALUE"""),75.5)</f>
        <v>75.5</v>
      </c>
      <c r="C38" s="27">
        <f ca="1">IFERROR(__xludf.DUMMYFUNCTION("""COMPUTED_VALUE"""),76.32)</f>
        <v>76.319999999999993</v>
      </c>
      <c r="D38" s="27">
        <f ca="1">IFERROR(__xludf.DUMMYFUNCTION("""COMPUTED_VALUE"""),73.22)</f>
        <v>73.22</v>
      </c>
      <c r="E38" s="27">
        <f ca="1">IFERROR(__xludf.DUMMYFUNCTION("""COMPUTED_VALUE"""),73.42)</f>
        <v>73.42</v>
      </c>
      <c r="F38" s="27">
        <f ca="1">IFERROR(__xludf.DUMMYFUNCTION("""COMPUTED_VALUE"""),8869863)</f>
        <v>8869863</v>
      </c>
      <c r="G38" s="28">
        <f t="shared" ca="1" si="0"/>
        <v>-4.5625893669569817E-2</v>
      </c>
    </row>
    <row r="39" spans="1:7" x14ac:dyDescent="0.2">
      <c r="A39" s="26">
        <f ca="1">IFERROR(__xludf.DUMMYFUNCTION("""COMPUTED_VALUE"""),42636.7291666666)</f>
        <v>42636.729166666599</v>
      </c>
      <c r="B39" s="27">
        <f ca="1">IFERROR(__xludf.DUMMYFUNCTION("""COMPUTED_VALUE"""),74.05)</f>
        <v>74.05</v>
      </c>
      <c r="C39" s="27">
        <f ca="1">IFERROR(__xludf.DUMMYFUNCTION("""COMPUTED_VALUE"""),76.96)</f>
        <v>76.959999999999994</v>
      </c>
      <c r="D39" s="27">
        <f ca="1">IFERROR(__xludf.DUMMYFUNCTION("""COMPUTED_VALUE"""),73.72)</f>
        <v>73.72</v>
      </c>
      <c r="E39" s="27">
        <f ca="1">IFERROR(__xludf.DUMMYFUNCTION("""COMPUTED_VALUE"""),75.59)</f>
        <v>75.59</v>
      </c>
      <c r="F39" s="27">
        <f ca="1">IFERROR(__xludf.DUMMYFUNCTION("""COMPUTED_VALUE"""),6513463)</f>
        <v>6513463</v>
      </c>
      <c r="G39" s="28">
        <f t="shared" ca="1" si="0"/>
        <v>2.9555979297194224E-2</v>
      </c>
    </row>
    <row r="40" spans="1:7" x14ac:dyDescent="0.2">
      <c r="A40" s="26">
        <f ca="1">IFERROR(__xludf.DUMMYFUNCTION("""COMPUTED_VALUE"""),42643.7291666666)</f>
        <v>42643.729166666599</v>
      </c>
      <c r="B40" s="27">
        <f ca="1">IFERROR(__xludf.DUMMYFUNCTION("""COMPUTED_VALUE"""),75.06)</f>
        <v>75.06</v>
      </c>
      <c r="C40" s="27">
        <f ca="1">IFERROR(__xludf.DUMMYFUNCTION("""COMPUTED_VALUE"""),75.13)</f>
        <v>75.13</v>
      </c>
      <c r="D40" s="27">
        <f ca="1">IFERROR(__xludf.DUMMYFUNCTION("""COMPUTED_VALUE"""),72.02)</f>
        <v>72.02</v>
      </c>
      <c r="E40" s="27">
        <f ca="1">IFERROR(__xludf.DUMMYFUNCTION("""COMPUTED_VALUE"""),74.81)</f>
        <v>74.81</v>
      </c>
      <c r="F40" s="27">
        <f ca="1">IFERROR(__xludf.DUMMYFUNCTION("""COMPUTED_VALUE"""),8496387)</f>
        <v>8496387</v>
      </c>
      <c r="G40" s="28">
        <f t="shared" ca="1" si="0"/>
        <v>-1.0318825241434015E-2</v>
      </c>
    </row>
    <row r="41" spans="1:7" x14ac:dyDescent="0.2">
      <c r="A41" s="26">
        <f ca="1">IFERROR(__xludf.DUMMYFUNCTION("""COMPUTED_VALUE"""),42650.7291666666)</f>
        <v>42650.729166666599</v>
      </c>
      <c r="B41" s="27">
        <f ca="1">IFERROR(__xludf.DUMMYFUNCTION("""COMPUTED_VALUE"""),76)</f>
        <v>76</v>
      </c>
      <c r="C41" s="27">
        <f ca="1">IFERROR(__xludf.DUMMYFUNCTION("""COMPUTED_VALUE"""),78.69)</f>
        <v>78.69</v>
      </c>
      <c r="D41" s="27">
        <f ca="1">IFERROR(__xludf.DUMMYFUNCTION("""COMPUTED_VALUE"""),75.79)</f>
        <v>75.790000000000006</v>
      </c>
      <c r="E41" s="27">
        <f ca="1">IFERROR(__xludf.DUMMYFUNCTION("""COMPUTED_VALUE"""),77.41)</f>
        <v>77.41</v>
      </c>
      <c r="F41" s="27">
        <f ca="1">IFERROR(__xludf.DUMMYFUNCTION("""COMPUTED_VALUE"""),7834450)</f>
        <v>7834450</v>
      </c>
      <c r="G41" s="28">
        <f t="shared" ca="1" si="0"/>
        <v>3.4754711936906713E-2</v>
      </c>
    </row>
    <row r="42" spans="1:7" x14ac:dyDescent="0.2">
      <c r="A42" s="26">
        <f ca="1">IFERROR(__xludf.DUMMYFUNCTION("""COMPUTED_VALUE"""),42657.7291666666)</f>
        <v>42657.729166666599</v>
      </c>
      <c r="B42" s="27">
        <f ca="1">IFERROR(__xludf.DUMMYFUNCTION("""COMPUTED_VALUE"""),77.43)</f>
        <v>77.430000000000007</v>
      </c>
      <c r="C42" s="27">
        <f ca="1">IFERROR(__xludf.DUMMYFUNCTION("""COMPUTED_VALUE"""),78.75)</f>
        <v>78.75</v>
      </c>
      <c r="D42" s="27">
        <f ca="1">IFERROR(__xludf.DUMMYFUNCTION("""COMPUTED_VALUE"""),75.28)</f>
        <v>75.28</v>
      </c>
      <c r="E42" s="27">
        <f ca="1">IFERROR(__xludf.DUMMYFUNCTION("""COMPUTED_VALUE"""),76.84)</f>
        <v>76.84</v>
      </c>
      <c r="F42" s="27">
        <f ca="1">IFERROR(__xludf.DUMMYFUNCTION("""COMPUTED_VALUE"""),7452035)</f>
        <v>7452035</v>
      </c>
      <c r="G42" s="28">
        <f t="shared" ca="1" si="0"/>
        <v>-7.3633897429271622E-3</v>
      </c>
    </row>
    <row r="43" spans="1:7" x14ac:dyDescent="0.2">
      <c r="A43" s="26">
        <f ca="1">IFERROR(__xludf.DUMMYFUNCTION("""COMPUTED_VALUE"""),42664.7291666666)</f>
        <v>42664.729166666599</v>
      </c>
      <c r="B43" s="27">
        <f ca="1">IFERROR(__xludf.DUMMYFUNCTION("""COMPUTED_VALUE"""),76.72)</f>
        <v>76.72</v>
      </c>
      <c r="C43" s="27">
        <f ca="1">IFERROR(__xludf.DUMMYFUNCTION("""COMPUTED_VALUE"""),79.67)</f>
        <v>79.67</v>
      </c>
      <c r="D43" s="27">
        <f ca="1">IFERROR(__xludf.DUMMYFUNCTION("""COMPUTED_VALUE"""),75.89)</f>
        <v>75.89</v>
      </c>
      <c r="E43" s="27">
        <f ca="1">IFERROR(__xludf.DUMMYFUNCTION("""COMPUTED_VALUE"""),78.63)</f>
        <v>78.63</v>
      </c>
      <c r="F43" s="27">
        <f ca="1">IFERROR(__xludf.DUMMYFUNCTION("""COMPUTED_VALUE"""),7413603)</f>
        <v>7413603</v>
      </c>
      <c r="G43" s="28">
        <f t="shared" ca="1" si="0"/>
        <v>2.3295158771473146E-2</v>
      </c>
    </row>
    <row r="44" spans="1:7" x14ac:dyDescent="0.2">
      <c r="A44" s="26">
        <f ca="1">IFERROR(__xludf.DUMMYFUNCTION("""COMPUTED_VALUE"""),42671.7291666666)</f>
        <v>42671.729166666599</v>
      </c>
      <c r="B44" s="27">
        <f ca="1">IFERROR(__xludf.DUMMYFUNCTION("""COMPUTED_VALUE"""),79.01)</f>
        <v>79.010000000000005</v>
      </c>
      <c r="C44" s="27">
        <f ca="1">IFERROR(__xludf.DUMMYFUNCTION("""COMPUTED_VALUE"""),80.54)</f>
        <v>80.540000000000006</v>
      </c>
      <c r="D44" s="27">
        <f ca="1">IFERROR(__xludf.DUMMYFUNCTION("""COMPUTED_VALUE"""),78.34)</f>
        <v>78.34</v>
      </c>
      <c r="E44" s="27">
        <f ca="1">IFERROR(__xludf.DUMMYFUNCTION("""COMPUTED_VALUE"""),80.17)</f>
        <v>80.17</v>
      </c>
      <c r="F44" s="27">
        <f ca="1">IFERROR(__xludf.DUMMYFUNCTION("""COMPUTED_VALUE"""),6024456)</f>
        <v>6024456</v>
      </c>
      <c r="G44" s="28">
        <f t="shared" ca="1" si="0"/>
        <v>1.9585399974564544E-2</v>
      </c>
    </row>
    <row r="45" spans="1:7" x14ac:dyDescent="0.2">
      <c r="A45" s="26">
        <f ca="1">IFERROR(__xludf.DUMMYFUNCTION("""COMPUTED_VALUE"""),42678.7291666666)</f>
        <v>42678.729166666599</v>
      </c>
      <c r="B45" s="27">
        <f ca="1">IFERROR(__xludf.DUMMYFUNCTION("""COMPUTED_VALUE"""),80)</f>
        <v>80</v>
      </c>
      <c r="C45" s="27">
        <f ca="1">IFERROR(__xludf.DUMMYFUNCTION("""COMPUTED_VALUE"""),80.24)</f>
        <v>80.239999999999995</v>
      </c>
      <c r="D45" s="27">
        <f ca="1">IFERROR(__xludf.DUMMYFUNCTION("""COMPUTED_VALUE"""),73.58)</f>
        <v>73.58</v>
      </c>
      <c r="E45" s="27">
        <f ca="1">IFERROR(__xludf.DUMMYFUNCTION("""COMPUTED_VALUE"""),75.46)</f>
        <v>75.459999999999994</v>
      </c>
      <c r="F45" s="27">
        <f ca="1">IFERROR(__xludf.DUMMYFUNCTION("""COMPUTED_VALUE"""),8450420)</f>
        <v>8450420</v>
      </c>
      <c r="G45" s="28">
        <f t="shared" ca="1" si="0"/>
        <v>-5.8750155918672942E-2</v>
      </c>
    </row>
    <row r="46" spans="1:7" x14ac:dyDescent="0.2">
      <c r="A46" s="26">
        <f ca="1">IFERROR(__xludf.DUMMYFUNCTION("""COMPUTED_VALUE"""),42685.7291666666)</f>
        <v>42685.729166666599</v>
      </c>
      <c r="B46" s="27">
        <f ca="1">IFERROR(__xludf.DUMMYFUNCTION("""COMPUTED_VALUE"""),77.1)</f>
        <v>77.099999999999994</v>
      </c>
      <c r="C46" s="27">
        <f ca="1">IFERROR(__xludf.DUMMYFUNCTION("""COMPUTED_VALUE"""),80.15)</f>
        <v>80.150000000000006</v>
      </c>
      <c r="D46" s="27">
        <f ca="1">IFERROR(__xludf.DUMMYFUNCTION("""COMPUTED_VALUE"""),73.4)</f>
        <v>73.400000000000006</v>
      </c>
      <c r="E46" s="27">
        <f ca="1">IFERROR(__xludf.DUMMYFUNCTION("""COMPUTED_VALUE"""),80.11)</f>
        <v>80.11</v>
      </c>
      <c r="F46" s="27">
        <f ca="1">IFERROR(__xludf.DUMMYFUNCTION("""COMPUTED_VALUE"""),12212287)</f>
        <v>12212287</v>
      </c>
      <c r="G46" s="28">
        <f t="shared" ca="1" si="0"/>
        <v>6.1622051417969947E-2</v>
      </c>
    </row>
    <row r="47" spans="1:7" x14ac:dyDescent="0.2">
      <c r="A47" s="26">
        <f ca="1">IFERROR(__xludf.DUMMYFUNCTION("""COMPUTED_VALUE"""),42692.7291666666)</f>
        <v>42692.729166666599</v>
      </c>
      <c r="B47" s="27">
        <f ca="1">IFERROR(__xludf.DUMMYFUNCTION("""COMPUTED_VALUE"""),80.78)</f>
        <v>80.78</v>
      </c>
      <c r="C47" s="27">
        <f ca="1">IFERROR(__xludf.DUMMYFUNCTION("""COMPUTED_VALUE"""),82.54)</f>
        <v>82.54</v>
      </c>
      <c r="D47" s="27">
        <f ca="1">IFERROR(__xludf.DUMMYFUNCTION("""COMPUTED_VALUE"""),79.7)</f>
        <v>79.7</v>
      </c>
      <c r="E47" s="27">
        <f ca="1">IFERROR(__xludf.DUMMYFUNCTION("""COMPUTED_VALUE"""),81)</f>
        <v>81</v>
      </c>
      <c r="F47" s="27">
        <f ca="1">IFERROR(__xludf.DUMMYFUNCTION("""COMPUTED_VALUE"""),8390261)</f>
        <v>8390261</v>
      </c>
      <c r="G47" s="28">
        <f t="shared" ca="1" si="0"/>
        <v>1.1109724129322096E-2</v>
      </c>
    </row>
    <row r="48" spans="1:7" x14ac:dyDescent="0.2">
      <c r="A48" s="26">
        <f ca="1">IFERROR(__xludf.DUMMYFUNCTION("""COMPUTED_VALUE"""),42699.7291666666)</f>
        <v>42699.729166666599</v>
      </c>
      <c r="B48" s="27">
        <f ca="1">IFERROR(__xludf.DUMMYFUNCTION("""COMPUTED_VALUE"""),81.16)</f>
        <v>81.16</v>
      </c>
      <c r="C48" s="27">
        <f ca="1">IFERROR(__xludf.DUMMYFUNCTION("""COMPUTED_VALUE"""),83.49)</f>
        <v>83.49</v>
      </c>
      <c r="D48" s="27">
        <f ca="1">IFERROR(__xludf.DUMMYFUNCTION("""COMPUTED_VALUE"""),80.67)</f>
        <v>80.67</v>
      </c>
      <c r="E48" s="27">
        <f ca="1">IFERROR(__xludf.DUMMYFUNCTION("""COMPUTED_VALUE"""),82.79)</f>
        <v>82.79</v>
      </c>
      <c r="F48" s="27">
        <f ca="1">IFERROR(__xludf.DUMMYFUNCTION("""COMPUTED_VALUE"""),7253696)</f>
        <v>7253696</v>
      </c>
      <c r="G48" s="28">
        <f t="shared" ca="1" si="0"/>
        <v>2.2098765432098766E-2</v>
      </c>
    </row>
    <row r="49" spans="1:7" x14ac:dyDescent="0.2">
      <c r="A49" s="26">
        <f ca="1">IFERROR(__xludf.DUMMYFUNCTION("""COMPUTED_VALUE"""),42706.7291666666)</f>
        <v>42706.729166666599</v>
      </c>
      <c r="B49" s="27">
        <f ca="1">IFERROR(__xludf.DUMMYFUNCTION("""COMPUTED_VALUE"""),81.92)</f>
        <v>81.92</v>
      </c>
      <c r="C49" s="27">
        <f ca="1">IFERROR(__xludf.DUMMYFUNCTION("""COMPUTED_VALUE"""),82.56)</f>
        <v>82.56</v>
      </c>
      <c r="D49" s="27">
        <f ca="1">IFERROR(__xludf.DUMMYFUNCTION("""COMPUTED_VALUE"""),78.56)</f>
        <v>78.56</v>
      </c>
      <c r="E49" s="27">
        <f ca="1">IFERROR(__xludf.DUMMYFUNCTION("""COMPUTED_VALUE"""),79.82)</f>
        <v>79.819999999999993</v>
      </c>
      <c r="F49" s="27">
        <f ca="1">IFERROR(__xludf.DUMMYFUNCTION("""COMPUTED_VALUE"""),7328050)</f>
        <v>7328050</v>
      </c>
      <c r="G49" s="28">
        <f t="shared" ca="1" si="0"/>
        <v>-3.5873897813745725E-2</v>
      </c>
    </row>
    <row r="50" spans="1:7" x14ac:dyDescent="0.2">
      <c r="A50" s="26">
        <f ca="1">IFERROR(__xludf.DUMMYFUNCTION("""COMPUTED_VALUE"""),42713.7291666666)</f>
        <v>42713.729166666599</v>
      </c>
      <c r="B50" s="27">
        <f ca="1">IFERROR(__xludf.DUMMYFUNCTION("""COMPUTED_VALUE"""),79.31)</f>
        <v>79.31</v>
      </c>
      <c r="C50" s="27">
        <f ca="1">IFERROR(__xludf.DUMMYFUNCTION("""COMPUTED_VALUE"""),89.33)</f>
        <v>89.33</v>
      </c>
      <c r="D50" s="27">
        <f ca="1">IFERROR(__xludf.DUMMYFUNCTION("""COMPUTED_VALUE"""),79.2)</f>
        <v>79.2</v>
      </c>
      <c r="E50" s="27">
        <f ca="1">IFERROR(__xludf.DUMMYFUNCTION("""COMPUTED_VALUE"""),88.77)</f>
        <v>88.77</v>
      </c>
      <c r="F50" s="27">
        <f ca="1">IFERROR(__xludf.DUMMYFUNCTION("""COMPUTED_VALUE"""),11333178)</f>
        <v>11333178</v>
      </c>
      <c r="G50" s="28">
        <f t="shared" ca="1" si="0"/>
        <v>0.1121272863943874</v>
      </c>
    </row>
    <row r="51" spans="1:7" x14ac:dyDescent="0.2">
      <c r="A51" s="26">
        <f ca="1">IFERROR(__xludf.DUMMYFUNCTION("""COMPUTED_VALUE"""),42720.7291666666)</f>
        <v>42720.729166666599</v>
      </c>
      <c r="B51" s="27">
        <f ca="1">IFERROR(__xludf.DUMMYFUNCTION("""COMPUTED_VALUE"""),88.5)</f>
        <v>88.5</v>
      </c>
      <c r="C51" s="27">
        <f ca="1">IFERROR(__xludf.DUMMYFUNCTION("""COMPUTED_VALUE"""),90.78)</f>
        <v>90.78</v>
      </c>
      <c r="D51" s="27">
        <f ca="1">IFERROR(__xludf.DUMMYFUNCTION("""COMPUTED_VALUE"""),86.73)</f>
        <v>86.73</v>
      </c>
      <c r="E51" s="27">
        <f ca="1">IFERROR(__xludf.DUMMYFUNCTION("""COMPUTED_VALUE"""),90)</f>
        <v>90</v>
      </c>
      <c r="F51" s="27">
        <f ca="1">IFERROR(__xludf.DUMMYFUNCTION("""COMPUTED_VALUE"""),9660337)</f>
        <v>9660337</v>
      </c>
      <c r="G51" s="28">
        <f t="shared" ca="1" si="0"/>
        <v>1.3856032443393174E-2</v>
      </c>
    </row>
    <row r="52" spans="1:7" x14ac:dyDescent="0.2">
      <c r="A52" s="26">
        <f ca="1">IFERROR(__xludf.DUMMYFUNCTION("""COMPUTED_VALUE"""),42727.7291666666)</f>
        <v>42727.729166666599</v>
      </c>
      <c r="B52" s="27">
        <f ca="1">IFERROR(__xludf.DUMMYFUNCTION("""COMPUTED_VALUE"""),89.61)</f>
        <v>89.61</v>
      </c>
      <c r="C52" s="27">
        <f ca="1">IFERROR(__xludf.DUMMYFUNCTION("""COMPUTED_VALUE"""),90.85)</f>
        <v>90.85</v>
      </c>
      <c r="D52" s="27">
        <f ca="1">IFERROR(__xludf.DUMMYFUNCTION("""COMPUTED_VALUE"""),88.66)</f>
        <v>88.66</v>
      </c>
      <c r="E52" s="27">
        <f ca="1">IFERROR(__xludf.DUMMYFUNCTION("""COMPUTED_VALUE"""),89.96)</f>
        <v>89.96</v>
      </c>
      <c r="F52" s="27">
        <f ca="1">IFERROR(__xludf.DUMMYFUNCTION("""COMPUTED_VALUE"""),5496844)</f>
        <v>5496844</v>
      </c>
      <c r="G52" s="28">
        <f t="shared" ca="1" si="0"/>
        <v>-4.4444444444446951E-4</v>
      </c>
    </row>
    <row r="53" spans="1:7" x14ac:dyDescent="0.2">
      <c r="A53" s="26">
        <f ca="1">IFERROR(__xludf.DUMMYFUNCTION("""COMPUTED_VALUE"""),42734.7291666666)</f>
        <v>42734.729166666599</v>
      </c>
      <c r="B53" s="27">
        <f ca="1">IFERROR(__xludf.DUMMYFUNCTION("""COMPUTED_VALUE"""),89.84)</f>
        <v>89.84</v>
      </c>
      <c r="C53" s="27">
        <f ca="1">IFERROR(__xludf.DUMMYFUNCTION("""COMPUTED_VALUE"""),90.21)</f>
        <v>90.21</v>
      </c>
      <c r="D53" s="27">
        <f ca="1">IFERROR(__xludf.DUMMYFUNCTION("""COMPUTED_VALUE"""),87.51)</f>
        <v>87.51</v>
      </c>
      <c r="E53" s="27">
        <f ca="1">IFERROR(__xludf.DUMMYFUNCTION("""COMPUTED_VALUE"""),88.75)</f>
        <v>88.75</v>
      </c>
      <c r="F53" s="27">
        <f ca="1">IFERROR(__xludf.DUMMYFUNCTION("""COMPUTED_VALUE"""),2867136)</f>
        <v>2867136</v>
      </c>
      <c r="G53" s="28">
        <f t="shared" ca="1" si="0"/>
        <v>-1.3450422409959861E-2</v>
      </c>
    </row>
    <row r="54" spans="1:7" x14ac:dyDescent="0.2">
      <c r="A54" s="26">
        <f ca="1">IFERROR(__xludf.DUMMYFUNCTION("""COMPUTED_VALUE"""),42741.7291666666)</f>
        <v>42741.729166666599</v>
      </c>
      <c r="B54" s="27">
        <f ca="1">IFERROR(__xludf.DUMMYFUNCTION("""COMPUTED_VALUE"""),88.34)</f>
        <v>88.34</v>
      </c>
      <c r="C54" s="27">
        <f ca="1">IFERROR(__xludf.DUMMYFUNCTION("""COMPUTED_VALUE"""),91.76)</f>
        <v>91.76</v>
      </c>
      <c r="D54" s="27">
        <f ca="1">IFERROR(__xludf.DUMMYFUNCTION("""COMPUTED_VALUE"""),87.81)</f>
        <v>87.81</v>
      </c>
      <c r="E54" s="27">
        <f ca="1">IFERROR(__xludf.DUMMYFUNCTION("""COMPUTED_VALUE"""),90.51)</f>
        <v>90.51</v>
      </c>
      <c r="F54" s="27">
        <f ca="1">IFERROR(__xludf.DUMMYFUNCTION("""COMPUTED_VALUE"""),5450643)</f>
        <v>5450643</v>
      </c>
      <c r="G54" s="28">
        <f t="shared" ca="1" si="0"/>
        <v>1.9830985915493038E-2</v>
      </c>
    </row>
    <row r="55" spans="1:7" x14ac:dyDescent="0.2">
      <c r="A55" s="26">
        <f ca="1">IFERROR(__xludf.DUMMYFUNCTION("""COMPUTED_VALUE"""),42748.7291666666)</f>
        <v>42748.729166666599</v>
      </c>
      <c r="B55" s="27">
        <f ca="1">IFERROR(__xludf.DUMMYFUNCTION("""COMPUTED_VALUE"""),90.79)</f>
        <v>90.79</v>
      </c>
      <c r="C55" s="27">
        <f ca="1">IFERROR(__xludf.DUMMYFUNCTION("""COMPUTED_VALUE"""),90.79)</f>
        <v>90.79</v>
      </c>
      <c r="D55" s="27">
        <f ca="1">IFERROR(__xludf.DUMMYFUNCTION("""COMPUTED_VALUE"""),86.76)</f>
        <v>86.76</v>
      </c>
      <c r="E55" s="27">
        <f ca="1">IFERROR(__xludf.DUMMYFUNCTION("""COMPUTED_VALUE"""),87.81)</f>
        <v>87.81</v>
      </c>
      <c r="F55" s="27">
        <f ca="1">IFERROR(__xludf.DUMMYFUNCTION("""COMPUTED_VALUE"""),8245945)</f>
        <v>8245945</v>
      </c>
      <c r="G55" s="28">
        <f t="shared" ca="1" si="0"/>
        <v>-2.9830957905203848E-2</v>
      </c>
    </row>
    <row r="56" spans="1:7" x14ac:dyDescent="0.2">
      <c r="A56" s="26">
        <f ca="1">IFERROR(__xludf.DUMMYFUNCTION("""COMPUTED_VALUE"""),42755.7291666666)</f>
        <v>42755.729166666599</v>
      </c>
      <c r="B56" s="27">
        <f ca="1">IFERROR(__xludf.DUMMYFUNCTION("""COMPUTED_VALUE"""),86)</f>
        <v>86</v>
      </c>
      <c r="C56" s="27">
        <f ca="1">IFERROR(__xludf.DUMMYFUNCTION("""COMPUTED_VALUE"""),87.39)</f>
        <v>87.39</v>
      </c>
      <c r="D56" s="27">
        <f ca="1">IFERROR(__xludf.DUMMYFUNCTION("""COMPUTED_VALUE"""),85.19)</f>
        <v>85.19</v>
      </c>
      <c r="E56" s="27">
        <f ca="1">IFERROR(__xludf.DUMMYFUNCTION("""COMPUTED_VALUE"""),87.15)</f>
        <v>87.15</v>
      </c>
      <c r="F56" s="27">
        <f ca="1">IFERROR(__xludf.DUMMYFUNCTION("""COMPUTED_VALUE"""),6956710)</f>
        <v>6956710</v>
      </c>
      <c r="G56" s="28">
        <f t="shared" ca="1" si="0"/>
        <v>-7.5162282200204045E-3</v>
      </c>
    </row>
    <row r="57" spans="1:7" x14ac:dyDescent="0.2">
      <c r="A57" s="26">
        <f ca="1">IFERROR(__xludf.DUMMYFUNCTION("""COMPUTED_VALUE"""),42762.7291666666)</f>
        <v>42762.729166666599</v>
      </c>
      <c r="B57" s="27">
        <f ca="1">IFERROR(__xludf.DUMMYFUNCTION("""COMPUTED_VALUE"""),86.51)</f>
        <v>86.51</v>
      </c>
      <c r="C57" s="27">
        <f ca="1">IFERROR(__xludf.DUMMYFUNCTION("""COMPUTED_VALUE"""),89.76)</f>
        <v>89.76</v>
      </c>
      <c r="D57" s="27">
        <f ca="1">IFERROR(__xludf.DUMMYFUNCTION("""COMPUTED_VALUE"""),85.98)</f>
        <v>85.98</v>
      </c>
      <c r="E57" s="27">
        <f ca="1">IFERROR(__xludf.DUMMYFUNCTION("""COMPUTED_VALUE"""),87.41)</f>
        <v>87.41</v>
      </c>
      <c r="F57" s="27">
        <f ca="1">IFERROR(__xludf.DUMMYFUNCTION("""COMPUTED_VALUE"""),6636015)</f>
        <v>6636015</v>
      </c>
      <c r="G57" s="28">
        <f t="shared" ca="1" si="0"/>
        <v>2.9833620195065524E-3</v>
      </c>
    </row>
    <row r="58" spans="1:7" x14ac:dyDescent="0.2">
      <c r="A58" s="26">
        <f ca="1">IFERROR(__xludf.DUMMYFUNCTION("""COMPUTED_VALUE"""),42769.7291666666)</f>
        <v>42769.729166666599</v>
      </c>
      <c r="B58" s="27">
        <f ca="1">IFERROR(__xludf.DUMMYFUNCTION("""COMPUTED_VALUE"""),87.05)</f>
        <v>87.05</v>
      </c>
      <c r="C58" s="27">
        <f ca="1">IFERROR(__xludf.DUMMYFUNCTION("""COMPUTED_VALUE"""),87.45)</f>
        <v>87.45</v>
      </c>
      <c r="D58" s="27">
        <f ca="1">IFERROR(__xludf.DUMMYFUNCTION("""COMPUTED_VALUE"""),83.65)</f>
        <v>83.65</v>
      </c>
      <c r="E58" s="27">
        <f ca="1">IFERROR(__xludf.DUMMYFUNCTION("""COMPUTED_VALUE"""),84.03)</f>
        <v>84.03</v>
      </c>
      <c r="F58" s="27">
        <f ca="1">IFERROR(__xludf.DUMMYFUNCTION("""COMPUTED_VALUE"""),7322103)</f>
        <v>7322103</v>
      </c>
      <c r="G58" s="28">
        <f t="shared" ca="1" si="0"/>
        <v>-3.8668344582999614E-2</v>
      </c>
    </row>
    <row r="59" spans="1:7" x14ac:dyDescent="0.2">
      <c r="A59" s="26">
        <f ca="1">IFERROR(__xludf.DUMMYFUNCTION("""COMPUTED_VALUE"""),42776.7291666666)</f>
        <v>42776.729166666599</v>
      </c>
      <c r="B59" s="27">
        <f ca="1">IFERROR(__xludf.DUMMYFUNCTION("""COMPUTED_VALUE"""),83.74)</f>
        <v>83.74</v>
      </c>
      <c r="C59" s="27">
        <f ca="1">IFERROR(__xludf.DUMMYFUNCTION("""COMPUTED_VALUE"""),85.6)</f>
        <v>85.6</v>
      </c>
      <c r="D59" s="27">
        <f ca="1">IFERROR(__xludf.DUMMYFUNCTION("""COMPUTED_VALUE"""),82.47)</f>
        <v>82.47</v>
      </c>
      <c r="E59" s="27">
        <f ca="1">IFERROR(__xludf.DUMMYFUNCTION("""COMPUTED_VALUE"""),85.07)</f>
        <v>85.07</v>
      </c>
      <c r="F59" s="27">
        <f ca="1">IFERROR(__xludf.DUMMYFUNCTION("""COMPUTED_VALUE"""),7389375)</f>
        <v>7389375</v>
      </c>
      <c r="G59" s="28">
        <f t="shared" ca="1" si="0"/>
        <v>1.2376532190884193E-2</v>
      </c>
    </row>
    <row r="60" spans="1:7" x14ac:dyDescent="0.2">
      <c r="A60" s="26">
        <f ca="1">IFERROR(__xludf.DUMMYFUNCTION("""COMPUTED_VALUE"""),42783.7291666666)</f>
        <v>42783.729166666599</v>
      </c>
      <c r="B60" s="27">
        <f ca="1">IFERROR(__xludf.DUMMYFUNCTION("""COMPUTED_VALUE"""),85.28)</f>
        <v>85.28</v>
      </c>
      <c r="C60" s="27">
        <f ca="1">IFERROR(__xludf.DUMMYFUNCTION("""COMPUTED_VALUE"""),87.21)</f>
        <v>87.21</v>
      </c>
      <c r="D60" s="27">
        <f ca="1">IFERROR(__xludf.DUMMYFUNCTION("""COMPUTED_VALUE"""),84.22)</f>
        <v>84.22</v>
      </c>
      <c r="E60" s="27">
        <f ca="1">IFERROR(__xludf.DUMMYFUNCTION("""COMPUTED_VALUE"""),85.03)</f>
        <v>85.03</v>
      </c>
      <c r="F60" s="27">
        <f ca="1">IFERROR(__xludf.DUMMYFUNCTION("""COMPUTED_VALUE"""),6482322)</f>
        <v>6482322</v>
      </c>
      <c r="G60" s="28">
        <f t="shared" ca="1" si="0"/>
        <v>-4.7020101093209199E-4</v>
      </c>
    </row>
    <row r="61" spans="1:7" x14ac:dyDescent="0.2">
      <c r="A61" s="26">
        <f ca="1">IFERROR(__xludf.DUMMYFUNCTION("""COMPUTED_VALUE"""),42790.7291666666)</f>
        <v>42790.729166666599</v>
      </c>
      <c r="B61" s="27">
        <f ca="1">IFERROR(__xludf.DUMMYFUNCTION("""COMPUTED_VALUE"""),85.7)</f>
        <v>85.7</v>
      </c>
      <c r="C61" s="27">
        <f ca="1">IFERROR(__xludf.DUMMYFUNCTION("""COMPUTED_VALUE"""),87.59)</f>
        <v>87.59</v>
      </c>
      <c r="D61" s="27">
        <f ca="1">IFERROR(__xludf.DUMMYFUNCTION("""COMPUTED_VALUE"""),83.47)</f>
        <v>83.47</v>
      </c>
      <c r="E61" s="27">
        <f ca="1">IFERROR(__xludf.DUMMYFUNCTION("""COMPUTED_VALUE"""),84.25)</f>
        <v>84.25</v>
      </c>
      <c r="F61" s="27">
        <f ca="1">IFERROR(__xludf.DUMMYFUNCTION("""COMPUTED_VALUE"""),6584420)</f>
        <v>6584420</v>
      </c>
      <c r="G61" s="28">
        <f t="shared" ca="1" si="0"/>
        <v>-9.173232976596557E-3</v>
      </c>
    </row>
    <row r="62" spans="1:7" x14ac:dyDescent="0.2">
      <c r="A62" s="26">
        <f ca="1">IFERROR(__xludf.DUMMYFUNCTION("""COMPUTED_VALUE"""),42797.7291666666)</f>
        <v>42797.729166666599</v>
      </c>
      <c r="B62" s="27">
        <f ca="1">IFERROR(__xludf.DUMMYFUNCTION("""COMPUTED_VALUE"""),84.63)</f>
        <v>84.63</v>
      </c>
      <c r="C62" s="27">
        <f ca="1">IFERROR(__xludf.DUMMYFUNCTION("""COMPUTED_VALUE"""),87.67)</f>
        <v>87.67</v>
      </c>
      <c r="D62" s="27">
        <f ca="1">IFERROR(__xludf.DUMMYFUNCTION("""COMPUTED_VALUE"""),83.98)</f>
        <v>83.98</v>
      </c>
      <c r="E62" s="27">
        <f ca="1">IFERROR(__xludf.DUMMYFUNCTION("""COMPUTED_VALUE"""),87)</f>
        <v>87</v>
      </c>
      <c r="F62" s="27">
        <f ca="1">IFERROR(__xludf.DUMMYFUNCTION("""COMPUTED_VALUE"""),6230988)</f>
        <v>6230988</v>
      </c>
      <c r="G62" s="28">
        <f t="shared" ca="1" si="0"/>
        <v>3.2640949554896048E-2</v>
      </c>
    </row>
    <row r="63" spans="1:7" x14ac:dyDescent="0.2">
      <c r="A63" s="26">
        <f ca="1">IFERROR(__xludf.DUMMYFUNCTION("""COMPUTED_VALUE"""),42804.7291666666)</f>
        <v>42804.729166666599</v>
      </c>
      <c r="B63" s="27">
        <f ca="1">IFERROR(__xludf.DUMMYFUNCTION("""COMPUTED_VALUE"""),86.69)</f>
        <v>86.69</v>
      </c>
      <c r="C63" s="27">
        <f ca="1">IFERROR(__xludf.DUMMYFUNCTION("""COMPUTED_VALUE"""),87.03)</f>
        <v>87.03</v>
      </c>
      <c r="D63" s="27">
        <f ca="1">IFERROR(__xludf.DUMMYFUNCTION("""COMPUTED_VALUE"""),83.01)</f>
        <v>83.01</v>
      </c>
      <c r="E63" s="27">
        <f ca="1">IFERROR(__xludf.DUMMYFUNCTION("""COMPUTED_VALUE"""),83.54)</f>
        <v>83.54</v>
      </c>
      <c r="F63" s="27">
        <f ca="1">IFERROR(__xludf.DUMMYFUNCTION("""COMPUTED_VALUE"""),9785780)</f>
        <v>9785780</v>
      </c>
      <c r="G63" s="28">
        <f t="shared" ca="1" si="0"/>
        <v>-3.9770114942528689E-2</v>
      </c>
    </row>
    <row r="64" spans="1:7" x14ac:dyDescent="0.2">
      <c r="A64" s="26">
        <f ca="1">IFERROR(__xludf.DUMMYFUNCTION("""COMPUTED_VALUE"""),42811.7291666666)</f>
        <v>42811.729166666599</v>
      </c>
      <c r="B64" s="27">
        <f ca="1">IFERROR(__xludf.DUMMYFUNCTION("""COMPUTED_VALUE"""),83.8)</f>
        <v>83.8</v>
      </c>
      <c r="C64" s="27">
        <f ca="1">IFERROR(__xludf.DUMMYFUNCTION("""COMPUTED_VALUE"""),84.35)</f>
        <v>84.35</v>
      </c>
      <c r="D64" s="27">
        <f ca="1">IFERROR(__xludf.DUMMYFUNCTION("""COMPUTED_VALUE"""),82.1)</f>
        <v>82.1</v>
      </c>
      <c r="E64" s="27">
        <f ca="1">IFERROR(__xludf.DUMMYFUNCTION("""COMPUTED_VALUE"""),82.89)</f>
        <v>82.89</v>
      </c>
      <c r="F64" s="27">
        <f ca="1">IFERROR(__xludf.DUMMYFUNCTION("""COMPUTED_VALUE"""),10798698)</f>
        <v>10798698</v>
      </c>
      <c r="G64" s="28">
        <f t="shared" ca="1" si="0"/>
        <v>-7.7807038544410734E-3</v>
      </c>
    </row>
    <row r="65" spans="1:7" x14ac:dyDescent="0.2">
      <c r="A65" s="26">
        <f ca="1">IFERROR(__xludf.DUMMYFUNCTION("""COMPUTED_VALUE"""),42818.7291666666)</f>
        <v>42818.729166666599</v>
      </c>
      <c r="B65" s="27">
        <f ca="1">IFERROR(__xludf.DUMMYFUNCTION("""COMPUTED_VALUE"""),82.51)</f>
        <v>82.51</v>
      </c>
      <c r="C65" s="27">
        <f ca="1">IFERROR(__xludf.DUMMYFUNCTION("""COMPUTED_VALUE"""),84.77)</f>
        <v>84.77</v>
      </c>
      <c r="D65" s="27">
        <f ca="1">IFERROR(__xludf.DUMMYFUNCTION("""COMPUTED_VALUE"""),81.1)</f>
        <v>81.099999999999994</v>
      </c>
      <c r="E65" s="27">
        <f ca="1">IFERROR(__xludf.DUMMYFUNCTION("""COMPUTED_VALUE"""),83.68)</f>
        <v>83.68</v>
      </c>
      <c r="F65" s="27">
        <f ca="1">IFERROR(__xludf.DUMMYFUNCTION("""COMPUTED_VALUE"""),9286895)</f>
        <v>9286895</v>
      </c>
      <c r="G65" s="28">
        <f t="shared" ca="1" si="0"/>
        <v>9.5307033417784126E-3</v>
      </c>
    </row>
    <row r="66" spans="1:7" x14ac:dyDescent="0.2">
      <c r="A66" s="26">
        <f ca="1">IFERROR(__xludf.DUMMYFUNCTION("""COMPUTED_VALUE"""),42825.7291666666)</f>
        <v>42825.729166666599</v>
      </c>
      <c r="B66" s="27">
        <f ca="1">IFERROR(__xludf.DUMMYFUNCTION("""COMPUTED_VALUE"""),83.1)</f>
        <v>83.1</v>
      </c>
      <c r="C66" s="27">
        <f ca="1">IFERROR(__xludf.DUMMYFUNCTION("""COMPUTED_VALUE"""),85.9)</f>
        <v>85.9</v>
      </c>
      <c r="D66" s="27">
        <f ca="1">IFERROR(__xludf.DUMMYFUNCTION("""COMPUTED_VALUE"""),82.45)</f>
        <v>82.45</v>
      </c>
      <c r="E66" s="27">
        <f ca="1">IFERROR(__xludf.DUMMYFUNCTION("""COMPUTED_VALUE"""),85.51)</f>
        <v>85.51</v>
      </c>
      <c r="F66" s="27">
        <f ca="1">IFERROR(__xludf.DUMMYFUNCTION("""COMPUTED_VALUE"""),7904310)</f>
        <v>7904310</v>
      </c>
      <c r="G66" s="28">
        <f t="shared" ca="1" si="0"/>
        <v>2.1869024856596475E-2</v>
      </c>
    </row>
    <row r="67" spans="1:7" x14ac:dyDescent="0.2">
      <c r="A67" s="26">
        <f ca="1">IFERROR(__xludf.DUMMYFUNCTION("""COMPUTED_VALUE"""),42832.7291666666)</f>
        <v>42832.729166666599</v>
      </c>
      <c r="B67" s="27">
        <f ca="1">IFERROR(__xludf.DUMMYFUNCTION("""COMPUTED_VALUE"""),85.98)</f>
        <v>85.98</v>
      </c>
      <c r="C67" s="27">
        <f ca="1">IFERROR(__xludf.DUMMYFUNCTION("""COMPUTED_VALUE"""),86.08)</f>
        <v>86.08</v>
      </c>
      <c r="D67" s="27">
        <f ca="1">IFERROR(__xludf.DUMMYFUNCTION("""COMPUTED_VALUE"""),81.76)</f>
        <v>81.760000000000005</v>
      </c>
      <c r="E67" s="27">
        <f ca="1">IFERROR(__xludf.DUMMYFUNCTION("""COMPUTED_VALUE"""),82.79)</f>
        <v>82.79</v>
      </c>
      <c r="F67" s="27">
        <f ca="1">IFERROR(__xludf.DUMMYFUNCTION("""COMPUTED_VALUE"""),8393360)</f>
        <v>8393360</v>
      </c>
      <c r="G67" s="28">
        <f t="shared" ca="1" si="0"/>
        <v>-3.1809145129224614E-2</v>
      </c>
    </row>
    <row r="68" spans="1:7" x14ac:dyDescent="0.2">
      <c r="A68" s="26">
        <f ca="1">IFERROR(__xludf.DUMMYFUNCTION("""COMPUTED_VALUE"""),42838.7291666666)</f>
        <v>42838.729166666599</v>
      </c>
      <c r="B68" s="27">
        <f ca="1">IFERROR(__xludf.DUMMYFUNCTION("""COMPUTED_VALUE"""),83.17)</f>
        <v>83.17</v>
      </c>
      <c r="C68" s="27">
        <f ca="1">IFERROR(__xludf.DUMMYFUNCTION("""COMPUTED_VALUE"""),84.12)</f>
        <v>84.12</v>
      </c>
      <c r="D68" s="27">
        <f ca="1">IFERROR(__xludf.DUMMYFUNCTION("""COMPUTED_VALUE"""),82.01)</f>
        <v>82.01</v>
      </c>
      <c r="E68" s="27">
        <f ca="1">IFERROR(__xludf.DUMMYFUNCTION("""COMPUTED_VALUE"""),82.83)</f>
        <v>82.83</v>
      </c>
      <c r="F68" s="27">
        <f ca="1">IFERROR(__xludf.DUMMYFUNCTION("""COMPUTED_VALUE"""),5862100)</f>
        <v>5862100</v>
      </c>
      <c r="G68" s="28">
        <f t="shared" ca="1" si="0"/>
        <v>4.8315013890554148E-4</v>
      </c>
    </row>
    <row r="69" spans="1:7" x14ac:dyDescent="0.2">
      <c r="A69" s="26">
        <f ca="1">IFERROR(__xludf.DUMMYFUNCTION("""COMPUTED_VALUE"""),42846.7291666666)</f>
        <v>42846.729166666599</v>
      </c>
      <c r="B69" s="27">
        <f ca="1">IFERROR(__xludf.DUMMYFUNCTION("""COMPUTED_VALUE"""),83.41)</f>
        <v>83.41</v>
      </c>
      <c r="C69" s="27">
        <f ca="1">IFERROR(__xludf.DUMMYFUNCTION("""COMPUTED_VALUE"""),85.41)</f>
        <v>85.41</v>
      </c>
      <c r="D69" s="27">
        <f ca="1">IFERROR(__xludf.DUMMYFUNCTION("""COMPUTED_VALUE"""),81.89)</f>
        <v>81.89</v>
      </c>
      <c r="E69" s="27">
        <f ca="1">IFERROR(__xludf.DUMMYFUNCTION("""COMPUTED_VALUE"""),84.93)</f>
        <v>84.93</v>
      </c>
      <c r="F69" s="27">
        <f ca="1">IFERROR(__xludf.DUMMYFUNCTION("""COMPUTED_VALUE"""),8531741)</f>
        <v>8531741</v>
      </c>
      <c r="G69" s="28">
        <f t="shared" ca="1" si="0"/>
        <v>2.5353132922854238E-2</v>
      </c>
    </row>
    <row r="70" spans="1:7" x14ac:dyDescent="0.2">
      <c r="A70" s="26">
        <f ca="1">IFERROR(__xludf.DUMMYFUNCTION("""COMPUTED_VALUE"""),42853.7291666666)</f>
        <v>42853.729166666599</v>
      </c>
      <c r="B70" s="27">
        <f ca="1">IFERROR(__xludf.DUMMYFUNCTION("""COMPUTED_VALUE"""),86.43)</f>
        <v>86.43</v>
      </c>
      <c r="C70" s="27">
        <f ca="1">IFERROR(__xludf.DUMMYFUNCTION("""COMPUTED_VALUE"""),88.97)</f>
        <v>88.97</v>
      </c>
      <c r="D70" s="27">
        <f ca="1">IFERROR(__xludf.DUMMYFUNCTION("""COMPUTED_VALUE"""),86.25)</f>
        <v>86.25</v>
      </c>
      <c r="E70" s="27">
        <f ca="1">IFERROR(__xludf.DUMMYFUNCTION("""COMPUTED_VALUE"""),87.65)</f>
        <v>87.65</v>
      </c>
      <c r="F70" s="27">
        <f ca="1">IFERROR(__xludf.DUMMYFUNCTION("""COMPUTED_VALUE"""),10157750)</f>
        <v>10157750</v>
      </c>
      <c r="G70" s="28">
        <f t="shared" ca="1" si="0"/>
        <v>3.2026374661485946E-2</v>
      </c>
    </row>
    <row r="71" spans="1:7" x14ac:dyDescent="0.2">
      <c r="A71" s="26">
        <f ca="1">IFERROR(__xludf.DUMMYFUNCTION("""COMPUTED_VALUE"""),42860.7291666666)</f>
        <v>42860.729166666599</v>
      </c>
      <c r="B71" s="27">
        <f ca="1">IFERROR(__xludf.DUMMYFUNCTION("""COMPUTED_VALUE"""),88.59)</f>
        <v>88.59</v>
      </c>
      <c r="C71" s="27">
        <f ca="1">IFERROR(__xludf.DUMMYFUNCTION("""COMPUTED_VALUE"""),89.1)</f>
        <v>89.1</v>
      </c>
      <c r="D71" s="27">
        <f ca="1">IFERROR(__xludf.DUMMYFUNCTION("""COMPUTED_VALUE"""),86.62)</f>
        <v>86.62</v>
      </c>
      <c r="E71" s="27">
        <f ca="1">IFERROR(__xludf.DUMMYFUNCTION("""COMPUTED_VALUE"""),89.1)</f>
        <v>89.1</v>
      </c>
      <c r="F71" s="27">
        <f ca="1">IFERROR(__xludf.DUMMYFUNCTION("""COMPUTED_VALUE"""),8429571)</f>
        <v>8429571</v>
      </c>
      <c r="G71" s="28">
        <f t="shared" ca="1" si="0"/>
        <v>1.6543069024529178E-2</v>
      </c>
    </row>
    <row r="72" spans="1:7" x14ac:dyDescent="0.2">
      <c r="A72" s="26">
        <f ca="1">IFERROR(__xludf.DUMMYFUNCTION("""COMPUTED_VALUE"""),42867.7291666666)</f>
        <v>42867.729166666599</v>
      </c>
      <c r="B72" s="27">
        <f ca="1">IFERROR(__xludf.DUMMYFUNCTION("""COMPUTED_VALUE"""),89.67)</f>
        <v>89.67</v>
      </c>
      <c r="C72" s="27">
        <f ca="1">IFERROR(__xludf.DUMMYFUNCTION("""COMPUTED_VALUE"""),91.06)</f>
        <v>91.06</v>
      </c>
      <c r="D72" s="27">
        <f ca="1">IFERROR(__xludf.DUMMYFUNCTION("""COMPUTED_VALUE"""),86.87)</f>
        <v>86.87</v>
      </c>
      <c r="E72" s="27">
        <f ca="1">IFERROR(__xludf.DUMMYFUNCTION("""COMPUTED_VALUE"""),87.24)</f>
        <v>87.24</v>
      </c>
      <c r="F72" s="27">
        <f ca="1">IFERROR(__xludf.DUMMYFUNCTION("""COMPUTED_VALUE"""),11180393)</f>
        <v>11180393</v>
      </c>
      <c r="G72" s="28">
        <f t="shared" ca="1" si="0"/>
        <v>-2.0875420875420825E-2</v>
      </c>
    </row>
    <row r="73" spans="1:7" x14ac:dyDescent="0.2">
      <c r="A73" s="26">
        <f ca="1">IFERROR(__xludf.DUMMYFUNCTION("""COMPUTED_VALUE"""),42874.7291666666)</f>
        <v>42874.729166666599</v>
      </c>
      <c r="B73" s="27">
        <f ca="1">IFERROR(__xludf.DUMMYFUNCTION("""COMPUTED_VALUE"""),87.69)</f>
        <v>87.69</v>
      </c>
      <c r="C73" s="27">
        <f ca="1">IFERROR(__xludf.DUMMYFUNCTION("""COMPUTED_VALUE"""),87.9)</f>
        <v>87.9</v>
      </c>
      <c r="D73" s="27">
        <f ca="1">IFERROR(__xludf.DUMMYFUNCTION("""COMPUTED_VALUE"""),83.8)</f>
        <v>83.8</v>
      </c>
      <c r="E73" s="27">
        <f ca="1">IFERROR(__xludf.DUMMYFUNCTION("""COMPUTED_VALUE"""),86.18)</f>
        <v>86.18</v>
      </c>
      <c r="F73" s="27">
        <f ca="1">IFERROR(__xludf.DUMMYFUNCTION("""COMPUTED_VALUE"""),10348585)</f>
        <v>10348585</v>
      </c>
      <c r="G73" s="28">
        <f t="shared" ca="1" si="0"/>
        <v>-1.2150389729481792E-2</v>
      </c>
    </row>
    <row r="74" spans="1:7" x14ac:dyDescent="0.2">
      <c r="A74" s="26">
        <f ca="1">IFERROR(__xludf.DUMMYFUNCTION("""COMPUTED_VALUE"""),42881.7291666666)</f>
        <v>42881.729166666599</v>
      </c>
      <c r="B74" s="27">
        <f ca="1">IFERROR(__xludf.DUMMYFUNCTION("""COMPUTED_VALUE"""),86.59)</f>
        <v>86.59</v>
      </c>
      <c r="C74" s="27">
        <f ca="1">IFERROR(__xludf.DUMMYFUNCTION("""COMPUTED_VALUE"""),87.47)</f>
        <v>87.47</v>
      </c>
      <c r="D74" s="27">
        <f ca="1">IFERROR(__xludf.DUMMYFUNCTION("""COMPUTED_VALUE"""),83.64)</f>
        <v>83.64</v>
      </c>
      <c r="E74" s="27">
        <f ca="1">IFERROR(__xludf.DUMMYFUNCTION("""COMPUTED_VALUE"""),84.31)</f>
        <v>84.31</v>
      </c>
      <c r="F74" s="27">
        <f ca="1">IFERROR(__xludf.DUMMYFUNCTION("""COMPUTED_VALUE"""),7497179)</f>
        <v>7497179</v>
      </c>
      <c r="G74" s="28">
        <f t="shared" ca="1" si="0"/>
        <v>-2.1698770016245095E-2</v>
      </c>
    </row>
    <row r="75" spans="1:7" x14ac:dyDescent="0.2">
      <c r="A75" s="26">
        <f ca="1">IFERROR(__xludf.DUMMYFUNCTION("""COMPUTED_VALUE"""),42888.7291666666)</f>
        <v>42888.729166666599</v>
      </c>
      <c r="B75" s="27">
        <f ca="1">IFERROR(__xludf.DUMMYFUNCTION("""COMPUTED_VALUE"""),84.05)</f>
        <v>84.05</v>
      </c>
      <c r="C75" s="27">
        <f ca="1">IFERROR(__xludf.DUMMYFUNCTION("""COMPUTED_VALUE"""),87)</f>
        <v>87</v>
      </c>
      <c r="D75" s="27">
        <f ca="1">IFERROR(__xludf.DUMMYFUNCTION("""COMPUTED_VALUE"""),83.17)</f>
        <v>83.17</v>
      </c>
      <c r="E75" s="27">
        <f ca="1">IFERROR(__xludf.DUMMYFUNCTION("""COMPUTED_VALUE"""),85.93)</f>
        <v>85.93</v>
      </c>
      <c r="F75" s="27">
        <f ca="1">IFERROR(__xludf.DUMMYFUNCTION("""COMPUTED_VALUE"""),7688000)</f>
        <v>7688000</v>
      </c>
      <c r="G75" s="28">
        <f t="shared" ca="1" si="0"/>
        <v>1.9214802514529783E-2</v>
      </c>
    </row>
    <row r="76" spans="1:7" x14ac:dyDescent="0.2">
      <c r="A76" s="26">
        <f ca="1">IFERROR(__xludf.DUMMYFUNCTION("""COMPUTED_VALUE"""),42895.7291666666)</f>
        <v>42895.729166666599</v>
      </c>
      <c r="B76" s="27">
        <f ca="1">IFERROR(__xludf.DUMMYFUNCTION("""COMPUTED_VALUE"""),85.7)</f>
        <v>85.7</v>
      </c>
      <c r="C76" s="27">
        <f ca="1">IFERROR(__xludf.DUMMYFUNCTION("""COMPUTED_VALUE"""),85.96)</f>
        <v>85.96</v>
      </c>
      <c r="D76" s="27">
        <f ca="1">IFERROR(__xludf.DUMMYFUNCTION("""COMPUTED_VALUE"""),83.74)</f>
        <v>83.74</v>
      </c>
      <c r="E76" s="27">
        <f ca="1">IFERROR(__xludf.DUMMYFUNCTION("""COMPUTED_VALUE"""),84.43)</f>
        <v>84.43</v>
      </c>
      <c r="F76" s="27">
        <f ca="1">IFERROR(__xludf.DUMMYFUNCTION("""COMPUTED_VALUE"""),5624951)</f>
        <v>5624951</v>
      </c>
      <c r="G76" s="28">
        <f t="shared" ca="1" si="0"/>
        <v>-1.7456068893285215E-2</v>
      </c>
    </row>
    <row r="77" spans="1:7" x14ac:dyDescent="0.2">
      <c r="A77" s="26">
        <f ca="1">IFERROR(__xludf.DUMMYFUNCTION("""COMPUTED_VALUE"""),42902.7291666666)</f>
        <v>42902.729166666599</v>
      </c>
      <c r="B77" s="27">
        <f ca="1">IFERROR(__xludf.DUMMYFUNCTION("""COMPUTED_VALUE"""),84.25)</f>
        <v>84.25</v>
      </c>
      <c r="C77" s="27">
        <f ca="1">IFERROR(__xludf.DUMMYFUNCTION("""COMPUTED_VALUE"""),85.88)</f>
        <v>85.88</v>
      </c>
      <c r="D77" s="27">
        <f ca="1">IFERROR(__xludf.DUMMYFUNCTION("""COMPUTED_VALUE"""),82.84)</f>
        <v>82.84</v>
      </c>
      <c r="E77" s="27">
        <f ca="1">IFERROR(__xludf.DUMMYFUNCTION("""COMPUTED_VALUE"""),83.36)</f>
        <v>83.36</v>
      </c>
      <c r="F77" s="27">
        <f ca="1">IFERROR(__xludf.DUMMYFUNCTION("""COMPUTED_VALUE"""),10240073)</f>
        <v>10240073</v>
      </c>
      <c r="G77" s="28">
        <f t="shared" ca="1" si="0"/>
        <v>-1.2673220419282316E-2</v>
      </c>
    </row>
    <row r="78" spans="1:7" x14ac:dyDescent="0.2">
      <c r="A78" s="26">
        <f ca="1">IFERROR(__xludf.DUMMYFUNCTION("""COMPUTED_VALUE"""),42909.7291666666)</f>
        <v>42909.729166666599</v>
      </c>
      <c r="B78" s="27">
        <f ca="1">IFERROR(__xludf.DUMMYFUNCTION("""COMPUTED_VALUE"""),84.1)</f>
        <v>84.1</v>
      </c>
      <c r="C78" s="27">
        <f ca="1">IFERROR(__xludf.DUMMYFUNCTION("""COMPUTED_VALUE"""),84.7)</f>
        <v>84.7</v>
      </c>
      <c r="D78" s="27">
        <f ca="1">IFERROR(__xludf.DUMMYFUNCTION("""COMPUTED_VALUE"""),82.67)</f>
        <v>82.67</v>
      </c>
      <c r="E78" s="27">
        <f ca="1">IFERROR(__xludf.DUMMYFUNCTION("""COMPUTED_VALUE"""),83.6)</f>
        <v>83.6</v>
      </c>
      <c r="F78" s="27">
        <f ca="1">IFERROR(__xludf.DUMMYFUNCTION("""COMPUTED_VALUE"""),6291992)</f>
        <v>6291992</v>
      </c>
      <c r="G78" s="28">
        <f t="shared" ca="1" si="0"/>
        <v>2.8790786948176272E-3</v>
      </c>
    </row>
    <row r="79" spans="1:7" x14ac:dyDescent="0.2">
      <c r="A79" s="26">
        <f ca="1">IFERROR(__xludf.DUMMYFUNCTION("""COMPUTED_VALUE"""),42916.7291666666)</f>
        <v>42916.729166666599</v>
      </c>
      <c r="B79" s="27">
        <f ca="1">IFERROR(__xludf.DUMMYFUNCTION("""COMPUTED_VALUE"""),83.88)</f>
        <v>83.88</v>
      </c>
      <c r="C79" s="27">
        <f ca="1">IFERROR(__xludf.DUMMYFUNCTION("""COMPUTED_VALUE"""),84.46)</f>
        <v>84.46</v>
      </c>
      <c r="D79" s="27">
        <f ca="1">IFERROR(__xludf.DUMMYFUNCTION("""COMPUTED_VALUE"""),81.2)</f>
        <v>81.2</v>
      </c>
      <c r="E79" s="27">
        <f ca="1">IFERROR(__xludf.DUMMYFUNCTION("""COMPUTED_VALUE"""),81.28)</f>
        <v>81.28</v>
      </c>
      <c r="F79" s="27">
        <f ca="1">IFERROR(__xludf.DUMMYFUNCTION("""COMPUTED_VALUE"""),9011875)</f>
        <v>9011875</v>
      </c>
      <c r="G79" s="28">
        <f t="shared" ca="1" si="0"/>
        <v>-2.7751196172248749E-2</v>
      </c>
    </row>
    <row r="80" spans="1:7" x14ac:dyDescent="0.2">
      <c r="A80" s="26">
        <f ca="1">IFERROR(__xludf.DUMMYFUNCTION("""COMPUTED_VALUE"""),42923.7291666666)</f>
        <v>42923.729166666599</v>
      </c>
      <c r="B80" s="27">
        <f ca="1">IFERROR(__xludf.DUMMYFUNCTION("""COMPUTED_VALUE"""),80.51)</f>
        <v>80.510000000000005</v>
      </c>
      <c r="C80" s="27">
        <f ca="1">IFERROR(__xludf.DUMMYFUNCTION("""COMPUTED_VALUE"""),83.53)</f>
        <v>83.53</v>
      </c>
      <c r="D80" s="27">
        <f ca="1">IFERROR(__xludf.DUMMYFUNCTION("""COMPUTED_VALUE"""),80.5)</f>
        <v>80.5</v>
      </c>
      <c r="E80" s="27">
        <f ca="1">IFERROR(__xludf.DUMMYFUNCTION("""COMPUTED_VALUE"""),81.38)</f>
        <v>81.38</v>
      </c>
      <c r="F80" s="27">
        <f ca="1">IFERROR(__xludf.DUMMYFUNCTION("""COMPUTED_VALUE"""),8042099)</f>
        <v>8042099</v>
      </c>
      <c r="G80" s="28">
        <f t="shared" ca="1" si="0"/>
        <v>1.2303149606298636E-3</v>
      </c>
    </row>
    <row r="81" spans="1:7" x14ac:dyDescent="0.2">
      <c r="A81" s="26">
        <f ca="1">IFERROR(__xludf.DUMMYFUNCTION("""COMPUTED_VALUE"""),42930.7291666666)</f>
        <v>42930.729166666599</v>
      </c>
      <c r="B81" s="27">
        <f ca="1">IFERROR(__xludf.DUMMYFUNCTION("""COMPUTED_VALUE"""),81.75)</f>
        <v>81.75</v>
      </c>
      <c r="C81" s="27">
        <f ca="1">IFERROR(__xludf.DUMMYFUNCTION("""COMPUTED_VALUE"""),84.88)</f>
        <v>84.88</v>
      </c>
      <c r="D81" s="27">
        <f ca="1">IFERROR(__xludf.DUMMYFUNCTION("""COMPUTED_VALUE"""),81.18)</f>
        <v>81.180000000000007</v>
      </c>
      <c r="E81" s="27">
        <f ca="1">IFERROR(__xludf.DUMMYFUNCTION("""COMPUTED_VALUE"""),83.74)</f>
        <v>83.74</v>
      </c>
      <c r="F81" s="27">
        <f ca="1">IFERROR(__xludf.DUMMYFUNCTION("""COMPUTED_VALUE"""),8720898)</f>
        <v>8720898</v>
      </c>
      <c r="G81" s="28">
        <f t="shared" ca="1" si="0"/>
        <v>2.8999754239370956E-2</v>
      </c>
    </row>
    <row r="82" spans="1:7" x14ac:dyDescent="0.2">
      <c r="A82" s="26">
        <f ca="1">IFERROR(__xludf.DUMMYFUNCTION("""COMPUTED_VALUE"""),42937.7291666666)</f>
        <v>42937.729166666599</v>
      </c>
      <c r="B82" s="27">
        <f ca="1">IFERROR(__xludf.DUMMYFUNCTION("""COMPUTED_VALUE"""),83.86)</f>
        <v>83.86</v>
      </c>
      <c r="C82" s="27">
        <f ca="1">IFERROR(__xludf.DUMMYFUNCTION("""COMPUTED_VALUE"""),84.3)</f>
        <v>84.3</v>
      </c>
      <c r="D82" s="27">
        <f ca="1">IFERROR(__xludf.DUMMYFUNCTION("""COMPUTED_VALUE"""),80.58)</f>
        <v>80.58</v>
      </c>
      <c r="E82" s="27">
        <f ca="1">IFERROR(__xludf.DUMMYFUNCTION("""COMPUTED_VALUE"""),81.19)</f>
        <v>81.19</v>
      </c>
      <c r="F82" s="27">
        <f ca="1">IFERROR(__xludf.DUMMYFUNCTION("""COMPUTED_VALUE"""),8319475)</f>
        <v>8319475</v>
      </c>
      <c r="G82" s="28">
        <f t="shared" ca="1" si="0"/>
        <v>-3.0451397181753048E-2</v>
      </c>
    </row>
    <row r="83" spans="1:7" x14ac:dyDescent="0.2">
      <c r="A83" s="26">
        <f ca="1">IFERROR(__xludf.DUMMYFUNCTION("""COMPUTED_VALUE"""),42944.7291666666)</f>
        <v>42944.729166666599</v>
      </c>
      <c r="B83" s="27">
        <f ca="1">IFERROR(__xludf.DUMMYFUNCTION("""COMPUTED_VALUE"""),79.7)</f>
        <v>79.7</v>
      </c>
      <c r="C83" s="27">
        <f ca="1">IFERROR(__xludf.DUMMYFUNCTION("""COMPUTED_VALUE"""),80.15)</f>
        <v>80.150000000000006</v>
      </c>
      <c r="D83" s="27">
        <f ca="1">IFERROR(__xludf.DUMMYFUNCTION("""COMPUTED_VALUE"""),77.07)</f>
        <v>77.069999999999993</v>
      </c>
      <c r="E83" s="27">
        <f ca="1">IFERROR(__xludf.DUMMYFUNCTION("""COMPUTED_VALUE"""),77.85)</f>
        <v>77.849999999999994</v>
      </c>
      <c r="F83" s="27">
        <f ca="1">IFERROR(__xludf.DUMMYFUNCTION("""COMPUTED_VALUE"""),12130401)</f>
        <v>12130401</v>
      </c>
      <c r="G83" s="28">
        <f t="shared" ca="1" si="0"/>
        <v>-4.113807119103341E-2</v>
      </c>
    </row>
    <row r="84" spans="1:7" x14ac:dyDescent="0.2">
      <c r="A84" s="26">
        <f ca="1">IFERROR(__xludf.DUMMYFUNCTION("""COMPUTED_VALUE"""),42951.7291666666)</f>
        <v>42951.729166666599</v>
      </c>
      <c r="B84" s="27">
        <f ca="1">IFERROR(__xludf.DUMMYFUNCTION("""COMPUTED_VALUE"""),77.54)</f>
        <v>77.540000000000006</v>
      </c>
      <c r="C84" s="27">
        <f ca="1">IFERROR(__xludf.DUMMYFUNCTION("""COMPUTED_VALUE"""),82.43)</f>
        <v>82.43</v>
      </c>
      <c r="D84" s="27">
        <f ca="1">IFERROR(__xludf.DUMMYFUNCTION("""COMPUTED_VALUE"""),77.13)</f>
        <v>77.13</v>
      </c>
      <c r="E84" s="27">
        <f ca="1">IFERROR(__xludf.DUMMYFUNCTION("""COMPUTED_VALUE"""),81.35)</f>
        <v>81.349999999999994</v>
      </c>
      <c r="F84" s="27">
        <f ca="1">IFERROR(__xludf.DUMMYFUNCTION("""COMPUTED_VALUE"""),11461054)</f>
        <v>11461054</v>
      </c>
      <c r="G84" s="28">
        <f t="shared" ca="1" si="0"/>
        <v>4.4958253050738639E-2</v>
      </c>
    </row>
    <row r="85" spans="1:7" x14ac:dyDescent="0.2">
      <c r="A85" s="26">
        <f ca="1">IFERROR(__xludf.DUMMYFUNCTION("""COMPUTED_VALUE"""),42958.7291666666)</f>
        <v>42958.729166666599</v>
      </c>
      <c r="B85" s="27">
        <f ca="1">IFERROR(__xludf.DUMMYFUNCTION("""COMPUTED_VALUE"""),81.57)</f>
        <v>81.569999999999993</v>
      </c>
      <c r="C85" s="27">
        <f ca="1">IFERROR(__xludf.DUMMYFUNCTION("""COMPUTED_VALUE"""),81.9)</f>
        <v>81.900000000000006</v>
      </c>
      <c r="D85" s="27">
        <f ca="1">IFERROR(__xludf.DUMMYFUNCTION("""COMPUTED_VALUE"""),79.24)</f>
        <v>79.239999999999995</v>
      </c>
      <c r="E85" s="27">
        <f ca="1">IFERROR(__xludf.DUMMYFUNCTION("""COMPUTED_VALUE"""),79.95)</f>
        <v>79.95</v>
      </c>
      <c r="F85" s="27">
        <f ca="1">IFERROR(__xludf.DUMMYFUNCTION("""COMPUTED_VALUE"""),6479974)</f>
        <v>6479974</v>
      </c>
      <c r="G85" s="28">
        <f t="shared" ca="1" si="0"/>
        <v>-1.7209588199139425E-2</v>
      </c>
    </row>
    <row r="86" spans="1:7" x14ac:dyDescent="0.2">
      <c r="A86" s="26">
        <f ca="1">IFERROR(__xludf.DUMMYFUNCTION("""COMPUTED_VALUE"""),42965.7291666666)</f>
        <v>42965.729166666599</v>
      </c>
      <c r="B86" s="27">
        <f ca="1">IFERROR(__xludf.DUMMYFUNCTION("""COMPUTED_VALUE"""),80.4)</f>
        <v>80.400000000000006</v>
      </c>
      <c r="C86" s="27">
        <f ca="1">IFERROR(__xludf.DUMMYFUNCTION("""COMPUTED_VALUE"""),80.93)</f>
        <v>80.930000000000007</v>
      </c>
      <c r="D86" s="27">
        <f ca="1">IFERROR(__xludf.DUMMYFUNCTION("""COMPUTED_VALUE"""),78.76)</f>
        <v>78.760000000000005</v>
      </c>
      <c r="E86" s="27">
        <f ca="1">IFERROR(__xludf.DUMMYFUNCTION("""COMPUTED_VALUE"""),79.54)</f>
        <v>79.540000000000006</v>
      </c>
      <c r="F86" s="27">
        <f ca="1">IFERROR(__xludf.DUMMYFUNCTION("""COMPUTED_VALUE"""),5203989)</f>
        <v>5203989</v>
      </c>
      <c r="G86" s="28">
        <f t="shared" ca="1" si="0"/>
        <v>-5.12820512820511E-3</v>
      </c>
    </row>
    <row r="87" spans="1:7" x14ac:dyDescent="0.2">
      <c r="A87" s="26">
        <f ca="1">IFERROR(__xludf.DUMMYFUNCTION("""COMPUTED_VALUE"""),42972.7291666666)</f>
        <v>42972.729166666599</v>
      </c>
      <c r="B87" s="27">
        <f ca="1">IFERROR(__xludf.DUMMYFUNCTION("""COMPUTED_VALUE"""),79.45)</f>
        <v>79.45</v>
      </c>
      <c r="C87" s="27">
        <f ca="1">IFERROR(__xludf.DUMMYFUNCTION("""COMPUTED_VALUE"""),80.5)</f>
        <v>80.5</v>
      </c>
      <c r="D87" s="27">
        <f ca="1">IFERROR(__xludf.DUMMYFUNCTION("""COMPUTED_VALUE"""),78.35)</f>
        <v>78.349999999999994</v>
      </c>
      <c r="E87" s="27">
        <f ca="1">IFERROR(__xludf.DUMMYFUNCTION("""COMPUTED_VALUE"""),79.29)</f>
        <v>79.290000000000006</v>
      </c>
      <c r="F87" s="27">
        <f ca="1">IFERROR(__xludf.DUMMYFUNCTION("""COMPUTED_VALUE"""),5855377)</f>
        <v>5855377</v>
      </c>
      <c r="G87" s="28">
        <f t="shared" ca="1" si="0"/>
        <v>-3.1430726678400855E-3</v>
      </c>
    </row>
    <row r="88" spans="1:7" x14ac:dyDescent="0.2">
      <c r="A88" s="26">
        <f ca="1">IFERROR(__xludf.DUMMYFUNCTION("""COMPUTED_VALUE"""),42979.7291666666)</f>
        <v>42979.729166666599</v>
      </c>
      <c r="B88" s="27">
        <f ca="1">IFERROR(__xludf.DUMMYFUNCTION("""COMPUTED_VALUE"""),79.05)</f>
        <v>79.05</v>
      </c>
      <c r="C88" s="27">
        <f ca="1">IFERROR(__xludf.DUMMYFUNCTION("""COMPUTED_VALUE"""),79.35)</f>
        <v>79.349999999999994</v>
      </c>
      <c r="D88" s="27">
        <f ca="1">IFERROR(__xludf.DUMMYFUNCTION("""COMPUTED_VALUE"""),77.4)</f>
        <v>77.400000000000006</v>
      </c>
      <c r="E88" s="27">
        <f ca="1">IFERROR(__xludf.DUMMYFUNCTION("""COMPUTED_VALUE"""),79)</f>
        <v>79</v>
      </c>
      <c r="F88" s="27">
        <f ca="1">IFERROR(__xludf.DUMMYFUNCTION("""COMPUTED_VALUE"""),6829308)</f>
        <v>6829308</v>
      </c>
      <c r="G88" s="28">
        <f t="shared" ca="1" si="0"/>
        <v>-3.6574599571195243E-3</v>
      </c>
    </row>
    <row r="89" spans="1:7" x14ac:dyDescent="0.2">
      <c r="A89" s="26">
        <f ca="1">IFERROR(__xludf.DUMMYFUNCTION("""COMPUTED_VALUE"""),42986.7291666666)</f>
        <v>42986.729166666599</v>
      </c>
      <c r="B89" s="27">
        <f ca="1">IFERROR(__xludf.DUMMYFUNCTION("""COMPUTED_VALUE"""),78.27)</f>
        <v>78.27</v>
      </c>
      <c r="C89" s="27">
        <f ca="1">IFERROR(__xludf.DUMMYFUNCTION("""COMPUTED_VALUE"""),83.45)</f>
        <v>83.45</v>
      </c>
      <c r="D89" s="27">
        <f ca="1">IFERROR(__xludf.DUMMYFUNCTION("""COMPUTED_VALUE"""),78.23)</f>
        <v>78.23</v>
      </c>
      <c r="E89" s="27">
        <f ca="1">IFERROR(__xludf.DUMMYFUNCTION("""COMPUTED_VALUE"""),82.52)</f>
        <v>82.52</v>
      </c>
      <c r="F89" s="27">
        <f ca="1">IFERROR(__xludf.DUMMYFUNCTION("""COMPUTED_VALUE"""),9040945)</f>
        <v>9040945</v>
      </c>
      <c r="G89" s="28">
        <f t="shared" ca="1" si="0"/>
        <v>4.4556962025316338E-2</v>
      </c>
    </row>
    <row r="90" spans="1:7" x14ac:dyDescent="0.2">
      <c r="A90" s="26">
        <f ca="1">IFERROR(__xludf.DUMMYFUNCTION("""COMPUTED_VALUE"""),42993.7291666666)</f>
        <v>42993.729166666599</v>
      </c>
      <c r="B90" s="27">
        <f ca="1">IFERROR(__xludf.DUMMYFUNCTION("""COMPUTED_VALUE"""),82.98)</f>
        <v>82.98</v>
      </c>
      <c r="C90" s="27">
        <f ca="1">IFERROR(__xludf.DUMMYFUNCTION("""COMPUTED_VALUE"""),84.83)</f>
        <v>84.83</v>
      </c>
      <c r="D90" s="27">
        <f ca="1">IFERROR(__xludf.DUMMYFUNCTION("""COMPUTED_VALUE"""),82.23)</f>
        <v>82.23</v>
      </c>
      <c r="E90" s="27">
        <f ca="1">IFERROR(__xludf.DUMMYFUNCTION("""COMPUTED_VALUE"""),84.83)</f>
        <v>84.83</v>
      </c>
      <c r="F90" s="27">
        <f ca="1">IFERROR(__xludf.DUMMYFUNCTION("""COMPUTED_VALUE"""),9008486)</f>
        <v>9008486</v>
      </c>
      <c r="G90" s="28">
        <f t="shared" ca="1" si="0"/>
        <v>2.7993213766359659E-2</v>
      </c>
    </row>
    <row r="91" spans="1:7" x14ac:dyDescent="0.2">
      <c r="A91" s="26">
        <f ca="1">IFERROR(__xludf.DUMMYFUNCTION("""COMPUTED_VALUE"""),43000.7291666666)</f>
        <v>43000.729166666599</v>
      </c>
      <c r="B91" s="27">
        <f ca="1">IFERROR(__xludf.DUMMYFUNCTION("""COMPUTED_VALUE"""),85.11)</f>
        <v>85.11</v>
      </c>
      <c r="C91" s="27">
        <f ca="1">IFERROR(__xludf.DUMMYFUNCTION("""COMPUTED_VALUE"""),85.73)</f>
        <v>85.73</v>
      </c>
      <c r="D91" s="27">
        <f ca="1">IFERROR(__xludf.DUMMYFUNCTION("""COMPUTED_VALUE"""),83.92)</f>
        <v>83.92</v>
      </c>
      <c r="E91" s="27">
        <f ca="1">IFERROR(__xludf.DUMMYFUNCTION("""COMPUTED_VALUE"""),85.09)</f>
        <v>85.09</v>
      </c>
      <c r="F91" s="27">
        <f ca="1">IFERROR(__xludf.DUMMYFUNCTION("""COMPUTED_VALUE"""),5374394)</f>
        <v>5374394</v>
      </c>
      <c r="G91" s="28">
        <f t="shared" ca="1" si="0"/>
        <v>3.0649534362843234E-3</v>
      </c>
    </row>
    <row r="92" spans="1:7" x14ac:dyDescent="0.2">
      <c r="A92" s="26">
        <f ca="1">IFERROR(__xludf.DUMMYFUNCTION("""COMPUTED_VALUE"""),43007.7291666666)</f>
        <v>43007.729166666599</v>
      </c>
      <c r="B92" s="27">
        <f ca="1">IFERROR(__xludf.DUMMYFUNCTION("""COMPUTED_VALUE"""),84.92)</f>
        <v>84.92</v>
      </c>
      <c r="C92" s="27">
        <f ca="1">IFERROR(__xludf.DUMMYFUNCTION("""COMPUTED_VALUE"""),85.83)</f>
        <v>85.83</v>
      </c>
      <c r="D92" s="27">
        <f ca="1">IFERROR(__xludf.DUMMYFUNCTION("""COMPUTED_VALUE"""),83.83)</f>
        <v>83.83</v>
      </c>
      <c r="E92" s="27">
        <f ca="1">IFERROR(__xludf.DUMMYFUNCTION("""COMPUTED_VALUE"""),85.83)</f>
        <v>85.83</v>
      </c>
      <c r="F92" s="27">
        <f ca="1">IFERROR(__xludf.DUMMYFUNCTION("""COMPUTED_VALUE"""),6708491)</f>
        <v>6708491</v>
      </c>
      <c r="G92" s="28">
        <f t="shared" ca="1" si="0"/>
        <v>8.6966741097660449E-3</v>
      </c>
    </row>
    <row r="93" spans="1:7" x14ac:dyDescent="0.2">
      <c r="A93" s="26">
        <f ca="1">IFERROR(__xludf.DUMMYFUNCTION("""COMPUTED_VALUE"""),43014.7291666666)</f>
        <v>43014.729166666599</v>
      </c>
      <c r="B93" s="27">
        <f ca="1">IFERROR(__xludf.DUMMYFUNCTION("""COMPUTED_VALUE"""),86)</f>
        <v>86</v>
      </c>
      <c r="C93" s="27">
        <f ca="1">IFERROR(__xludf.DUMMYFUNCTION("""COMPUTED_VALUE"""),89.35)</f>
        <v>89.35</v>
      </c>
      <c r="D93" s="27">
        <f ca="1">IFERROR(__xludf.DUMMYFUNCTION("""COMPUTED_VALUE"""),85.75)</f>
        <v>85.75</v>
      </c>
      <c r="E93" s="27">
        <f ca="1">IFERROR(__xludf.DUMMYFUNCTION("""COMPUTED_VALUE"""),89.05)</f>
        <v>89.05</v>
      </c>
      <c r="F93" s="27">
        <f ca="1">IFERROR(__xludf.DUMMYFUNCTION("""COMPUTED_VALUE"""),6730884)</f>
        <v>6730884</v>
      </c>
      <c r="G93" s="28">
        <f t="shared" ca="1" si="0"/>
        <v>3.7516020039613185E-2</v>
      </c>
    </row>
    <row r="94" spans="1:7" x14ac:dyDescent="0.2">
      <c r="A94" s="26">
        <f ca="1">IFERROR(__xludf.DUMMYFUNCTION("""COMPUTED_VALUE"""),43021.7291666666)</f>
        <v>43021.729166666599</v>
      </c>
      <c r="B94" s="27">
        <f ca="1">IFERROR(__xludf.DUMMYFUNCTION("""COMPUTED_VALUE"""),89.3)</f>
        <v>89.3</v>
      </c>
      <c r="C94" s="27">
        <f ca="1">IFERROR(__xludf.DUMMYFUNCTION("""COMPUTED_VALUE"""),89.3)</f>
        <v>89.3</v>
      </c>
      <c r="D94" s="27">
        <f ca="1">IFERROR(__xludf.DUMMYFUNCTION("""COMPUTED_VALUE"""),86.82)</f>
        <v>86.82</v>
      </c>
      <c r="E94" s="27">
        <f ca="1">IFERROR(__xludf.DUMMYFUNCTION("""COMPUTED_VALUE"""),87.27)</f>
        <v>87.27</v>
      </c>
      <c r="F94" s="27">
        <f ca="1">IFERROR(__xludf.DUMMYFUNCTION("""COMPUTED_VALUE"""),5678393)</f>
        <v>5678393</v>
      </c>
      <c r="G94" s="28">
        <f t="shared" ca="1" si="0"/>
        <v>-1.998877035373392E-2</v>
      </c>
    </row>
    <row r="95" spans="1:7" x14ac:dyDescent="0.2">
      <c r="A95" s="26">
        <f ca="1">IFERROR(__xludf.DUMMYFUNCTION("""COMPUTED_VALUE"""),43028.7291666666)</f>
        <v>43028.729166666599</v>
      </c>
      <c r="B95" s="27">
        <f ca="1">IFERROR(__xludf.DUMMYFUNCTION("""COMPUTED_VALUE"""),87.27)</f>
        <v>87.27</v>
      </c>
      <c r="C95" s="27">
        <f ca="1">IFERROR(__xludf.DUMMYFUNCTION("""COMPUTED_VALUE"""),88.63)</f>
        <v>88.63</v>
      </c>
      <c r="D95" s="27">
        <f ca="1">IFERROR(__xludf.DUMMYFUNCTION("""COMPUTED_VALUE"""),86.08)</f>
        <v>86.08</v>
      </c>
      <c r="E95" s="27">
        <f ca="1">IFERROR(__xludf.DUMMYFUNCTION("""COMPUTED_VALUE"""),86.3)</f>
        <v>86.3</v>
      </c>
      <c r="F95" s="27">
        <f ca="1">IFERROR(__xludf.DUMMYFUNCTION("""COMPUTED_VALUE"""),7306530)</f>
        <v>7306530</v>
      </c>
      <c r="G95" s="28">
        <f t="shared" ca="1" si="0"/>
        <v>-1.1114930674916867E-2</v>
      </c>
    </row>
    <row r="96" spans="1:7" x14ac:dyDescent="0.2">
      <c r="A96" s="26">
        <f ca="1">IFERROR(__xludf.DUMMYFUNCTION("""COMPUTED_VALUE"""),43035.7291666666)</f>
        <v>43035.729166666599</v>
      </c>
      <c r="B96" s="27">
        <f ca="1">IFERROR(__xludf.DUMMYFUNCTION("""COMPUTED_VALUE"""),86.29)</f>
        <v>86.29</v>
      </c>
      <c r="C96" s="27">
        <f ca="1">IFERROR(__xludf.DUMMYFUNCTION("""COMPUTED_VALUE"""),87.9)</f>
        <v>87.9</v>
      </c>
      <c r="D96" s="27">
        <f ca="1">IFERROR(__xludf.DUMMYFUNCTION("""COMPUTED_VALUE"""),84.92)</f>
        <v>84.92</v>
      </c>
      <c r="E96" s="27">
        <f ca="1">IFERROR(__xludf.DUMMYFUNCTION("""COMPUTED_VALUE"""),87.22)</f>
        <v>87.22</v>
      </c>
      <c r="F96" s="27">
        <f ca="1">IFERROR(__xludf.DUMMYFUNCTION("""COMPUTED_VALUE"""),7599762)</f>
        <v>7599762</v>
      </c>
      <c r="G96" s="28">
        <f t="shared" ca="1" si="0"/>
        <v>1.0660486674391567E-2</v>
      </c>
    </row>
    <row r="97" spans="1:7" x14ac:dyDescent="0.2">
      <c r="A97" s="26">
        <f ca="1">IFERROR(__xludf.DUMMYFUNCTION("""COMPUTED_VALUE"""),43042.7291666666)</f>
        <v>43042.729166666599</v>
      </c>
      <c r="B97" s="27">
        <f ca="1">IFERROR(__xludf.DUMMYFUNCTION("""COMPUTED_VALUE"""),87.27)</f>
        <v>87.27</v>
      </c>
      <c r="C97" s="27">
        <f ca="1">IFERROR(__xludf.DUMMYFUNCTION("""COMPUTED_VALUE"""),90.5)</f>
        <v>90.5</v>
      </c>
      <c r="D97" s="27">
        <f ca="1">IFERROR(__xludf.DUMMYFUNCTION("""COMPUTED_VALUE"""),87.16)</f>
        <v>87.16</v>
      </c>
      <c r="E97" s="27">
        <f ca="1">IFERROR(__xludf.DUMMYFUNCTION("""COMPUTED_VALUE"""),89.57)</f>
        <v>89.57</v>
      </c>
      <c r="F97" s="27">
        <f ca="1">IFERROR(__xludf.DUMMYFUNCTION("""COMPUTED_VALUE"""),6466125)</f>
        <v>6466125</v>
      </c>
      <c r="G97" s="28">
        <f t="shared" ca="1" si="0"/>
        <v>2.6943361614308659E-2</v>
      </c>
    </row>
    <row r="98" spans="1:7" x14ac:dyDescent="0.2">
      <c r="A98" s="26">
        <f ca="1">IFERROR(__xludf.DUMMYFUNCTION("""COMPUTED_VALUE"""),43049.7291666666)</f>
        <v>43049.729166666599</v>
      </c>
      <c r="B98" s="27">
        <f ca="1">IFERROR(__xludf.DUMMYFUNCTION("""COMPUTED_VALUE"""),89.4)</f>
        <v>89.4</v>
      </c>
      <c r="C98" s="27">
        <f ca="1">IFERROR(__xludf.DUMMYFUNCTION("""COMPUTED_VALUE"""),90.68)</f>
        <v>90.68</v>
      </c>
      <c r="D98" s="27">
        <f ca="1">IFERROR(__xludf.DUMMYFUNCTION("""COMPUTED_VALUE"""),85.8)</f>
        <v>85.8</v>
      </c>
      <c r="E98" s="27">
        <f ca="1">IFERROR(__xludf.DUMMYFUNCTION("""COMPUTED_VALUE"""),86.34)</f>
        <v>86.34</v>
      </c>
      <c r="F98" s="27">
        <f ca="1">IFERROR(__xludf.DUMMYFUNCTION("""COMPUTED_VALUE"""),9617478)</f>
        <v>9617478</v>
      </c>
      <c r="G98" s="28">
        <f t="shared" ca="1" si="0"/>
        <v>-3.6061181199062098E-2</v>
      </c>
    </row>
    <row r="99" spans="1:7" x14ac:dyDescent="0.2">
      <c r="A99" s="26">
        <f ca="1">IFERROR(__xludf.DUMMYFUNCTION("""COMPUTED_VALUE"""),43056.7291666666)</f>
        <v>43056.729166666599</v>
      </c>
      <c r="B99" s="27">
        <f ca="1">IFERROR(__xludf.DUMMYFUNCTION("""COMPUTED_VALUE"""),86.45)</f>
        <v>86.45</v>
      </c>
      <c r="C99" s="27">
        <f ca="1">IFERROR(__xludf.DUMMYFUNCTION("""COMPUTED_VALUE"""),86.71)</f>
        <v>86.71</v>
      </c>
      <c r="D99" s="27">
        <f ca="1">IFERROR(__xludf.DUMMYFUNCTION("""COMPUTED_VALUE"""),84.48)</f>
        <v>84.48</v>
      </c>
      <c r="E99" s="27">
        <f ca="1">IFERROR(__xludf.DUMMYFUNCTION("""COMPUTED_VALUE"""),84.93)</f>
        <v>84.93</v>
      </c>
      <c r="F99" s="27">
        <f ca="1">IFERROR(__xludf.DUMMYFUNCTION("""COMPUTED_VALUE"""),5971985)</f>
        <v>5971985</v>
      </c>
      <c r="G99" s="28">
        <f t="shared" ca="1" si="0"/>
        <v>-1.6330785267546832E-2</v>
      </c>
    </row>
    <row r="100" spans="1:7" x14ac:dyDescent="0.2">
      <c r="A100" s="26">
        <f ca="1">IFERROR(__xludf.DUMMYFUNCTION("""COMPUTED_VALUE"""),43063.7291666666)</f>
        <v>43063.729166666599</v>
      </c>
      <c r="B100" s="27">
        <f ca="1">IFERROR(__xludf.DUMMYFUNCTION("""COMPUTED_VALUE"""),84.48)</f>
        <v>84.48</v>
      </c>
      <c r="C100" s="27">
        <f ca="1">IFERROR(__xludf.DUMMYFUNCTION("""COMPUTED_VALUE"""),87.88)</f>
        <v>87.88</v>
      </c>
      <c r="D100" s="27">
        <f ca="1">IFERROR(__xludf.DUMMYFUNCTION("""COMPUTED_VALUE"""),84.45)</f>
        <v>84.45</v>
      </c>
      <c r="E100" s="27">
        <f ca="1">IFERROR(__xludf.DUMMYFUNCTION("""COMPUTED_VALUE"""),86.38)</f>
        <v>86.38</v>
      </c>
      <c r="F100" s="27">
        <f ca="1">IFERROR(__xludf.DUMMYFUNCTION("""COMPUTED_VALUE"""),6834043)</f>
        <v>6834043</v>
      </c>
      <c r="G100" s="28">
        <f t="shared" ca="1" si="0"/>
        <v>1.7072883551159546E-2</v>
      </c>
    </row>
    <row r="101" spans="1:7" x14ac:dyDescent="0.2">
      <c r="A101" s="26">
        <f ca="1">IFERROR(__xludf.DUMMYFUNCTION("""COMPUTED_VALUE"""),43070.7291666666)</f>
        <v>43070.729166666599</v>
      </c>
      <c r="B101" s="27">
        <f ca="1">IFERROR(__xludf.DUMMYFUNCTION("""COMPUTED_VALUE"""),85.8)</f>
        <v>85.8</v>
      </c>
      <c r="C101" s="27">
        <f ca="1">IFERROR(__xludf.DUMMYFUNCTION("""COMPUTED_VALUE"""),86.24)</f>
        <v>86.24</v>
      </c>
      <c r="D101" s="27">
        <f ca="1">IFERROR(__xludf.DUMMYFUNCTION("""COMPUTED_VALUE"""),82.87)</f>
        <v>82.87</v>
      </c>
      <c r="E101" s="27">
        <f ca="1">IFERROR(__xludf.DUMMYFUNCTION("""COMPUTED_VALUE"""),83.57)</f>
        <v>83.57</v>
      </c>
      <c r="F101" s="27">
        <f ca="1">IFERROR(__xludf.DUMMYFUNCTION("""COMPUTED_VALUE"""),8486800)</f>
        <v>8486800</v>
      </c>
      <c r="G101" s="28">
        <f t="shared" ca="1" si="0"/>
        <v>-3.2530678397777346E-2</v>
      </c>
    </row>
    <row r="102" spans="1:7" x14ac:dyDescent="0.2">
      <c r="A102" s="26">
        <f ca="1">IFERROR(__xludf.DUMMYFUNCTION("""COMPUTED_VALUE"""),43077.7291666666)</f>
        <v>43077.729166666599</v>
      </c>
      <c r="B102" s="27">
        <f ca="1">IFERROR(__xludf.DUMMYFUNCTION("""COMPUTED_VALUE"""),84.7)</f>
        <v>84.7</v>
      </c>
      <c r="C102" s="27">
        <f ca="1">IFERROR(__xludf.DUMMYFUNCTION("""COMPUTED_VALUE"""),85.96)</f>
        <v>85.96</v>
      </c>
      <c r="D102" s="27">
        <f ca="1">IFERROR(__xludf.DUMMYFUNCTION("""COMPUTED_VALUE"""),83.54)</f>
        <v>83.54</v>
      </c>
      <c r="E102" s="27">
        <f ca="1">IFERROR(__xludf.DUMMYFUNCTION("""COMPUTED_VALUE"""),85.48)</f>
        <v>85.48</v>
      </c>
      <c r="F102" s="27">
        <f ca="1">IFERROR(__xludf.DUMMYFUNCTION("""COMPUTED_VALUE"""),8191070)</f>
        <v>8191070</v>
      </c>
      <c r="G102" s="28">
        <f t="shared" ca="1" si="0"/>
        <v>2.2855091540026518E-2</v>
      </c>
    </row>
    <row r="103" spans="1:7" x14ac:dyDescent="0.2">
      <c r="A103" s="26">
        <f ca="1">IFERROR(__xludf.DUMMYFUNCTION("""COMPUTED_VALUE"""),43084.7291666666)</f>
        <v>43084.729166666599</v>
      </c>
      <c r="B103" s="27">
        <f ca="1">IFERROR(__xludf.DUMMYFUNCTION("""COMPUTED_VALUE"""),85.57)</f>
        <v>85.57</v>
      </c>
      <c r="C103" s="27">
        <f ca="1">IFERROR(__xludf.DUMMYFUNCTION("""COMPUTED_VALUE"""),86.7)</f>
        <v>86.7</v>
      </c>
      <c r="D103" s="27">
        <f ca="1">IFERROR(__xludf.DUMMYFUNCTION("""COMPUTED_VALUE"""),84.06)</f>
        <v>84.06</v>
      </c>
      <c r="E103" s="27">
        <f ca="1">IFERROR(__xludf.DUMMYFUNCTION("""COMPUTED_VALUE"""),85.95)</f>
        <v>85.95</v>
      </c>
      <c r="F103" s="27">
        <f ca="1">IFERROR(__xludf.DUMMYFUNCTION("""COMPUTED_VALUE"""),7526132)</f>
        <v>7526132</v>
      </c>
      <c r="G103" s="28">
        <f t="shared" ca="1" si="0"/>
        <v>5.4983621899860058E-3</v>
      </c>
    </row>
    <row r="104" spans="1:7" x14ac:dyDescent="0.2">
      <c r="A104" s="26">
        <f ca="1">IFERROR(__xludf.DUMMYFUNCTION("""COMPUTED_VALUE"""),43091.7291666666)</f>
        <v>43091.729166666599</v>
      </c>
      <c r="B104" s="27">
        <f ca="1">IFERROR(__xludf.DUMMYFUNCTION("""COMPUTED_VALUE"""),86.52)</f>
        <v>86.52</v>
      </c>
      <c r="C104" s="27">
        <f ca="1">IFERROR(__xludf.DUMMYFUNCTION("""COMPUTED_VALUE"""),88.05)</f>
        <v>88.05</v>
      </c>
      <c r="D104" s="27">
        <f ca="1">IFERROR(__xludf.DUMMYFUNCTION("""COMPUTED_VALUE"""),86.41)</f>
        <v>86.41</v>
      </c>
      <c r="E104" s="27">
        <f ca="1">IFERROR(__xludf.DUMMYFUNCTION("""COMPUTED_VALUE"""),87.52)</f>
        <v>87.52</v>
      </c>
      <c r="F104" s="27">
        <f ca="1">IFERROR(__xludf.DUMMYFUNCTION("""COMPUTED_VALUE"""),6506657)</f>
        <v>6506657</v>
      </c>
      <c r="G104" s="28">
        <f t="shared" ca="1" si="0"/>
        <v>1.8266433973240126E-2</v>
      </c>
    </row>
    <row r="105" spans="1:7" x14ac:dyDescent="0.2">
      <c r="A105" s="26">
        <f ca="1">IFERROR(__xludf.DUMMYFUNCTION("""COMPUTED_VALUE"""),43098.7291666666)</f>
        <v>43098.729166666599</v>
      </c>
      <c r="B105" s="27">
        <f ca="1">IFERROR(__xludf.DUMMYFUNCTION("""COMPUTED_VALUE"""),87.86)</f>
        <v>87.86</v>
      </c>
      <c r="C105" s="27">
        <f ca="1">IFERROR(__xludf.DUMMYFUNCTION("""COMPUTED_VALUE"""),88.22)</f>
        <v>88.22</v>
      </c>
      <c r="D105" s="27">
        <f ca="1">IFERROR(__xludf.DUMMYFUNCTION("""COMPUTED_VALUE"""),86.75)</f>
        <v>86.75</v>
      </c>
      <c r="E105" s="27">
        <f ca="1">IFERROR(__xludf.DUMMYFUNCTION("""COMPUTED_VALUE"""),86.83)</f>
        <v>86.83</v>
      </c>
      <c r="F105" s="27">
        <f ca="1">IFERROR(__xludf.DUMMYFUNCTION("""COMPUTED_VALUE"""),2070084)</f>
        <v>2070084</v>
      </c>
      <c r="G105" s="28">
        <f t="shared" ca="1" si="0"/>
        <v>-7.8839122486288327E-3</v>
      </c>
    </row>
    <row r="106" spans="1:7" x14ac:dyDescent="0.2">
      <c r="A106" s="26">
        <f ca="1">IFERROR(__xludf.DUMMYFUNCTION("""COMPUTED_VALUE"""),43105.7291666666)</f>
        <v>43105.729166666599</v>
      </c>
      <c r="B106" s="27">
        <f ca="1">IFERROR(__xludf.DUMMYFUNCTION("""COMPUTED_VALUE"""),86.77)</f>
        <v>86.77</v>
      </c>
      <c r="C106" s="27">
        <f ca="1">IFERROR(__xludf.DUMMYFUNCTION("""COMPUTED_VALUE"""),88.74)</f>
        <v>88.74</v>
      </c>
      <c r="D106" s="27">
        <f ca="1">IFERROR(__xludf.DUMMYFUNCTION("""COMPUTED_VALUE"""),83.88)</f>
        <v>83.88</v>
      </c>
      <c r="E106" s="27">
        <f ca="1">IFERROR(__xludf.DUMMYFUNCTION("""COMPUTED_VALUE"""),88.5)</f>
        <v>88.5</v>
      </c>
      <c r="F106" s="27">
        <f ca="1">IFERROR(__xludf.DUMMYFUNCTION("""COMPUTED_VALUE"""),7853915)</f>
        <v>7853915</v>
      </c>
      <c r="G106" s="28">
        <f t="shared" ca="1" si="0"/>
        <v>1.923298399170803E-2</v>
      </c>
    </row>
    <row r="107" spans="1:7" x14ac:dyDescent="0.2">
      <c r="A107" s="26">
        <f ca="1">IFERROR(__xludf.DUMMYFUNCTION("""COMPUTED_VALUE"""),43112.7291666666)</f>
        <v>43112.729166666599</v>
      </c>
      <c r="B107" s="27">
        <f ca="1">IFERROR(__xludf.DUMMYFUNCTION("""COMPUTED_VALUE"""),89.15)</f>
        <v>89.15</v>
      </c>
      <c r="C107" s="27">
        <f ca="1">IFERROR(__xludf.DUMMYFUNCTION("""COMPUTED_VALUE"""),90.67)</f>
        <v>90.67</v>
      </c>
      <c r="D107" s="27">
        <f ca="1">IFERROR(__xludf.DUMMYFUNCTION("""COMPUTED_VALUE"""),87.94)</f>
        <v>87.94</v>
      </c>
      <c r="E107" s="27">
        <f ca="1">IFERROR(__xludf.DUMMYFUNCTION("""COMPUTED_VALUE"""),89.81)</f>
        <v>89.81</v>
      </c>
      <c r="F107" s="27">
        <f ca="1">IFERROR(__xludf.DUMMYFUNCTION("""COMPUTED_VALUE"""),9219814)</f>
        <v>9219814</v>
      </c>
      <c r="G107" s="28">
        <f t="shared" ca="1" si="0"/>
        <v>1.4802259887005675E-2</v>
      </c>
    </row>
    <row r="108" spans="1:7" x14ac:dyDescent="0.2">
      <c r="A108" s="26">
        <f ca="1">IFERROR(__xludf.DUMMYFUNCTION("""COMPUTED_VALUE"""),43119.7291666666)</f>
        <v>43119.729166666599</v>
      </c>
      <c r="B108" s="27">
        <f ca="1">IFERROR(__xludf.DUMMYFUNCTION("""COMPUTED_VALUE"""),89.98)</f>
        <v>89.98</v>
      </c>
      <c r="C108" s="27">
        <f ca="1">IFERROR(__xludf.DUMMYFUNCTION("""COMPUTED_VALUE"""),94.81)</f>
        <v>94.81</v>
      </c>
      <c r="D108" s="27">
        <f ca="1">IFERROR(__xludf.DUMMYFUNCTION("""COMPUTED_VALUE"""),88.95)</f>
        <v>88.95</v>
      </c>
      <c r="E108" s="27">
        <f ca="1">IFERROR(__xludf.DUMMYFUNCTION("""COMPUTED_VALUE"""),94.68)</f>
        <v>94.68</v>
      </c>
      <c r="F108" s="27">
        <f ca="1">IFERROR(__xludf.DUMMYFUNCTION("""COMPUTED_VALUE"""),11288929)</f>
        <v>11288929</v>
      </c>
      <c r="G108" s="28">
        <f t="shared" ca="1" si="0"/>
        <v>5.4225587351074633E-2</v>
      </c>
    </row>
    <row r="109" spans="1:7" x14ac:dyDescent="0.2">
      <c r="A109" s="26">
        <f ca="1">IFERROR(__xludf.DUMMYFUNCTION("""COMPUTED_VALUE"""),43126.7291666666)</f>
        <v>43126.729166666599</v>
      </c>
      <c r="B109" s="27">
        <f ca="1">IFERROR(__xludf.DUMMYFUNCTION("""COMPUTED_VALUE"""),94.74)</f>
        <v>94.74</v>
      </c>
      <c r="C109" s="27">
        <f ca="1">IFERROR(__xludf.DUMMYFUNCTION("""COMPUTED_VALUE"""),97.5)</f>
        <v>97.5</v>
      </c>
      <c r="D109" s="27">
        <f ca="1">IFERROR(__xludf.DUMMYFUNCTION("""COMPUTED_VALUE"""),92.27)</f>
        <v>92.27</v>
      </c>
      <c r="E109" s="27">
        <f ca="1">IFERROR(__xludf.DUMMYFUNCTION("""COMPUTED_VALUE"""),93.83)</f>
        <v>93.83</v>
      </c>
      <c r="F109" s="27">
        <f ca="1">IFERROR(__xludf.DUMMYFUNCTION("""COMPUTED_VALUE"""),10368472)</f>
        <v>10368472</v>
      </c>
      <c r="G109" s="28">
        <f t="shared" ca="1" si="0"/>
        <v>-8.9776087874947619E-3</v>
      </c>
    </row>
    <row r="110" spans="1:7" x14ac:dyDescent="0.2">
      <c r="A110" s="26">
        <f ca="1">IFERROR(__xludf.DUMMYFUNCTION("""COMPUTED_VALUE"""),43133.7291666666)</f>
        <v>43133.729166666599</v>
      </c>
      <c r="B110" s="27">
        <f ca="1">IFERROR(__xludf.DUMMYFUNCTION("""COMPUTED_VALUE"""),94)</f>
        <v>94</v>
      </c>
      <c r="C110" s="27">
        <f ca="1">IFERROR(__xludf.DUMMYFUNCTION("""COMPUTED_VALUE"""),94.32)</f>
        <v>94.32</v>
      </c>
      <c r="D110" s="27">
        <f ca="1">IFERROR(__xludf.DUMMYFUNCTION("""COMPUTED_VALUE"""),89.39)</f>
        <v>89.39</v>
      </c>
      <c r="E110" s="27">
        <f ca="1">IFERROR(__xludf.DUMMYFUNCTION("""COMPUTED_VALUE"""),90.18)</f>
        <v>90.18</v>
      </c>
      <c r="F110" s="27">
        <f ca="1">IFERROR(__xludf.DUMMYFUNCTION("""COMPUTED_VALUE"""),9705073)</f>
        <v>9705073</v>
      </c>
      <c r="G110" s="28">
        <f t="shared" ca="1" si="0"/>
        <v>-3.8900138548438545E-2</v>
      </c>
    </row>
    <row r="111" spans="1:7" x14ac:dyDescent="0.2">
      <c r="A111" s="26">
        <f ca="1">IFERROR(__xludf.DUMMYFUNCTION("""COMPUTED_VALUE"""),43140.7291666666)</f>
        <v>43140.729166666599</v>
      </c>
      <c r="B111" s="27">
        <f ca="1">IFERROR(__xludf.DUMMYFUNCTION("""COMPUTED_VALUE"""),89.15)</f>
        <v>89.15</v>
      </c>
      <c r="C111" s="27">
        <f ca="1">IFERROR(__xludf.DUMMYFUNCTION("""COMPUTED_VALUE"""),90.49)</f>
        <v>90.49</v>
      </c>
      <c r="D111" s="27">
        <f ca="1">IFERROR(__xludf.DUMMYFUNCTION("""COMPUTED_VALUE"""),85.08)</f>
        <v>85.08</v>
      </c>
      <c r="E111" s="27">
        <f ca="1">IFERROR(__xludf.DUMMYFUNCTION("""COMPUTED_VALUE"""),86.64)</f>
        <v>86.64</v>
      </c>
      <c r="F111" s="27">
        <f ca="1">IFERROR(__xludf.DUMMYFUNCTION("""COMPUTED_VALUE"""),11839443)</f>
        <v>11839443</v>
      </c>
      <c r="G111" s="28">
        <f t="shared" ca="1" si="0"/>
        <v>-3.9254823685961449E-2</v>
      </c>
    </row>
    <row r="112" spans="1:7" x14ac:dyDescent="0.2">
      <c r="A112" s="26">
        <f ca="1">IFERROR(__xludf.DUMMYFUNCTION("""COMPUTED_VALUE"""),43147.7291666666)</f>
        <v>43147.729166666599</v>
      </c>
      <c r="B112" s="27">
        <f ca="1">IFERROR(__xludf.DUMMYFUNCTION("""COMPUTED_VALUE"""),87.79)</f>
        <v>87.79</v>
      </c>
      <c r="C112" s="27">
        <f ca="1">IFERROR(__xludf.DUMMYFUNCTION("""COMPUTED_VALUE"""),88.86)</f>
        <v>88.86</v>
      </c>
      <c r="D112" s="27">
        <f ca="1">IFERROR(__xludf.DUMMYFUNCTION("""COMPUTED_VALUE"""),85.38)</f>
        <v>85.38</v>
      </c>
      <c r="E112" s="27">
        <f ca="1">IFERROR(__xludf.DUMMYFUNCTION("""COMPUTED_VALUE"""),88.12)</f>
        <v>88.12</v>
      </c>
      <c r="F112" s="27">
        <f ca="1">IFERROR(__xludf.DUMMYFUNCTION("""COMPUTED_VALUE"""),9522772)</f>
        <v>9522772</v>
      </c>
      <c r="G112" s="28">
        <f t="shared" ca="1" si="0"/>
        <v>1.7082179132040576E-2</v>
      </c>
    </row>
    <row r="113" spans="1:7" x14ac:dyDescent="0.2">
      <c r="A113" s="26">
        <f ca="1">IFERROR(__xludf.DUMMYFUNCTION("""COMPUTED_VALUE"""),43154.7291666666)</f>
        <v>43154.729166666599</v>
      </c>
      <c r="B113" s="27">
        <f ca="1">IFERROR(__xludf.DUMMYFUNCTION("""COMPUTED_VALUE"""),88.33)</f>
        <v>88.33</v>
      </c>
      <c r="C113" s="27">
        <f ca="1">IFERROR(__xludf.DUMMYFUNCTION("""COMPUTED_VALUE"""),88.46)</f>
        <v>88.46</v>
      </c>
      <c r="D113" s="27">
        <f ca="1">IFERROR(__xludf.DUMMYFUNCTION("""COMPUTED_VALUE"""),85.68)</f>
        <v>85.68</v>
      </c>
      <c r="E113" s="27">
        <f ca="1">IFERROR(__xludf.DUMMYFUNCTION("""COMPUTED_VALUE"""),87.05)</f>
        <v>87.05</v>
      </c>
      <c r="F113" s="27">
        <f ca="1">IFERROR(__xludf.DUMMYFUNCTION("""COMPUTED_VALUE"""),8635290)</f>
        <v>8635290</v>
      </c>
      <c r="G113" s="28">
        <f t="shared" ca="1" si="0"/>
        <v>-1.2142532909668713E-2</v>
      </c>
    </row>
    <row r="114" spans="1:7" x14ac:dyDescent="0.2">
      <c r="A114" s="26">
        <f ca="1">IFERROR(__xludf.DUMMYFUNCTION("""COMPUTED_VALUE"""),43161.7291666666)</f>
        <v>43161.729166666599</v>
      </c>
      <c r="B114" s="27">
        <f ca="1">IFERROR(__xludf.DUMMYFUNCTION("""COMPUTED_VALUE"""),87.82)</f>
        <v>87.82</v>
      </c>
      <c r="C114" s="27">
        <f ca="1">IFERROR(__xludf.DUMMYFUNCTION("""COMPUTED_VALUE"""),88.27)</f>
        <v>88.27</v>
      </c>
      <c r="D114" s="27">
        <f ca="1">IFERROR(__xludf.DUMMYFUNCTION("""COMPUTED_VALUE"""),83.23)</f>
        <v>83.23</v>
      </c>
      <c r="E114" s="27">
        <f ca="1">IFERROR(__xludf.DUMMYFUNCTION("""COMPUTED_VALUE"""),83.97)</f>
        <v>83.97</v>
      </c>
      <c r="F114" s="27">
        <f ca="1">IFERROR(__xludf.DUMMYFUNCTION("""COMPUTED_VALUE"""),10678892)</f>
        <v>10678892</v>
      </c>
      <c r="G114" s="28">
        <f t="shared" ca="1" si="0"/>
        <v>-3.5381964388282561E-2</v>
      </c>
    </row>
    <row r="115" spans="1:7" x14ac:dyDescent="0.2">
      <c r="A115" s="26">
        <f ca="1">IFERROR(__xludf.DUMMYFUNCTION("""COMPUTED_VALUE"""),43168.7291666666)</f>
        <v>43168.729166666599</v>
      </c>
      <c r="B115" s="27">
        <f ca="1">IFERROR(__xludf.DUMMYFUNCTION("""COMPUTED_VALUE"""),82.55)</f>
        <v>82.55</v>
      </c>
      <c r="C115" s="27">
        <f ca="1">IFERROR(__xludf.DUMMYFUNCTION("""COMPUTED_VALUE"""),85.94)</f>
        <v>85.94</v>
      </c>
      <c r="D115" s="27">
        <f ca="1">IFERROR(__xludf.DUMMYFUNCTION("""COMPUTED_VALUE"""),81.82)</f>
        <v>81.819999999999993</v>
      </c>
      <c r="E115" s="27">
        <f ca="1">IFERROR(__xludf.DUMMYFUNCTION("""COMPUTED_VALUE"""),85.13)</f>
        <v>85.13</v>
      </c>
      <c r="F115" s="27">
        <f ca="1">IFERROR(__xludf.DUMMYFUNCTION("""COMPUTED_VALUE"""),11715931)</f>
        <v>11715931</v>
      </c>
      <c r="G115" s="28">
        <f t="shared" ca="1" si="0"/>
        <v>1.3814457544361058E-2</v>
      </c>
    </row>
    <row r="116" spans="1:7" x14ac:dyDescent="0.2">
      <c r="A116" s="26">
        <f ca="1">IFERROR(__xludf.DUMMYFUNCTION("""COMPUTED_VALUE"""),43175.7291666666)</f>
        <v>43175.729166666599</v>
      </c>
      <c r="B116" s="27">
        <f ca="1">IFERROR(__xludf.DUMMYFUNCTION("""COMPUTED_VALUE"""),85.75)</f>
        <v>85.75</v>
      </c>
      <c r="C116" s="27">
        <f ca="1">IFERROR(__xludf.DUMMYFUNCTION("""COMPUTED_VALUE"""),86.2)</f>
        <v>86.2</v>
      </c>
      <c r="D116" s="27">
        <f ca="1">IFERROR(__xludf.DUMMYFUNCTION("""COMPUTED_VALUE"""),83.5)</f>
        <v>83.5</v>
      </c>
      <c r="E116" s="27">
        <f ca="1">IFERROR(__xludf.DUMMYFUNCTION("""COMPUTED_VALUE"""),85.86)</f>
        <v>85.86</v>
      </c>
      <c r="F116" s="27">
        <f ca="1">IFERROR(__xludf.DUMMYFUNCTION("""COMPUTED_VALUE"""),9918971)</f>
        <v>9918971</v>
      </c>
      <c r="G116" s="28">
        <f t="shared" ca="1" si="0"/>
        <v>8.5751204040878104E-3</v>
      </c>
    </row>
    <row r="117" spans="1:7" x14ac:dyDescent="0.2">
      <c r="A117" s="26">
        <f ca="1">IFERROR(__xludf.DUMMYFUNCTION("""COMPUTED_VALUE"""),43182.7291666666)</f>
        <v>43182.729166666599</v>
      </c>
      <c r="B117" s="27">
        <f ca="1">IFERROR(__xludf.DUMMYFUNCTION("""COMPUTED_VALUE"""),85.46)</f>
        <v>85.46</v>
      </c>
      <c r="C117" s="27">
        <f ca="1">IFERROR(__xludf.DUMMYFUNCTION("""COMPUTED_VALUE"""),87.07)</f>
        <v>87.07</v>
      </c>
      <c r="D117" s="27">
        <f ca="1">IFERROR(__xludf.DUMMYFUNCTION("""COMPUTED_VALUE"""),83.17)</f>
        <v>83.17</v>
      </c>
      <c r="E117" s="27">
        <f ca="1">IFERROR(__xludf.DUMMYFUNCTION("""COMPUTED_VALUE"""),84.18)</f>
        <v>84.18</v>
      </c>
      <c r="F117" s="27">
        <f ca="1">IFERROR(__xludf.DUMMYFUNCTION("""COMPUTED_VALUE"""),9725343)</f>
        <v>9725343</v>
      </c>
      <c r="G117" s="28">
        <f t="shared" ca="1" si="0"/>
        <v>-1.9566736547868557E-2</v>
      </c>
    </row>
    <row r="118" spans="1:7" x14ac:dyDescent="0.2">
      <c r="A118" s="26">
        <f ca="1">IFERROR(__xludf.DUMMYFUNCTION("""COMPUTED_VALUE"""),43188.7291666666)</f>
        <v>43188.729166666599</v>
      </c>
      <c r="B118" s="27">
        <f ca="1">IFERROR(__xludf.DUMMYFUNCTION("""COMPUTED_VALUE"""),84.95)</f>
        <v>84.95</v>
      </c>
      <c r="C118" s="27">
        <f ca="1">IFERROR(__xludf.DUMMYFUNCTION("""COMPUTED_VALUE"""),88.92)</f>
        <v>88.92</v>
      </c>
      <c r="D118" s="27">
        <f ca="1">IFERROR(__xludf.DUMMYFUNCTION("""COMPUTED_VALUE"""),83.88)</f>
        <v>83.88</v>
      </c>
      <c r="E118" s="27">
        <f ca="1">IFERROR(__xludf.DUMMYFUNCTION("""COMPUTED_VALUE"""),88.15)</f>
        <v>88.15</v>
      </c>
      <c r="F118" s="27">
        <f ca="1">IFERROR(__xludf.DUMMYFUNCTION("""COMPUTED_VALUE"""),10712897)</f>
        <v>10712897</v>
      </c>
      <c r="G118" s="28">
        <f t="shared" ca="1" si="0"/>
        <v>4.7160845806604845E-2</v>
      </c>
    </row>
    <row r="119" spans="1:7" x14ac:dyDescent="0.2">
      <c r="A119" s="26">
        <f ca="1">IFERROR(__xludf.DUMMYFUNCTION("""COMPUTED_VALUE"""),43196.7291666666)</f>
        <v>43196.729166666599</v>
      </c>
      <c r="B119" s="27">
        <f ca="1">IFERROR(__xludf.DUMMYFUNCTION("""COMPUTED_VALUE"""),87.95)</f>
        <v>87.95</v>
      </c>
      <c r="C119" s="27">
        <f ca="1">IFERROR(__xludf.DUMMYFUNCTION("""COMPUTED_VALUE"""),89.4)</f>
        <v>89.4</v>
      </c>
      <c r="D119" s="27">
        <f ca="1">IFERROR(__xludf.DUMMYFUNCTION("""COMPUTED_VALUE"""),86.62)</f>
        <v>86.62</v>
      </c>
      <c r="E119" s="27">
        <f ca="1">IFERROR(__xludf.DUMMYFUNCTION("""COMPUTED_VALUE"""),88.97)</f>
        <v>88.97</v>
      </c>
      <c r="F119" s="27">
        <f ca="1">IFERROR(__xludf.DUMMYFUNCTION("""COMPUTED_VALUE"""),8218044)</f>
        <v>8218044</v>
      </c>
      <c r="G119" s="28">
        <f t="shared" ca="1" si="0"/>
        <v>9.302325581395321E-3</v>
      </c>
    </row>
    <row r="120" spans="1:7" x14ac:dyDescent="0.2">
      <c r="A120" s="26">
        <f ca="1">IFERROR(__xludf.DUMMYFUNCTION("""COMPUTED_VALUE"""),43203.7291666666)</f>
        <v>43203.729166666599</v>
      </c>
      <c r="B120" s="27">
        <f ca="1">IFERROR(__xludf.DUMMYFUNCTION("""COMPUTED_VALUE"""),89.5)</f>
        <v>89.5</v>
      </c>
      <c r="C120" s="27">
        <f ca="1">IFERROR(__xludf.DUMMYFUNCTION("""COMPUTED_VALUE"""),91.45)</f>
        <v>91.45</v>
      </c>
      <c r="D120" s="27">
        <f ca="1">IFERROR(__xludf.DUMMYFUNCTION("""COMPUTED_VALUE"""),87.74)</f>
        <v>87.74</v>
      </c>
      <c r="E120" s="27">
        <f ca="1">IFERROR(__xludf.DUMMYFUNCTION("""COMPUTED_VALUE"""),91.33)</f>
        <v>91.33</v>
      </c>
      <c r="F120" s="27">
        <f ca="1">IFERROR(__xludf.DUMMYFUNCTION("""COMPUTED_VALUE"""),9665489)</f>
        <v>9665489</v>
      </c>
      <c r="G120" s="28">
        <f t="shared" ca="1" si="0"/>
        <v>2.6525795211869152E-2</v>
      </c>
    </row>
    <row r="121" spans="1:7" x14ac:dyDescent="0.2">
      <c r="A121" s="26">
        <f ca="1">IFERROR(__xludf.DUMMYFUNCTION("""COMPUTED_VALUE"""),43210.7291666666)</f>
        <v>43210.729166666599</v>
      </c>
      <c r="B121" s="27">
        <f ca="1">IFERROR(__xludf.DUMMYFUNCTION("""COMPUTED_VALUE"""),91.48)</f>
        <v>91.48</v>
      </c>
      <c r="C121" s="27">
        <f ca="1">IFERROR(__xludf.DUMMYFUNCTION("""COMPUTED_VALUE"""),91.59)</f>
        <v>91.59</v>
      </c>
      <c r="D121" s="27">
        <f ca="1">IFERROR(__xludf.DUMMYFUNCTION("""COMPUTED_VALUE"""),90.21)</f>
        <v>90.21</v>
      </c>
      <c r="E121" s="27">
        <f ca="1">IFERROR(__xludf.DUMMYFUNCTION("""COMPUTED_VALUE"""),91.02)</f>
        <v>91.02</v>
      </c>
      <c r="F121" s="27">
        <f ca="1">IFERROR(__xludf.DUMMYFUNCTION("""COMPUTED_VALUE"""),7953611)</f>
        <v>7953611</v>
      </c>
      <c r="G121" s="28">
        <f t="shared" ca="1" si="0"/>
        <v>-3.3942844629366586E-3</v>
      </c>
    </row>
    <row r="122" spans="1:7" x14ac:dyDescent="0.2">
      <c r="A122" s="26">
        <f ca="1">IFERROR(__xludf.DUMMYFUNCTION("""COMPUTED_VALUE"""),43217.7291666666)</f>
        <v>43217.729166666599</v>
      </c>
      <c r="B122" s="27">
        <f ca="1">IFERROR(__xludf.DUMMYFUNCTION("""COMPUTED_VALUE"""),90.95)</f>
        <v>90.95</v>
      </c>
      <c r="C122" s="27">
        <f ca="1">IFERROR(__xludf.DUMMYFUNCTION("""COMPUTED_VALUE"""),91.76)</f>
        <v>91.76</v>
      </c>
      <c r="D122" s="27">
        <f ca="1">IFERROR(__xludf.DUMMYFUNCTION("""COMPUTED_VALUE"""),88.48)</f>
        <v>88.48</v>
      </c>
      <c r="E122" s="27">
        <f ca="1">IFERROR(__xludf.DUMMYFUNCTION("""COMPUTED_VALUE"""),91.5)</f>
        <v>91.5</v>
      </c>
      <c r="F122" s="27">
        <f ca="1">IFERROR(__xludf.DUMMYFUNCTION("""COMPUTED_VALUE"""),7999077)</f>
        <v>7999077</v>
      </c>
      <c r="G122" s="28">
        <f t="shared" ca="1" si="0"/>
        <v>5.273566249176076E-3</v>
      </c>
    </row>
    <row r="123" spans="1:7" x14ac:dyDescent="0.2">
      <c r="A123" s="26">
        <f ca="1">IFERROR(__xludf.DUMMYFUNCTION("""COMPUTED_VALUE"""),43224.7291666666)</f>
        <v>43224.729166666599</v>
      </c>
      <c r="B123" s="27">
        <f ca="1">IFERROR(__xludf.DUMMYFUNCTION("""COMPUTED_VALUE"""),91.37)</f>
        <v>91.37</v>
      </c>
      <c r="C123" s="27">
        <f ca="1">IFERROR(__xludf.DUMMYFUNCTION("""COMPUTED_VALUE"""),93.87)</f>
        <v>93.87</v>
      </c>
      <c r="D123" s="27">
        <f ca="1">IFERROR(__xludf.DUMMYFUNCTION("""COMPUTED_VALUE"""),90.19)</f>
        <v>90.19</v>
      </c>
      <c r="E123" s="27">
        <f ca="1">IFERROR(__xludf.DUMMYFUNCTION("""COMPUTED_VALUE"""),91.56)</f>
        <v>91.56</v>
      </c>
      <c r="F123" s="27">
        <f ca="1">IFERROR(__xludf.DUMMYFUNCTION("""COMPUTED_VALUE"""),7085802)</f>
        <v>7085802</v>
      </c>
      <c r="G123" s="28">
        <f t="shared" ca="1" si="0"/>
        <v>6.5573770491811345E-4</v>
      </c>
    </row>
    <row r="124" spans="1:7" x14ac:dyDescent="0.2">
      <c r="A124" s="26">
        <f ca="1">IFERROR(__xludf.DUMMYFUNCTION("""COMPUTED_VALUE"""),43231.7291666666)</f>
        <v>43231.729166666599</v>
      </c>
      <c r="B124" s="27">
        <f ca="1">IFERROR(__xludf.DUMMYFUNCTION("""COMPUTED_VALUE"""),90.99)</f>
        <v>90.99</v>
      </c>
      <c r="C124" s="27">
        <f ca="1">IFERROR(__xludf.DUMMYFUNCTION("""COMPUTED_VALUE"""),92.57)</f>
        <v>92.57</v>
      </c>
      <c r="D124" s="27">
        <f ca="1">IFERROR(__xludf.DUMMYFUNCTION("""COMPUTED_VALUE"""),90.37)</f>
        <v>90.37</v>
      </c>
      <c r="E124" s="27">
        <f ca="1">IFERROR(__xludf.DUMMYFUNCTION("""COMPUTED_VALUE"""),92.18)</f>
        <v>92.18</v>
      </c>
      <c r="F124" s="27">
        <f ca="1">IFERROR(__xludf.DUMMYFUNCTION("""COMPUTED_VALUE"""),6804719)</f>
        <v>6804719</v>
      </c>
      <c r="G124" s="28">
        <f t="shared" ca="1" si="0"/>
        <v>6.7715159458279217E-3</v>
      </c>
    </row>
    <row r="125" spans="1:7" x14ac:dyDescent="0.2">
      <c r="A125" s="26">
        <f ca="1">IFERROR(__xludf.DUMMYFUNCTION("""COMPUTED_VALUE"""),43238.7291666666)</f>
        <v>43238.729166666599</v>
      </c>
      <c r="B125" s="27">
        <f ca="1">IFERROR(__xludf.DUMMYFUNCTION("""COMPUTED_VALUE"""),92.26)</f>
        <v>92.26</v>
      </c>
      <c r="C125" s="27">
        <f ca="1">IFERROR(__xludf.DUMMYFUNCTION("""COMPUTED_VALUE"""),93.65)</f>
        <v>93.65</v>
      </c>
      <c r="D125" s="27">
        <f ca="1">IFERROR(__xludf.DUMMYFUNCTION("""COMPUTED_VALUE"""),88.38)</f>
        <v>88.38</v>
      </c>
      <c r="E125" s="27">
        <f ca="1">IFERROR(__xludf.DUMMYFUNCTION("""COMPUTED_VALUE"""),88.57)</f>
        <v>88.57</v>
      </c>
      <c r="F125" s="27">
        <f ca="1">IFERROR(__xludf.DUMMYFUNCTION("""COMPUTED_VALUE"""),10095952)</f>
        <v>10095952</v>
      </c>
      <c r="G125" s="28">
        <f t="shared" ca="1" si="0"/>
        <v>-3.9162508136255325E-2</v>
      </c>
    </row>
    <row r="126" spans="1:7" x14ac:dyDescent="0.2">
      <c r="A126" s="26">
        <f ca="1">IFERROR(__xludf.DUMMYFUNCTION("""COMPUTED_VALUE"""),43245.7291666666)</f>
        <v>43245.729166666599</v>
      </c>
      <c r="B126" s="27">
        <f ca="1">IFERROR(__xludf.DUMMYFUNCTION("""COMPUTED_VALUE"""),89.7)</f>
        <v>89.7</v>
      </c>
      <c r="C126" s="27">
        <f ca="1">IFERROR(__xludf.DUMMYFUNCTION("""COMPUTED_VALUE"""),91.23)</f>
        <v>91.23</v>
      </c>
      <c r="D126" s="27">
        <f ca="1">IFERROR(__xludf.DUMMYFUNCTION("""COMPUTED_VALUE"""),85.85)</f>
        <v>85.85</v>
      </c>
      <c r="E126" s="27">
        <f ca="1">IFERROR(__xludf.DUMMYFUNCTION("""COMPUTED_VALUE"""),87.45)</f>
        <v>87.45</v>
      </c>
      <c r="F126" s="27">
        <f ca="1">IFERROR(__xludf.DUMMYFUNCTION("""COMPUTED_VALUE"""),10353281)</f>
        <v>10353281</v>
      </c>
      <c r="G126" s="28">
        <f t="shared" ca="1" si="0"/>
        <v>-1.2645365247826446E-2</v>
      </c>
    </row>
    <row r="127" spans="1:7" x14ac:dyDescent="0.2">
      <c r="A127" s="26">
        <f ca="1">IFERROR(__xludf.DUMMYFUNCTION("""COMPUTED_VALUE"""),43252.7291666666)</f>
        <v>43252.729166666599</v>
      </c>
      <c r="B127" s="27">
        <f ca="1">IFERROR(__xludf.DUMMYFUNCTION("""COMPUTED_VALUE"""),87.81)</f>
        <v>87.81</v>
      </c>
      <c r="C127" s="27">
        <f ca="1">IFERROR(__xludf.DUMMYFUNCTION("""COMPUTED_VALUE"""),88.25)</f>
        <v>88.25</v>
      </c>
      <c r="D127" s="27">
        <f ca="1">IFERROR(__xludf.DUMMYFUNCTION("""COMPUTED_VALUE"""),84.9)</f>
        <v>84.9</v>
      </c>
      <c r="E127" s="27">
        <f ca="1">IFERROR(__xludf.DUMMYFUNCTION("""COMPUTED_VALUE"""),85.88)</f>
        <v>85.88</v>
      </c>
      <c r="F127" s="27">
        <f ca="1">IFERROR(__xludf.DUMMYFUNCTION("""COMPUTED_VALUE"""),9023878)</f>
        <v>9023878</v>
      </c>
      <c r="G127" s="28">
        <f t="shared" ca="1" si="0"/>
        <v>-1.795311606632366E-2</v>
      </c>
    </row>
    <row r="128" spans="1:7" x14ac:dyDescent="0.2">
      <c r="A128" s="26">
        <f ca="1">IFERROR(__xludf.DUMMYFUNCTION("""COMPUTED_VALUE"""),43259.7291666666)</f>
        <v>43259.729166666599</v>
      </c>
      <c r="B128" s="27">
        <f ca="1">IFERROR(__xludf.DUMMYFUNCTION("""COMPUTED_VALUE"""),86.5)</f>
        <v>86.5</v>
      </c>
      <c r="C128" s="27">
        <f ca="1">IFERROR(__xludf.DUMMYFUNCTION("""COMPUTED_VALUE"""),87.92)</f>
        <v>87.92</v>
      </c>
      <c r="D128" s="27">
        <f ca="1">IFERROR(__xludf.DUMMYFUNCTION("""COMPUTED_VALUE"""),84.94)</f>
        <v>84.94</v>
      </c>
      <c r="E128" s="27">
        <f ca="1">IFERROR(__xludf.DUMMYFUNCTION("""COMPUTED_VALUE"""),85.64)</f>
        <v>85.64</v>
      </c>
      <c r="F128" s="27">
        <f ca="1">IFERROR(__xludf.DUMMYFUNCTION("""COMPUTED_VALUE"""),6850123)</f>
        <v>6850123</v>
      </c>
      <c r="G128" s="28">
        <f t="shared" ca="1" si="0"/>
        <v>-2.7945971122496083E-3</v>
      </c>
    </row>
    <row r="129" spans="1:7" x14ac:dyDescent="0.2">
      <c r="A129" s="26">
        <f ca="1">IFERROR(__xludf.DUMMYFUNCTION("""COMPUTED_VALUE"""),43266.7291666666)</f>
        <v>43266.729166666599</v>
      </c>
      <c r="B129" s="27">
        <f ca="1">IFERROR(__xludf.DUMMYFUNCTION("""COMPUTED_VALUE"""),85.9)</f>
        <v>85.9</v>
      </c>
      <c r="C129" s="27">
        <f ca="1">IFERROR(__xludf.DUMMYFUNCTION("""COMPUTED_VALUE"""),87.18)</f>
        <v>87.18</v>
      </c>
      <c r="D129" s="27">
        <f ca="1">IFERROR(__xludf.DUMMYFUNCTION("""COMPUTED_VALUE"""),84.02)</f>
        <v>84.02</v>
      </c>
      <c r="E129" s="27">
        <f ca="1">IFERROR(__xludf.DUMMYFUNCTION("""COMPUTED_VALUE"""),85.74)</f>
        <v>85.74</v>
      </c>
      <c r="F129" s="27">
        <f ca="1">IFERROR(__xludf.DUMMYFUNCTION("""COMPUTED_VALUE"""),10100387)</f>
        <v>10100387</v>
      </c>
      <c r="G129" s="28">
        <f t="shared" ca="1" si="0"/>
        <v>1.1676786548340257E-3</v>
      </c>
    </row>
    <row r="130" spans="1:7" x14ac:dyDescent="0.2">
      <c r="A130" s="26">
        <f ca="1">IFERROR(__xludf.DUMMYFUNCTION("""COMPUTED_VALUE"""),43273.7291666666)</f>
        <v>43273.729166666599</v>
      </c>
      <c r="B130" s="27">
        <f ca="1">IFERROR(__xludf.DUMMYFUNCTION("""COMPUTED_VALUE"""),85.33)</f>
        <v>85.33</v>
      </c>
      <c r="C130" s="27">
        <f ca="1">IFERROR(__xludf.DUMMYFUNCTION("""COMPUTED_VALUE"""),85.58)</f>
        <v>85.58</v>
      </c>
      <c r="D130" s="27">
        <f ca="1">IFERROR(__xludf.DUMMYFUNCTION("""COMPUTED_VALUE"""),79.18)</f>
        <v>79.180000000000007</v>
      </c>
      <c r="E130" s="27">
        <f ca="1">IFERROR(__xludf.DUMMYFUNCTION("""COMPUTED_VALUE"""),80.31)</f>
        <v>80.31</v>
      </c>
      <c r="F130" s="27">
        <f ca="1">IFERROR(__xludf.DUMMYFUNCTION("""COMPUTED_VALUE"""),12016978)</f>
        <v>12016978</v>
      </c>
      <c r="G130" s="28">
        <f t="shared" ca="1" si="0"/>
        <v>-6.333100069979003E-2</v>
      </c>
    </row>
    <row r="131" spans="1:7" x14ac:dyDescent="0.2">
      <c r="A131" s="26">
        <f ca="1">IFERROR(__xludf.DUMMYFUNCTION("""COMPUTED_VALUE"""),43280.7291666666)</f>
        <v>43280.729166666599</v>
      </c>
      <c r="B131" s="27">
        <f ca="1">IFERROR(__xludf.DUMMYFUNCTION("""COMPUTED_VALUE"""),79.72)</f>
        <v>79.72</v>
      </c>
      <c r="C131" s="27">
        <f ca="1">IFERROR(__xludf.DUMMYFUNCTION("""COMPUTED_VALUE"""),79.76)</f>
        <v>79.760000000000005</v>
      </c>
      <c r="D131" s="27">
        <f ca="1">IFERROR(__xludf.DUMMYFUNCTION("""COMPUTED_VALUE"""),77.03)</f>
        <v>77.03</v>
      </c>
      <c r="E131" s="27">
        <f ca="1">IFERROR(__xludf.DUMMYFUNCTION("""COMPUTED_VALUE"""),77.63)</f>
        <v>77.63</v>
      </c>
      <c r="F131" s="27">
        <f ca="1">IFERROR(__xludf.DUMMYFUNCTION("""COMPUTED_VALUE"""),11045275)</f>
        <v>11045275</v>
      </c>
      <c r="G131" s="28">
        <f t="shared" ca="1" si="0"/>
        <v>-3.3370688581745855E-2</v>
      </c>
    </row>
    <row r="132" spans="1:7" x14ac:dyDescent="0.2">
      <c r="A132" s="26">
        <f ca="1">IFERROR(__xludf.DUMMYFUNCTION("""COMPUTED_VALUE"""),43287.7291666666)</f>
        <v>43287.729166666599</v>
      </c>
      <c r="B132" s="27">
        <f ca="1">IFERROR(__xludf.DUMMYFUNCTION("""COMPUTED_VALUE"""),77.1)</f>
        <v>77.099999999999994</v>
      </c>
      <c r="C132" s="27">
        <f ca="1">IFERROR(__xludf.DUMMYFUNCTION("""COMPUTED_VALUE"""),82.33)</f>
        <v>82.33</v>
      </c>
      <c r="D132" s="27">
        <f ca="1">IFERROR(__xludf.DUMMYFUNCTION("""COMPUTED_VALUE"""),76.5)</f>
        <v>76.5</v>
      </c>
      <c r="E132" s="27">
        <f ca="1">IFERROR(__xludf.DUMMYFUNCTION("""COMPUTED_VALUE"""),80.2)</f>
        <v>80.2</v>
      </c>
      <c r="F132" s="27">
        <f ca="1">IFERROR(__xludf.DUMMYFUNCTION("""COMPUTED_VALUE"""),10929325)</f>
        <v>10929325</v>
      </c>
      <c r="G132" s="28">
        <f t="shared" ca="1" si="0"/>
        <v>3.3105758083215253E-2</v>
      </c>
    </row>
    <row r="133" spans="1:7" x14ac:dyDescent="0.2">
      <c r="A133" s="26">
        <f ca="1">IFERROR(__xludf.DUMMYFUNCTION("""COMPUTED_VALUE"""),43294.7291666666)</f>
        <v>43294.729166666599</v>
      </c>
      <c r="B133" s="27">
        <f ca="1">IFERROR(__xludf.DUMMYFUNCTION("""COMPUTED_VALUE"""),80.63)</f>
        <v>80.63</v>
      </c>
      <c r="C133" s="27">
        <f ca="1">IFERROR(__xludf.DUMMYFUNCTION("""COMPUTED_VALUE"""),80.73)</f>
        <v>80.73</v>
      </c>
      <c r="D133" s="27">
        <f ca="1">IFERROR(__xludf.DUMMYFUNCTION("""COMPUTED_VALUE"""),78.24)</f>
        <v>78.239999999999995</v>
      </c>
      <c r="E133" s="27">
        <f ca="1">IFERROR(__xludf.DUMMYFUNCTION("""COMPUTED_VALUE"""),79.62)</f>
        <v>79.62</v>
      </c>
      <c r="F133" s="27">
        <f ca="1">IFERROR(__xludf.DUMMYFUNCTION("""COMPUTED_VALUE"""),6454412)</f>
        <v>6454412</v>
      </c>
      <c r="G133" s="28">
        <f t="shared" ca="1" si="0"/>
        <v>-7.2319201995012516E-3</v>
      </c>
    </row>
    <row r="134" spans="1:7" x14ac:dyDescent="0.2">
      <c r="A134" s="26">
        <f ca="1">IFERROR(__xludf.DUMMYFUNCTION("""COMPUTED_VALUE"""),43301.7291666666)</f>
        <v>43301.729166666599</v>
      </c>
      <c r="B134" s="27">
        <f ca="1">IFERROR(__xludf.DUMMYFUNCTION("""COMPUTED_VALUE"""),79.55)</f>
        <v>79.55</v>
      </c>
      <c r="C134" s="27">
        <f ca="1">IFERROR(__xludf.DUMMYFUNCTION("""COMPUTED_VALUE"""),81.35)</f>
        <v>81.349999999999994</v>
      </c>
      <c r="D134" s="27">
        <f ca="1">IFERROR(__xludf.DUMMYFUNCTION("""COMPUTED_VALUE"""),78.17)</f>
        <v>78.17</v>
      </c>
      <c r="E134" s="27">
        <f ca="1">IFERROR(__xludf.DUMMYFUNCTION("""COMPUTED_VALUE"""),79.28)</f>
        <v>79.28</v>
      </c>
      <c r="F134" s="27">
        <f ca="1">IFERROR(__xludf.DUMMYFUNCTION("""COMPUTED_VALUE"""),7698230)</f>
        <v>7698230</v>
      </c>
      <c r="G134" s="28">
        <f t="shared" ca="1" si="0"/>
        <v>-4.2702838482793215E-3</v>
      </c>
    </row>
    <row r="135" spans="1:7" x14ac:dyDescent="0.2">
      <c r="A135" s="26">
        <f ca="1">IFERROR(__xludf.DUMMYFUNCTION("""COMPUTED_VALUE"""),43308.7291666666)</f>
        <v>43308.729166666599</v>
      </c>
      <c r="B135" s="27">
        <f ca="1">IFERROR(__xludf.DUMMYFUNCTION("""COMPUTED_VALUE"""),79)</f>
        <v>79</v>
      </c>
      <c r="C135" s="27">
        <f ca="1">IFERROR(__xludf.DUMMYFUNCTION("""COMPUTED_VALUE"""),84.48)</f>
        <v>84.48</v>
      </c>
      <c r="D135" s="27">
        <f ca="1">IFERROR(__xludf.DUMMYFUNCTION("""COMPUTED_VALUE"""),78.5)</f>
        <v>78.5</v>
      </c>
      <c r="E135" s="27">
        <f ca="1">IFERROR(__xludf.DUMMYFUNCTION("""COMPUTED_VALUE"""),82.91)</f>
        <v>82.91</v>
      </c>
      <c r="F135" s="27">
        <f ca="1">IFERROR(__xludf.DUMMYFUNCTION("""COMPUTED_VALUE"""),11837177)</f>
        <v>11837177</v>
      </c>
      <c r="G135" s="28">
        <f t="shared" ca="1" si="0"/>
        <v>4.578708375378393E-2</v>
      </c>
    </row>
    <row r="136" spans="1:7" x14ac:dyDescent="0.2">
      <c r="A136" s="26">
        <f ca="1">IFERROR(__xludf.DUMMYFUNCTION("""COMPUTED_VALUE"""),43315.7291666666)</f>
        <v>43315.729166666599</v>
      </c>
      <c r="B136" s="27">
        <f ca="1">IFERROR(__xludf.DUMMYFUNCTION("""COMPUTED_VALUE"""),82.32)</f>
        <v>82.32</v>
      </c>
      <c r="C136" s="27">
        <f ca="1">IFERROR(__xludf.DUMMYFUNCTION("""COMPUTED_VALUE"""),83.74)</f>
        <v>83.74</v>
      </c>
      <c r="D136" s="27">
        <f ca="1">IFERROR(__xludf.DUMMYFUNCTION("""COMPUTED_VALUE"""),79.22)</f>
        <v>79.22</v>
      </c>
      <c r="E136" s="27">
        <f ca="1">IFERROR(__xludf.DUMMYFUNCTION("""COMPUTED_VALUE"""),82.34)</f>
        <v>82.34</v>
      </c>
      <c r="F136" s="27">
        <f ca="1">IFERROR(__xludf.DUMMYFUNCTION("""COMPUTED_VALUE"""),10425855)</f>
        <v>10425855</v>
      </c>
      <c r="G136" s="28">
        <f t="shared" ca="1" si="0"/>
        <v>-6.8749246170545231E-3</v>
      </c>
    </row>
    <row r="137" spans="1:7" x14ac:dyDescent="0.2">
      <c r="A137" s="26">
        <f ca="1">IFERROR(__xludf.DUMMYFUNCTION("""COMPUTED_VALUE"""),43322.7291666666)</f>
        <v>43322.729166666599</v>
      </c>
      <c r="B137" s="27">
        <f ca="1">IFERROR(__xludf.DUMMYFUNCTION("""COMPUTED_VALUE"""),82.98)</f>
        <v>82.98</v>
      </c>
      <c r="C137" s="27">
        <f ca="1">IFERROR(__xludf.DUMMYFUNCTION("""COMPUTED_VALUE"""),85.42)</f>
        <v>85.42</v>
      </c>
      <c r="D137" s="27">
        <f ca="1">IFERROR(__xludf.DUMMYFUNCTION("""COMPUTED_VALUE"""),82.76)</f>
        <v>82.76</v>
      </c>
      <c r="E137" s="27">
        <f ca="1">IFERROR(__xludf.DUMMYFUNCTION("""COMPUTED_VALUE"""),83.58)</f>
        <v>83.58</v>
      </c>
      <c r="F137" s="27">
        <f ca="1">IFERROR(__xludf.DUMMYFUNCTION("""COMPUTED_VALUE"""),8023985)</f>
        <v>8023985</v>
      </c>
      <c r="G137" s="28">
        <f t="shared" ca="1" si="0"/>
        <v>1.505950935146938E-2</v>
      </c>
    </row>
    <row r="138" spans="1:7" x14ac:dyDescent="0.2">
      <c r="A138" s="26">
        <f ca="1">IFERROR(__xludf.DUMMYFUNCTION("""COMPUTED_VALUE"""),43329.7291666666)</f>
        <v>43329.729166666599</v>
      </c>
      <c r="B138" s="27">
        <f ca="1">IFERROR(__xludf.DUMMYFUNCTION("""COMPUTED_VALUE"""),83.8)</f>
        <v>83.8</v>
      </c>
      <c r="C138" s="27">
        <f ca="1">IFERROR(__xludf.DUMMYFUNCTION("""COMPUTED_VALUE"""),84.02)</f>
        <v>84.02</v>
      </c>
      <c r="D138" s="27">
        <f ca="1">IFERROR(__xludf.DUMMYFUNCTION("""COMPUTED_VALUE"""),80.46)</f>
        <v>80.459999999999994</v>
      </c>
      <c r="E138" s="27">
        <f ca="1">IFERROR(__xludf.DUMMYFUNCTION("""COMPUTED_VALUE"""),81.41)</f>
        <v>81.41</v>
      </c>
      <c r="F138" s="27">
        <f ca="1">IFERROR(__xludf.DUMMYFUNCTION("""COMPUTED_VALUE"""),7124849)</f>
        <v>7124849</v>
      </c>
      <c r="G138" s="28">
        <f t="shared" ca="1" si="0"/>
        <v>-2.5963149078726988E-2</v>
      </c>
    </row>
    <row r="139" spans="1:7" x14ac:dyDescent="0.2">
      <c r="A139" s="26">
        <f ca="1">IFERROR(__xludf.DUMMYFUNCTION("""COMPUTED_VALUE"""),43336.7291666666)</f>
        <v>43336.729166666599</v>
      </c>
      <c r="B139" s="27">
        <f ca="1">IFERROR(__xludf.DUMMYFUNCTION("""COMPUTED_VALUE"""),81.71)</f>
        <v>81.709999999999994</v>
      </c>
      <c r="C139" s="27">
        <f ca="1">IFERROR(__xludf.DUMMYFUNCTION("""COMPUTED_VALUE"""),83.66)</f>
        <v>83.66</v>
      </c>
      <c r="D139" s="27">
        <f ca="1">IFERROR(__xludf.DUMMYFUNCTION("""COMPUTED_VALUE"""),80.76)</f>
        <v>80.760000000000005</v>
      </c>
      <c r="E139" s="27">
        <f ca="1">IFERROR(__xludf.DUMMYFUNCTION("""COMPUTED_VALUE"""),81.29)</f>
        <v>81.290000000000006</v>
      </c>
      <c r="F139" s="27">
        <f ca="1">IFERROR(__xludf.DUMMYFUNCTION("""COMPUTED_VALUE"""),7738969)</f>
        <v>7738969</v>
      </c>
      <c r="G139" s="28">
        <f t="shared" ca="1" si="0"/>
        <v>-1.4740203906152827E-3</v>
      </c>
    </row>
    <row r="140" spans="1:7" x14ac:dyDescent="0.2">
      <c r="A140" s="26">
        <f ca="1">IFERROR(__xludf.DUMMYFUNCTION("""COMPUTED_VALUE"""),43343.7291666666)</f>
        <v>43343.729166666599</v>
      </c>
      <c r="B140" s="27">
        <f ca="1">IFERROR(__xludf.DUMMYFUNCTION("""COMPUTED_VALUE"""),82.1)</f>
        <v>82.1</v>
      </c>
      <c r="C140" s="27">
        <f ca="1">IFERROR(__xludf.DUMMYFUNCTION("""COMPUTED_VALUE"""),85.75)</f>
        <v>85.75</v>
      </c>
      <c r="D140" s="27">
        <f ca="1">IFERROR(__xludf.DUMMYFUNCTION("""COMPUTED_VALUE"""),82)</f>
        <v>82</v>
      </c>
      <c r="E140" s="27">
        <f ca="1">IFERROR(__xludf.DUMMYFUNCTION("""COMPUTED_VALUE"""),83.41)</f>
        <v>83.41</v>
      </c>
      <c r="F140" s="27">
        <f ca="1">IFERROR(__xludf.DUMMYFUNCTION("""COMPUTED_VALUE"""),8501661)</f>
        <v>8501661</v>
      </c>
      <c r="G140" s="28">
        <f t="shared" ca="1" si="0"/>
        <v>2.6079468569319531E-2</v>
      </c>
    </row>
    <row r="141" spans="1:7" x14ac:dyDescent="0.2">
      <c r="A141" s="26">
        <f ca="1">IFERROR(__xludf.DUMMYFUNCTION("""COMPUTED_VALUE"""),43350.7291666666)</f>
        <v>43350.729166666599</v>
      </c>
      <c r="B141" s="27">
        <f ca="1">IFERROR(__xludf.DUMMYFUNCTION("""COMPUTED_VALUE"""),82.95)</f>
        <v>82.95</v>
      </c>
      <c r="C141" s="27">
        <f ca="1">IFERROR(__xludf.DUMMYFUNCTION("""COMPUTED_VALUE"""),83.05)</f>
        <v>83.05</v>
      </c>
      <c r="D141" s="27">
        <f ca="1">IFERROR(__xludf.DUMMYFUNCTION("""COMPUTED_VALUE"""),80.43)</f>
        <v>80.430000000000007</v>
      </c>
      <c r="E141" s="27">
        <f ca="1">IFERROR(__xludf.DUMMYFUNCTION("""COMPUTED_VALUE"""),81.07)</f>
        <v>81.069999999999993</v>
      </c>
      <c r="F141" s="27">
        <f ca="1">IFERROR(__xludf.DUMMYFUNCTION("""COMPUTED_VALUE"""),7230162)</f>
        <v>7230162</v>
      </c>
      <c r="G141" s="28">
        <f t="shared" ca="1" si="0"/>
        <v>-2.8054190145066604E-2</v>
      </c>
    </row>
    <row r="142" spans="1:7" x14ac:dyDescent="0.2">
      <c r="A142" s="26">
        <f ca="1">IFERROR(__xludf.DUMMYFUNCTION("""COMPUTED_VALUE"""),43357.7291666666)</f>
        <v>43357.729166666599</v>
      </c>
      <c r="B142" s="27">
        <f ca="1">IFERROR(__xludf.DUMMYFUNCTION("""COMPUTED_VALUE"""),81)</f>
        <v>81</v>
      </c>
      <c r="C142" s="27">
        <f ca="1">IFERROR(__xludf.DUMMYFUNCTION("""COMPUTED_VALUE"""),83.35)</f>
        <v>83.35</v>
      </c>
      <c r="D142" s="27">
        <f ca="1">IFERROR(__xludf.DUMMYFUNCTION("""COMPUTED_VALUE"""),80.18)</f>
        <v>80.180000000000007</v>
      </c>
      <c r="E142" s="27">
        <f ca="1">IFERROR(__xludf.DUMMYFUNCTION("""COMPUTED_VALUE"""),82.93)</f>
        <v>82.93</v>
      </c>
      <c r="F142" s="27">
        <f ca="1">IFERROR(__xludf.DUMMYFUNCTION("""COMPUTED_VALUE"""),6719116)</f>
        <v>6719116</v>
      </c>
      <c r="G142" s="28">
        <f t="shared" ca="1" si="0"/>
        <v>2.2943135561860339E-2</v>
      </c>
    </row>
    <row r="143" spans="1:7" x14ac:dyDescent="0.2">
      <c r="A143" s="26">
        <f ca="1">IFERROR(__xludf.DUMMYFUNCTION("""COMPUTED_VALUE"""),43364.7291666666)</f>
        <v>43364.729166666599</v>
      </c>
      <c r="B143" s="27">
        <f ca="1">IFERROR(__xludf.DUMMYFUNCTION("""COMPUTED_VALUE"""),82.29)</f>
        <v>82.29</v>
      </c>
      <c r="C143" s="27">
        <f ca="1">IFERROR(__xludf.DUMMYFUNCTION("""COMPUTED_VALUE"""),86.74)</f>
        <v>86.74</v>
      </c>
      <c r="D143" s="27">
        <f ca="1">IFERROR(__xludf.DUMMYFUNCTION("""COMPUTED_VALUE"""),81.52)</f>
        <v>81.52</v>
      </c>
      <c r="E143" s="27">
        <f ca="1">IFERROR(__xludf.DUMMYFUNCTION("""COMPUTED_VALUE"""),85.77)</f>
        <v>85.77</v>
      </c>
      <c r="F143" s="27">
        <f ca="1">IFERROR(__xludf.DUMMYFUNCTION("""COMPUTED_VALUE"""),11990102)</f>
        <v>11990102</v>
      </c>
      <c r="G143" s="28">
        <f t="shared" ca="1" si="0"/>
        <v>3.424574942722769E-2</v>
      </c>
    </row>
    <row r="144" spans="1:7" x14ac:dyDescent="0.2">
      <c r="A144" s="26">
        <f ca="1">IFERROR(__xludf.DUMMYFUNCTION("""COMPUTED_VALUE"""),43371.7291666666)</f>
        <v>43371.729166666599</v>
      </c>
      <c r="B144" s="27">
        <f ca="1">IFERROR(__xludf.DUMMYFUNCTION("""COMPUTED_VALUE"""),85.34)</f>
        <v>85.34</v>
      </c>
      <c r="C144" s="27">
        <f ca="1">IFERROR(__xludf.DUMMYFUNCTION("""COMPUTED_VALUE"""),85.4)</f>
        <v>85.4</v>
      </c>
      <c r="D144" s="27">
        <f ca="1">IFERROR(__xludf.DUMMYFUNCTION("""COMPUTED_VALUE"""),76.67)</f>
        <v>76.67</v>
      </c>
      <c r="E144" s="27">
        <f ca="1">IFERROR(__xludf.DUMMYFUNCTION("""COMPUTED_VALUE"""),77.71)</f>
        <v>77.709999999999994</v>
      </c>
      <c r="F144" s="27">
        <f ca="1">IFERROR(__xludf.DUMMYFUNCTION("""COMPUTED_VALUE"""),17010022)</f>
        <v>17010022</v>
      </c>
      <c r="G144" s="28">
        <f t="shared" ca="1" si="0"/>
        <v>-9.3972251369942916E-2</v>
      </c>
    </row>
    <row r="145" spans="1:7" x14ac:dyDescent="0.2">
      <c r="A145" s="26">
        <f ca="1">IFERROR(__xludf.DUMMYFUNCTION("""COMPUTED_VALUE"""),43378.7291666666)</f>
        <v>43378.729166666599</v>
      </c>
      <c r="B145" s="27">
        <f ca="1">IFERROR(__xludf.DUMMYFUNCTION("""COMPUTED_VALUE"""),77.94)</f>
        <v>77.94</v>
      </c>
      <c r="C145" s="27">
        <f ca="1">IFERROR(__xludf.DUMMYFUNCTION("""COMPUTED_VALUE"""),79.44)</f>
        <v>79.44</v>
      </c>
      <c r="D145" s="27">
        <f ca="1">IFERROR(__xludf.DUMMYFUNCTION("""COMPUTED_VALUE"""),77.24)</f>
        <v>77.239999999999995</v>
      </c>
      <c r="E145" s="27">
        <f ca="1">IFERROR(__xludf.DUMMYFUNCTION("""COMPUTED_VALUE"""),77.68)</f>
        <v>77.680000000000007</v>
      </c>
      <c r="F145" s="27">
        <f ca="1">IFERROR(__xludf.DUMMYFUNCTION("""COMPUTED_VALUE"""),6933672)</f>
        <v>6933672</v>
      </c>
      <c r="G145" s="28">
        <f t="shared" ca="1" si="0"/>
        <v>-3.8605070132524677E-4</v>
      </c>
    </row>
    <row r="146" spans="1:7" x14ac:dyDescent="0.2">
      <c r="A146" s="26">
        <f ca="1">IFERROR(__xludf.DUMMYFUNCTION("""COMPUTED_VALUE"""),43385.7291666666)</f>
        <v>43385.729166666599</v>
      </c>
      <c r="B146" s="27">
        <f ca="1">IFERROR(__xludf.DUMMYFUNCTION("""COMPUTED_VALUE"""),77.3)</f>
        <v>77.3</v>
      </c>
      <c r="C146" s="27">
        <f ca="1">IFERROR(__xludf.DUMMYFUNCTION("""COMPUTED_VALUE"""),77.56)</f>
        <v>77.56</v>
      </c>
      <c r="D146" s="27">
        <f ca="1">IFERROR(__xludf.DUMMYFUNCTION("""COMPUTED_VALUE"""),73.45)</f>
        <v>73.45</v>
      </c>
      <c r="E146" s="27">
        <f ca="1">IFERROR(__xludf.DUMMYFUNCTION("""COMPUTED_VALUE"""),74.49)</f>
        <v>74.489999999999995</v>
      </c>
      <c r="F146" s="27">
        <f ca="1">IFERROR(__xludf.DUMMYFUNCTION("""COMPUTED_VALUE"""),10094625)</f>
        <v>10094625</v>
      </c>
      <c r="G146" s="28">
        <f t="shared" ca="1" si="0"/>
        <v>-4.1065911431514057E-2</v>
      </c>
    </row>
    <row r="147" spans="1:7" x14ac:dyDescent="0.2">
      <c r="A147" s="26">
        <f ca="1">IFERROR(__xludf.DUMMYFUNCTION("""COMPUTED_VALUE"""),43392.7291666666)</f>
        <v>43392.729166666599</v>
      </c>
      <c r="B147" s="27">
        <f ca="1">IFERROR(__xludf.DUMMYFUNCTION("""COMPUTED_VALUE"""),74.85)</f>
        <v>74.849999999999994</v>
      </c>
      <c r="C147" s="27">
        <f ca="1">IFERROR(__xludf.DUMMYFUNCTION("""COMPUTED_VALUE"""),76.4)</f>
        <v>76.400000000000006</v>
      </c>
      <c r="D147" s="27">
        <f ca="1">IFERROR(__xludf.DUMMYFUNCTION("""COMPUTED_VALUE"""),73.08)</f>
        <v>73.08</v>
      </c>
      <c r="E147" s="27">
        <f ca="1">IFERROR(__xludf.DUMMYFUNCTION("""COMPUTED_VALUE"""),74.64)</f>
        <v>74.64</v>
      </c>
      <c r="F147" s="27">
        <f ca="1">IFERROR(__xludf.DUMMYFUNCTION("""COMPUTED_VALUE"""),9458453)</f>
        <v>9458453</v>
      </c>
      <c r="G147" s="28">
        <f t="shared" ca="1" si="0"/>
        <v>2.0136931131695679E-3</v>
      </c>
    </row>
    <row r="148" spans="1:7" x14ac:dyDescent="0.2">
      <c r="A148" s="26">
        <f ca="1">IFERROR(__xludf.DUMMYFUNCTION("""COMPUTED_VALUE"""),43399.7291666666)</f>
        <v>43399.729166666599</v>
      </c>
      <c r="B148" s="27">
        <f ca="1">IFERROR(__xludf.DUMMYFUNCTION("""COMPUTED_VALUE"""),75.27)</f>
        <v>75.27</v>
      </c>
      <c r="C148" s="27">
        <f ca="1">IFERROR(__xludf.DUMMYFUNCTION("""COMPUTED_VALUE"""),76.02)</f>
        <v>76.02</v>
      </c>
      <c r="D148" s="27">
        <f ca="1">IFERROR(__xludf.DUMMYFUNCTION("""COMPUTED_VALUE"""),71.79)</f>
        <v>71.790000000000006</v>
      </c>
      <c r="E148" s="27">
        <f ca="1">IFERROR(__xludf.DUMMYFUNCTION("""COMPUTED_VALUE"""),75.02)</f>
        <v>75.02</v>
      </c>
      <c r="F148" s="27">
        <f ca="1">IFERROR(__xludf.DUMMYFUNCTION("""COMPUTED_VALUE"""),11732259)</f>
        <v>11732259</v>
      </c>
      <c r="G148" s="28">
        <f t="shared" ca="1" si="0"/>
        <v>5.0911039657020041E-3</v>
      </c>
    </row>
    <row r="149" spans="1:7" x14ac:dyDescent="0.2">
      <c r="A149" s="26">
        <f ca="1">IFERROR(__xludf.DUMMYFUNCTION("""COMPUTED_VALUE"""),43406.7291666666)</f>
        <v>43406.729166666599</v>
      </c>
      <c r="B149" s="27">
        <f ca="1">IFERROR(__xludf.DUMMYFUNCTION("""COMPUTED_VALUE"""),75.48)</f>
        <v>75.48</v>
      </c>
      <c r="C149" s="27">
        <f ca="1">IFERROR(__xludf.DUMMYFUNCTION("""COMPUTED_VALUE"""),79.38)</f>
        <v>79.38</v>
      </c>
      <c r="D149" s="27">
        <f ca="1">IFERROR(__xludf.DUMMYFUNCTION("""COMPUTED_VALUE"""),75.33)</f>
        <v>75.33</v>
      </c>
      <c r="E149" s="27">
        <f ca="1">IFERROR(__xludf.DUMMYFUNCTION("""COMPUTED_VALUE"""),77.74)</f>
        <v>77.739999999999995</v>
      </c>
      <c r="F149" s="27">
        <f ca="1">IFERROR(__xludf.DUMMYFUNCTION("""COMPUTED_VALUE"""),11870701)</f>
        <v>11870701</v>
      </c>
      <c r="G149" s="28">
        <f t="shared" ca="1" si="0"/>
        <v>3.6256998133830987E-2</v>
      </c>
    </row>
    <row r="150" spans="1:7" x14ac:dyDescent="0.2">
      <c r="A150" s="26">
        <f ca="1">IFERROR(__xludf.DUMMYFUNCTION("""COMPUTED_VALUE"""),43413.7291666666)</f>
        <v>43413.729166666599</v>
      </c>
      <c r="B150" s="27">
        <f ca="1">IFERROR(__xludf.DUMMYFUNCTION("""COMPUTED_VALUE"""),77.6)</f>
        <v>77.599999999999994</v>
      </c>
      <c r="C150" s="27">
        <f ca="1">IFERROR(__xludf.DUMMYFUNCTION("""COMPUTED_VALUE"""),78.12)</f>
        <v>78.12</v>
      </c>
      <c r="D150" s="27">
        <f ca="1">IFERROR(__xludf.DUMMYFUNCTION("""COMPUTED_VALUE"""),72.32)</f>
        <v>72.319999999999993</v>
      </c>
      <c r="E150" s="27">
        <f ca="1">IFERROR(__xludf.DUMMYFUNCTION("""COMPUTED_VALUE"""),73.36)</f>
        <v>73.36</v>
      </c>
      <c r="F150" s="27">
        <f ca="1">IFERROR(__xludf.DUMMYFUNCTION("""COMPUTED_VALUE"""),11203252)</f>
        <v>11203252</v>
      </c>
      <c r="G150" s="28">
        <f t="shared" ca="1" si="0"/>
        <v>-5.6341651659377323E-2</v>
      </c>
    </row>
    <row r="151" spans="1:7" x14ac:dyDescent="0.2">
      <c r="A151" s="26">
        <f ca="1">IFERROR(__xludf.DUMMYFUNCTION("""COMPUTED_VALUE"""),43420.7291666666)</f>
        <v>43420.729166666599</v>
      </c>
      <c r="B151" s="27">
        <f ca="1">IFERROR(__xludf.DUMMYFUNCTION("""COMPUTED_VALUE"""),73.81)</f>
        <v>73.81</v>
      </c>
      <c r="C151" s="27">
        <f ca="1">IFERROR(__xludf.DUMMYFUNCTION("""COMPUTED_VALUE"""),76.37)</f>
        <v>76.37</v>
      </c>
      <c r="D151" s="27">
        <f ca="1">IFERROR(__xludf.DUMMYFUNCTION("""COMPUTED_VALUE"""),72.2)</f>
        <v>72.2</v>
      </c>
      <c r="E151" s="27">
        <f ca="1">IFERROR(__xludf.DUMMYFUNCTION("""COMPUTED_VALUE"""),73.74)</f>
        <v>73.739999999999995</v>
      </c>
      <c r="F151" s="27">
        <f ca="1">IFERROR(__xludf.DUMMYFUNCTION("""COMPUTED_VALUE"""),10938266)</f>
        <v>10938266</v>
      </c>
      <c r="G151" s="28">
        <f t="shared" ca="1" si="0"/>
        <v>5.1799345692475907E-3</v>
      </c>
    </row>
    <row r="152" spans="1:7" x14ac:dyDescent="0.2">
      <c r="A152" s="26">
        <f ca="1">IFERROR(__xludf.DUMMYFUNCTION("""COMPUTED_VALUE"""),43427.7291666666)</f>
        <v>43427.729166666599</v>
      </c>
      <c r="B152" s="27">
        <f ca="1">IFERROR(__xludf.DUMMYFUNCTION("""COMPUTED_VALUE"""),74.02)</f>
        <v>74.02</v>
      </c>
      <c r="C152" s="27">
        <f ca="1">IFERROR(__xludf.DUMMYFUNCTION("""COMPUTED_VALUE"""),74.83)</f>
        <v>74.83</v>
      </c>
      <c r="D152" s="27">
        <f ca="1">IFERROR(__xludf.DUMMYFUNCTION("""COMPUTED_VALUE"""),73.07)</f>
        <v>73.069999999999993</v>
      </c>
      <c r="E152" s="27">
        <f ca="1">IFERROR(__xludf.DUMMYFUNCTION("""COMPUTED_VALUE"""),73.49)</f>
        <v>73.489999999999995</v>
      </c>
      <c r="F152" s="27">
        <f ca="1">IFERROR(__xludf.DUMMYFUNCTION("""COMPUTED_VALUE"""),7364286)</f>
        <v>7364286</v>
      </c>
      <c r="G152" s="28">
        <f t="shared" ca="1" si="0"/>
        <v>-3.3902902088418507E-3</v>
      </c>
    </row>
    <row r="153" spans="1:7" x14ac:dyDescent="0.2">
      <c r="A153" s="26">
        <f ca="1">IFERROR(__xludf.DUMMYFUNCTION("""COMPUTED_VALUE"""),43434.7291666666)</f>
        <v>43434.729166666599</v>
      </c>
      <c r="B153" s="27">
        <f ca="1">IFERROR(__xludf.DUMMYFUNCTION("""COMPUTED_VALUE"""),73.83)</f>
        <v>73.83</v>
      </c>
      <c r="C153" s="27">
        <f ca="1">IFERROR(__xludf.DUMMYFUNCTION("""COMPUTED_VALUE"""),75.52)</f>
        <v>75.52</v>
      </c>
      <c r="D153" s="27">
        <f ca="1">IFERROR(__xludf.DUMMYFUNCTION("""COMPUTED_VALUE"""),71.36)</f>
        <v>71.36</v>
      </c>
      <c r="E153" s="27">
        <f ca="1">IFERROR(__xludf.DUMMYFUNCTION("""COMPUTED_VALUE"""),72.21)</f>
        <v>72.209999999999994</v>
      </c>
      <c r="F153" s="27">
        <f ca="1">IFERROR(__xludf.DUMMYFUNCTION("""COMPUTED_VALUE"""),9091704)</f>
        <v>9091704</v>
      </c>
      <c r="G153" s="28">
        <f t="shared" ca="1" si="0"/>
        <v>-1.7417335691930935E-2</v>
      </c>
    </row>
    <row r="154" spans="1:7" x14ac:dyDescent="0.2">
      <c r="A154" s="26">
        <f ca="1">IFERROR(__xludf.DUMMYFUNCTION("""COMPUTED_VALUE"""),43441.7291666666)</f>
        <v>43441.729166666599</v>
      </c>
      <c r="B154" s="27">
        <f ca="1">IFERROR(__xludf.DUMMYFUNCTION("""COMPUTED_VALUE"""),76.7)</f>
        <v>76.7</v>
      </c>
      <c r="C154" s="27">
        <f ca="1">IFERROR(__xludf.DUMMYFUNCTION("""COMPUTED_VALUE"""),77.56)</f>
        <v>77.56</v>
      </c>
      <c r="D154" s="27">
        <f ca="1">IFERROR(__xludf.DUMMYFUNCTION("""COMPUTED_VALUE"""),71.14)</f>
        <v>71.14</v>
      </c>
      <c r="E154" s="27">
        <f ca="1">IFERROR(__xludf.DUMMYFUNCTION("""COMPUTED_VALUE"""),71.71)</f>
        <v>71.709999999999994</v>
      </c>
      <c r="F154" s="27">
        <f ca="1">IFERROR(__xludf.DUMMYFUNCTION("""COMPUTED_VALUE"""),13101245)</f>
        <v>13101245</v>
      </c>
      <c r="G154" s="28">
        <f t="shared" ca="1" si="0"/>
        <v>-6.9242487190139812E-3</v>
      </c>
    </row>
    <row r="155" spans="1:7" x14ac:dyDescent="0.2">
      <c r="A155" s="26">
        <f ca="1">IFERROR(__xludf.DUMMYFUNCTION("""COMPUTED_VALUE"""),43448.7291666666)</f>
        <v>43448.729166666599</v>
      </c>
      <c r="B155" s="27">
        <f ca="1">IFERROR(__xludf.DUMMYFUNCTION("""COMPUTED_VALUE"""),71)</f>
        <v>71</v>
      </c>
      <c r="C155" s="27">
        <f ca="1">IFERROR(__xludf.DUMMYFUNCTION("""COMPUTED_VALUE"""),74.83)</f>
        <v>74.83</v>
      </c>
      <c r="D155" s="27">
        <f ca="1">IFERROR(__xludf.DUMMYFUNCTION("""COMPUTED_VALUE"""),69.64)</f>
        <v>69.64</v>
      </c>
      <c r="E155" s="27">
        <f ca="1">IFERROR(__xludf.DUMMYFUNCTION("""COMPUTED_VALUE"""),74.27)</f>
        <v>74.27</v>
      </c>
      <c r="F155" s="27">
        <f ca="1">IFERROR(__xludf.DUMMYFUNCTION("""COMPUTED_VALUE"""),11707058)</f>
        <v>11707058</v>
      </c>
      <c r="G155" s="28">
        <f t="shared" ca="1" si="0"/>
        <v>3.5699344582345693E-2</v>
      </c>
    </row>
    <row r="156" spans="1:7" x14ac:dyDescent="0.2">
      <c r="A156" s="26">
        <f ca="1">IFERROR(__xludf.DUMMYFUNCTION("""COMPUTED_VALUE"""),43455.7291666666)</f>
        <v>43455.729166666599</v>
      </c>
      <c r="B156" s="27">
        <f ca="1">IFERROR(__xludf.DUMMYFUNCTION("""COMPUTED_VALUE"""),74.3)</f>
        <v>74.3</v>
      </c>
      <c r="C156" s="27">
        <f ca="1">IFERROR(__xludf.DUMMYFUNCTION("""COMPUTED_VALUE"""),75.07)</f>
        <v>75.069999999999993</v>
      </c>
      <c r="D156" s="27">
        <f ca="1">IFERROR(__xludf.DUMMYFUNCTION("""COMPUTED_VALUE"""),70.23)</f>
        <v>70.23</v>
      </c>
      <c r="E156" s="27">
        <f ca="1">IFERROR(__xludf.DUMMYFUNCTION("""COMPUTED_VALUE"""),71.93)</f>
        <v>71.930000000000007</v>
      </c>
      <c r="F156" s="27">
        <f ca="1">IFERROR(__xludf.DUMMYFUNCTION("""COMPUTED_VALUE"""),12857135)</f>
        <v>12857135</v>
      </c>
      <c r="G156" s="28">
        <f t="shared" ca="1" si="0"/>
        <v>-3.1506664871414958E-2</v>
      </c>
    </row>
    <row r="157" spans="1:7" x14ac:dyDescent="0.2">
      <c r="A157" s="26">
        <f ca="1">IFERROR(__xludf.DUMMYFUNCTION("""COMPUTED_VALUE"""),43462.7291666666)</f>
        <v>43462.729166666599</v>
      </c>
      <c r="B157" s="27">
        <f ca="1">IFERROR(__xludf.DUMMYFUNCTION("""COMPUTED_VALUE"""),71.78)</f>
        <v>71.78</v>
      </c>
      <c r="C157" s="27">
        <f ca="1">IFERROR(__xludf.DUMMYFUNCTION("""COMPUTED_VALUE"""),72.16)</f>
        <v>72.16</v>
      </c>
      <c r="D157" s="27">
        <f ca="1">IFERROR(__xludf.DUMMYFUNCTION("""COMPUTED_VALUE"""),69.12)</f>
        <v>69.12</v>
      </c>
      <c r="E157" s="27">
        <f ca="1">IFERROR(__xludf.DUMMYFUNCTION("""COMPUTED_VALUE"""),70.7)</f>
        <v>70.7</v>
      </c>
      <c r="F157" s="27">
        <f ca="1">IFERROR(__xludf.DUMMYFUNCTION("""COMPUTED_VALUE"""),2860118)</f>
        <v>2860118</v>
      </c>
      <c r="G157" s="28">
        <f t="shared" ca="1" si="0"/>
        <v>-1.7099958292784656E-2</v>
      </c>
    </row>
    <row r="158" spans="1:7" x14ac:dyDescent="0.2">
      <c r="A158" s="26">
        <f ca="1">IFERROR(__xludf.DUMMYFUNCTION("""COMPUTED_VALUE"""),43469.7291666666)</f>
        <v>43469.729166666599</v>
      </c>
      <c r="B158" s="27">
        <f ca="1">IFERROR(__xludf.DUMMYFUNCTION("""COMPUTED_VALUE"""),70.63)</f>
        <v>70.63</v>
      </c>
      <c r="C158" s="27">
        <f ca="1">IFERROR(__xludf.DUMMYFUNCTION("""COMPUTED_VALUE"""),71.77)</f>
        <v>71.77</v>
      </c>
      <c r="D158" s="27">
        <f ca="1">IFERROR(__xludf.DUMMYFUNCTION("""COMPUTED_VALUE"""),68.79)</f>
        <v>68.790000000000006</v>
      </c>
      <c r="E158" s="27">
        <f ca="1">IFERROR(__xludf.DUMMYFUNCTION("""COMPUTED_VALUE"""),71.71)</f>
        <v>71.709999999999994</v>
      </c>
      <c r="F158" s="27">
        <f ca="1">IFERROR(__xludf.DUMMYFUNCTION("""COMPUTED_VALUE"""),4713332)</f>
        <v>4713332</v>
      </c>
      <c r="G158" s="28">
        <f t="shared" ca="1" si="0"/>
        <v>1.4285714285714235E-2</v>
      </c>
    </row>
    <row r="159" spans="1:7" x14ac:dyDescent="0.2">
      <c r="A159" s="26">
        <f ca="1">IFERROR(__xludf.DUMMYFUNCTION("""COMPUTED_VALUE"""),43476.7291666666)</f>
        <v>43476.729166666599</v>
      </c>
      <c r="B159" s="27">
        <f ca="1">IFERROR(__xludf.DUMMYFUNCTION("""COMPUTED_VALUE"""),71.75)</f>
        <v>71.75</v>
      </c>
      <c r="C159" s="27">
        <f ca="1">IFERROR(__xludf.DUMMYFUNCTION("""COMPUTED_VALUE"""),73.78)</f>
        <v>73.78</v>
      </c>
      <c r="D159" s="27">
        <f ca="1">IFERROR(__xludf.DUMMYFUNCTION("""COMPUTED_VALUE"""),70.63)</f>
        <v>70.63</v>
      </c>
      <c r="E159" s="27">
        <f ca="1">IFERROR(__xludf.DUMMYFUNCTION("""COMPUTED_VALUE"""),71.83)</f>
        <v>71.83</v>
      </c>
      <c r="F159" s="27">
        <f ca="1">IFERROR(__xludf.DUMMYFUNCTION("""COMPUTED_VALUE"""),8604977)</f>
        <v>8604977</v>
      </c>
      <c r="G159" s="28">
        <f t="shared" ca="1" si="0"/>
        <v>1.673406777297437E-3</v>
      </c>
    </row>
    <row r="160" spans="1:7" x14ac:dyDescent="0.2">
      <c r="A160" s="26">
        <f ca="1">IFERROR(__xludf.DUMMYFUNCTION("""COMPUTED_VALUE"""),43483.7291666666)</f>
        <v>43483.729166666599</v>
      </c>
      <c r="B160" s="27">
        <f ca="1">IFERROR(__xludf.DUMMYFUNCTION("""COMPUTED_VALUE"""),71.03)</f>
        <v>71.03</v>
      </c>
      <c r="C160" s="27">
        <f ca="1">IFERROR(__xludf.DUMMYFUNCTION("""COMPUTED_VALUE"""),73.62)</f>
        <v>73.62</v>
      </c>
      <c r="D160" s="27">
        <f ca="1">IFERROR(__xludf.DUMMYFUNCTION("""COMPUTED_VALUE"""),70.19)</f>
        <v>70.19</v>
      </c>
      <c r="E160" s="27">
        <f ca="1">IFERROR(__xludf.DUMMYFUNCTION("""COMPUTED_VALUE"""),73.34)</f>
        <v>73.34</v>
      </c>
      <c r="F160" s="27">
        <f ca="1">IFERROR(__xludf.DUMMYFUNCTION("""COMPUTED_VALUE"""),8013314)</f>
        <v>8013314</v>
      </c>
      <c r="G160" s="28">
        <f t="shared" ca="1" si="0"/>
        <v>2.1021857162745405E-2</v>
      </c>
    </row>
    <row r="161" spans="1:7" x14ac:dyDescent="0.2">
      <c r="A161" s="26">
        <f ca="1">IFERROR(__xludf.DUMMYFUNCTION("""COMPUTED_VALUE"""),43490.7291666666)</f>
        <v>43490.729166666599</v>
      </c>
      <c r="B161" s="27">
        <f ca="1">IFERROR(__xludf.DUMMYFUNCTION("""COMPUTED_VALUE"""),73.5)</f>
        <v>73.5</v>
      </c>
      <c r="C161" s="27">
        <f ca="1">IFERROR(__xludf.DUMMYFUNCTION("""COMPUTED_VALUE"""),74.75)</f>
        <v>74.75</v>
      </c>
      <c r="D161" s="27">
        <f ca="1">IFERROR(__xludf.DUMMYFUNCTION("""COMPUTED_VALUE"""),71.62)</f>
        <v>71.62</v>
      </c>
      <c r="E161" s="27">
        <f ca="1">IFERROR(__xludf.DUMMYFUNCTION("""COMPUTED_VALUE"""),74.35)</f>
        <v>74.349999999999994</v>
      </c>
      <c r="F161" s="27">
        <f ca="1">IFERROR(__xludf.DUMMYFUNCTION("""COMPUTED_VALUE"""),6782698)</f>
        <v>6782698</v>
      </c>
      <c r="G161" s="28">
        <f t="shared" ca="1" si="0"/>
        <v>1.3771475320425219E-2</v>
      </c>
    </row>
    <row r="162" spans="1:7" x14ac:dyDescent="0.2">
      <c r="A162" s="26">
        <f ca="1">IFERROR(__xludf.DUMMYFUNCTION("""COMPUTED_VALUE"""),43497.7291666666)</f>
        <v>43497.729166666599</v>
      </c>
      <c r="B162" s="27">
        <f ca="1">IFERROR(__xludf.DUMMYFUNCTION("""COMPUTED_VALUE"""),74.31)</f>
        <v>74.31</v>
      </c>
      <c r="C162" s="27">
        <f ca="1">IFERROR(__xludf.DUMMYFUNCTION("""COMPUTED_VALUE"""),74.62)</f>
        <v>74.62</v>
      </c>
      <c r="D162" s="27">
        <f ca="1">IFERROR(__xludf.DUMMYFUNCTION("""COMPUTED_VALUE"""),72.36)</f>
        <v>72.36</v>
      </c>
      <c r="E162" s="27">
        <f ca="1">IFERROR(__xludf.DUMMYFUNCTION("""COMPUTED_VALUE"""),74.14)</f>
        <v>74.14</v>
      </c>
      <c r="F162" s="27">
        <f ca="1">IFERROR(__xludf.DUMMYFUNCTION("""COMPUTED_VALUE"""),6816139)</f>
        <v>6816139</v>
      </c>
      <c r="G162" s="28">
        <f t="shared" ca="1" si="0"/>
        <v>-2.8244788164087931E-3</v>
      </c>
    </row>
    <row r="163" spans="1:7" x14ac:dyDescent="0.2">
      <c r="A163" s="26">
        <f ca="1">IFERROR(__xludf.DUMMYFUNCTION("""COMPUTED_VALUE"""),43504.7291666666)</f>
        <v>43504.729166666599</v>
      </c>
      <c r="B163" s="27">
        <f ca="1">IFERROR(__xludf.DUMMYFUNCTION("""COMPUTED_VALUE"""),73.99)</f>
        <v>73.989999999999995</v>
      </c>
      <c r="C163" s="27">
        <f ca="1">IFERROR(__xludf.DUMMYFUNCTION("""COMPUTED_VALUE"""),74.25)</f>
        <v>74.25</v>
      </c>
      <c r="D163" s="27">
        <f ca="1">IFERROR(__xludf.DUMMYFUNCTION("""COMPUTED_VALUE"""),69.01)</f>
        <v>69.010000000000005</v>
      </c>
      <c r="E163" s="27">
        <f ca="1">IFERROR(__xludf.DUMMYFUNCTION("""COMPUTED_VALUE"""),69.53)</f>
        <v>69.53</v>
      </c>
      <c r="F163" s="27">
        <f ca="1">IFERROR(__xludf.DUMMYFUNCTION("""COMPUTED_VALUE"""),9549986)</f>
        <v>9549986</v>
      </c>
      <c r="G163" s="28">
        <f t="shared" ca="1" si="0"/>
        <v>-6.2179660102508749E-2</v>
      </c>
    </row>
    <row r="164" spans="1:7" x14ac:dyDescent="0.2">
      <c r="A164" s="26">
        <f ca="1">IFERROR(__xludf.DUMMYFUNCTION("""COMPUTED_VALUE"""),43511.7291666666)</f>
        <v>43511.729166666599</v>
      </c>
      <c r="B164" s="27">
        <f ca="1">IFERROR(__xludf.DUMMYFUNCTION("""COMPUTED_VALUE"""),69.61)</f>
        <v>69.61</v>
      </c>
      <c r="C164" s="27">
        <f ca="1">IFERROR(__xludf.DUMMYFUNCTION("""COMPUTED_VALUE"""),71.16)</f>
        <v>71.16</v>
      </c>
      <c r="D164" s="27">
        <f ca="1">IFERROR(__xludf.DUMMYFUNCTION("""COMPUTED_VALUE"""),68.11)</f>
        <v>68.11</v>
      </c>
      <c r="E164" s="27">
        <f ca="1">IFERROR(__xludf.DUMMYFUNCTION("""COMPUTED_VALUE"""),70.77)</f>
        <v>70.77</v>
      </c>
      <c r="F164" s="27">
        <f ca="1">IFERROR(__xludf.DUMMYFUNCTION("""COMPUTED_VALUE"""),10067717)</f>
        <v>10067717</v>
      </c>
      <c r="G164" s="28">
        <f t="shared" ca="1" si="0"/>
        <v>1.7834028476916286E-2</v>
      </c>
    </row>
    <row r="165" spans="1:7" x14ac:dyDescent="0.2">
      <c r="A165" s="26">
        <f ca="1">IFERROR(__xludf.DUMMYFUNCTION("""COMPUTED_VALUE"""),43518.7291666666)</f>
        <v>43518.729166666599</v>
      </c>
      <c r="B165" s="27">
        <f ca="1">IFERROR(__xludf.DUMMYFUNCTION("""COMPUTED_VALUE"""),70.2)</f>
        <v>70.2</v>
      </c>
      <c r="C165" s="27">
        <f ca="1">IFERROR(__xludf.DUMMYFUNCTION("""COMPUTED_VALUE"""),73.75)</f>
        <v>73.75</v>
      </c>
      <c r="D165" s="27">
        <f ca="1">IFERROR(__xludf.DUMMYFUNCTION("""COMPUTED_VALUE"""),69.96)</f>
        <v>69.959999999999994</v>
      </c>
      <c r="E165" s="27">
        <f ca="1">IFERROR(__xludf.DUMMYFUNCTION("""COMPUTED_VALUE"""),73.13)</f>
        <v>73.13</v>
      </c>
      <c r="F165" s="27">
        <f ca="1">IFERROR(__xludf.DUMMYFUNCTION("""COMPUTED_VALUE"""),7245586)</f>
        <v>7245586</v>
      </c>
      <c r="G165" s="28">
        <f t="shared" ca="1" si="0"/>
        <v>3.3347463614525896E-2</v>
      </c>
    </row>
    <row r="166" spans="1:7" x14ac:dyDescent="0.2">
      <c r="A166" s="26">
        <f ca="1">IFERROR(__xludf.DUMMYFUNCTION("""COMPUTED_VALUE"""),43525.7291666666)</f>
        <v>43525.729166666599</v>
      </c>
      <c r="B166" s="27">
        <f ca="1">IFERROR(__xludf.DUMMYFUNCTION("""COMPUTED_VALUE"""),73.79)</f>
        <v>73.790000000000006</v>
      </c>
      <c r="C166" s="27">
        <f ca="1">IFERROR(__xludf.DUMMYFUNCTION("""COMPUTED_VALUE"""),75.54)</f>
        <v>75.540000000000006</v>
      </c>
      <c r="D166" s="27">
        <f ca="1">IFERROR(__xludf.DUMMYFUNCTION("""COMPUTED_VALUE"""),72.91)</f>
        <v>72.91</v>
      </c>
      <c r="E166" s="27">
        <f ca="1">IFERROR(__xludf.DUMMYFUNCTION("""COMPUTED_VALUE"""),74.75)</f>
        <v>74.75</v>
      </c>
      <c r="F166" s="27">
        <f ca="1">IFERROR(__xludf.DUMMYFUNCTION("""COMPUTED_VALUE"""),6958915)</f>
        <v>6958915</v>
      </c>
      <c r="G166" s="28">
        <f t="shared" ca="1" si="0"/>
        <v>2.215233146451534E-2</v>
      </c>
    </row>
    <row r="167" spans="1:7" x14ac:dyDescent="0.2">
      <c r="A167" s="26">
        <f ca="1">IFERROR(__xludf.DUMMYFUNCTION("""COMPUTED_VALUE"""),43532.7291666666)</f>
        <v>43532.729166666599</v>
      </c>
      <c r="B167" s="27">
        <f ca="1">IFERROR(__xludf.DUMMYFUNCTION("""COMPUTED_VALUE"""),75.33)</f>
        <v>75.33</v>
      </c>
      <c r="C167" s="27">
        <f ca="1">IFERROR(__xludf.DUMMYFUNCTION("""COMPUTED_VALUE"""),75.4)</f>
        <v>75.400000000000006</v>
      </c>
      <c r="D167" s="27">
        <f ca="1">IFERROR(__xludf.DUMMYFUNCTION("""COMPUTED_VALUE"""),71.41)</f>
        <v>71.41</v>
      </c>
      <c r="E167" s="27">
        <f ca="1">IFERROR(__xludf.DUMMYFUNCTION("""COMPUTED_VALUE"""),72.16)</f>
        <v>72.16</v>
      </c>
      <c r="F167" s="27">
        <f ca="1">IFERROR(__xludf.DUMMYFUNCTION("""COMPUTED_VALUE"""),7051548)</f>
        <v>7051548</v>
      </c>
      <c r="G167" s="28">
        <f t="shared" ca="1" si="0"/>
        <v>-3.4648829431438211E-2</v>
      </c>
    </row>
    <row r="168" spans="1:7" x14ac:dyDescent="0.2">
      <c r="A168" s="26">
        <f ca="1">IFERROR(__xludf.DUMMYFUNCTION("""COMPUTED_VALUE"""),43539.7291666666)</f>
        <v>43539.729166666599</v>
      </c>
      <c r="B168" s="27">
        <f ca="1">IFERROR(__xludf.DUMMYFUNCTION("""COMPUTED_VALUE"""),72.25)</f>
        <v>72.25</v>
      </c>
      <c r="C168" s="27">
        <f ca="1">IFERROR(__xludf.DUMMYFUNCTION("""COMPUTED_VALUE"""),75.18)</f>
        <v>75.180000000000007</v>
      </c>
      <c r="D168" s="27">
        <f ca="1">IFERROR(__xludf.DUMMYFUNCTION("""COMPUTED_VALUE"""),71.92)</f>
        <v>71.92</v>
      </c>
      <c r="E168" s="27">
        <f ca="1">IFERROR(__xludf.DUMMYFUNCTION("""COMPUTED_VALUE"""),74.09)</f>
        <v>74.09</v>
      </c>
      <c r="F168" s="27">
        <f ca="1">IFERROR(__xludf.DUMMYFUNCTION("""COMPUTED_VALUE"""),9391529)</f>
        <v>9391529</v>
      </c>
      <c r="G168" s="28">
        <f t="shared" ca="1" si="0"/>
        <v>2.6746119733924711E-2</v>
      </c>
    </row>
    <row r="169" spans="1:7" x14ac:dyDescent="0.2">
      <c r="A169" s="26">
        <f ca="1">IFERROR(__xludf.DUMMYFUNCTION("""COMPUTED_VALUE"""),43546.7291666666)</f>
        <v>43546.729166666599</v>
      </c>
      <c r="B169" s="27">
        <f ca="1">IFERROR(__xludf.DUMMYFUNCTION("""COMPUTED_VALUE"""),74.3)</f>
        <v>74.3</v>
      </c>
      <c r="C169" s="27">
        <f ca="1">IFERROR(__xludf.DUMMYFUNCTION("""COMPUTED_VALUE"""),76.5)</f>
        <v>76.5</v>
      </c>
      <c r="D169" s="27">
        <f ca="1">IFERROR(__xludf.DUMMYFUNCTION("""COMPUTED_VALUE"""),69.18)</f>
        <v>69.180000000000007</v>
      </c>
      <c r="E169" s="27">
        <f ca="1">IFERROR(__xludf.DUMMYFUNCTION("""COMPUTED_VALUE"""),69.6)</f>
        <v>69.599999999999994</v>
      </c>
      <c r="F169" s="27">
        <f ca="1">IFERROR(__xludf.DUMMYFUNCTION("""COMPUTED_VALUE"""),11942632)</f>
        <v>11942632</v>
      </c>
      <c r="G169" s="28">
        <f t="shared" ca="1" si="0"/>
        <v>-6.0601970576326214E-2</v>
      </c>
    </row>
    <row r="170" spans="1:7" x14ac:dyDescent="0.2">
      <c r="A170" s="26">
        <f ca="1">IFERROR(__xludf.DUMMYFUNCTION("""COMPUTED_VALUE"""),43553.7291666666)</f>
        <v>43553.729166666599</v>
      </c>
      <c r="B170" s="27">
        <f ca="1">IFERROR(__xludf.DUMMYFUNCTION("""COMPUTED_VALUE"""),69)</f>
        <v>69</v>
      </c>
      <c r="C170" s="27">
        <f ca="1">IFERROR(__xludf.DUMMYFUNCTION("""COMPUTED_VALUE"""),69.69)</f>
        <v>69.69</v>
      </c>
      <c r="D170" s="27">
        <f ca="1">IFERROR(__xludf.DUMMYFUNCTION("""COMPUTED_VALUE"""),67.73)</f>
        <v>67.73</v>
      </c>
      <c r="E170" s="27">
        <f ca="1">IFERROR(__xludf.DUMMYFUNCTION("""COMPUTED_VALUE"""),68.75)</f>
        <v>68.75</v>
      </c>
      <c r="F170" s="27">
        <f ca="1">IFERROR(__xludf.DUMMYFUNCTION("""COMPUTED_VALUE"""),8878134)</f>
        <v>8878134</v>
      </c>
      <c r="G170" s="28">
        <f t="shared" ca="1" si="0"/>
        <v>-1.2212643678160884E-2</v>
      </c>
    </row>
    <row r="171" spans="1:7" x14ac:dyDescent="0.2">
      <c r="A171" s="26">
        <f ca="1">IFERROR(__xludf.DUMMYFUNCTION("""COMPUTED_VALUE"""),43560.7291666666)</f>
        <v>43560.729166666599</v>
      </c>
      <c r="B171" s="27">
        <f ca="1">IFERROR(__xludf.DUMMYFUNCTION("""COMPUTED_VALUE"""),69.64)</f>
        <v>69.64</v>
      </c>
      <c r="C171" s="27">
        <f ca="1">IFERROR(__xludf.DUMMYFUNCTION("""COMPUTED_VALUE"""),74.14)</f>
        <v>74.14</v>
      </c>
      <c r="D171" s="27">
        <f ca="1">IFERROR(__xludf.DUMMYFUNCTION("""COMPUTED_VALUE"""),69.59)</f>
        <v>69.59</v>
      </c>
      <c r="E171" s="27">
        <f ca="1">IFERROR(__xludf.DUMMYFUNCTION("""COMPUTED_VALUE"""),73.79)</f>
        <v>73.790000000000006</v>
      </c>
      <c r="F171" s="27">
        <f ca="1">IFERROR(__xludf.DUMMYFUNCTION("""COMPUTED_VALUE"""),10781826)</f>
        <v>10781826</v>
      </c>
      <c r="G171" s="28">
        <f t="shared" ca="1" si="0"/>
        <v>7.330909090909099E-2</v>
      </c>
    </row>
    <row r="172" spans="1:7" x14ac:dyDescent="0.2">
      <c r="A172" s="26">
        <f ca="1">IFERROR(__xludf.DUMMYFUNCTION("""COMPUTED_VALUE"""),43567.7291666666)</f>
        <v>43567.729166666599</v>
      </c>
      <c r="B172" s="27">
        <f ca="1">IFERROR(__xludf.DUMMYFUNCTION("""COMPUTED_VALUE"""),72.39)</f>
        <v>72.39</v>
      </c>
      <c r="C172" s="27">
        <f ca="1">IFERROR(__xludf.DUMMYFUNCTION("""COMPUTED_VALUE"""),75.54)</f>
        <v>75.540000000000006</v>
      </c>
      <c r="D172" s="27">
        <f ca="1">IFERROR(__xludf.DUMMYFUNCTION("""COMPUTED_VALUE"""),72.29)</f>
        <v>72.290000000000006</v>
      </c>
      <c r="E172" s="27">
        <f ca="1">IFERROR(__xludf.DUMMYFUNCTION("""COMPUTED_VALUE"""),75.29)</f>
        <v>75.290000000000006</v>
      </c>
      <c r="F172" s="27">
        <f ca="1">IFERROR(__xludf.DUMMYFUNCTION("""COMPUTED_VALUE"""),7772703)</f>
        <v>7772703</v>
      </c>
      <c r="G172" s="28">
        <f t="shared" ca="1" si="0"/>
        <v>2.03279577178479E-2</v>
      </c>
    </row>
    <row r="173" spans="1:7" x14ac:dyDescent="0.2">
      <c r="A173" s="26">
        <f ca="1">IFERROR(__xludf.DUMMYFUNCTION("""COMPUTED_VALUE"""),43573.7291666666)</f>
        <v>43573.729166666599</v>
      </c>
      <c r="B173" s="27">
        <f ca="1">IFERROR(__xludf.DUMMYFUNCTION("""COMPUTED_VALUE"""),75.13)</f>
        <v>75.13</v>
      </c>
      <c r="C173" s="27">
        <f ca="1">IFERROR(__xludf.DUMMYFUNCTION("""COMPUTED_VALUE"""),78.3)</f>
        <v>78.3</v>
      </c>
      <c r="D173" s="27">
        <f ca="1">IFERROR(__xludf.DUMMYFUNCTION("""COMPUTED_VALUE"""),74.91)</f>
        <v>74.91</v>
      </c>
      <c r="E173" s="27">
        <f ca="1">IFERROR(__xludf.DUMMYFUNCTION("""COMPUTED_VALUE"""),77.75)</f>
        <v>77.75</v>
      </c>
      <c r="F173" s="27">
        <f ca="1">IFERROR(__xludf.DUMMYFUNCTION("""COMPUTED_VALUE"""),7987782)</f>
        <v>7987782</v>
      </c>
      <c r="G173" s="28">
        <f t="shared" ca="1" si="0"/>
        <v>3.2673661840881829E-2</v>
      </c>
    </row>
    <row r="174" spans="1:7" x14ac:dyDescent="0.2">
      <c r="A174" s="26">
        <f ca="1">IFERROR(__xludf.DUMMYFUNCTION("""COMPUTED_VALUE"""),43581.7291666666)</f>
        <v>43581.729166666599</v>
      </c>
      <c r="B174" s="27">
        <f ca="1">IFERROR(__xludf.DUMMYFUNCTION("""COMPUTED_VALUE"""),77.75)</f>
        <v>77.75</v>
      </c>
      <c r="C174" s="27">
        <f ca="1">IFERROR(__xludf.DUMMYFUNCTION("""COMPUTED_VALUE"""),78.19)</f>
        <v>78.19</v>
      </c>
      <c r="D174" s="27">
        <f ca="1">IFERROR(__xludf.DUMMYFUNCTION("""COMPUTED_VALUE"""),75.57)</f>
        <v>75.569999999999993</v>
      </c>
      <c r="E174" s="27">
        <f ca="1">IFERROR(__xludf.DUMMYFUNCTION("""COMPUTED_VALUE"""),76.2)</f>
        <v>76.2</v>
      </c>
      <c r="F174" s="27">
        <f ca="1">IFERROR(__xludf.DUMMYFUNCTION("""COMPUTED_VALUE"""),5662746)</f>
        <v>5662746</v>
      </c>
      <c r="G174" s="28">
        <f t="shared" ca="1" si="0"/>
        <v>-1.9935691318327953E-2</v>
      </c>
    </row>
    <row r="175" spans="1:7" x14ac:dyDescent="0.2">
      <c r="A175" s="26">
        <f ca="1">IFERROR(__xludf.DUMMYFUNCTION("""COMPUTED_VALUE"""),43588.7291666666)</f>
        <v>43588.729166666599</v>
      </c>
      <c r="B175" s="27">
        <f ca="1">IFERROR(__xludf.DUMMYFUNCTION("""COMPUTED_VALUE"""),76.16)</f>
        <v>76.16</v>
      </c>
      <c r="C175" s="27">
        <f ca="1">IFERROR(__xludf.DUMMYFUNCTION("""COMPUTED_VALUE"""),76.78)</f>
        <v>76.78</v>
      </c>
      <c r="D175" s="27">
        <f ca="1">IFERROR(__xludf.DUMMYFUNCTION("""COMPUTED_VALUE"""),75.19)</f>
        <v>75.19</v>
      </c>
      <c r="E175" s="27">
        <f ca="1">IFERROR(__xludf.DUMMYFUNCTION("""COMPUTED_VALUE"""),75.67)</f>
        <v>75.67</v>
      </c>
      <c r="F175" s="27">
        <f ca="1">IFERROR(__xludf.DUMMYFUNCTION("""COMPUTED_VALUE"""),4858955)</f>
        <v>4858955</v>
      </c>
      <c r="G175" s="28">
        <f t="shared" ca="1" si="0"/>
        <v>-6.9553805774278388E-3</v>
      </c>
    </row>
    <row r="176" spans="1:7" x14ac:dyDescent="0.2">
      <c r="A176" s="26">
        <f ca="1">IFERROR(__xludf.DUMMYFUNCTION("""COMPUTED_VALUE"""),43595.7291666666)</f>
        <v>43595.729166666599</v>
      </c>
      <c r="B176" s="27">
        <f ca="1">IFERROR(__xludf.DUMMYFUNCTION("""COMPUTED_VALUE"""),73.02)</f>
        <v>73.02</v>
      </c>
      <c r="C176" s="27">
        <f ca="1">IFERROR(__xludf.DUMMYFUNCTION("""COMPUTED_VALUE"""),74.02)</f>
        <v>74.02</v>
      </c>
      <c r="D176" s="27">
        <f ca="1">IFERROR(__xludf.DUMMYFUNCTION("""COMPUTED_VALUE"""),68.64)</f>
        <v>68.64</v>
      </c>
      <c r="E176" s="27">
        <f ca="1">IFERROR(__xludf.DUMMYFUNCTION("""COMPUTED_VALUE"""),68.87)</f>
        <v>68.87</v>
      </c>
      <c r="F176" s="27">
        <f ca="1">IFERROR(__xludf.DUMMYFUNCTION("""COMPUTED_VALUE"""),14355414)</f>
        <v>14355414</v>
      </c>
      <c r="G176" s="28">
        <f t="shared" ca="1" si="0"/>
        <v>-8.9863882648341442E-2</v>
      </c>
    </row>
    <row r="177" spans="1:7" x14ac:dyDescent="0.2">
      <c r="A177" s="26">
        <f ca="1">IFERROR(__xludf.DUMMYFUNCTION("""COMPUTED_VALUE"""),43602.7291666666)</f>
        <v>43602.729166666599</v>
      </c>
      <c r="B177" s="27">
        <f ca="1">IFERROR(__xludf.DUMMYFUNCTION("""COMPUTED_VALUE"""),68.8)</f>
        <v>68.8</v>
      </c>
      <c r="C177" s="27">
        <f ca="1">IFERROR(__xludf.DUMMYFUNCTION("""COMPUTED_VALUE"""),71.3)</f>
        <v>71.3</v>
      </c>
      <c r="D177" s="27">
        <f ca="1">IFERROR(__xludf.DUMMYFUNCTION("""COMPUTED_VALUE"""),65.07)</f>
        <v>65.069999999999993</v>
      </c>
      <c r="E177" s="27">
        <f ca="1">IFERROR(__xludf.DUMMYFUNCTION("""COMPUTED_VALUE"""),66.16)</f>
        <v>66.16</v>
      </c>
      <c r="F177" s="27">
        <f ca="1">IFERROR(__xludf.DUMMYFUNCTION("""COMPUTED_VALUE"""),15750402)</f>
        <v>15750402</v>
      </c>
      <c r="G177" s="28">
        <f t="shared" ca="1" si="0"/>
        <v>-3.9349499056192894E-2</v>
      </c>
    </row>
    <row r="178" spans="1:7" x14ac:dyDescent="0.2">
      <c r="A178" s="26">
        <f ca="1">IFERROR(__xludf.DUMMYFUNCTION("""COMPUTED_VALUE"""),43609.7291666666)</f>
        <v>43609.729166666599</v>
      </c>
      <c r="B178" s="27">
        <f ca="1">IFERROR(__xludf.DUMMYFUNCTION("""COMPUTED_VALUE"""),66.26)</f>
        <v>66.260000000000005</v>
      </c>
      <c r="C178" s="27">
        <f ca="1">IFERROR(__xludf.DUMMYFUNCTION("""COMPUTED_VALUE"""),66.49)</f>
        <v>66.489999999999995</v>
      </c>
      <c r="D178" s="27">
        <f ca="1">IFERROR(__xludf.DUMMYFUNCTION("""COMPUTED_VALUE"""),62.76)</f>
        <v>62.76</v>
      </c>
      <c r="E178" s="27">
        <f ca="1">IFERROR(__xludf.DUMMYFUNCTION("""COMPUTED_VALUE"""),63.47)</f>
        <v>63.47</v>
      </c>
      <c r="F178" s="27">
        <f ca="1">IFERROR(__xludf.DUMMYFUNCTION("""COMPUTED_VALUE"""),9987796)</f>
        <v>9987796</v>
      </c>
      <c r="G178" s="28">
        <f t="shared" ca="1" si="0"/>
        <v>-4.0659008464328905E-2</v>
      </c>
    </row>
    <row r="179" spans="1:7" x14ac:dyDescent="0.2">
      <c r="A179" s="26">
        <f ca="1">IFERROR(__xludf.DUMMYFUNCTION("""COMPUTED_VALUE"""),43616.7291666666)</f>
        <v>43616.729166666599</v>
      </c>
      <c r="B179" s="27">
        <f ca="1">IFERROR(__xludf.DUMMYFUNCTION("""COMPUTED_VALUE"""),64.55)</f>
        <v>64.55</v>
      </c>
      <c r="C179" s="27">
        <f ca="1">IFERROR(__xludf.DUMMYFUNCTION("""COMPUTED_VALUE"""),64.98)</f>
        <v>64.98</v>
      </c>
      <c r="D179" s="27">
        <f ca="1">IFERROR(__xludf.DUMMYFUNCTION("""COMPUTED_VALUE"""),61.41)</f>
        <v>61.41</v>
      </c>
      <c r="E179" s="27">
        <f ca="1">IFERROR(__xludf.DUMMYFUNCTION("""COMPUTED_VALUE"""),62.02)</f>
        <v>62.02</v>
      </c>
      <c r="F179" s="27">
        <f ca="1">IFERROR(__xludf.DUMMYFUNCTION("""COMPUTED_VALUE"""),7281897)</f>
        <v>7281897</v>
      </c>
      <c r="G179" s="28">
        <f t="shared" ca="1" si="0"/>
        <v>-2.2845438789979466E-2</v>
      </c>
    </row>
    <row r="180" spans="1:7" x14ac:dyDescent="0.2">
      <c r="A180" s="26">
        <f ca="1">IFERROR(__xludf.DUMMYFUNCTION("""COMPUTED_VALUE"""),43623.7291666666)</f>
        <v>43623.729166666599</v>
      </c>
      <c r="B180" s="27">
        <f ca="1">IFERROR(__xludf.DUMMYFUNCTION("""COMPUTED_VALUE"""),61.7)</f>
        <v>61.7</v>
      </c>
      <c r="C180" s="27">
        <f ca="1">IFERROR(__xludf.DUMMYFUNCTION("""COMPUTED_VALUE"""),63.71)</f>
        <v>63.71</v>
      </c>
      <c r="D180" s="27">
        <f ca="1">IFERROR(__xludf.DUMMYFUNCTION("""COMPUTED_VALUE"""),61.14)</f>
        <v>61.14</v>
      </c>
      <c r="E180" s="27">
        <f ca="1">IFERROR(__xludf.DUMMYFUNCTION("""COMPUTED_VALUE"""),62.32)</f>
        <v>62.32</v>
      </c>
      <c r="F180" s="27">
        <f ca="1">IFERROR(__xludf.DUMMYFUNCTION("""COMPUTED_VALUE"""),9087433)</f>
        <v>9087433</v>
      </c>
      <c r="G180" s="28">
        <f t="shared" ca="1" si="0"/>
        <v>4.8371493066752258E-3</v>
      </c>
    </row>
    <row r="181" spans="1:7" x14ac:dyDescent="0.2">
      <c r="A181" s="26">
        <f ca="1">IFERROR(__xludf.DUMMYFUNCTION("""COMPUTED_VALUE"""),43630.7291666666)</f>
        <v>43630.729166666599</v>
      </c>
      <c r="B181" s="27">
        <f ca="1">IFERROR(__xludf.DUMMYFUNCTION("""COMPUTED_VALUE"""),62.83)</f>
        <v>62.83</v>
      </c>
      <c r="C181" s="27">
        <f ca="1">IFERROR(__xludf.DUMMYFUNCTION("""COMPUTED_VALUE"""),63.68)</f>
        <v>63.68</v>
      </c>
      <c r="D181" s="27">
        <f ca="1">IFERROR(__xludf.DUMMYFUNCTION("""COMPUTED_VALUE"""),61.85)</f>
        <v>61.85</v>
      </c>
      <c r="E181" s="27">
        <f ca="1">IFERROR(__xludf.DUMMYFUNCTION("""COMPUTED_VALUE"""),62.46)</f>
        <v>62.46</v>
      </c>
      <c r="F181" s="27">
        <f ca="1">IFERROR(__xludf.DUMMYFUNCTION("""COMPUTED_VALUE"""),5468059)</f>
        <v>5468059</v>
      </c>
      <c r="G181" s="28">
        <f t="shared" ca="1" si="0"/>
        <v>2.246469833119491E-3</v>
      </c>
    </row>
    <row r="182" spans="1:7" x14ac:dyDescent="0.2">
      <c r="A182" s="26">
        <f ca="1">IFERROR(__xludf.DUMMYFUNCTION("""COMPUTED_VALUE"""),43637.7291666666)</f>
        <v>43637.729166666599</v>
      </c>
      <c r="B182" s="27">
        <f ca="1">IFERROR(__xludf.DUMMYFUNCTION("""COMPUTED_VALUE"""),62.63)</f>
        <v>62.63</v>
      </c>
      <c r="C182" s="27">
        <f ca="1">IFERROR(__xludf.DUMMYFUNCTION("""COMPUTED_VALUE"""),65.03)</f>
        <v>65.03</v>
      </c>
      <c r="D182" s="27">
        <f ca="1">IFERROR(__xludf.DUMMYFUNCTION("""COMPUTED_VALUE"""),61.66)</f>
        <v>61.66</v>
      </c>
      <c r="E182" s="27">
        <f ca="1">IFERROR(__xludf.DUMMYFUNCTION("""COMPUTED_VALUE"""),64.44)</f>
        <v>64.44</v>
      </c>
      <c r="F182" s="27">
        <f ca="1">IFERROR(__xludf.DUMMYFUNCTION("""COMPUTED_VALUE"""),10550024)</f>
        <v>10550024</v>
      </c>
      <c r="G182" s="28">
        <f t="shared" ca="1" si="0"/>
        <v>3.170028818443793E-2</v>
      </c>
    </row>
    <row r="183" spans="1:7" x14ac:dyDescent="0.2">
      <c r="A183" s="26">
        <f ca="1">IFERROR(__xludf.DUMMYFUNCTION("""COMPUTED_VALUE"""),43644.7291666666)</f>
        <v>43644.729166666599</v>
      </c>
      <c r="B183" s="27">
        <f ca="1">IFERROR(__xludf.DUMMYFUNCTION("""COMPUTED_VALUE"""),64.1)</f>
        <v>64.099999999999994</v>
      </c>
      <c r="C183" s="27">
        <f ca="1">IFERROR(__xludf.DUMMYFUNCTION("""COMPUTED_VALUE"""),65.62)</f>
        <v>65.62</v>
      </c>
      <c r="D183" s="27">
        <f ca="1">IFERROR(__xludf.DUMMYFUNCTION("""COMPUTED_VALUE"""),62.77)</f>
        <v>62.77</v>
      </c>
      <c r="E183" s="27">
        <f ca="1">IFERROR(__xludf.DUMMYFUNCTION("""COMPUTED_VALUE"""),65.09)</f>
        <v>65.09</v>
      </c>
      <c r="F183" s="27">
        <f ca="1">IFERROR(__xludf.DUMMYFUNCTION("""COMPUTED_VALUE"""),10011968)</f>
        <v>10011968</v>
      </c>
      <c r="G183" s="28">
        <f t="shared" ca="1" si="0"/>
        <v>1.0086902545003218E-2</v>
      </c>
    </row>
    <row r="184" spans="1:7" x14ac:dyDescent="0.2">
      <c r="A184" s="26">
        <f ca="1">IFERROR(__xludf.DUMMYFUNCTION("""COMPUTED_VALUE"""),43651.7291666666)</f>
        <v>43651.729166666599</v>
      </c>
      <c r="B184" s="27">
        <f ca="1">IFERROR(__xludf.DUMMYFUNCTION("""COMPUTED_VALUE"""),66.52)</f>
        <v>66.52</v>
      </c>
      <c r="C184" s="27">
        <f ca="1">IFERROR(__xludf.DUMMYFUNCTION("""COMPUTED_VALUE"""),67.47)</f>
        <v>67.47</v>
      </c>
      <c r="D184" s="27">
        <f ca="1">IFERROR(__xludf.DUMMYFUNCTION("""COMPUTED_VALUE"""),64.72)</f>
        <v>64.72</v>
      </c>
      <c r="E184" s="27">
        <f ca="1">IFERROR(__xludf.DUMMYFUNCTION("""COMPUTED_VALUE"""),67.05)</f>
        <v>67.05</v>
      </c>
      <c r="F184" s="27">
        <f ca="1">IFERROR(__xludf.DUMMYFUNCTION("""COMPUTED_VALUE"""),8585312)</f>
        <v>8585312</v>
      </c>
      <c r="G184" s="28">
        <f t="shared" ca="1" si="0"/>
        <v>3.0112152404363046E-2</v>
      </c>
    </row>
    <row r="185" spans="1:7" x14ac:dyDescent="0.2">
      <c r="A185" s="26">
        <f ca="1">IFERROR(__xludf.DUMMYFUNCTION("""COMPUTED_VALUE"""),43658.7291666666)</f>
        <v>43658.729166666599</v>
      </c>
      <c r="B185" s="27">
        <f ca="1">IFERROR(__xludf.DUMMYFUNCTION("""COMPUTED_VALUE"""),66.61)</f>
        <v>66.61</v>
      </c>
      <c r="C185" s="27">
        <f ca="1">IFERROR(__xludf.DUMMYFUNCTION("""COMPUTED_VALUE"""),67.41)</f>
        <v>67.41</v>
      </c>
      <c r="D185" s="27">
        <f ca="1">IFERROR(__xludf.DUMMYFUNCTION("""COMPUTED_VALUE"""),64.24)</f>
        <v>64.239999999999995</v>
      </c>
      <c r="E185" s="27">
        <f ca="1">IFERROR(__xludf.DUMMYFUNCTION("""COMPUTED_VALUE"""),65.89)</f>
        <v>65.89</v>
      </c>
      <c r="F185" s="27">
        <f ca="1">IFERROR(__xludf.DUMMYFUNCTION("""COMPUTED_VALUE"""),8064858)</f>
        <v>8064858</v>
      </c>
      <c r="G185" s="28">
        <f t="shared" ca="1" si="0"/>
        <v>-1.7300521998508511E-2</v>
      </c>
    </row>
    <row r="186" spans="1:7" x14ac:dyDescent="0.2">
      <c r="A186" s="26">
        <f ca="1">IFERROR(__xludf.DUMMYFUNCTION("""COMPUTED_VALUE"""),43665.7291666666)</f>
        <v>43665.729166666599</v>
      </c>
      <c r="B186" s="27">
        <f ca="1">IFERROR(__xludf.DUMMYFUNCTION("""COMPUTED_VALUE"""),66.17)</f>
        <v>66.17</v>
      </c>
      <c r="C186" s="27">
        <f ca="1">IFERROR(__xludf.DUMMYFUNCTION("""COMPUTED_VALUE"""),67.33)</f>
        <v>67.33</v>
      </c>
      <c r="D186" s="27">
        <f ca="1">IFERROR(__xludf.DUMMYFUNCTION("""COMPUTED_VALUE"""),65.76)</f>
        <v>65.760000000000005</v>
      </c>
      <c r="E186" s="27">
        <f ca="1">IFERROR(__xludf.DUMMYFUNCTION("""COMPUTED_VALUE"""),66.57)</f>
        <v>66.569999999999993</v>
      </c>
      <c r="F186" s="27">
        <f ca="1">IFERROR(__xludf.DUMMYFUNCTION("""COMPUTED_VALUE"""),6983701)</f>
        <v>6983701</v>
      </c>
      <c r="G186" s="28">
        <f t="shared" ca="1" si="0"/>
        <v>1.0320230687509424E-2</v>
      </c>
    </row>
    <row r="187" spans="1:7" x14ac:dyDescent="0.2">
      <c r="A187" s="26">
        <f ca="1">IFERROR(__xludf.DUMMYFUNCTION("""COMPUTED_VALUE"""),43672.7291666666)</f>
        <v>43672.729166666599</v>
      </c>
      <c r="B187" s="27">
        <f ca="1">IFERROR(__xludf.DUMMYFUNCTION("""COMPUTED_VALUE"""),66.66)</f>
        <v>66.66</v>
      </c>
      <c r="C187" s="27">
        <f ca="1">IFERROR(__xludf.DUMMYFUNCTION("""COMPUTED_VALUE"""),70.56)</f>
        <v>70.56</v>
      </c>
      <c r="D187" s="27">
        <f ca="1">IFERROR(__xludf.DUMMYFUNCTION("""COMPUTED_VALUE"""),66.47)</f>
        <v>66.47</v>
      </c>
      <c r="E187" s="27">
        <f ca="1">IFERROR(__xludf.DUMMYFUNCTION("""COMPUTED_VALUE"""),68.67)</f>
        <v>68.67</v>
      </c>
      <c r="F187" s="27">
        <f ca="1">IFERROR(__xludf.DUMMYFUNCTION("""COMPUTED_VALUE"""),9709652)</f>
        <v>9709652</v>
      </c>
      <c r="G187" s="28">
        <f t="shared" ca="1" si="0"/>
        <v>3.1545741324921162E-2</v>
      </c>
    </row>
    <row r="188" spans="1:7" x14ac:dyDescent="0.2">
      <c r="A188" s="26">
        <f ca="1">IFERROR(__xludf.DUMMYFUNCTION("""COMPUTED_VALUE"""),43679.7291666666)</f>
        <v>43679.729166666599</v>
      </c>
      <c r="B188" s="27">
        <f ca="1">IFERROR(__xludf.DUMMYFUNCTION("""COMPUTED_VALUE"""),68.34)</f>
        <v>68.34</v>
      </c>
      <c r="C188" s="27">
        <f ca="1">IFERROR(__xludf.DUMMYFUNCTION("""COMPUTED_VALUE"""),68.54)</f>
        <v>68.540000000000006</v>
      </c>
      <c r="D188" s="27">
        <f ca="1">IFERROR(__xludf.DUMMYFUNCTION("""COMPUTED_VALUE"""),63.7)</f>
        <v>63.7</v>
      </c>
      <c r="E188" s="27">
        <f ca="1">IFERROR(__xludf.DUMMYFUNCTION("""COMPUTED_VALUE"""),64.65)</f>
        <v>64.650000000000006</v>
      </c>
      <c r="F188" s="27">
        <f ca="1">IFERROR(__xludf.DUMMYFUNCTION("""COMPUTED_VALUE"""),9402451)</f>
        <v>9402451</v>
      </c>
      <c r="G188" s="28">
        <f t="shared" ca="1" si="0"/>
        <v>-5.8540847531673212E-2</v>
      </c>
    </row>
    <row r="189" spans="1:7" x14ac:dyDescent="0.2">
      <c r="A189" s="26">
        <f ca="1">IFERROR(__xludf.DUMMYFUNCTION("""COMPUTED_VALUE"""),43686.7291666666)</f>
        <v>43686.729166666599</v>
      </c>
      <c r="B189" s="27">
        <f ca="1">IFERROR(__xludf.DUMMYFUNCTION("""COMPUTED_VALUE"""),63.3)</f>
        <v>63.3</v>
      </c>
      <c r="C189" s="27">
        <f ca="1">IFERROR(__xludf.DUMMYFUNCTION("""COMPUTED_VALUE"""),64.03)</f>
        <v>64.03</v>
      </c>
      <c r="D189" s="27">
        <f ca="1">IFERROR(__xludf.DUMMYFUNCTION("""COMPUTED_VALUE"""),60.62)</f>
        <v>60.62</v>
      </c>
      <c r="E189" s="27">
        <f ca="1">IFERROR(__xludf.DUMMYFUNCTION("""COMPUTED_VALUE"""),61.03)</f>
        <v>61.03</v>
      </c>
      <c r="F189" s="27">
        <f ca="1">IFERROR(__xludf.DUMMYFUNCTION("""COMPUTED_VALUE"""),9233390)</f>
        <v>9233390</v>
      </c>
      <c r="G189" s="28">
        <f t="shared" ca="1" si="0"/>
        <v>-5.5993812838360468E-2</v>
      </c>
    </row>
    <row r="190" spans="1:7" x14ac:dyDescent="0.2">
      <c r="A190" s="26">
        <f ca="1">IFERROR(__xludf.DUMMYFUNCTION("""COMPUTED_VALUE"""),43693.7291666666)</f>
        <v>43693.729166666599</v>
      </c>
      <c r="B190" s="27">
        <f ca="1">IFERROR(__xludf.DUMMYFUNCTION("""COMPUTED_VALUE"""),61.26)</f>
        <v>61.26</v>
      </c>
      <c r="C190" s="27">
        <f ca="1">IFERROR(__xludf.DUMMYFUNCTION("""COMPUTED_VALUE"""),62.04)</f>
        <v>62.04</v>
      </c>
      <c r="D190" s="27">
        <f ca="1">IFERROR(__xludf.DUMMYFUNCTION("""COMPUTED_VALUE"""),58.04)</f>
        <v>58.04</v>
      </c>
      <c r="E190" s="27">
        <f ca="1">IFERROR(__xludf.DUMMYFUNCTION("""COMPUTED_VALUE"""),59.56)</f>
        <v>59.56</v>
      </c>
      <c r="F190" s="27">
        <f ca="1">IFERROR(__xludf.DUMMYFUNCTION("""COMPUTED_VALUE"""),8796536)</f>
        <v>8796536</v>
      </c>
      <c r="G190" s="28">
        <f t="shared" ca="1" si="0"/>
        <v>-2.4086514828772665E-2</v>
      </c>
    </row>
    <row r="191" spans="1:7" x14ac:dyDescent="0.2">
      <c r="A191" s="26">
        <f ca="1">IFERROR(__xludf.DUMMYFUNCTION("""COMPUTED_VALUE"""),43700.7291666666)</f>
        <v>43700.729166666599</v>
      </c>
      <c r="B191" s="27">
        <f ca="1">IFERROR(__xludf.DUMMYFUNCTION("""COMPUTED_VALUE"""),60.23)</f>
        <v>60.23</v>
      </c>
      <c r="C191" s="27">
        <f ca="1">IFERROR(__xludf.DUMMYFUNCTION("""COMPUTED_VALUE"""),61.21)</f>
        <v>61.21</v>
      </c>
      <c r="D191" s="27">
        <f ca="1">IFERROR(__xludf.DUMMYFUNCTION("""COMPUTED_VALUE"""),58.61)</f>
        <v>58.61</v>
      </c>
      <c r="E191" s="27">
        <f ca="1">IFERROR(__xludf.DUMMYFUNCTION("""COMPUTED_VALUE"""),58.7)</f>
        <v>58.7</v>
      </c>
      <c r="F191" s="27">
        <f ca="1">IFERROR(__xludf.DUMMYFUNCTION("""COMPUTED_VALUE"""),7371769)</f>
        <v>7371769</v>
      </c>
      <c r="G191" s="28">
        <f t="shared" ca="1" si="0"/>
        <v>-1.4439220953660126E-2</v>
      </c>
    </row>
    <row r="192" spans="1:7" x14ac:dyDescent="0.2">
      <c r="A192" s="26">
        <f ca="1">IFERROR(__xludf.DUMMYFUNCTION("""COMPUTED_VALUE"""),43707.7291666666)</f>
        <v>43707.729166666599</v>
      </c>
      <c r="B192" s="27">
        <f ca="1">IFERROR(__xludf.DUMMYFUNCTION("""COMPUTED_VALUE"""),58.81)</f>
        <v>58.81</v>
      </c>
      <c r="C192" s="27">
        <f ca="1">IFERROR(__xludf.DUMMYFUNCTION("""COMPUTED_VALUE"""),61.21)</f>
        <v>61.21</v>
      </c>
      <c r="D192" s="27">
        <f ca="1">IFERROR(__xludf.DUMMYFUNCTION("""COMPUTED_VALUE"""),58.51)</f>
        <v>58.51</v>
      </c>
      <c r="E192" s="27">
        <f ca="1">IFERROR(__xludf.DUMMYFUNCTION("""COMPUTED_VALUE"""),60.81)</f>
        <v>60.81</v>
      </c>
      <c r="F192" s="27">
        <f ca="1">IFERROR(__xludf.DUMMYFUNCTION("""COMPUTED_VALUE"""),6975375)</f>
        <v>6975375</v>
      </c>
      <c r="G192" s="28">
        <f t="shared" ca="1" si="0"/>
        <v>3.5945485519591092E-2</v>
      </c>
    </row>
    <row r="193" spans="1:7" x14ac:dyDescent="0.2">
      <c r="A193" s="26">
        <f ca="1">IFERROR(__xludf.DUMMYFUNCTION("""COMPUTED_VALUE"""),43714.7291666666)</f>
        <v>43714.729166666599</v>
      </c>
      <c r="B193" s="27">
        <f ca="1">IFERROR(__xludf.DUMMYFUNCTION("""COMPUTED_VALUE"""),60.5)</f>
        <v>60.5</v>
      </c>
      <c r="C193" s="27">
        <f ca="1">IFERROR(__xludf.DUMMYFUNCTION("""COMPUTED_VALUE"""),63.11)</f>
        <v>63.11</v>
      </c>
      <c r="D193" s="27">
        <f ca="1">IFERROR(__xludf.DUMMYFUNCTION("""COMPUTED_VALUE"""),60.01)</f>
        <v>60.01</v>
      </c>
      <c r="E193" s="27">
        <f ca="1">IFERROR(__xludf.DUMMYFUNCTION("""COMPUTED_VALUE"""),62.32)</f>
        <v>62.32</v>
      </c>
      <c r="F193" s="27">
        <f ca="1">IFERROR(__xludf.DUMMYFUNCTION("""COMPUTED_VALUE"""),6439585)</f>
        <v>6439585</v>
      </c>
      <c r="G193" s="28">
        <f t="shared" ca="1" si="0"/>
        <v>2.4831442197007059E-2</v>
      </c>
    </row>
    <row r="194" spans="1:7" x14ac:dyDescent="0.2">
      <c r="A194" s="26">
        <f ca="1">IFERROR(__xludf.DUMMYFUNCTION("""COMPUTED_VALUE"""),43721.7291666666)</f>
        <v>43721.729166666599</v>
      </c>
      <c r="B194" s="27">
        <f ca="1">IFERROR(__xludf.DUMMYFUNCTION("""COMPUTED_VALUE"""),62.24)</f>
        <v>62.24</v>
      </c>
      <c r="C194" s="27">
        <f ca="1">IFERROR(__xludf.DUMMYFUNCTION("""COMPUTED_VALUE"""),65.62)</f>
        <v>65.62</v>
      </c>
      <c r="D194" s="27">
        <f ca="1">IFERROR(__xludf.DUMMYFUNCTION("""COMPUTED_VALUE"""),62.16)</f>
        <v>62.16</v>
      </c>
      <c r="E194" s="27">
        <f ca="1">IFERROR(__xludf.DUMMYFUNCTION("""COMPUTED_VALUE"""),65.06)</f>
        <v>65.06</v>
      </c>
      <c r="F194" s="27">
        <f ca="1">IFERROR(__xludf.DUMMYFUNCTION("""COMPUTED_VALUE"""),8785573)</f>
        <v>8785573</v>
      </c>
      <c r="G194" s="28">
        <f t="shared" ca="1" si="0"/>
        <v>4.3966623876765087E-2</v>
      </c>
    </row>
    <row r="195" spans="1:7" x14ac:dyDescent="0.2">
      <c r="A195" s="26">
        <f ca="1">IFERROR(__xludf.DUMMYFUNCTION("""COMPUTED_VALUE"""),43728.7291666666)</f>
        <v>43728.729166666599</v>
      </c>
      <c r="B195" s="27">
        <f ca="1">IFERROR(__xludf.DUMMYFUNCTION("""COMPUTED_VALUE"""),64.37)</f>
        <v>64.37</v>
      </c>
      <c r="C195" s="27">
        <f ca="1">IFERROR(__xludf.DUMMYFUNCTION("""COMPUTED_VALUE"""),65.59)</f>
        <v>65.59</v>
      </c>
      <c r="D195" s="27">
        <f ca="1">IFERROR(__xludf.DUMMYFUNCTION("""COMPUTED_VALUE"""),63.54)</f>
        <v>63.54</v>
      </c>
      <c r="E195" s="27">
        <f ca="1">IFERROR(__xludf.DUMMYFUNCTION("""COMPUTED_VALUE"""),65.15)</f>
        <v>65.150000000000006</v>
      </c>
      <c r="F195" s="27">
        <f ca="1">IFERROR(__xludf.DUMMYFUNCTION("""COMPUTED_VALUE"""),7794750)</f>
        <v>7794750</v>
      </c>
      <c r="G195" s="28">
        <f t="shared" ca="1" si="0"/>
        <v>1.3833384568091578E-3</v>
      </c>
    </row>
    <row r="196" spans="1:7" x14ac:dyDescent="0.2">
      <c r="A196" s="26">
        <f ca="1">IFERROR(__xludf.DUMMYFUNCTION("""COMPUTED_VALUE"""),43735.7291666666)</f>
        <v>43735.729166666599</v>
      </c>
      <c r="B196" s="27">
        <f ca="1">IFERROR(__xludf.DUMMYFUNCTION("""COMPUTED_VALUE"""),64.87)</f>
        <v>64.87</v>
      </c>
      <c r="C196" s="27">
        <f ca="1">IFERROR(__xludf.DUMMYFUNCTION("""COMPUTED_VALUE"""),64.88)</f>
        <v>64.88</v>
      </c>
      <c r="D196" s="27">
        <f ca="1">IFERROR(__xludf.DUMMYFUNCTION("""COMPUTED_VALUE"""),62.55)</f>
        <v>62.55</v>
      </c>
      <c r="E196" s="27">
        <f ca="1">IFERROR(__xludf.DUMMYFUNCTION("""COMPUTED_VALUE"""),63.89)</f>
        <v>63.89</v>
      </c>
      <c r="F196" s="27">
        <f ca="1">IFERROR(__xludf.DUMMYFUNCTION("""COMPUTED_VALUE"""),6105679)</f>
        <v>6105679</v>
      </c>
      <c r="G196" s="28">
        <f t="shared" ca="1" si="0"/>
        <v>-1.9339984650805886E-2</v>
      </c>
    </row>
    <row r="197" spans="1:7" x14ac:dyDescent="0.2">
      <c r="A197" s="26">
        <f ca="1">IFERROR(__xludf.DUMMYFUNCTION("""COMPUTED_VALUE"""),43742.7291666666)</f>
        <v>43742.729166666599</v>
      </c>
      <c r="B197" s="27">
        <f ca="1">IFERROR(__xludf.DUMMYFUNCTION("""COMPUTED_VALUE"""),63.78)</f>
        <v>63.78</v>
      </c>
      <c r="C197" s="27">
        <f ca="1">IFERROR(__xludf.DUMMYFUNCTION("""COMPUTED_VALUE"""),65.72)</f>
        <v>65.72</v>
      </c>
      <c r="D197" s="27">
        <f ca="1">IFERROR(__xludf.DUMMYFUNCTION("""COMPUTED_VALUE"""),61.61)</f>
        <v>61.61</v>
      </c>
      <c r="E197" s="27">
        <f ca="1">IFERROR(__xludf.DUMMYFUNCTION("""COMPUTED_VALUE"""),62.39)</f>
        <v>62.39</v>
      </c>
      <c r="F197" s="27">
        <f ca="1">IFERROR(__xludf.DUMMYFUNCTION("""COMPUTED_VALUE"""),6760084)</f>
        <v>6760084</v>
      </c>
      <c r="G197" s="28">
        <f t="shared" ca="1" si="0"/>
        <v>-2.3477852559085965E-2</v>
      </c>
    </row>
    <row r="198" spans="1:7" x14ac:dyDescent="0.2">
      <c r="A198" s="26">
        <f ca="1">IFERROR(__xludf.DUMMYFUNCTION("""COMPUTED_VALUE"""),43749.7291666666)</f>
        <v>43749.729166666599</v>
      </c>
      <c r="B198" s="27">
        <f ca="1">IFERROR(__xludf.DUMMYFUNCTION("""COMPUTED_VALUE"""),62.04)</f>
        <v>62.04</v>
      </c>
      <c r="C198" s="27">
        <f ca="1">IFERROR(__xludf.DUMMYFUNCTION("""COMPUTED_VALUE"""),64.97)</f>
        <v>64.97</v>
      </c>
      <c r="D198" s="27">
        <f ca="1">IFERROR(__xludf.DUMMYFUNCTION("""COMPUTED_VALUE"""),61.37)</f>
        <v>61.37</v>
      </c>
      <c r="E198" s="27">
        <f ca="1">IFERROR(__xludf.DUMMYFUNCTION("""COMPUTED_VALUE"""),64.78)</f>
        <v>64.78</v>
      </c>
      <c r="F198" s="27">
        <f ca="1">IFERROR(__xludf.DUMMYFUNCTION("""COMPUTED_VALUE"""),6916885)</f>
        <v>6916885</v>
      </c>
      <c r="G198" s="28">
        <f t="shared" ca="1" si="0"/>
        <v>3.8307421061067437E-2</v>
      </c>
    </row>
    <row r="199" spans="1:7" x14ac:dyDescent="0.2">
      <c r="A199" s="26">
        <f ca="1">IFERROR(__xludf.DUMMYFUNCTION("""COMPUTED_VALUE"""),43756.7291666666)</f>
        <v>43756.729166666599</v>
      </c>
      <c r="B199" s="27">
        <f ca="1">IFERROR(__xludf.DUMMYFUNCTION("""COMPUTED_VALUE"""),64.7)</f>
        <v>64.7</v>
      </c>
      <c r="C199" s="27">
        <f ca="1">IFERROR(__xludf.DUMMYFUNCTION("""COMPUTED_VALUE"""),68.73)</f>
        <v>68.73</v>
      </c>
      <c r="D199" s="27">
        <f ca="1">IFERROR(__xludf.DUMMYFUNCTION("""COMPUTED_VALUE"""),63.96)</f>
        <v>63.96</v>
      </c>
      <c r="E199" s="27">
        <f ca="1">IFERROR(__xludf.DUMMYFUNCTION("""COMPUTED_VALUE"""),67.41)</f>
        <v>67.41</v>
      </c>
      <c r="F199" s="27">
        <f ca="1">IFERROR(__xludf.DUMMYFUNCTION("""COMPUTED_VALUE"""),9422015)</f>
        <v>9422015</v>
      </c>
      <c r="G199" s="28">
        <f t="shared" ca="1" si="0"/>
        <v>4.0598950293300406E-2</v>
      </c>
    </row>
    <row r="200" spans="1:7" x14ac:dyDescent="0.2">
      <c r="A200" s="26">
        <f ca="1">IFERROR(__xludf.DUMMYFUNCTION("""COMPUTED_VALUE"""),43763.7291666666)</f>
        <v>43763.729166666599</v>
      </c>
      <c r="B200" s="27">
        <f ca="1">IFERROR(__xludf.DUMMYFUNCTION("""COMPUTED_VALUE"""),67.46)</f>
        <v>67.459999999999994</v>
      </c>
      <c r="C200" s="27">
        <f ca="1">IFERROR(__xludf.DUMMYFUNCTION("""COMPUTED_VALUE"""),70.15)</f>
        <v>70.150000000000006</v>
      </c>
      <c r="D200" s="27">
        <f ca="1">IFERROR(__xludf.DUMMYFUNCTION("""COMPUTED_VALUE"""),67.46)</f>
        <v>67.459999999999994</v>
      </c>
      <c r="E200" s="27">
        <f ca="1">IFERROR(__xludf.DUMMYFUNCTION("""COMPUTED_VALUE"""),69.43)</f>
        <v>69.430000000000007</v>
      </c>
      <c r="F200" s="27">
        <f ca="1">IFERROR(__xludf.DUMMYFUNCTION("""COMPUTED_VALUE"""),6981646)</f>
        <v>6981646</v>
      </c>
      <c r="G200" s="28">
        <f t="shared" ca="1" si="0"/>
        <v>2.9965880433170389E-2</v>
      </c>
    </row>
    <row r="201" spans="1:7" x14ac:dyDescent="0.2">
      <c r="A201" s="26">
        <f ca="1">IFERROR(__xludf.DUMMYFUNCTION("""COMPUTED_VALUE"""),43770.7291666666)</f>
        <v>43770.729166666599</v>
      </c>
      <c r="B201" s="27">
        <f ca="1">IFERROR(__xludf.DUMMYFUNCTION("""COMPUTED_VALUE"""),69.6)</f>
        <v>69.599999999999994</v>
      </c>
      <c r="C201" s="27">
        <f ca="1">IFERROR(__xludf.DUMMYFUNCTION("""COMPUTED_VALUE"""),70.54)</f>
        <v>70.540000000000006</v>
      </c>
      <c r="D201" s="27">
        <f ca="1">IFERROR(__xludf.DUMMYFUNCTION("""COMPUTED_VALUE"""),67.96)</f>
        <v>67.959999999999994</v>
      </c>
      <c r="E201" s="27">
        <f ca="1">IFERROR(__xludf.DUMMYFUNCTION("""COMPUTED_VALUE"""),69.44)</f>
        <v>69.44</v>
      </c>
      <c r="F201" s="27">
        <f ca="1">IFERROR(__xludf.DUMMYFUNCTION("""COMPUTED_VALUE"""),7053703)</f>
        <v>7053703</v>
      </c>
      <c r="G201" s="28">
        <f t="shared" ca="1" si="0"/>
        <v>1.4402995823115106E-4</v>
      </c>
    </row>
    <row r="202" spans="1:7" x14ac:dyDescent="0.2">
      <c r="A202" s="26">
        <f ca="1">IFERROR(__xludf.DUMMYFUNCTION("""COMPUTED_VALUE"""),43777.7291666666)</f>
        <v>43777.729166666599</v>
      </c>
      <c r="B202" s="27">
        <f ca="1">IFERROR(__xludf.DUMMYFUNCTION("""COMPUTED_VALUE"""),70.9)</f>
        <v>70.900000000000006</v>
      </c>
      <c r="C202" s="27">
        <f ca="1">IFERROR(__xludf.DUMMYFUNCTION("""COMPUTED_VALUE"""),75.51)</f>
        <v>75.510000000000005</v>
      </c>
      <c r="D202" s="27">
        <f ca="1">IFERROR(__xludf.DUMMYFUNCTION("""COMPUTED_VALUE"""),70.39)</f>
        <v>70.39</v>
      </c>
      <c r="E202" s="27">
        <f ca="1">IFERROR(__xludf.DUMMYFUNCTION("""COMPUTED_VALUE"""),75.04)</f>
        <v>75.040000000000006</v>
      </c>
      <c r="F202" s="27">
        <f ca="1">IFERROR(__xludf.DUMMYFUNCTION("""COMPUTED_VALUE"""),11854064)</f>
        <v>11854064</v>
      </c>
      <c r="G202" s="28">
        <f t="shared" ca="1" si="0"/>
        <v>8.0645161290322731E-2</v>
      </c>
    </row>
    <row r="203" spans="1:7" x14ac:dyDescent="0.2">
      <c r="A203" s="26">
        <f ca="1">IFERROR(__xludf.DUMMYFUNCTION("""COMPUTED_VALUE"""),43784.7291666666)</f>
        <v>43784.729166666599</v>
      </c>
      <c r="B203" s="27">
        <f ca="1">IFERROR(__xludf.DUMMYFUNCTION("""COMPUTED_VALUE"""),74.57)</f>
        <v>74.569999999999993</v>
      </c>
      <c r="C203" s="27">
        <f ca="1">IFERROR(__xludf.DUMMYFUNCTION("""COMPUTED_VALUE"""),75.88)</f>
        <v>75.88</v>
      </c>
      <c r="D203" s="27">
        <f ca="1">IFERROR(__xludf.DUMMYFUNCTION("""COMPUTED_VALUE"""),72.73)</f>
        <v>72.73</v>
      </c>
      <c r="E203" s="27">
        <f ca="1">IFERROR(__xludf.DUMMYFUNCTION("""COMPUTED_VALUE"""),74.55)</f>
        <v>74.55</v>
      </c>
      <c r="F203" s="27">
        <f ca="1">IFERROR(__xludf.DUMMYFUNCTION("""COMPUTED_VALUE"""),7272133)</f>
        <v>7272133</v>
      </c>
      <c r="G203" s="28">
        <f t="shared" ca="1" si="0"/>
        <v>-6.5298507462687727E-3</v>
      </c>
    </row>
    <row r="204" spans="1:7" x14ac:dyDescent="0.2">
      <c r="A204" s="26">
        <f ca="1">IFERROR(__xludf.DUMMYFUNCTION("""COMPUTED_VALUE"""),43791.7291666666)</f>
        <v>43791.729166666599</v>
      </c>
      <c r="B204" s="27">
        <f ca="1">IFERROR(__xludf.DUMMYFUNCTION("""COMPUTED_VALUE"""),74.79)</f>
        <v>74.790000000000006</v>
      </c>
      <c r="C204" s="27">
        <f ca="1">IFERROR(__xludf.DUMMYFUNCTION("""COMPUTED_VALUE"""),74.95)</f>
        <v>74.95</v>
      </c>
      <c r="D204" s="27">
        <f ca="1">IFERROR(__xludf.DUMMYFUNCTION("""COMPUTED_VALUE"""),72.43)</f>
        <v>72.430000000000007</v>
      </c>
      <c r="E204" s="27">
        <f ca="1">IFERROR(__xludf.DUMMYFUNCTION("""COMPUTED_VALUE"""),74.07)</f>
        <v>74.069999999999993</v>
      </c>
      <c r="F204" s="27">
        <f ca="1">IFERROR(__xludf.DUMMYFUNCTION("""COMPUTED_VALUE"""),6264473)</f>
        <v>6264473</v>
      </c>
      <c r="G204" s="28">
        <f t="shared" ca="1" si="0"/>
        <v>-6.4386317907445534E-3</v>
      </c>
    </row>
    <row r="205" spans="1:7" x14ac:dyDescent="0.2">
      <c r="A205" s="26">
        <f ca="1">IFERROR(__xludf.DUMMYFUNCTION("""COMPUTED_VALUE"""),43798.7291666666)</f>
        <v>43798.729166666599</v>
      </c>
      <c r="B205" s="27">
        <f ca="1">IFERROR(__xludf.DUMMYFUNCTION("""COMPUTED_VALUE"""),74.5)</f>
        <v>74.5</v>
      </c>
      <c r="C205" s="27">
        <f ca="1">IFERROR(__xludf.DUMMYFUNCTION("""COMPUTED_VALUE"""),75)</f>
        <v>75</v>
      </c>
      <c r="D205" s="27">
        <f ca="1">IFERROR(__xludf.DUMMYFUNCTION("""COMPUTED_VALUE"""),72.98)</f>
        <v>72.98</v>
      </c>
      <c r="E205" s="27">
        <f ca="1">IFERROR(__xludf.DUMMYFUNCTION("""COMPUTED_VALUE"""),73.3)</f>
        <v>73.3</v>
      </c>
      <c r="F205" s="27">
        <f ca="1">IFERROR(__xludf.DUMMYFUNCTION("""COMPUTED_VALUE"""),4871052)</f>
        <v>4871052</v>
      </c>
      <c r="G205" s="28">
        <f t="shared" ca="1" si="0"/>
        <v>-1.0395571756446564E-2</v>
      </c>
    </row>
    <row r="206" spans="1:7" x14ac:dyDescent="0.2">
      <c r="A206" s="26">
        <f ca="1">IFERROR(__xludf.DUMMYFUNCTION("""COMPUTED_VALUE"""),43805.7291666666)</f>
        <v>43805.729166666599</v>
      </c>
      <c r="B206" s="27">
        <f ca="1">IFERROR(__xludf.DUMMYFUNCTION("""COMPUTED_VALUE"""),73.39)</f>
        <v>73.39</v>
      </c>
      <c r="C206" s="27">
        <f ca="1">IFERROR(__xludf.DUMMYFUNCTION("""COMPUTED_VALUE"""),73.93)</f>
        <v>73.930000000000007</v>
      </c>
      <c r="D206" s="27">
        <f ca="1">IFERROR(__xludf.DUMMYFUNCTION("""COMPUTED_VALUE"""),71.31)</f>
        <v>71.31</v>
      </c>
      <c r="E206" s="27">
        <f ca="1">IFERROR(__xludf.DUMMYFUNCTION("""COMPUTED_VALUE"""),73.79)</f>
        <v>73.790000000000006</v>
      </c>
      <c r="F206" s="27">
        <f ca="1">IFERROR(__xludf.DUMMYFUNCTION("""COMPUTED_VALUE"""),6467323)</f>
        <v>6467323</v>
      </c>
      <c r="G206" s="28">
        <f t="shared" ca="1" si="0"/>
        <v>6.6848567530697345E-3</v>
      </c>
    </row>
    <row r="207" spans="1:7" x14ac:dyDescent="0.2">
      <c r="A207" s="26">
        <f ca="1">IFERROR(__xludf.DUMMYFUNCTION("""COMPUTED_VALUE"""),43812.7291666666)</f>
        <v>43812.729166666599</v>
      </c>
      <c r="B207" s="27">
        <f ca="1">IFERROR(__xludf.DUMMYFUNCTION("""COMPUTED_VALUE"""),73.74)</f>
        <v>73.739999999999995</v>
      </c>
      <c r="C207" s="27">
        <f ca="1">IFERROR(__xludf.DUMMYFUNCTION("""COMPUTED_VALUE"""),77.06)</f>
        <v>77.06</v>
      </c>
      <c r="D207" s="27">
        <f ca="1">IFERROR(__xludf.DUMMYFUNCTION("""COMPUTED_VALUE"""),71.91)</f>
        <v>71.91</v>
      </c>
      <c r="E207" s="27">
        <f ca="1">IFERROR(__xludf.DUMMYFUNCTION("""COMPUTED_VALUE"""),75.87)</f>
        <v>75.87</v>
      </c>
      <c r="F207" s="27">
        <f ca="1">IFERROR(__xludf.DUMMYFUNCTION("""COMPUTED_VALUE"""),7923267)</f>
        <v>7923267</v>
      </c>
      <c r="G207" s="28">
        <f t="shared" ca="1" si="0"/>
        <v>2.8188101368749052E-2</v>
      </c>
    </row>
    <row r="208" spans="1:7" x14ac:dyDescent="0.2">
      <c r="A208" s="26">
        <f ca="1">IFERROR(__xludf.DUMMYFUNCTION("""COMPUTED_VALUE"""),43819.7291666666)</f>
        <v>43819.729166666599</v>
      </c>
      <c r="B208" s="27">
        <f ca="1">IFERROR(__xludf.DUMMYFUNCTION("""COMPUTED_VALUE"""),75.94)</f>
        <v>75.94</v>
      </c>
      <c r="C208" s="27">
        <f ca="1">IFERROR(__xludf.DUMMYFUNCTION("""COMPUTED_VALUE"""),76.24)</f>
        <v>76.239999999999995</v>
      </c>
      <c r="D208" s="27">
        <f ca="1">IFERROR(__xludf.DUMMYFUNCTION("""COMPUTED_VALUE"""),73.54)</f>
        <v>73.540000000000006</v>
      </c>
      <c r="E208" s="27">
        <f ca="1">IFERROR(__xludf.DUMMYFUNCTION("""COMPUTED_VALUE"""),74.15)</f>
        <v>74.150000000000006</v>
      </c>
      <c r="F208" s="27">
        <f ca="1">IFERROR(__xludf.DUMMYFUNCTION("""COMPUTED_VALUE"""),9272925)</f>
        <v>9272925</v>
      </c>
      <c r="G208" s="28">
        <f t="shared" ca="1" si="0"/>
        <v>-2.2670357189930157E-2</v>
      </c>
    </row>
    <row r="209" spans="1:7" x14ac:dyDescent="0.2">
      <c r="A209" s="26">
        <f ca="1">IFERROR(__xludf.DUMMYFUNCTION("""COMPUTED_VALUE"""),43826.7291666666)</f>
        <v>43826.729166666599</v>
      </c>
      <c r="B209" s="27">
        <f ca="1">IFERROR(__xludf.DUMMYFUNCTION("""COMPUTED_VALUE"""),73.96)</f>
        <v>73.959999999999994</v>
      </c>
      <c r="C209" s="27">
        <f ca="1">IFERROR(__xludf.DUMMYFUNCTION("""COMPUTED_VALUE"""),74.11)</f>
        <v>74.11</v>
      </c>
      <c r="D209" s="27">
        <f ca="1">IFERROR(__xludf.DUMMYFUNCTION("""COMPUTED_VALUE"""),73.16)</f>
        <v>73.16</v>
      </c>
      <c r="E209" s="27">
        <f ca="1">IFERROR(__xludf.DUMMYFUNCTION("""COMPUTED_VALUE"""),73.51)</f>
        <v>73.510000000000005</v>
      </c>
      <c r="F209" s="27">
        <f ca="1">IFERROR(__xludf.DUMMYFUNCTION("""COMPUTED_VALUE"""),1704120)</f>
        <v>1704120</v>
      </c>
      <c r="G209" s="28">
        <f t="shared" ca="1" si="0"/>
        <v>-8.6311530681052462E-3</v>
      </c>
    </row>
    <row r="210" spans="1:7" x14ac:dyDescent="0.2">
      <c r="A210" s="26"/>
      <c r="G210" s="28"/>
    </row>
    <row r="211" spans="1:7" x14ac:dyDescent="0.2">
      <c r="A211" s="26"/>
      <c r="G211" s="28"/>
    </row>
    <row r="212" spans="1:7" x14ac:dyDescent="0.2">
      <c r="A212" s="26"/>
      <c r="G212" s="28"/>
    </row>
    <row r="213" spans="1:7" x14ac:dyDescent="0.2">
      <c r="A213" s="26"/>
      <c r="G213" s="28"/>
    </row>
    <row r="214" spans="1:7" x14ac:dyDescent="0.2">
      <c r="A214" s="26"/>
      <c r="G214" s="28"/>
    </row>
    <row r="215" spans="1:7" x14ac:dyDescent="0.2">
      <c r="A215" s="26"/>
      <c r="G215" s="28"/>
    </row>
    <row r="216" spans="1:7" x14ac:dyDescent="0.2">
      <c r="A216" s="26"/>
      <c r="G216" s="28"/>
    </row>
    <row r="217" spans="1:7" x14ac:dyDescent="0.2">
      <c r="A217" s="26"/>
      <c r="G217" s="28"/>
    </row>
    <row r="218" spans="1:7" x14ac:dyDescent="0.2">
      <c r="A218" s="26"/>
      <c r="G218" s="28"/>
    </row>
    <row r="219" spans="1:7" x14ac:dyDescent="0.2">
      <c r="A219" s="26"/>
      <c r="G219" s="28"/>
    </row>
    <row r="220" spans="1:7" x14ac:dyDescent="0.2">
      <c r="A220" s="26"/>
      <c r="G220" s="28"/>
    </row>
    <row r="221" spans="1:7" x14ac:dyDescent="0.2">
      <c r="A221" s="26"/>
      <c r="G221" s="28"/>
    </row>
    <row r="222" spans="1:7" x14ac:dyDescent="0.2">
      <c r="A222" s="26"/>
      <c r="G222" s="28"/>
    </row>
    <row r="223" spans="1:7" x14ac:dyDescent="0.2">
      <c r="A223" s="26"/>
      <c r="G223" s="28"/>
    </row>
    <row r="224" spans="1:7" x14ac:dyDescent="0.2">
      <c r="A224" s="26"/>
      <c r="G224" s="28"/>
    </row>
    <row r="225" spans="1:7" x14ac:dyDescent="0.2">
      <c r="A225" s="26"/>
      <c r="G225" s="28"/>
    </row>
    <row r="226" spans="1:7" x14ac:dyDescent="0.2">
      <c r="A226" s="26"/>
      <c r="G226" s="28"/>
    </row>
    <row r="227" spans="1:7" x14ac:dyDescent="0.2">
      <c r="A227" s="26"/>
      <c r="G227" s="28"/>
    </row>
    <row r="228" spans="1:7" x14ac:dyDescent="0.2">
      <c r="A228" s="26"/>
      <c r="G228" s="28"/>
    </row>
    <row r="229" spans="1:7" x14ac:dyDescent="0.2">
      <c r="A229" s="26"/>
      <c r="G229" s="28"/>
    </row>
    <row r="230" spans="1:7" x14ac:dyDescent="0.2">
      <c r="A230" s="26"/>
      <c r="G230" s="28"/>
    </row>
    <row r="231" spans="1:7" x14ac:dyDescent="0.2">
      <c r="A231" s="26"/>
      <c r="G231" s="28"/>
    </row>
    <row r="232" spans="1:7" x14ac:dyDescent="0.2">
      <c r="A232" s="26"/>
      <c r="G232" s="28"/>
    </row>
    <row r="233" spans="1:7" x14ac:dyDescent="0.2">
      <c r="A233" s="26"/>
      <c r="G233" s="28"/>
    </row>
    <row r="234" spans="1:7" x14ac:dyDescent="0.2">
      <c r="A234" s="26"/>
      <c r="G234" s="28"/>
    </row>
    <row r="235" spans="1:7" x14ac:dyDescent="0.2">
      <c r="A235" s="26"/>
      <c r="G235" s="28"/>
    </row>
    <row r="236" spans="1:7" x14ac:dyDescent="0.2">
      <c r="A236" s="26"/>
      <c r="G236" s="28"/>
    </row>
    <row r="237" spans="1:7" x14ac:dyDescent="0.2">
      <c r="A237" s="26"/>
      <c r="G237" s="28"/>
    </row>
    <row r="238" spans="1:7" x14ac:dyDescent="0.2">
      <c r="A238" s="26"/>
      <c r="G238" s="28"/>
    </row>
    <row r="239" spans="1:7" x14ac:dyDescent="0.2">
      <c r="A239" s="26"/>
      <c r="G239" s="28"/>
    </row>
    <row r="240" spans="1:7" x14ac:dyDescent="0.2">
      <c r="A240" s="26"/>
      <c r="G240" s="28"/>
    </row>
    <row r="241" spans="1:7" x14ac:dyDescent="0.2">
      <c r="A241" s="26"/>
      <c r="G241" s="28"/>
    </row>
    <row r="242" spans="1:7" x14ac:dyDescent="0.2">
      <c r="A242" s="26"/>
      <c r="G242" s="28"/>
    </row>
    <row r="243" spans="1:7" x14ac:dyDescent="0.2">
      <c r="A243" s="26"/>
      <c r="G243" s="28"/>
    </row>
    <row r="244" spans="1:7" x14ac:dyDescent="0.2">
      <c r="A244" s="26"/>
      <c r="G244" s="28"/>
    </row>
    <row r="245" spans="1:7" x14ac:dyDescent="0.2">
      <c r="A245" s="26"/>
      <c r="G245" s="28"/>
    </row>
    <row r="246" spans="1:7" x14ac:dyDescent="0.2">
      <c r="A246" s="26"/>
      <c r="G246" s="28"/>
    </row>
    <row r="247" spans="1:7" x14ac:dyDescent="0.2">
      <c r="A247" s="26"/>
      <c r="G247" s="28"/>
    </row>
    <row r="248" spans="1:7" x14ac:dyDescent="0.2">
      <c r="A248" s="26"/>
      <c r="G248" s="28"/>
    </row>
    <row r="249" spans="1:7" x14ac:dyDescent="0.2">
      <c r="A249" s="26"/>
      <c r="G249" s="28"/>
    </row>
    <row r="250" spans="1:7" x14ac:dyDescent="0.2">
      <c r="A250" s="26"/>
      <c r="G250" s="28"/>
    </row>
    <row r="251" spans="1:7" x14ac:dyDescent="0.2">
      <c r="A251" s="26"/>
      <c r="G251" s="28"/>
    </row>
    <row r="252" spans="1:7" x14ac:dyDescent="0.2">
      <c r="A252" s="26"/>
      <c r="G252" s="28"/>
    </row>
    <row r="253" spans="1:7" x14ac:dyDescent="0.2">
      <c r="A253" s="26"/>
      <c r="G253" s="28"/>
    </row>
    <row r="254" spans="1:7" x14ac:dyDescent="0.2">
      <c r="A254" s="26"/>
      <c r="G254" s="28"/>
    </row>
    <row r="255" spans="1:7" x14ac:dyDescent="0.2">
      <c r="A255" s="26"/>
      <c r="G255" s="28"/>
    </row>
    <row r="256" spans="1:7" x14ac:dyDescent="0.2">
      <c r="A256" s="26"/>
      <c r="G256" s="28"/>
    </row>
    <row r="257" spans="1:7" x14ac:dyDescent="0.2">
      <c r="A257" s="26"/>
      <c r="G257" s="28"/>
    </row>
    <row r="258" spans="1:7" x14ac:dyDescent="0.2">
      <c r="A258" s="26"/>
      <c r="G258" s="28"/>
    </row>
    <row r="259" spans="1:7" x14ac:dyDescent="0.2">
      <c r="A259" s="26"/>
      <c r="G259" s="28"/>
    </row>
    <row r="260" spans="1:7" x14ac:dyDescent="0.2">
      <c r="A260" s="26"/>
      <c r="G260" s="28"/>
    </row>
    <row r="261" spans="1:7" x14ac:dyDescent="0.2">
      <c r="A261" s="26"/>
      <c r="G261" s="28"/>
    </row>
    <row r="262" spans="1:7" x14ac:dyDescent="0.2">
      <c r="A262" s="26"/>
      <c r="G262" s="28"/>
    </row>
    <row r="263" spans="1:7" x14ac:dyDescent="0.2">
      <c r="A263" s="26"/>
      <c r="G263" s="28"/>
    </row>
    <row r="264" spans="1:7" x14ac:dyDescent="0.2">
      <c r="A264" s="26"/>
      <c r="G264" s="28"/>
    </row>
    <row r="265" spans="1:7" x14ac:dyDescent="0.2">
      <c r="A265" s="26"/>
      <c r="G265" s="28"/>
    </row>
    <row r="266" spans="1:7" x14ac:dyDescent="0.2">
      <c r="A266" s="26"/>
      <c r="G266" s="28"/>
    </row>
    <row r="267" spans="1:7" x14ac:dyDescent="0.2">
      <c r="A267" s="26"/>
      <c r="G267" s="28"/>
    </row>
    <row r="268" spans="1:7" x14ac:dyDescent="0.2">
      <c r="A268" s="26"/>
      <c r="G268" s="28"/>
    </row>
    <row r="269" spans="1:7" x14ac:dyDescent="0.2">
      <c r="A269" s="26"/>
      <c r="G269" s="28"/>
    </row>
    <row r="270" spans="1:7" x14ac:dyDescent="0.2">
      <c r="A270" s="26"/>
      <c r="G270" s="28"/>
    </row>
    <row r="271" spans="1:7" x14ac:dyDescent="0.2">
      <c r="A271" s="26"/>
      <c r="G271" s="28"/>
    </row>
    <row r="272" spans="1:7" x14ac:dyDescent="0.2">
      <c r="A272" s="26"/>
      <c r="G272" s="28"/>
    </row>
    <row r="273" spans="1:7" x14ac:dyDescent="0.2">
      <c r="A273" s="26"/>
      <c r="G273" s="28"/>
    </row>
    <row r="274" spans="1:7" x14ac:dyDescent="0.2">
      <c r="A274" s="26"/>
      <c r="G274" s="28"/>
    </row>
    <row r="275" spans="1:7" x14ac:dyDescent="0.2">
      <c r="A275" s="26"/>
      <c r="G275" s="28"/>
    </row>
    <row r="276" spans="1:7" x14ac:dyDescent="0.2">
      <c r="A276" s="26"/>
      <c r="G276" s="28"/>
    </row>
    <row r="277" spans="1:7" x14ac:dyDescent="0.2">
      <c r="A277" s="26"/>
      <c r="G277" s="28"/>
    </row>
    <row r="278" spans="1:7" x14ac:dyDescent="0.2">
      <c r="A278" s="26"/>
      <c r="G278" s="28"/>
    </row>
    <row r="279" spans="1:7" x14ac:dyDescent="0.2">
      <c r="A279" s="26"/>
      <c r="G279" s="28"/>
    </row>
    <row r="280" spans="1:7" x14ac:dyDescent="0.2">
      <c r="A280" s="26"/>
      <c r="G280" s="28"/>
    </row>
    <row r="281" spans="1:7" x14ac:dyDescent="0.2">
      <c r="A281" s="26"/>
      <c r="G281" s="28"/>
    </row>
    <row r="282" spans="1:7" x14ac:dyDescent="0.2">
      <c r="A282" s="26"/>
      <c r="G282" s="28"/>
    </row>
    <row r="283" spans="1:7" x14ac:dyDescent="0.2">
      <c r="A283" s="26"/>
      <c r="G283" s="28"/>
    </row>
    <row r="284" spans="1:7" x14ac:dyDescent="0.2">
      <c r="A284" s="26"/>
      <c r="G284" s="28"/>
    </row>
    <row r="285" spans="1:7" x14ac:dyDescent="0.2">
      <c r="A285" s="26"/>
      <c r="G285" s="28"/>
    </row>
    <row r="286" spans="1:7" x14ac:dyDescent="0.2">
      <c r="A286" s="26"/>
      <c r="G286" s="28"/>
    </row>
    <row r="287" spans="1:7" x14ac:dyDescent="0.2">
      <c r="A287" s="26"/>
      <c r="G287" s="28"/>
    </row>
    <row r="288" spans="1:7" x14ac:dyDescent="0.2">
      <c r="A288" s="26"/>
      <c r="G288" s="28"/>
    </row>
    <row r="289" spans="1:7" x14ac:dyDescent="0.2">
      <c r="A289" s="26"/>
      <c r="G289" s="28"/>
    </row>
    <row r="290" spans="1:7" x14ac:dyDescent="0.2">
      <c r="A290" s="26"/>
      <c r="G290" s="28"/>
    </row>
    <row r="291" spans="1:7" x14ac:dyDescent="0.2">
      <c r="A291" s="26"/>
      <c r="G291" s="28"/>
    </row>
    <row r="292" spans="1:7" x14ac:dyDescent="0.2">
      <c r="A292" s="26"/>
      <c r="G292" s="28"/>
    </row>
    <row r="293" spans="1:7" x14ac:dyDescent="0.2">
      <c r="A293" s="26"/>
      <c r="G293" s="28"/>
    </row>
    <row r="294" spans="1:7" x14ac:dyDescent="0.2">
      <c r="A294" s="26"/>
      <c r="G294" s="28"/>
    </row>
    <row r="295" spans="1:7" x14ac:dyDescent="0.2">
      <c r="A295" s="26"/>
      <c r="G295" s="28"/>
    </row>
    <row r="296" spans="1:7" x14ac:dyDescent="0.2">
      <c r="A296" s="26"/>
      <c r="G296" s="28"/>
    </row>
    <row r="297" spans="1:7" x14ac:dyDescent="0.2">
      <c r="A297" s="26"/>
      <c r="G297" s="28"/>
    </row>
    <row r="298" spans="1:7" x14ac:dyDescent="0.2">
      <c r="A298" s="26"/>
      <c r="G298" s="28"/>
    </row>
    <row r="299" spans="1:7" x14ac:dyDescent="0.2">
      <c r="A299" s="26"/>
      <c r="G299" s="28"/>
    </row>
    <row r="300" spans="1:7" x14ac:dyDescent="0.2">
      <c r="A300" s="26"/>
      <c r="G300" s="28"/>
    </row>
    <row r="301" spans="1:7" x14ac:dyDescent="0.2">
      <c r="A301" s="26"/>
      <c r="G301" s="28"/>
    </row>
    <row r="302" spans="1:7" x14ac:dyDescent="0.2">
      <c r="A302" s="26"/>
      <c r="G302" s="28"/>
    </row>
    <row r="303" spans="1:7" x14ac:dyDescent="0.2">
      <c r="A303" s="26"/>
      <c r="G303" s="28"/>
    </row>
    <row r="304" spans="1:7" x14ac:dyDescent="0.2">
      <c r="A304" s="26"/>
      <c r="G304" s="28"/>
    </row>
    <row r="305" spans="1:7" x14ac:dyDescent="0.2">
      <c r="A305" s="26"/>
      <c r="G305" s="28"/>
    </row>
    <row r="306" spans="1:7" x14ac:dyDescent="0.2">
      <c r="A306" s="26"/>
      <c r="G306" s="28"/>
    </row>
    <row r="307" spans="1:7" x14ac:dyDescent="0.2">
      <c r="A307" s="26"/>
      <c r="G307" s="28"/>
    </row>
    <row r="308" spans="1:7" x14ac:dyDescent="0.2">
      <c r="A308" s="26"/>
      <c r="G308" s="28"/>
    </row>
    <row r="309" spans="1:7" x14ac:dyDescent="0.2">
      <c r="A309" s="26"/>
      <c r="G309" s="28"/>
    </row>
    <row r="310" spans="1:7" x14ac:dyDescent="0.2">
      <c r="A310" s="26"/>
      <c r="G310" s="28"/>
    </row>
    <row r="311" spans="1:7" x14ac:dyDescent="0.2">
      <c r="A311" s="26"/>
      <c r="G311" s="28"/>
    </row>
    <row r="312" spans="1:7" x14ac:dyDescent="0.2">
      <c r="A312" s="26"/>
      <c r="G312" s="28"/>
    </row>
    <row r="313" spans="1:7" x14ac:dyDescent="0.2">
      <c r="A313" s="26"/>
      <c r="G313" s="28"/>
    </row>
    <row r="314" spans="1:7" x14ac:dyDescent="0.2">
      <c r="A314" s="26"/>
      <c r="G314" s="28"/>
    </row>
    <row r="315" spans="1:7" x14ac:dyDescent="0.2">
      <c r="A315" s="26"/>
      <c r="G315" s="28"/>
    </row>
    <row r="316" spans="1:7" x14ac:dyDescent="0.2">
      <c r="A316" s="26"/>
      <c r="G316" s="28"/>
    </row>
    <row r="317" spans="1:7" x14ac:dyDescent="0.2">
      <c r="A317" s="26"/>
      <c r="G317" s="28"/>
    </row>
    <row r="318" spans="1:7" x14ac:dyDescent="0.2">
      <c r="A318" s="26"/>
      <c r="G318" s="28"/>
    </row>
    <row r="319" spans="1:7" x14ac:dyDescent="0.2">
      <c r="A319" s="26"/>
      <c r="G319" s="28"/>
    </row>
    <row r="320" spans="1:7" x14ac:dyDescent="0.2">
      <c r="A320" s="26"/>
      <c r="G320" s="28"/>
    </row>
    <row r="321" spans="1:7" x14ac:dyDescent="0.2">
      <c r="A321" s="26"/>
      <c r="G321" s="28"/>
    </row>
    <row r="322" spans="1:7" x14ac:dyDescent="0.2">
      <c r="A322" s="26"/>
      <c r="G322" s="28"/>
    </row>
    <row r="323" spans="1:7" x14ac:dyDescent="0.2">
      <c r="A323" s="26"/>
      <c r="G323" s="28"/>
    </row>
    <row r="324" spans="1:7" x14ac:dyDescent="0.2">
      <c r="A324" s="26"/>
      <c r="G324" s="28"/>
    </row>
    <row r="325" spans="1:7" x14ac:dyDescent="0.2">
      <c r="A325" s="26"/>
      <c r="G325" s="28"/>
    </row>
    <row r="326" spans="1:7" x14ac:dyDescent="0.2">
      <c r="A326" s="26"/>
      <c r="G326" s="28"/>
    </row>
    <row r="327" spans="1:7" x14ac:dyDescent="0.2">
      <c r="A327" s="26"/>
      <c r="G327" s="28"/>
    </row>
    <row r="328" spans="1:7" x14ac:dyDescent="0.2">
      <c r="A328" s="26"/>
      <c r="G328" s="28"/>
    </row>
    <row r="329" spans="1:7" x14ac:dyDescent="0.2">
      <c r="A329" s="26"/>
      <c r="G329" s="28"/>
    </row>
    <row r="330" spans="1:7" x14ac:dyDescent="0.2">
      <c r="A330" s="26"/>
      <c r="G330" s="28"/>
    </row>
    <row r="331" spans="1:7" x14ac:dyDescent="0.2">
      <c r="A331" s="26"/>
      <c r="G331" s="28"/>
    </row>
    <row r="332" spans="1:7" x14ac:dyDescent="0.2">
      <c r="A332" s="26"/>
      <c r="G332" s="28"/>
    </row>
    <row r="333" spans="1:7" x14ac:dyDescent="0.2">
      <c r="A333" s="26"/>
      <c r="G333" s="28"/>
    </row>
    <row r="334" spans="1:7" x14ac:dyDescent="0.2">
      <c r="A334" s="26"/>
      <c r="G334" s="28"/>
    </row>
    <row r="335" spans="1:7" x14ac:dyDescent="0.2">
      <c r="A335" s="26"/>
      <c r="G335" s="28"/>
    </row>
    <row r="336" spans="1:7" x14ac:dyDescent="0.2">
      <c r="A336" s="26"/>
      <c r="G336" s="28"/>
    </row>
    <row r="337" spans="1:7" x14ac:dyDescent="0.2">
      <c r="A337" s="26"/>
      <c r="G337" s="28"/>
    </row>
    <row r="338" spans="1:7" x14ac:dyDescent="0.2">
      <c r="A338" s="26"/>
      <c r="G338" s="28"/>
    </row>
    <row r="339" spans="1:7" x14ac:dyDescent="0.2">
      <c r="A339" s="26"/>
      <c r="G339" s="28"/>
    </row>
    <row r="340" spans="1:7" x14ac:dyDescent="0.2">
      <c r="A340" s="26"/>
      <c r="G340" s="28"/>
    </row>
    <row r="341" spans="1:7" x14ac:dyDescent="0.2">
      <c r="A341" s="26"/>
      <c r="G341" s="28"/>
    </row>
    <row r="342" spans="1:7" x14ac:dyDescent="0.2">
      <c r="A342" s="26"/>
      <c r="G342" s="28"/>
    </row>
    <row r="343" spans="1:7" x14ac:dyDescent="0.2">
      <c r="A343" s="26"/>
      <c r="G343" s="28"/>
    </row>
    <row r="344" spans="1:7" x14ac:dyDescent="0.2">
      <c r="A344" s="26"/>
      <c r="G344" s="28"/>
    </row>
    <row r="345" spans="1:7" x14ac:dyDescent="0.2">
      <c r="A345" s="26"/>
      <c r="G345" s="28"/>
    </row>
    <row r="346" spans="1:7" x14ac:dyDescent="0.2">
      <c r="A346" s="26"/>
      <c r="G346" s="28"/>
    </row>
    <row r="347" spans="1:7" x14ac:dyDescent="0.2">
      <c r="A347" s="26"/>
      <c r="G347" s="28"/>
    </row>
    <row r="348" spans="1:7" x14ac:dyDescent="0.2">
      <c r="A348" s="26"/>
      <c r="G348" s="28"/>
    </row>
    <row r="349" spans="1:7" x14ac:dyDescent="0.2">
      <c r="A349" s="26"/>
      <c r="G349" s="28"/>
    </row>
    <row r="350" spans="1:7" x14ac:dyDescent="0.2">
      <c r="A350" s="26"/>
      <c r="G350" s="28"/>
    </row>
    <row r="351" spans="1:7" x14ac:dyDescent="0.2">
      <c r="A351" s="26"/>
      <c r="G351" s="28"/>
    </row>
    <row r="352" spans="1:7" x14ac:dyDescent="0.2">
      <c r="A352" s="26"/>
      <c r="G352" s="28"/>
    </row>
    <row r="353" spans="1:7" x14ac:dyDescent="0.2">
      <c r="A353" s="26"/>
      <c r="G353" s="28"/>
    </row>
    <row r="354" spans="1:7" x14ac:dyDescent="0.2">
      <c r="A354" s="26"/>
      <c r="G354" s="28"/>
    </row>
    <row r="355" spans="1:7" x14ac:dyDescent="0.2">
      <c r="A355" s="26"/>
      <c r="G355" s="28"/>
    </row>
    <row r="356" spans="1:7" x14ac:dyDescent="0.2">
      <c r="A356" s="26"/>
      <c r="G356" s="28"/>
    </row>
    <row r="357" spans="1:7" x14ac:dyDescent="0.2">
      <c r="A357" s="26"/>
      <c r="G357" s="28"/>
    </row>
    <row r="358" spans="1:7" x14ac:dyDescent="0.2">
      <c r="A358" s="26"/>
      <c r="G358" s="28"/>
    </row>
    <row r="359" spans="1:7" x14ac:dyDescent="0.2">
      <c r="A359" s="26"/>
      <c r="G359" s="28"/>
    </row>
    <row r="360" spans="1:7" x14ac:dyDescent="0.2">
      <c r="A360" s="26"/>
      <c r="G360" s="28"/>
    </row>
    <row r="361" spans="1:7" x14ac:dyDescent="0.2">
      <c r="A361" s="26"/>
      <c r="G361" s="28"/>
    </row>
    <row r="362" spans="1:7" x14ac:dyDescent="0.2">
      <c r="A362" s="26"/>
      <c r="G362" s="28"/>
    </row>
    <row r="363" spans="1:7" x14ac:dyDescent="0.2">
      <c r="A363" s="26"/>
      <c r="G363" s="28"/>
    </row>
    <row r="364" spans="1:7" x14ac:dyDescent="0.2">
      <c r="A364" s="26"/>
      <c r="G364" s="28"/>
    </row>
    <row r="365" spans="1:7" x14ac:dyDescent="0.2">
      <c r="A365" s="26"/>
      <c r="G365" s="28"/>
    </row>
    <row r="366" spans="1:7" x14ac:dyDescent="0.2">
      <c r="A366" s="26"/>
      <c r="G366" s="28"/>
    </row>
    <row r="367" spans="1:7" x14ac:dyDescent="0.2">
      <c r="A367" s="26"/>
      <c r="G367" s="28"/>
    </row>
    <row r="368" spans="1:7" x14ac:dyDescent="0.2">
      <c r="A368" s="26"/>
      <c r="G368" s="28"/>
    </row>
    <row r="369" spans="1:7" x14ac:dyDescent="0.2">
      <c r="A369" s="26"/>
      <c r="G369" s="28"/>
    </row>
    <row r="370" spans="1:7" x14ac:dyDescent="0.2">
      <c r="A370" s="26"/>
      <c r="G370" s="28"/>
    </row>
    <row r="371" spans="1:7" x14ac:dyDescent="0.2">
      <c r="A371" s="26"/>
      <c r="G371" s="28"/>
    </row>
    <row r="372" spans="1:7" x14ac:dyDescent="0.2">
      <c r="A372" s="26"/>
      <c r="G372" s="28"/>
    </row>
    <row r="373" spans="1:7" x14ac:dyDescent="0.2">
      <c r="A373" s="26"/>
      <c r="G373" s="28"/>
    </row>
    <row r="374" spans="1:7" x14ac:dyDescent="0.2">
      <c r="A374" s="26"/>
      <c r="G374" s="28"/>
    </row>
    <row r="375" spans="1:7" x14ac:dyDescent="0.2">
      <c r="A375" s="26"/>
      <c r="G375" s="28"/>
    </row>
    <row r="376" spans="1:7" x14ac:dyDescent="0.2">
      <c r="A376" s="26"/>
      <c r="G376" s="28"/>
    </row>
    <row r="377" spans="1:7" x14ac:dyDescent="0.2">
      <c r="A377" s="26"/>
      <c r="G377" s="28"/>
    </row>
    <row r="378" spans="1:7" x14ac:dyDescent="0.2">
      <c r="A378" s="26"/>
      <c r="G378" s="28"/>
    </row>
    <row r="379" spans="1:7" x14ac:dyDescent="0.2">
      <c r="A379" s="26"/>
      <c r="G379" s="28"/>
    </row>
    <row r="380" spans="1:7" x14ac:dyDescent="0.2">
      <c r="A380" s="26"/>
      <c r="G380" s="28"/>
    </row>
    <row r="381" spans="1:7" x14ac:dyDescent="0.2">
      <c r="A381" s="26"/>
      <c r="G381" s="28"/>
    </row>
    <row r="382" spans="1:7" x14ac:dyDescent="0.2">
      <c r="A382" s="26"/>
      <c r="G382" s="28"/>
    </row>
    <row r="383" spans="1:7" x14ac:dyDescent="0.2">
      <c r="A383" s="26"/>
      <c r="G383" s="28"/>
    </row>
    <row r="384" spans="1:7" x14ac:dyDescent="0.2">
      <c r="A384" s="26"/>
      <c r="G384" s="28"/>
    </row>
    <row r="385" spans="1:7" x14ac:dyDescent="0.2">
      <c r="A385" s="26"/>
      <c r="G385" s="28"/>
    </row>
    <row r="386" spans="1:7" x14ac:dyDescent="0.2">
      <c r="A386" s="26"/>
      <c r="G386" s="28"/>
    </row>
    <row r="387" spans="1:7" x14ac:dyDescent="0.2">
      <c r="A387" s="26"/>
      <c r="G387" s="28"/>
    </row>
    <row r="388" spans="1:7" x14ac:dyDescent="0.2">
      <c r="A388" s="26"/>
      <c r="G388" s="28"/>
    </row>
    <row r="389" spans="1:7" x14ac:dyDescent="0.2">
      <c r="A389" s="26"/>
      <c r="G389" s="28"/>
    </row>
    <row r="390" spans="1:7" x14ac:dyDescent="0.2">
      <c r="A390" s="26"/>
      <c r="G390" s="28"/>
    </row>
    <row r="391" spans="1:7" x14ac:dyDescent="0.2">
      <c r="A391" s="26"/>
      <c r="G391" s="28"/>
    </row>
    <row r="392" spans="1:7" x14ac:dyDescent="0.2">
      <c r="A392" s="26"/>
      <c r="G392" s="28"/>
    </row>
    <row r="393" spans="1:7" x14ac:dyDescent="0.2">
      <c r="A393" s="26"/>
      <c r="G393" s="28"/>
    </row>
    <row r="394" spans="1:7" x14ac:dyDescent="0.2">
      <c r="A394" s="26"/>
      <c r="G394" s="28"/>
    </row>
    <row r="395" spans="1:7" x14ac:dyDescent="0.2">
      <c r="A395" s="26"/>
      <c r="G395" s="28"/>
    </row>
    <row r="396" spans="1:7" x14ac:dyDescent="0.2">
      <c r="A396" s="26"/>
      <c r="G396" s="28"/>
    </row>
    <row r="397" spans="1:7" x14ac:dyDescent="0.2">
      <c r="A397" s="26"/>
      <c r="G397" s="28"/>
    </row>
    <row r="398" spans="1:7" x14ac:dyDescent="0.2">
      <c r="A398" s="26"/>
      <c r="G398" s="28"/>
    </row>
    <row r="399" spans="1:7" x14ac:dyDescent="0.2">
      <c r="A399" s="26"/>
      <c r="G399" s="28"/>
    </row>
    <row r="400" spans="1:7" x14ac:dyDescent="0.2">
      <c r="A400" s="26"/>
      <c r="G400" s="28"/>
    </row>
    <row r="401" spans="1:7" x14ac:dyDescent="0.2">
      <c r="A401" s="26"/>
      <c r="G401" s="28"/>
    </row>
    <row r="402" spans="1:7" x14ac:dyDescent="0.2">
      <c r="A402" s="26"/>
      <c r="G402" s="28"/>
    </row>
    <row r="403" spans="1:7" x14ac:dyDescent="0.2">
      <c r="A403" s="26"/>
      <c r="G403" s="28"/>
    </row>
    <row r="404" spans="1:7" x14ac:dyDescent="0.2">
      <c r="A404" s="26"/>
      <c r="G404" s="28"/>
    </row>
    <row r="405" spans="1:7" x14ac:dyDescent="0.2">
      <c r="A405" s="26"/>
      <c r="G405" s="28"/>
    </row>
    <row r="406" spans="1:7" x14ac:dyDescent="0.2">
      <c r="A406" s="26"/>
      <c r="G406" s="28"/>
    </row>
    <row r="407" spans="1:7" x14ac:dyDescent="0.2">
      <c r="A407" s="26"/>
      <c r="G407" s="28"/>
    </row>
    <row r="408" spans="1:7" x14ac:dyDescent="0.2">
      <c r="A408" s="26"/>
      <c r="G408" s="28"/>
    </row>
    <row r="409" spans="1:7" x14ac:dyDescent="0.2">
      <c r="A409" s="26"/>
      <c r="G409" s="28"/>
    </row>
    <row r="410" spans="1:7" x14ac:dyDescent="0.2">
      <c r="A410" s="26"/>
      <c r="G410" s="28"/>
    </row>
    <row r="411" spans="1:7" x14ac:dyDescent="0.2">
      <c r="A411" s="26"/>
      <c r="G411" s="28"/>
    </row>
    <row r="412" spans="1:7" x14ac:dyDescent="0.2">
      <c r="A412" s="26"/>
      <c r="G412" s="28"/>
    </row>
    <row r="413" spans="1:7" x14ac:dyDescent="0.2">
      <c r="A413" s="26"/>
      <c r="G413" s="28"/>
    </row>
    <row r="414" spans="1:7" x14ac:dyDescent="0.2">
      <c r="A414" s="26"/>
      <c r="G414" s="28"/>
    </row>
    <row r="415" spans="1:7" x14ac:dyDescent="0.2">
      <c r="A415" s="26"/>
      <c r="G415" s="28"/>
    </row>
    <row r="416" spans="1:7" x14ac:dyDescent="0.2">
      <c r="A416" s="26"/>
      <c r="G416" s="28"/>
    </row>
    <row r="417" spans="1:7" x14ac:dyDescent="0.2">
      <c r="A417" s="26"/>
      <c r="G417" s="28"/>
    </row>
    <row r="418" spans="1:7" x14ac:dyDescent="0.2">
      <c r="A418" s="26"/>
      <c r="G418" s="28"/>
    </row>
    <row r="419" spans="1:7" x14ac:dyDescent="0.2">
      <c r="A419" s="26"/>
      <c r="G419" s="28"/>
    </row>
    <row r="420" spans="1:7" x14ac:dyDescent="0.2">
      <c r="A420" s="26"/>
      <c r="G420" s="28"/>
    </row>
    <row r="421" spans="1:7" x14ac:dyDescent="0.2">
      <c r="A421" s="26"/>
      <c r="G421" s="28"/>
    </row>
    <row r="422" spans="1:7" x14ac:dyDescent="0.2">
      <c r="A422" s="26"/>
      <c r="G422" s="28"/>
    </row>
    <row r="423" spans="1:7" x14ac:dyDescent="0.2">
      <c r="A423" s="26"/>
      <c r="G423" s="28"/>
    </row>
    <row r="424" spans="1:7" x14ac:dyDescent="0.2">
      <c r="A424" s="26"/>
      <c r="G424" s="28"/>
    </row>
    <row r="425" spans="1:7" x14ac:dyDescent="0.2">
      <c r="A425" s="26"/>
      <c r="G425" s="28"/>
    </row>
    <row r="426" spans="1:7" x14ac:dyDescent="0.2">
      <c r="A426" s="26"/>
      <c r="G426" s="28"/>
    </row>
    <row r="427" spans="1:7" x14ac:dyDescent="0.2">
      <c r="A427" s="26"/>
      <c r="G427" s="28"/>
    </row>
    <row r="428" spans="1:7" x14ac:dyDescent="0.2">
      <c r="A428" s="26"/>
      <c r="G428" s="28"/>
    </row>
    <row r="429" spans="1:7" x14ac:dyDescent="0.2">
      <c r="A429" s="26"/>
      <c r="G429" s="28"/>
    </row>
    <row r="430" spans="1:7" x14ac:dyDescent="0.2">
      <c r="A430" s="26"/>
      <c r="G430" s="28"/>
    </row>
    <row r="431" spans="1:7" x14ac:dyDescent="0.2">
      <c r="A431" s="26"/>
      <c r="G431" s="28"/>
    </row>
    <row r="432" spans="1:7" x14ac:dyDescent="0.2">
      <c r="A432" s="26"/>
      <c r="G432" s="28"/>
    </row>
    <row r="433" spans="1:7" x14ac:dyDescent="0.2">
      <c r="A433" s="26"/>
      <c r="G433" s="28"/>
    </row>
    <row r="434" spans="1:7" x14ac:dyDescent="0.2">
      <c r="A434" s="26"/>
      <c r="G434" s="28"/>
    </row>
    <row r="435" spans="1:7" x14ac:dyDescent="0.2">
      <c r="A435" s="26"/>
      <c r="G435" s="28"/>
    </row>
    <row r="436" spans="1:7" x14ac:dyDescent="0.2">
      <c r="A436" s="26"/>
      <c r="G436" s="28"/>
    </row>
    <row r="437" spans="1:7" x14ac:dyDescent="0.2">
      <c r="A437" s="26"/>
      <c r="G437" s="28"/>
    </row>
    <row r="438" spans="1:7" x14ac:dyDescent="0.2">
      <c r="A438" s="26"/>
      <c r="G438" s="28"/>
    </row>
    <row r="439" spans="1:7" x14ac:dyDescent="0.2">
      <c r="A439" s="26"/>
      <c r="G439" s="28"/>
    </row>
    <row r="440" spans="1:7" x14ac:dyDescent="0.2">
      <c r="A440" s="26"/>
      <c r="G440" s="28"/>
    </row>
    <row r="441" spans="1:7" x14ac:dyDescent="0.2">
      <c r="A441" s="26"/>
      <c r="G441" s="28"/>
    </row>
    <row r="442" spans="1:7" x14ac:dyDescent="0.2">
      <c r="A442" s="26"/>
      <c r="G442" s="28"/>
    </row>
    <row r="443" spans="1:7" x14ac:dyDescent="0.2">
      <c r="A443" s="26"/>
      <c r="G443" s="28"/>
    </row>
    <row r="444" spans="1:7" x14ac:dyDescent="0.2">
      <c r="A444" s="26"/>
      <c r="G444" s="28"/>
    </row>
    <row r="445" spans="1:7" x14ac:dyDescent="0.2">
      <c r="A445" s="26"/>
      <c r="G445" s="28"/>
    </row>
    <row r="446" spans="1:7" x14ac:dyDescent="0.2">
      <c r="A446" s="26"/>
      <c r="G446" s="28"/>
    </row>
    <row r="447" spans="1:7" x14ac:dyDescent="0.2">
      <c r="A447" s="26"/>
      <c r="G447" s="28"/>
    </row>
    <row r="448" spans="1:7" x14ac:dyDescent="0.2">
      <c r="A448" s="26"/>
      <c r="G448" s="28"/>
    </row>
    <row r="449" spans="1:7" x14ac:dyDescent="0.2">
      <c r="A449" s="26"/>
      <c r="G449" s="28"/>
    </row>
    <row r="450" spans="1:7" x14ac:dyDescent="0.2">
      <c r="A450" s="26"/>
      <c r="G450" s="28"/>
    </row>
    <row r="451" spans="1:7" x14ac:dyDescent="0.2">
      <c r="A451" s="26"/>
      <c r="G451" s="28"/>
    </row>
    <row r="452" spans="1:7" x14ac:dyDescent="0.2">
      <c r="A452" s="26"/>
      <c r="G452" s="28"/>
    </row>
    <row r="453" spans="1:7" x14ac:dyDescent="0.2">
      <c r="A453" s="26"/>
      <c r="G453" s="28"/>
    </row>
    <row r="454" spans="1:7" x14ac:dyDescent="0.2">
      <c r="A454" s="26"/>
      <c r="G454" s="28"/>
    </row>
    <row r="455" spans="1:7" x14ac:dyDescent="0.2">
      <c r="A455" s="26"/>
      <c r="G455" s="28"/>
    </row>
    <row r="456" spans="1:7" x14ac:dyDescent="0.2">
      <c r="A456" s="26"/>
      <c r="G456" s="28"/>
    </row>
    <row r="457" spans="1:7" x14ac:dyDescent="0.2">
      <c r="A457" s="26"/>
      <c r="G457" s="28"/>
    </row>
    <row r="458" spans="1:7" x14ac:dyDescent="0.2">
      <c r="A458" s="26"/>
      <c r="G458" s="28"/>
    </row>
    <row r="459" spans="1:7" x14ac:dyDescent="0.2">
      <c r="A459" s="26"/>
      <c r="G459" s="28"/>
    </row>
    <row r="460" spans="1:7" x14ac:dyDescent="0.2">
      <c r="A460" s="26"/>
      <c r="G460" s="28"/>
    </row>
    <row r="461" spans="1:7" x14ac:dyDescent="0.2">
      <c r="A461" s="26"/>
      <c r="G461" s="28"/>
    </row>
    <row r="462" spans="1:7" x14ac:dyDescent="0.2">
      <c r="A462" s="26"/>
      <c r="G462" s="28"/>
    </row>
    <row r="463" spans="1:7" x14ac:dyDescent="0.2">
      <c r="A463" s="26"/>
      <c r="G463" s="28"/>
    </row>
    <row r="464" spans="1:7" x14ac:dyDescent="0.2">
      <c r="A464" s="26"/>
      <c r="G464" s="28"/>
    </row>
    <row r="465" spans="1:7" x14ac:dyDescent="0.2">
      <c r="A465" s="26"/>
      <c r="G465" s="28"/>
    </row>
    <row r="466" spans="1:7" x14ac:dyDescent="0.2">
      <c r="A466" s="26"/>
      <c r="G466" s="28"/>
    </row>
    <row r="467" spans="1:7" x14ac:dyDescent="0.2">
      <c r="A467" s="26"/>
      <c r="G467" s="28"/>
    </row>
    <row r="468" spans="1:7" x14ac:dyDescent="0.2">
      <c r="A468" s="26"/>
      <c r="G468" s="28"/>
    </row>
    <row r="469" spans="1:7" x14ac:dyDescent="0.2">
      <c r="A469" s="26"/>
      <c r="G469" s="28"/>
    </row>
    <row r="470" spans="1:7" x14ac:dyDescent="0.2">
      <c r="A470" s="26"/>
      <c r="G470" s="28"/>
    </row>
    <row r="471" spans="1:7" x14ac:dyDescent="0.2">
      <c r="A471" s="26"/>
      <c r="G471" s="28"/>
    </row>
    <row r="472" spans="1:7" x14ac:dyDescent="0.2">
      <c r="A472" s="26"/>
      <c r="G472" s="28"/>
    </row>
    <row r="473" spans="1:7" x14ac:dyDescent="0.2">
      <c r="A473" s="26"/>
      <c r="G473" s="28"/>
    </row>
    <row r="474" spans="1:7" x14ac:dyDescent="0.2">
      <c r="A474" s="26"/>
      <c r="G474" s="28"/>
    </row>
    <row r="475" spans="1:7" x14ac:dyDescent="0.2">
      <c r="A475" s="26"/>
      <c r="G475" s="28"/>
    </row>
    <row r="476" spans="1:7" x14ac:dyDescent="0.2">
      <c r="A476" s="26"/>
      <c r="G476" s="28"/>
    </row>
    <row r="477" spans="1:7" x14ac:dyDescent="0.2">
      <c r="A477" s="26"/>
      <c r="G477" s="28"/>
    </row>
    <row r="478" spans="1:7" x14ac:dyDescent="0.2">
      <c r="A478" s="26"/>
      <c r="G478" s="28"/>
    </row>
    <row r="479" spans="1:7" x14ac:dyDescent="0.2">
      <c r="A479" s="26"/>
      <c r="G479" s="28"/>
    </row>
    <row r="480" spans="1:7" x14ac:dyDescent="0.2">
      <c r="A480" s="26"/>
      <c r="G480" s="28"/>
    </row>
    <row r="481" spans="1:7" x14ac:dyDescent="0.2">
      <c r="A481" s="26"/>
      <c r="G481" s="28"/>
    </row>
    <row r="482" spans="1:7" x14ac:dyDescent="0.2">
      <c r="A482" s="26"/>
      <c r="G482" s="28"/>
    </row>
    <row r="483" spans="1:7" x14ac:dyDescent="0.2">
      <c r="A483" s="26"/>
      <c r="G483" s="28"/>
    </row>
    <row r="484" spans="1:7" x14ac:dyDescent="0.2">
      <c r="A484" s="26"/>
      <c r="G484" s="28"/>
    </row>
    <row r="485" spans="1:7" x14ac:dyDescent="0.2">
      <c r="A485" s="26"/>
      <c r="G485" s="28"/>
    </row>
    <row r="486" spans="1:7" x14ac:dyDescent="0.2">
      <c r="A486" s="26"/>
      <c r="G486" s="28"/>
    </row>
    <row r="487" spans="1:7" x14ac:dyDescent="0.2">
      <c r="A487" s="26"/>
      <c r="G487" s="28"/>
    </row>
    <row r="488" spans="1:7" x14ac:dyDescent="0.2">
      <c r="A488" s="26"/>
      <c r="G488" s="28"/>
    </row>
    <row r="489" spans="1:7" x14ac:dyDescent="0.2">
      <c r="A489" s="26"/>
      <c r="G489" s="28"/>
    </row>
    <row r="490" spans="1:7" x14ac:dyDescent="0.2">
      <c r="A490" s="26"/>
      <c r="G490" s="28"/>
    </row>
    <row r="491" spans="1:7" x14ac:dyDescent="0.2">
      <c r="A491" s="26"/>
      <c r="G491" s="28"/>
    </row>
    <row r="492" spans="1:7" x14ac:dyDescent="0.2">
      <c r="A492" s="26"/>
      <c r="G492" s="28"/>
    </row>
    <row r="493" spans="1:7" x14ac:dyDescent="0.2">
      <c r="A493" s="26"/>
      <c r="G493" s="28"/>
    </row>
    <row r="494" spans="1:7" x14ac:dyDescent="0.2">
      <c r="A494" s="26"/>
      <c r="G494" s="28"/>
    </row>
    <row r="495" spans="1:7" x14ac:dyDescent="0.2">
      <c r="A495" s="26"/>
      <c r="G495" s="28"/>
    </row>
    <row r="496" spans="1:7" x14ac:dyDescent="0.2">
      <c r="A496" s="26"/>
      <c r="G496" s="28"/>
    </row>
    <row r="497" spans="1:7" x14ac:dyDescent="0.2">
      <c r="A497" s="26"/>
      <c r="G497" s="28"/>
    </row>
    <row r="498" spans="1:7" x14ac:dyDescent="0.2">
      <c r="A498" s="26"/>
      <c r="G498" s="28"/>
    </row>
    <row r="499" spans="1:7" x14ac:dyDescent="0.2">
      <c r="A499" s="26"/>
      <c r="G499" s="28"/>
    </row>
    <row r="500" spans="1:7" x14ac:dyDescent="0.2">
      <c r="A500" s="26"/>
      <c r="G500" s="28"/>
    </row>
    <row r="501" spans="1:7" x14ac:dyDescent="0.2">
      <c r="A501" s="26"/>
      <c r="G501" s="28"/>
    </row>
    <row r="502" spans="1:7" x14ac:dyDescent="0.2">
      <c r="A502" s="26"/>
      <c r="G502" s="28"/>
    </row>
    <row r="503" spans="1:7" x14ac:dyDescent="0.2">
      <c r="A503" s="26"/>
      <c r="G503" s="28"/>
    </row>
    <row r="504" spans="1:7" x14ac:dyDescent="0.2">
      <c r="A504" s="26"/>
      <c r="G504" s="28"/>
    </row>
    <row r="505" spans="1:7" x14ac:dyDescent="0.2">
      <c r="A505" s="26"/>
      <c r="G505" s="28"/>
    </row>
    <row r="506" spans="1:7" x14ac:dyDescent="0.2">
      <c r="A506" s="26"/>
      <c r="G506" s="28"/>
    </row>
    <row r="507" spans="1:7" x14ac:dyDescent="0.2">
      <c r="A507" s="26"/>
      <c r="G507" s="28"/>
    </row>
    <row r="508" spans="1:7" x14ac:dyDescent="0.2">
      <c r="A508" s="26"/>
      <c r="G508" s="28"/>
    </row>
    <row r="509" spans="1:7" x14ac:dyDescent="0.2">
      <c r="A509" s="26"/>
      <c r="G509" s="28"/>
    </row>
    <row r="510" spans="1:7" x14ac:dyDescent="0.2">
      <c r="A510" s="26"/>
      <c r="G510" s="28"/>
    </row>
    <row r="511" spans="1:7" x14ac:dyDescent="0.2">
      <c r="A511" s="26"/>
      <c r="G511" s="28"/>
    </row>
    <row r="512" spans="1:7" x14ac:dyDescent="0.2">
      <c r="A512" s="26"/>
      <c r="G512" s="28"/>
    </row>
    <row r="513" spans="1:7" x14ac:dyDescent="0.2">
      <c r="A513" s="26"/>
      <c r="G513" s="28"/>
    </row>
    <row r="514" spans="1:7" x14ac:dyDescent="0.2">
      <c r="A514" s="26"/>
      <c r="G514" s="28"/>
    </row>
    <row r="515" spans="1:7" x14ac:dyDescent="0.2">
      <c r="A515" s="26"/>
      <c r="G515" s="28"/>
    </row>
    <row r="516" spans="1:7" x14ac:dyDescent="0.2">
      <c r="A516" s="26"/>
      <c r="G516" s="28"/>
    </row>
    <row r="517" spans="1:7" x14ac:dyDescent="0.2">
      <c r="A517" s="26"/>
      <c r="G517" s="28"/>
    </row>
    <row r="518" spans="1:7" x14ac:dyDescent="0.2">
      <c r="A518" s="26"/>
      <c r="G518" s="28"/>
    </row>
    <row r="519" spans="1:7" x14ac:dyDescent="0.2">
      <c r="A519" s="26"/>
      <c r="G519" s="28"/>
    </row>
    <row r="520" spans="1:7" x14ac:dyDescent="0.2">
      <c r="A520" s="26"/>
      <c r="G520" s="28"/>
    </row>
    <row r="521" spans="1:7" x14ac:dyDescent="0.2">
      <c r="A521" s="26"/>
      <c r="G521" s="28"/>
    </row>
    <row r="522" spans="1:7" x14ac:dyDescent="0.2">
      <c r="A522" s="26"/>
      <c r="G522" s="28"/>
    </row>
    <row r="523" spans="1:7" x14ac:dyDescent="0.2">
      <c r="A523" s="26"/>
      <c r="G523" s="28"/>
    </row>
    <row r="524" spans="1:7" x14ac:dyDescent="0.2">
      <c r="A524" s="26"/>
      <c r="G524" s="28"/>
    </row>
    <row r="525" spans="1:7" x14ac:dyDescent="0.2">
      <c r="A525" s="26"/>
      <c r="G525" s="28"/>
    </row>
    <row r="526" spans="1:7" x14ac:dyDescent="0.2">
      <c r="A526" s="26"/>
      <c r="G526" s="28"/>
    </row>
    <row r="527" spans="1:7" x14ac:dyDescent="0.2">
      <c r="A527" s="26"/>
      <c r="G527" s="28"/>
    </row>
    <row r="528" spans="1:7" x14ac:dyDescent="0.2">
      <c r="A528" s="26"/>
      <c r="G528" s="28"/>
    </row>
    <row r="529" spans="1:7" x14ac:dyDescent="0.2">
      <c r="A529" s="26"/>
      <c r="G529" s="28"/>
    </row>
    <row r="530" spans="1:7" x14ac:dyDescent="0.2">
      <c r="A530" s="26"/>
      <c r="G530" s="28"/>
    </row>
    <row r="531" spans="1:7" x14ac:dyDescent="0.2">
      <c r="A531" s="26"/>
      <c r="G531" s="28"/>
    </row>
    <row r="532" spans="1:7" x14ac:dyDescent="0.2">
      <c r="A532" s="26"/>
      <c r="G532" s="28"/>
    </row>
    <row r="533" spans="1:7" x14ac:dyDescent="0.2">
      <c r="A533" s="26"/>
      <c r="G533" s="28"/>
    </row>
    <row r="534" spans="1:7" x14ac:dyDescent="0.2">
      <c r="A534" s="26"/>
      <c r="G534" s="28"/>
    </row>
    <row r="535" spans="1:7" x14ac:dyDescent="0.2">
      <c r="A535" s="26"/>
      <c r="G535" s="28"/>
    </row>
    <row r="536" spans="1:7" x14ac:dyDescent="0.2">
      <c r="A536" s="26"/>
      <c r="G536" s="28"/>
    </row>
    <row r="537" spans="1:7" x14ac:dyDescent="0.2">
      <c r="A537" s="26"/>
      <c r="G537" s="28"/>
    </row>
    <row r="538" spans="1:7" x14ac:dyDescent="0.2">
      <c r="A538" s="26"/>
      <c r="G538" s="28"/>
    </row>
    <row r="539" spans="1:7" x14ac:dyDescent="0.2">
      <c r="A539" s="26"/>
      <c r="G539" s="28"/>
    </row>
    <row r="540" spans="1:7" x14ac:dyDescent="0.2">
      <c r="A540" s="26"/>
      <c r="G540" s="28"/>
    </row>
    <row r="541" spans="1:7" x14ac:dyDescent="0.2">
      <c r="A541" s="26"/>
      <c r="G541" s="28"/>
    </row>
    <row r="542" spans="1:7" x14ac:dyDescent="0.2">
      <c r="A542" s="26"/>
      <c r="G542" s="28"/>
    </row>
    <row r="543" spans="1:7" x14ac:dyDescent="0.2">
      <c r="A543" s="26"/>
      <c r="G543" s="28"/>
    </row>
    <row r="544" spans="1:7" x14ac:dyDescent="0.2">
      <c r="A544" s="26"/>
      <c r="G544" s="28"/>
    </row>
    <row r="545" spans="1:7" x14ac:dyDescent="0.2">
      <c r="A545" s="26"/>
      <c r="G545" s="28"/>
    </row>
    <row r="546" spans="1:7" x14ac:dyDescent="0.2">
      <c r="A546" s="26"/>
      <c r="G546" s="28"/>
    </row>
    <row r="547" spans="1:7" x14ac:dyDescent="0.2">
      <c r="A547" s="26"/>
      <c r="G547" s="28"/>
    </row>
    <row r="548" spans="1:7" x14ac:dyDescent="0.2">
      <c r="A548" s="26"/>
      <c r="G548" s="28"/>
    </row>
    <row r="549" spans="1:7" x14ac:dyDescent="0.2">
      <c r="A549" s="26"/>
      <c r="G549" s="28"/>
    </row>
    <row r="550" spans="1:7" x14ac:dyDescent="0.2">
      <c r="A550" s="26"/>
      <c r="G550" s="28"/>
    </row>
    <row r="551" spans="1:7" x14ac:dyDescent="0.2">
      <c r="A551" s="26"/>
      <c r="G551" s="28"/>
    </row>
    <row r="552" spans="1:7" x14ac:dyDescent="0.2">
      <c r="A552" s="26"/>
      <c r="G552" s="28"/>
    </row>
    <row r="553" spans="1:7" x14ac:dyDescent="0.2">
      <c r="A553" s="26"/>
      <c r="G553" s="28"/>
    </row>
    <row r="554" spans="1:7" x14ac:dyDescent="0.2">
      <c r="A554" s="26"/>
      <c r="G554" s="28"/>
    </row>
    <row r="555" spans="1:7" x14ac:dyDescent="0.2">
      <c r="A555" s="26"/>
      <c r="G555" s="28"/>
    </row>
    <row r="556" spans="1:7" x14ac:dyDescent="0.2">
      <c r="A556" s="26"/>
      <c r="G556" s="28"/>
    </row>
    <row r="557" spans="1:7" x14ac:dyDescent="0.2">
      <c r="A557" s="26"/>
      <c r="G557" s="28"/>
    </row>
    <row r="558" spans="1:7" x14ac:dyDescent="0.2">
      <c r="A558" s="26"/>
      <c r="G558" s="28"/>
    </row>
    <row r="559" spans="1:7" x14ac:dyDescent="0.2">
      <c r="A559" s="26"/>
      <c r="G559" s="28"/>
    </row>
    <row r="560" spans="1:7" x14ac:dyDescent="0.2">
      <c r="A560" s="26"/>
      <c r="G560" s="28"/>
    </row>
    <row r="561" spans="1:7" x14ac:dyDescent="0.2">
      <c r="A561" s="26"/>
      <c r="G561" s="28"/>
    </row>
    <row r="562" spans="1:7" x14ac:dyDescent="0.2">
      <c r="A562" s="26"/>
      <c r="G562" s="28"/>
    </row>
    <row r="563" spans="1:7" x14ac:dyDescent="0.2">
      <c r="A563" s="26"/>
      <c r="G563" s="28"/>
    </row>
    <row r="564" spans="1:7" x14ac:dyDescent="0.2">
      <c r="A564" s="26"/>
      <c r="G564" s="28"/>
    </row>
    <row r="565" spans="1:7" x14ac:dyDescent="0.2">
      <c r="A565" s="26"/>
      <c r="G565" s="28"/>
    </row>
    <row r="566" spans="1:7" x14ac:dyDescent="0.2">
      <c r="A566" s="26"/>
      <c r="G566" s="28"/>
    </row>
    <row r="567" spans="1:7" x14ac:dyDescent="0.2">
      <c r="A567" s="26"/>
      <c r="G567" s="28"/>
    </row>
    <row r="568" spans="1:7" x14ac:dyDescent="0.2">
      <c r="A568" s="26"/>
      <c r="G568" s="28"/>
    </row>
    <row r="569" spans="1:7" x14ac:dyDescent="0.2">
      <c r="A569" s="26"/>
      <c r="G569" s="28"/>
    </row>
    <row r="570" spans="1:7" x14ac:dyDescent="0.2">
      <c r="A570" s="26"/>
      <c r="G570" s="28"/>
    </row>
    <row r="571" spans="1:7" x14ac:dyDescent="0.2">
      <c r="A571" s="26"/>
      <c r="G571" s="28"/>
    </row>
    <row r="572" spans="1:7" x14ac:dyDescent="0.2">
      <c r="A572" s="26"/>
      <c r="G572" s="28"/>
    </row>
    <row r="573" spans="1:7" x14ac:dyDescent="0.2">
      <c r="A573" s="26"/>
      <c r="G573" s="28"/>
    </row>
    <row r="574" spans="1:7" x14ac:dyDescent="0.2">
      <c r="A574" s="26"/>
      <c r="G574" s="28"/>
    </row>
    <row r="575" spans="1:7" x14ac:dyDescent="0.2">
      <c r="A575" s="26"/>
      <c r="G575" s="28"/>
    </row>
    <row r="576" spans="1:7" x14ac:dyDescent="0.2">
      <c r="A576" s="26"/>
      <c r="G576" s="28"/>
    </row>
    <row r="577" spans="1:7" x14ac:dyDescent="0.2">
      <c r="A577" s="26"/>
      <c r="G577" s="28"/>
    </row>
    <row r="578" spans="1:7" x14ac:dyDescent="0.2">
      <c r="A578" s="26"/>
      <c r="G578" s="28"/>
    </row>
    <row r="579" spans="1:7" x14ac:dyDescent="0.2">
      <c r="A579" s="26"/>
      <c r="G579" s="28"/>
    </row>
    <row r="580" spans="1:7" x14ac:dyDescent="0.2">
      <c r="A580" s="26"/>
      <c r="G580" s="28"/>
    </row>
    <row r="581" spans="1:7" x14ac:dyDescent="0.2">
      <c r="A581" s="26"/>
      <c r="G581" s="28"/>
    </row>
    <row r="582" spans="1:7" x14ac:dyDescent="0.2">
      <c r="A582" s="26"/>
      <c r="G582" s="28"/>
    </row>
    <row r="583" spans="1:7" x14ac:dyDescent="0.2">
      <c r="A583" s="26"/>
      <c r="G583" s="28"/>
    </row>
    <row r="584" spans="1:7" x14ac:dyDescent="0.2">
      <c r="A584" s="26"/>
      <c r="G584" s="28"/>
    </row>
    <row r="585" spans="1:7" x14ac:dyDescent="0.2">
      <c r="A585" s="26"/>
      <c r="G585" s="28"/>
    </row>
    <row r="586" spans="1:7" x14ac:dyDescent="0.2">
      <c r="A586" s="26"/>
      <c r="G586" s="28"/>
    </row>
    <row r="587" spans="1:7" x14ac:dyDescent="0.2">
      <c r="A587" s="26"/>
      <c r="G587" s="28"/>
    </row>
    <row r="588" spans="1:7" x14ac:dyDescent="0.2">
      <c r="A588" s="26"/>
      <c r="G588" s="28"/>
    </row>
    <row r="589" spans="1:7" x14ac:dyDescent="0.2">
      <c r="A589" s="26"/>
      <c r="G589" s="28"/>
    </row>
    <row r="590" spans="1:7" x14ac:dyDescent="0.2">
      <c r="A590" s="26"/>
      <c r="G590" s="28"/>
    </row>
    <row r="591" spans="1:7" x14ac:dyDescent="0.2">
      <c r="A591" s="26"/>
      <c r="G591" s="28"/>
    </row>
    <row r="592" spans="1:7" x14ac:dyDescent="0.2">
      <c r="A592" s="26"/>
      <c r="G592" s="28"/>
    </row>
    <row r="593" spans="1:7" x14ac:dyDescent="0.2">
      <c r="A593" s="26"/>
      <c r="G593" s="28"/>
    </row>
    <row r="594" spans="1:7" x14ac:dyDescent="0.2">
      <c r="A594" s="26"/>
      <c r="G594" s="28"/>
    </row>
    <row r="595" spans="1:7" x14ac:dyDescent="0.2">
      <c r="A595" s="26"/>
      <c r="G595" s="28"/>
    </row>
    <row r="596" spans="1:7" x14ac:dyDescent="0.2">
      <c r="A596" s="26"/>
      <c r="G596" s="28"/>
    </row>
    <row r="597" spans="1:7" x14ac:dyDescent="0.2">
      <c r="A597" s="26"/>
      <c r="G597" s="28"/>
    </row>
    <row r="598" spans="1:7" x14ac:dyDescent="0.2">
      <c r="A598" s="26"/>
      <c r="G598" s="28"/>
    </row>
    <row r="599" spans="1:7" x14ac:dyDescent="0.2">
      <c r="A599" s="26"/>
      <c r="G599" s="28"/>
    </row>
    <row r="600" spans="1:7" x14ac:dyDescent="0.2">
      <c r="A600" s="26"/>
      <c r="G600" s="28"/>
    </row>
    <row r="601" spans="1:7" x14ac:dyDescent="0.2">
      <c r="A601" s="26"/>
      <c r="G601" s="28"/>
    </row>
    <row r="602" spans="1:7" x14ac:dyDescent="0.2">
      <c r="A602" s="26"/>
      <c r="G602" s="28"/>
    </row>
    <row r="603" spans="1:7" x14ac:dyDescent="0.2">
      <c r="A603" s="26"/>
      <c r="G603" s="28"/>
    </row>
    <row r="604" spans="1:7" x14ac:dyDescent="0.2">
      <c r="A604" s="26"/>
      <c r="G604" s="28"/>
    </row>
    <row r="605" spans="1:7" x14ac:dyDescent="0.2">
      <c r="A605" s="26"/>
      <c r="G605" s="28"/>
    </row>
    <row r="606" spans="1:7" x14ac:dyDescent="0.2">
      <c r="A606" s="26"/>
      <c r="G606" s="28"/>
    </row>
    <row r="607" spans="1:7" x14ac:dyDescent="0.2">
      <c r="A607" s="26"/>
      <c r="G607" s="28"/>
    </row>
    <row r="608" spans="1:7" x14ac:dyDescent="0.2">
      <c r="A608" s="26"/>
      <c r="G608" s="28"/>
    </row>
    <row r="609" spans="1:7" x14ac:dyDescent="0.2">
      <c r="A609" s="26"/>
      <c r="G609" s="28"/>
    </row>
    <row r="610" spans="1:7" x14ac:dyDescent="0.2">
      <c r="A610" s="26"/>
      <c r="G610" s="28"/>
    </row>
    <row r="611" spans="1:7" x14ac:dyDescent="0.2">
      <c r="A611" s="26"/>
      <c r="G611" s="28"/>
    </row>
    <row r="612" spans="1:7" x14ac:dyDescent="0.2">
      <c r="A612" s="26"/>
      <c r="G612" s="28"/>
    </row>
    <row r="613" spans="1:7" x14ac:dyDescent="0.2">
      <c r="A613" s="26"/>
      <c r="G613" s="28"/>
    </row>
    <row r="614" spans="1:7" x14ac:dyDescent="0.2">
      <c r="A614" s="26"/>
      <c r="G614" s="28"/>
    </row>
    <row r="615" spans="1:7" x14ac:dyDescent="0.2">
      <c r="A615" s="26"/>
      <c r="G615" s="28"/>
    </row>
    <row r="616" spans="1:7" x14ac:dyDescent="0.2">
      <c r="A616" s="26"/>
      <c r="G616" s="28"/>
    </row>
    <row r="617" spans="1:7" x14ac:dyDescent="0.2">
      <c r="A617" s="26"/>
      <c r="G617" s="28"/>
    </row>
    <row r="618" spans="1:7" x14ac:dyDescent="0.2">
      <c r="A618" s="26"/>
      <c r="G618" s="28"/>
    </row>
    <row r="619" spans="1:7" x14ac:dyDescent="0.2">
      <c r="A619" s="26"/>
      <c r="G619" s="28"/>
    </row>
    <row r="620" spans="1:7" x14ac:dyDescent="0.2">
      <c r="A620" s="26"/>
      <c r="G620" s="28"/>
    </row>
    <row r="621" spans="1:7" x14ac:dyDescent="0.2">
      <c r="A621" s="26"/>
      <c r="G621" s="28"/>
    </row>
    <row r="622" spans="1:7" x14ac:dyDescent="0.2">
      <c r="A622" s="26"/>
      <c r="G622" s="28"/>
    </row>
    <row r="623" spans="1:7" x14ac:dyDescent="0.2">
      <c r="A623" s="26"/>
      <c r="G623" s="28"/>
    </row>
    <row r="624" spans="1:7" x14ac:dyDescent="0.2">
      <c r="A624" s="26"/>
      <c r="G624" s="28"/>
    </row>
    <row r="625" spans="1:7" x14ac:dyDescent="0.2">
      <c r="A625" s="26"/>
      <c r="G625" s="28"/>
    </row>
    <row r="626" spans="1:7" x14ac:dyDescent="0.2">
      <c r="A626" s="26"/>
      <c r="G626" s="28"/>
    </row>
    <row r="627" spans="1:7" x14ac:dyDescent="0.2">
      <c r="A627" s="26"/>
      <c r="G627" s="28"/>
    </row>
    <row r="628" spans="1:7" x14ac:dyDescent="0.2">
      <c r="A628" s="26"/>
      <c r="G628" s="28"/>
    </row>
    <row r="629" spans="1:7" x14ac:dyDescent="0.2">
      <c r="A629" s="26"/>
      <c r="G629" s="28"/>
    </row>
    <row r="630" spans="1:7" x14ac:dyDescent="0.2">
      <c r="A630" s="26"/>
      <c r="G630" s="28"/>
    </row>
    <row r="631" spans="1:7" x14ac:dyDescent="0.2">
      <c r="A631" s="26"/>
      <c r="G631" s="28"/>
    </row>
    <row r="632" spans="1:7" x14ac:dyDescent="0.2">
      <c r="A632" s="26"/>
      <c r="G632" s="28"/>
    </row>
    <row r="633" spans="1:7" x14ac:dyDescent="0.2">
      <c r="A633" s="26"/>
      <c r="G633" s="28"/>
    </row>
    <row r="634" spans="1:7" x14ac:dyDescent="0.2">
      <c r="A634" s="26"/>
      <c r="G634" s="28"/>
    </row>
    <row r="635" spans="1:7" x14ac:dyDescent="0.2">
      <c r="A635" s="26"/>
      <c r="G635" s="28"/>
    </row>
    <row r="636" spans="1:7" x14ac:dyDescent="0.2">
      <c r="A636" s="26"/>
      <c r="G636" s="28"/>
    </row>
    <row r="637" spans="1:7" x14ac:dyDescent="0.2">
      <c r="A637" s="26"/>
      <c r="G637" s="28"/>
    </row>
    <row r="638" spans="1:7" x14ac:dyDescent="0.2">
      <c r="A638" s="26"/>
      <c r="G638" s="28"/>
    </row>
    <row r="639" spans="1:7" x14ac:dyDescent="0.2">
      <c r="A639" s="26"/>
      <c r="G639" s="28"/>
    </row>
    <row r="640" spans="1:7" x14ac:dyDescent="0.2">
      <c r="A640" s="26"/>
      <c r="G640" s="28"/>
    </row>
    <row r="641" spans="1:7" x14ac:dyDescent="0.2">
      <c r="A641" s="26"/>
      <c r="G641" s="28"/>
    </row>
    <row r="642" spans="1:7" x14ac:dyDescent="0.2">
      <c r="A642" s="26"/>
      <c r="G642" s="28"/>
    </row>
    <row r="643" spans="1:7" x14ac:dyDescent="0.2">
      <c r="A643" s="26"/>
      <c r="G643" s="28"/>
    </row>
    <row r="644" spans="1:7" x14ac:dyDescent="0.2">
      <c r="A644" s="26"/>
      <c r="G644" s="28"/>
    </row>
    <row r="645" spans="1:7" x14ac:dyDescent="0.2">
      <c r="A645" s="26"/>
      <c r="G645" s="28"/>
    </row>
    <row r="646" spans="1:7" x14ac:dyDescent="0.2">
      <c r="A646" s="26"/>
      <c r="G646" s="28"/>
    </row>
    <row r="647" spans="1:7" x14ac:dyDescent="0.2">
      <c r="A647" s="26"/>
      <c r="G647" s="28"/>
    </row>
    <row r="648" spans="1:7" x14ac:dyDescent="0.2">
      <c r="A648" s="26"/>
      <c r="G648" s="28"/>
    </row>
    <row r="649" spans="1:7" x14ac:dyDescent="0.2">
      <c r="A649" s="26"/>
      <c r="G649" s="28"/>
    </row>
    <row r="650" spans="1:7" x14ac:dyDescent="0.2">
      <c r="A650" s="26"/>
      <c r="G650" s="28"/>
    </row>
    <row r="651" spans="1:7" x14ac:dyDescent="0.2">
      <c r="A651" s="26"/>
      <c r="G651" s="28"/>
    </row>
    <row r="652" spans="1:7" x14ac:dyDescent="0.2">
      <c r="A652" s="26"/>
      <c r="G652" s="28"/>
    </row>
    <row r="653" spans="1:7" x14ac:dyDescent="0.2">
      <c r="A653" s="26"/>
      <c r="G653" s="28"/>
    </row>
    <row r="654" spans="1:7" x14ac:dyDescent="0.2">
      <c r="A654" s="26"/>
      <c r="G654" s="28"/>
    </row>
    <row r="655" spans="1:7" x14ac:dyDescent="0.2">
      <c r="A655" s="26"/>
      <c r="G655" s="28"/>
    </row>
    <row r="656" spans="1:7" x14ac:dyDescent="0.2">
      <c r="A656" s="26"/>
      <c r="G656" s="28"/>
    </row>
    <row r="657" spans="1:7" x14ac:dyDescent="0.2">
      <c r="A657" s="26"/>
      <c r="G657" s="28"/>
    </row>
    <row r="658" spans="1:7" x14ac:dyDescent="0.2">
      <c r="A658" s="26"/>
      <c r="G658" s="28"/>
    </row>
    <row r="659" spans="1:7" x14ac:dyDescent="0.2">
      <c r="A659" s="26"/>
      <c r="G659" s="28"/>
    </row>
    <row r="660" spans="1:7" x14ac:dyDescent="0.2">
      <c r="A660" s="26"/>
      <c r="G660" s="28"/>
    </row>
    <row r="661" spans="1:7" x14ac:dyDescent="0.2">
      <c r="A661" s="26"/>
      <c r="G661" s="28"/>
    </row>
    <row r="662" spans="1:7" x14ac:dyDescent="0.2">
      <c r="A662" s="26"/>
      <c r="G662" s="28"/>
    </row>
    <row r="663" spans="1:7" x14ac:dyDescent="0.2">
      <c r="A663" s="26"/>
      <c r="G663" s="28"/>
    </row>
    <row r="664" spans="1:7" x14ac:dyDescent="0.2">
      <c r="A664" s="26"/>
      <c r="G664" s="28"/>
    </row>
    <row r="665" spans="1:7" x14ac:dyDescent="0.2">
      <c r="A665" s="26"/>
      <c r="G665" s="28"/>
    </row>
    <row r="666" spans="1:7" x14ac:dyDescent="0.2">
      <c r="A666" s="26"/>
      <c r="G666" s="28"/>
    </row>
    <row r="667" spans="1:7" x14ac:dyDescent="0.2">
      <c r="A667" s="26"/>
      <c r="G667" s="28"/>
    </row>
    <row r="668" spans="1:7" x14ac:dyDescent="0.2">
      <c r="A668" s="26"/>
      <c r="G668" s="28"/>
    </row>
    <row r="669" spans="1:7" x14ac:dyDescent="0.2">
      <c r="A669" s="26"/>
      <c r="G669" s="28"/>
    </row>
    <row r="670" spans="1:7" x14ac:dyDescent="0.2">
      <c r="A670" s="26"/>
      <c r="G670" s="28"/>
    </row>
    <row r="671" spans="1:7" x14ac:dyDescent="0.2">
      <c r="A671" s="26"/>
      <c r="G671" s="28"/>
    </row>
    <row r="672" spans="1:7" x14ac:dyDescent="0.2">
      <c r="A672" s="26"/>
      <c r="G672" s="28"/>
    </row>
    <row r="673" spans="1:7" x14ac:dyDescent="0.2">
      <c r="A673" s="26"/>
      <c r="G673" s="28"/>
    </row>
    <row r="674" spans="1:7" x14ac:dyDescent="0.2">
      <c r="A674" s="26"/>
      <c r="G674" s="28"/>
    </row>
    <row r="675" spans="1:7" x14ac:dyDescent="0.2">
      <c r="A675" s="26"/>
      <c r="G675" s="28"/>
    </row>
    <row r="676" spans="1:7" x14ac:dyDescent="0.2">
      <c r="A676" s="26"/>
      <c r="G676" s="28"/>
    </row>
    <row r="677" spans="1:7" x14ac:dyDescent="0.2">
      <c r="A677" s="26"/>
      <c r="G677" s="28"/>
    </row>
    <row r="678" spans="1:7" x14ac:dyDescent="0.2">
      <c r="A678" s="26"/>
      <c r="G678" s="28"/>
    </row>
    <row r="679" spans="1:7" x14ac:dyDescent="0.2">
      <c r="A679" s="26"/>
      <c r="G679" s="28"/>
    </row>
    <row r="680" spans="1:7" x14ac:dyDescent="0.2">
      <c r="A680" s="26"/>
      <c r="G680" s="28"/>
    </row>
    <row r="681" spans="1:7" x14ac:dyDescent="0.2">
      <c r="A681" s="26"/>
      <c r="G681" s="28"/>
    </row>
    <row r="682" spans="1:7" x14ac:dyDescent="0.2">
      <c r="A682" s="26"/>
      <c r="G682" s="28"/>
    </row>
    <row r="683" spans="1:7" x14ac:dyDescent="0.2">
      <c r="A683" s="26"/>
      <c r="G683" s="28"/>
    </row>
    <row r="684" spans="1:7" x14ac:dyDescent="0.2">
      <c r="A684" s="26"/>
      <c r="G684" s="28"/>
    </row>
    <row r="685" spans="1:7" x14ac:dyDescent="0.2">
      <c r="A685" s="26"/>
      <c r="G685" s="28"/>
    </row>
    <row r="686" spans="1:7" x14ac:dyDescent="0.2">
      <c r="A686" s="26"/>
      <c r="G686" s="28"/>
    </row>
    <row r="687" spans="1:7" x14ac:dyDescent="0.2">
      <c r="A687" s="26"/>
      <c r="G687" s="28"/>
    </row>
    <row r="688" spans="1:7" x14ac:dyDescent="0.2">
      <c r="A688" s="26"/>
      <c r="G688" s="28"/>
    </row>
    <row r="689" spans="1:7" x14ac:dyDescent="0.2">
      <c r="A689" s="26"/>
      <c r="G689" s="28"/>
    </row>
    <row r="690" spans="1:7" x14ac:dyDescent="0.2">
      <c r="A690" s="26"/>
      <c r="G690" s="28"/>
    </row>
    <row r="691" spans="1:7" x14ac:dyDescent="0.2">
      <c r="A691" s="26"/>
      <c r="G691" s="28"/>
    </row>
    <row r="692" spans="1:7" x14ac:dyDescent="0.2">
      <c r="A692" s="26"/>
      <c r="G692" s="28"/>
    </row>
    <row r="693" spans="1:7" x14ac:dyDescent="0.2">
      <c r="A693" s="26"/>
      <c r="G693" s="28"/>
    </row>
    <row r="694" spans="1:7" x14ac:dyDescent="0.2">
      <c r="A694" s="26"/>
      <c r="G694" s="28"/>
    </row>
    <row r="695" spans="1:7" x14ac:dyDescent="0.2">
      <c r="A695" s="26"/>
      <c r="G695" s="28"/>
    </row>
    <row r="696" spans="1:7" x14ac:dyDescent="0.2">
      <c r="A696" s="26"/>
      <c r="G696" s="28"/>
    </row>
    <row r="697" spans="1:7" x14ac:dyDescent="0.2">
      <c r="A697" s="26"/>
      <c r="G697" s="28"/>
    </row>
    <row r="698" spans="1:7" x14ac:dyDescent="0.2">
      <c r="A698" s="26"/>
      <c r="G698" s="28"/>
    </row>
    <row r="699" spans="1:7" x14ac:dyDescent="0.2">
      <c r="A699" s="26"/>
      <c r="G699" s="28"/>
    </row>
    <row r="700" spans="1:7" x14ac:dyDescent="0.2">
      <c r="A700" s="26"/>
      <c r="G700" s="28"/>
    </row>
    <row r="701" spans="1:7" x14ac:dyDescent="0.2">
      <c r="A701" s="26"/>
      <c r="G701" s="28"/>
    </row>
    <row r="702" spans="1:7" x14ac:dyDescent="0.2">
      <c r="A702" s="26"/>
      <c r="G702" s="28"/>
    </row>
    <row r="703" spans="1:7" x14ac:dyDescent="0.2">
      <c r="A703" s="26"/>
      <c r="G703" s="28"/>
    </row>
    <row r="704" spans="1:7" x14ac:dyDescent="0.2">
      <c r="A704" s="26"/>
      <c r="G704" s="28"/>
    </row>
    <row r="705" spans="1:7" x14ac:dyDescent="0.2">
      <c r="A705" s="26"/>
      <c r="G705" s="28"/>
    </row>
    <row r="706" spans="1:7" x14ac:dyDescent="0.2">
      <c r="A706" s="26"/>
      <c r="G706" s="28"/>
    </row>
    <row r="707" spans="1:7" x14ac:dyDescent="0.2">
      <c r="A707" s="26"/>
      <c r="G707" s="28"/>
    </row>
    <row r="708" spans="1:7" x14ac:dyDescent="0.2">
      <c r="A708" s="26"/>
      <c r="G708" s="28"/>
    </row>
    <row r="709" spans="1:7" x14ac:dyDescent="0.2">
      <c r="A709" s="26"/>
      <c r="G709" s="28"/>
    </row>
    <row r="710" spans="1:7" x14ac:dyDescent="0.2">
      <c r="A710" s="26"/>
      <c r="G710" s="28"/>
    </row>
    <row r="711" spans="1:7" x14ac:dyDescent="0.2">
      <c r="A711" s="26"/>
      <c r="G711" s="28"/>
    </row>
    <row r="712" spans="1:7" x14ac:dyDescent="0.2">
      <c r="A712" s="26"/>
      <c r="G712" s="28"/>
    </row>
    <row r="713" spans="1:7" x14ac:dyDescent="0.2">
      <c r="A713" s="26"/>
      <c r="G713" s="28"/>
    </row>
    <row r="714" spans="1:7" x14ac:dyDescent="0.2">
      <c r="A714" s="26"/>
      <c r="G714" s="28"/>
    </row>
    <row r="715" spans="1:7" x14ac:dyDescent="0.2">
      <c r="A715" s="26"/>
      <c r="G715" s="28"/>
    </row>
    <row r="716" spans="1:7" x14ac:dyDescent="0.2">
      <c r="A716" s="26"/>
      <c r="G716" s="28"/>
    </row>
    <row r="717" spans="1:7" x14ac:dyDescent="0.2">
      <c r="A717" s="26"/>
      <c r="G717" s="28"/>
    </row>
    <row r="718" spans="1:7" x14ac:dyDescent="0.2">
      <c r="A718" s="26"/>
      <c r="G718" s="28"/>
    </row>
    <row r="719" spans="1:7" x14ac:dyDescent="0.2">
      <c r="A719" s="26"/>
      <c r="G719" s="28"/>
    </row>
    <row r="720" spans="1:7" x14ac:dyDescent="0.2">
      <c r="A720" s="26"/>
      <c r="G720" s="28"/>
    </row>
    <row r="721" spans="1:7" x14ac:dyDescent="0.2">
      <c r="A721" s="26"/>
      <c r="G721" s="28"/>
    </row>
    <row r="722" spans="1:7" x14ac:dyDescent="0.2">
      <c r="A722" s="26"/>
      <c r="G722" s="28"/>
    </row>
    <row r="723" spans="1:7" x14ac:dyDescent="0.2">
      <c r="A723" s="26"/>
      <c r="G723" s="28"/>
    </row>
    <row r="724" spans="1:7" x14ac:dyDescent="0.2">
      <c r="A724" s="26"/>
      <c r="G724" s="28"/>
    </row>
    <row r="725" spans="1:7" x14ac:dyDescent="0.2">
      <c r="A725" s="26"/>
      <c r="G725" s="28"/>
    </row>
    <row r="726" spans="1:7" x14ac:dyDescent="0.2">
      <c r="A726" s="26"/>
      <c r="G726" s="28"/>
    </row>
    <row r="727" spans="1:7" x14ac:dyDescent="0.2">
      <c r="A727" s="26"/>
      <c r="G727" s="28"/>
    </row>
    <row r="728" spans="1:7" x14ac:dyDescent="0.2">
      <c r="A728" s="26"/>
      <c r="G728" s="28"/>
    </row>
    <row r="729" spans="1:7" x14ac:dyDescent="0.2">
      <c r="A729" s="26"/>
      <c r="G729" s="28"/>
    </row>
    <row r="730" spans="1:7" x14ac:dyDescent="0.2">
      <c r="A730" s="26"/>
      <c r="G730" s="28"/>
    </row>
    <row r="731" spans="1:7" x14ac:dyDescent="0.2">
      <c r="A731" s="26"/>
      <c r="G731" s="28"/>
    </row>
    <row r="732" spans="1:7" x14ac:dyDescent="0.2">
      <c r="A732" s="26"/>
      <c r="G732" s="28"/>
    </row>
    <row r="733" spans="1:7" x14ac:dyDescent="0.2">
      <c r="A733" s="26"/>
      <c r="G733" s="28"/>
    </row>
    <row r="734" spans="1:7" x14ac:dyDescent="0.2">
      <c r="A734" s="26"/>
      <c r="G734" s="28"/>
    </row>
    <row r="735" spans="1:7" x14ac:dyDescent="0.2">
      <c r="A735" s="26"/>
      <c r="G735" s="28"/>
    </row>
    <row r="736" spans="1:7" x14ac:dyDescent="0.2">
      <c r="A736" s="26"/>
      <c r="G736" s="28"/>
    </row>
    <row r="737" spans="1:7" x14ac:dyDescent="0.2">
      <c r="A737" s="26"/>
      <c r="G737" s="28"/>
    </row>
    <row r="738" spans="1:7" x14ac:dyDescent="0.2">
      <c r="A738" s="26"/>
      <c r="G738" s="28"/>
    </row>
    <row r="739" spans="1:7" x14ac:dyDescent="0.2">
      <c r="A739" s="26"/>
      <c r="G739" s="28"/>
    </row>
    <row r="740" spans="1:7" x14ac:dyDescent="0.2">
      <c r="A740" s="26"/>
      <c r="G740" s="28"/>
    </row>
    <row r="741" spans="1:7" x14ac:dyDescent="0.2">
      <c r="A741" s="26"/>
      <c r="G741" s="28"/>
    </row>
    <row r="742" spans="1:7" x14ac:dyDescent="0.2">
      <c r="A742" s="26"/>
      <c r="G742" s="28"/>
    </row>
    <row r="743" spans="1:7" x14ac:dyDescent="0.2">
      <c r="A743" s="26"/>
      <c r="G743" s="28"/>
    </row>
    <row r="744" spans="1:7" x14ac:dyDescent="0.2">
      <c r="A744" s="26"/>
      <c r="G744" s="28"/>
    </row>
    <row r="745" spans="1:7" x14ac:dyDescent="0.2">
      <c r="A745" s="26"/>
      <c r="G745" s="28"/>
    </row>
    <row r="746" spans="1:7" x14ac:dyDescent="0.2">
      <c r="A746" s="26"/>
      <c r="G746" s="28"/>
    </row>
    <row r="747" spans="1:7" x14ac:dyDescent="0.2">
      <c r="A747" s="26"/>
      <c r="G747" s="28"/>
    </row>
    <row r="748" spans="1:7" x14ac:dyDescent="0.2">
      <c r="A748" s="26"/>
      <c r="G748" s="28"/>
    </row>
    <row r="749" spans="1:7" x14ac:dyDescent="0.2">
      <c r="A749" s="26"/>
      <c r="G749" s="28"/>
    </row>
    <row r="750" spans="1:7" x14ac:dyDescent="0.2">
      <c r="A750" s="26"/>
      <c r="G750" s="28"/>
    </row>
    <row r="751" spans="1:7" x14ac:dyDescent="0.2">
      <c r="A751" s="26"/>
      <c r="G751" s="28"/>
    </row>
    <row r="752" spans="1:7" x14ac:dyDescent="0.2">
      <c r="A752" s="26"/>
      <c r="G752" s="28"/>
    </row>
    <row r="753" spans="1:7" x14ac:dyDescent="0.2">
      <c r="A753" s="26"/>
      <c r="G753" s="28"/>
    </row>
    <row r="754" spans="1:7" x14ac:dyDescent="0.2">
      <c r="A754" s="26"/>
      <c r="G754" s="28"/>
    </row>
    <row r="755" spans="1:7" x14ac:dyDescent="0.2">
      <c r="A755" s="26"/>
      <c r="G755" s="28"/>
    </row>
    <row r="756" spans="1:7" x14ac:dyDescent="0.2">
      <c r="A756" s="26"/>
      <c r="G756" s="28"/>
    </row>
    <row r="757" spans="1:7" x14ac:dyDescent="0.2">
      <c r="A757" s="26"/>
      <c r="G757" s="28"/>
    </row>
    <row r="758" spans="1:7" x14ac:dyDescent="0.2">
      <c r="A758" s="26"/>
      <c r="G758" s="28"/>
    </row>
    <row r="759" spans="1:7" x14ac:dyDescent="0.2">
      <c r="A759" s="26"/>
      <c r="G759" s="28"/>
    </row>
    <row r="760" spans="1:7" x14ac:dyDescent="0.2">
      <c r="A760" s="26"/>
      <c r="G760" s="28"/>
    </row>
    <row r="761" spans="1:7" x14ac:dyDescent="0.2">
      <c r="A761" s="26"/>
      <c r="G761" s="28"/>
    </row>
    <row r="762" spans="1:7" x14ac:dyDescent="0.2">
      <c r="A762" s="26"/>
      <c r="G762" s="28"/>
    </row>
    <row r="763" spans="1:7" x14ac:dyDescent="0.2">
      <c r="A763" s="26"/>
      <c r="G763" s="28"/>
    </row>
    <row r="764" spans="1:7" x14ac:dyDescent="0.2">
      <c r="A764" s="26"/>
      <c r="G764" s="28"/>
    </row>
    <row r="765" spans="1:7" x14ac:dyDescent="0.2">
      <c r="A765" s="26"/>
      <c r="G765" s="28"/>
    </row>
    <row r="766" spans="1:7" x14ac:dyDescent="0.2">
      <c r="A766" s="26"/>
      <c r="G766" s="28"/>
    </row>
    <row r="767" spans="1:7" x14ac:dyDescent="0.2">
      <c r="A767" s="26"/>
      <c r="G767" s="28"/>
    </row>
    <row r="768" spans="1:7" x14ac:dyDescent="0.2">
      <c r="A768" s="26"/>
      <c r="G768" s="28"/>
    </row>
    <row r="769" spans="1:7" x14ac:dyDescent="0.2">
      <c r="A769" s="26"/>
      <c r="G769" s="28"/>
    </row>
    <row r="770" spans="1:7" x14ac:dyDescent="0.2">
      <c r="A770" s="26"/>
      <c r="G770" s="28"/>
    </row>
    <row r="771" spans="1:7" x14ac:dyDescent="0.2">
      <c r="A771" s="26"/>
      <c r="G771" s="28"/>
    </row>
    <row r="772" spans="1:7" x14ac:dyDescent="0.2">
      <c r="A772" s="26"/>
      <c r="G772" s="28"/>
    </row>
    <row r="773" spans="1:7" x14ac:dyDescent="0.2">
      <c r="A773" s="26"/>
      <c r="G773" s="28"/>
    </row>
    <row r="774" spans="1:7" x14ac:dyDescent="0.2">
      <c r="A774" s="26"/>
      <c r="G774" s="28"/>
    </row>
    <row r="775" spans="1:7" x14ac:dyDescent="0.2">
      <c r="A775" s="26"/>
      <c r="G775" s="28"/>
    </row>
    <row r="776" spans="1:7" x14ac:dyDescent="0.2">
      <c r="A776" s="26"/>
      <c r="G776" s="28"/>
    </row>
    <row r="777" spans="1:7" x14ac:dyDescent="0.2">
      <c r="A777" s="26"/>
      <c r="G777" s="28"/>
    </row>
    <row r="778" spans="1:7" x14ac:dyDescent="0.2">
      <c r="A778" s="26"/>
      <c r="G778" s="28"/>
    </row>
    <row r="779" spans="1:7" x14ac:dyDescent="0.2">
      <c r="A779" s="26"/>
      <c r="G779" s="28"/>
    </row>
    <row r="780" spans="1:7" x14ac:dyDescent="0.2">
      <c r="A780" s="26"/>
      <c r="G780" s="28"/>
    </row>
    <row r="781" spans="1:7" x14ac:dyDescent="0.2">
      <c r="A781" s="26"/>
      <c r="G781" s="28"/>
    </row>
    <row r="782" spans="1:7" x14ac:dyDescent="0.2">
      <c r="A782" s="26"/>
      <c r="G782" s="28"/>
    </row>
    <row r="783" spans="1:7" x14ac:dyDescent="0.2">
      <c r="A783" s="26"/>
      <c r="G783" s="28"/>
    </row>
    <row r="784" spans="1:7" x14ac:dyDescent="0.2">
      <c r="A784" s="26"/>
      <c r="G784" s="28"/>
    </row>
    <row r="785" spans="1:7" x14ac:dyDescent="0.2">
      <c r="A785" s="26"/>
      <c r="G785" s="28"/>
    </row>
    <row r="786" spans="1:7" x14ac:dyDescent="0.2">
      <c r="A786" s="26"/>
      <c r="G786" s="28"/>
    </row>
    <row r="787" spans="1:7" x14ac:dyDescent="0.2">
      <c r="A787" s="26"/>
      <c r="G787" s="28"/>
    </row>
    <row r="788" spans="1:7" x14ac:dyDescent="0.2">
      <c r="A788" s="26"/>
      <c r="G788" s="28"/>
    </row>
    <row r="789" spans="1:7" x14ac:dyDescent="0.2">
      <c r="A789" s="26"/>
      <c r="G789" s="28"/>
    </row>
    <row r="790" spans="1:7" x14ac:dyDescent="0.2">
      <c r="A790" s="26"/>
      <c r="G790" s="28"/>
    </row>
    <row r="791" spans="1:7" x14ac:dyDescent="0.2">
      <c r="A791" s="26"/>
      <c r="G791" s="28"/>
    </row>
    <row r="792" spans="1:7" x14ac:dyDescent="0.2">
      <c r="A792" s="26"/>
      <c r="G792" s="28"/>
    </row>
    <row r="793" spans="1:7" x14ac:dyDescent="0.2">
      <c r="A793" s="26"/>
      <c r="G793" s="28"/>
    </row>
    <row r="794" spans="1:7" x14ac:dyDescent="0.2">
      <c r="A794" s="26"/>
      <c r="G794" s="28"/>
    </row>
    <row r="795" spans="1:7" x14ac:dyDescent="0.2">
      <c r="A795" s="26"/>
      <c r="G795" s="28"/>
    </row>
    <row r="796" spans="1:7" x14ac:dyDescent="0.2">
      <c r="A796" s="26"/>
      <c r="G796" s="28"/>
    </row>
    <row r="797" spans="1:7" x14ac:dyDescent="0.2">
      <c r="A797" s="26"/>
      <c r="G797" s="28"/>
    </row>
    <row r="798" spans="1:7" x14ac:dyDescent="0.2">
      <c r="A798" s="26"/>
      <c r="G798" s="28"/>
    </row>
    <row r="799" spans="1:7" x14ac:dyDescent="0.2">
      <c r="A799" s="26"/>
      <c r="G799" s="28"/>
    </row>
    <row r="800" spans="1:7" x14ac:dyDescent="0.2">
      <c r="A800" s="26"/>
      <c r="G800" s="28"/>
    </row>
    <row r="801" spans="1:7" x14ac:dyDescent="0.2">
      <c r="A801" s="26"/>
      <c r="G801" s="28"/>
    </row>
    <row r="802" spans="1:7" x14ac:dyDescent="0.2">
      <c r="A802" s="26"/>
      <c r="G802" s="28"/>
    </row>
    <row r="803" spans="1:7" x14ac:dyDescent="0.2">
      <c r="A803" s="26"/>
      <c r="G803" s="28"/>
    </row>
    <row r="804" spans="1:7" x14ac:dyDescent="0.2">
      <c r="A804" s="26"/>
      <c r="G804" s="28"/>
    </row>
    <row r="805" spans="1:7" x14ac:dyDescent="0.2">
      <c r="A805" s="26"/>
      <c r="G805" s="28"/>
    </row>
    <row r="806" spans="1:7" x14ac:dyDescent="0.2">
      <c r="A806" s="26"/>
      <c r="G806" s="28"/>
    </row>
    <row r="807" spans="1:7" x14ac:dyDescent="0.2">
      <c r="A807" s="26"/>
      <c r="G807" s="28"/>
    </row>
    <row r="808" spans="1:7" x14ac:dyDescent="0.2">
      <c r="A808" s="26"/>
      <c r="G808" s="28"/>
    </row>
    <row r="809" spans="1:7" x14ac:dyDescent="0.2">
      <c r="A809" s="26"/>
      <c r="G809" s="28"/>
    </row>
    <row r="810" spans="1:7" x14ac:dyDescent="0.2">
      <c r="A810" s="26"/>
      <c r="G810" s="28"/>
    </row>
    <row r="811" spans="1:7" x14ac:dyDescent="0.2">
      <c r="A811" s="26"/>
      <c r="G811" s="28"/>
    </row>
    <row r="812" spans="1:7" x14ac:dyDescent="0.2">
      <c r="A812" s="26"/>
      <c r="G812" s="28"/>
    </row>
    <row r="813" spans="1:7" x14ac:dyDescent="0.2">
      <c r="A813" s="26"/>
      <c r="G813" s="28"/>
    </row>
    <row r="814" spans="1:7" x14ac:dyDescent="0.2">
      <c r="A814" s="26"/>
      <c r="G814" s="28"/>
    </row>
    <row r="815" spans="1:7" x14ac:dyDescent="0.2">
      <c r="A815" s="26"/>
      <c r="G815" s="28"/>
    </row>
    <row r="816" spans="1:7" x14ac:dyDescent="0.2">
      <c r="A816" s="26"/>
      <c r="G816" s="28"/>
    </row>
    <row r="817" spans="1:7" x14ac:dyDescent="0.2">
      <c r="A817" s="26"/>
      <c r="G817" s="28"/>
    </row>
    <row r="818" spans="1:7" x14ac:dyDescent="0.2">
      <c r="A818" s="26"/>
      <c r="G818" s="28"/>
    </row>
    <row r="819" spans="1:7" x14ac:dyDescent="0.2">
      <c r="A819" s="26"/>
      <c r="G819" s="28"/>
    </row>
    <row r="820" spans="1:7" x14ac:dyDescent="0.2">
      <c r="A820" s="26"/>
      <c r="G820" s="28"/>
    </row>
    <row r="821" spans="1:7" x14ac:dyDescent="0.2">
      <c r="A821" s="26"/>
      <c r="G821" s="28"/>
    </row>
    <row r="822" spans="1:7" x14ac:dyDescent="0.2">
      <c r="A822" s="26"/>
      <c r="G822" s="28"/>
    </row>
    <row r="823" spans="1:7" x14ac:dyDescent="0.2">
      <c r="A823" s="26"/>
      <c r="G823" s="28"/>
    </row>
    <row r="824" spans="1:7" x14ac:dyDescent="0.2">
      <c r="A824" s="26"/>
      <c r="G824" s="28"/>
    </row>
    <row r="825" spans="1:7" x14ac:dyDescent="0.2">
      <c r="A825" s="26"/>
      <c r="G825" s="28"/>
    </row>
    <row r="826" spans="1:7" x14ac:dyDescent="0.2">
      <c r="A826" s="26"/>
      <c r="G826" s="28"/>
    </row>
    <row r="827" spans="1:7" x14ac:dyDescent="0.2">
      <c r="A827" s="26"/>
      <c r="G827" s="28"/>
    </row>
    <row r="828" spans="1:7" x14ac:dyDescent="0.2">
      <c r="A828" s="26"/>
      <c r="G828" s="28"/>
    </row>
    <row r="829" spans="1:7" x14ac:dyDescent="0.2">
      <c r="A829" s="26"/>
      <c r="G829" s="28"/>
    </row>
    <row r="830" spans="1:7" x14ac:dyDescent="0.2">
      <c r="A830" s="26"/>
      <c r="G830" s="28"/>
    </row>
    <row r="831" spans="1:7" x14ac:dyDescent="0.2">
      <c r="A831" s="26"/>
      <c r="G831" s="28"/>
    </row>
    <row r="832" spans="1:7" x14ac:dyDescent="0.2">
      <c r="A832" s="26"/>
      <c r="G832" s="28"/>
    </row>
    <row r="833" spans="1:7" x14ac:dyDescent="0.2">
      <c r="A833" s="26"/>
      <c r="G833" s="28"/>
    </row>
    <row r="834" spans="1:7" x14ac:dyDescent="0.2">
      <c r="A834" s="26"/>
      <c r="G834" s="28"/>
    </row>
    <row r="835" spans="1:7" x14ac:dyDescent="0.2">
      <c r="A835" s="26"/>
      <c r="G835" s="28"/>
    </row>
    <row r="836" spans="1:7" x14ac:dyDescent="0.2">
      <c r="A836" s="26"/>
      <c r="G836" s="28"/>
    </row>
    <row r="837" spans="1:7" x14ac:dyDescent="0.2">
      <c r="A837" s="26"/>
      <c r="G837" s="28"/>
    </row>
    <row r="838" spans="1:7" x14ac:dyDescent="0.2">
      <c r="A838" s="26"/>
      <c r="G838" s="28"/>
    </row>
    <row r="839" spans="1:7" x14ac:dyDescent="0.2">
      <c r="A839" s="26"/>
      <c r="G839" s="28"/>
    </row>
    <row r="840" spans="1:7" x14ac:dyDescent="0.2">
      <c r="A840" s="26"/>
      <c r="G840" s="28"/>
    </row>
    <row r="841" spans="1:7" x14ac:dyDescent="0.2">
      <c r="A841" s="26"/>
      <c r="G841" s="28"/>
    </row>
    <row r="842" spans="1:7" x14ac:dyDescent="0.2">
      <c r="A842" s="26"/>
      <c r="G842" s="28"/>
    </row>
    <row r="843" spans="1:7" x14ac:dyDescent="0.2">
      <c r="A843" s="26"/>
      <c r="G843" s="28"/>
    </row>
    <row r="844" spans="1:7" x14ac:dyDescent="0.2">
      <c r="A844" s="26"/>
      <c r="G844" s="28"/>
    </row>
    <row r="845" spans="1:7" x14ac:dyDescent="0.2">
      <c r="A845" s="26"/>
      <c r="G845" s="28"/>
    </row>
    <row r="846" spans="1:7" x14ac:dyDescent="0.2">
      <c r="A846" s="26"/>
      <c r="G846" s="28"/>
    </row>
    <row r="847" spans="1:7" x14ac:dyDescent="0.2">
      <c r="A847" s="26"/>
      <c r="G847" s="28"/>
    </row>
    <row r="848" spans="1:7" x14ac:dyDescent="0.2">
      <c r="A848" s="26"/>
      <c r="G848" s="28"/>
    </row>
    <row r="849" spans="1:7" x14ac:dyDescent="0.2">
      <c r="A849" s="26"/>
      <c r="G849" s="28"/>
    </row>
    <row r="850" spans="1:7" x14ac:dyDescent="0.2">
      <c r="A850" s="26"/>
      <c r="G850" s="28"/>
    </row>
    <row r="851" spans="1:7" x14ac:dyDescent="0.2">
      <c r="A851" s="26"/>
      <c r="G851" s="28"/>
    </row>
    <row r="852" spans="1:7" x14ac:dyDescent="0.2">
      <c r="A852" s="26"/>
      <c r="G852" s="28"/>
    </row>
    <row r="853" spans="1:7" x14ac:dyDescent="0.2">
      <c r="A853" s="26"/>
      <c r="G853" s="28"/>
    </row>
    <row r="854" spans="1:7" x14ac:dyDescent="0.2">
      <c r="A854" s="26"/>
      <c r="G854" s="28"/>
    </row>
    <row r="855" spans="1:7" x14ac:dyDescent="0.2">
      <c r="A855" s="26"/>
      <c r="G855" s="28"/>
    </row>
    <row r="856" spans="1:7" x14ac:dyDescent="0.2">
      <c r="A856" s="26"/>
      <c r="G856" s="28"/>
    </row>
    <row r="857" spans="1:7" x14ac:dyDescent="0.2">
      <c r="A857" s="26"/>
      <c r="G857" s="28"/>
    </row>
    <row r="858" spans="1:7" x14ac:dyDescent="0.2">
      <c r="A858" s="26"/>
      <c r="G858" s="28"/>
    </row>
    <row r="859" spans="1:7" x14ac:dyDescent="0.2">
      <c r="A859" s="26"/>
      <c r="G859" s="28"/>
    </row>
    <row r="860" spans="1:7" x14ac:dyDescent="0.2">
      <c r="A860" s="26"/>
      <c r="G860" s="28"/>
    </row>
    <row r="861" spans="1:7" x14ac:dyDescent="0.2">
      <c r="A861" s="26"/>
      <c r="G861" s="28"/>
    </row>
    <row r="862" spans="1:7" x14ac:dyDescent="0.2">
      <c r="A862" s="26"/>
      <c r="G862" s="28"/>
    </row>
    <row r="863" spans="1:7" x14ac:dyDescent="0.2">
      <c r="A863" s="26"/>
      <c r="G863" s="28"/>
    </row>
    <row r="864" spans="1:7" x14ac:dyDescent="0.2">
      <c r="A864" s="26"/>
      <c r="G864" s="28"/>
    </row>
    <row r="865" spans="1:7" x14ac:dyDescent="0.2">
      <c r="A865" s="26"/>
      <c r="G865" s="28"/>
    </row>
    <row r="866" spans="1:7" x14ac:dyDescent="0.2">
      <c r="A866" s="26"/>
      <c r="G866" s="28"/>
    </row>
    <row r="867" spans="1:7" x14ac:dyDescent="0.2">
      <c r="A867" s="26"/>
      <c r="G867" s="28"/>
    </row>
    <row r="868" spans="1:7" x14ac:dyDescent="0.2">
      <c r="A868" s="26"/>
      <c r="G868" s="28"/>
    </row>
    <row r="869" spans="1:7" x14ac:dyDescent="0.2">
      <c r="A869" s="26"/>
      <c r="G869" s="28"/>
    </row>
    <row r="870" spans="1:7" x14ac:dyDescent="0.2">
      <c r="A870" s="26"/>
      <c r="G870" s="28"/>
    </row>
    <row r="871" spans="1:7" x14ac:dyDescent="0.2">
      <c r="A871" s="26"/>
      <c r="G871" s="28"/>
    </row>
    <row r="872" spans="1:7" x14ac:dyDescent="0.2">
      <c r="A872" s="26"/>
      <c r="G872" s="28"/>
    </row>
    <row r="873" spans="1:7" x14ac:dyDescent="0.2">
      <c r="A873" s="26"/>
      <c r="G873" s="28"/>
    </row>
    <row r="874" spans="1:7" x14ac:dyDescent="0.2">
      <c r="A874" s="26"/>
      <c r="G874" s="28"/>
    </row>
    <row r="875" spans="1:7" x14ac:dyDescent="0.2">
      <c r="A875" s="26"/>
      <c r="G875" s="28"/>
    </row>
    <row r="876" spans="1:7" x14ac:dyDescent="0.2">
      <c r="A876" s="26"/>
      <c r="G876" s="28"/>
    </row>
    <row r="877" spans="1:7" x14ac:dyDescent="0.2">
      <c r="A877" s="26"/>
      <c r="G877" s="28"/>
    </row>
    <row r="878" spans="1:7" x14ac:dyDescent="0.2">
      <c r="A878" s="26"/>
      <c r="G878" s="28"/>
    </row>
    <row r="879" spans="1:7" x14ac:dyDescent="0.2">
      <c r="A879" s="26"/>
      <c r="G879" s="28"/>
    </row>
    <row r="880" spans="1:7" x14ac:dyDescent="0.2">
      <c r="A880" s="26"/>
      <c r="G880" s="28"/>
    </row>
    <row r="881" spans="1:7" x14ac:dyDescent="0.2">
      <c r="A881" s="26"/>
      <c r="G881" s="28"/>
    </row>
    <row r="882" spans="1:7" x14ac:dyDescent="0.2">
      <c r="A882" s="26"/>
      <c r="G882" s="28"/>
    </row>
    <row r="883" spans="1:7" x14ac:dyDescent="0.2">
      <c r="A883" s="26"/>
      <c r="G883" s="28"/>
    </row>
    <row r="884" spans="1:7" x14ac:dyDescent="0.2">
      <c r="A884" s="26"/>
      <c r="G884" s="28"/>
    </row>
    <row r="885" spans="1:7" x14ac:dyDescent="0.2">
      <c r="A885" s="26"/>
      <c r="G885" s="28"/>
    </row>
    <row r="886" spans="1:7" x14ac:dyDescent="0.2">
      <c r="A886" s="26"/>
      <c r="G886" s="28"/>
    </row>
    <row r="887" spans="1:7" x14ac:dyDescent="0.2">
      <c r="A887" s="26"/>
      <c r="G887" s="28"/>
    </row>
    <row r="888" spans="1:7" x14ac:dyDescent="0.2">
      <c r="A888" s="26"/>
      <c r="G888" s="28"/>
    </row>
    <row r="889" spans="1:7" x14ac:dyDescent="0.2">
      <c r="A889" s="26"/>
      <c r="G889" s="28"/>
    </row>
    <row r="890" spans="1:7" x14ac:dyDescent="0.2">
      <c r="A890" s="26"/>
      <c r="G890" s="28"/>
    </row>
    <row r="891" spans="1:7" x14ac:dyDescent="0.2">
      <c r="A891" s="26"/>
      <c r="G891" s="28"/>
    </row>
    <row r="892" spans="1:7" x14ac:dyDescent="0.2">
      <c r="A892" s="26"/>
      <c r="G892" s="28"/>
    </row>
    <row r="893" spans="1:7" x14ac:dyDescent="0.2">
      <c r="A893" s="26"/>
      <c r="G893" s="28"/>
    </row>
    <row r="894" spans="1:7" x14ac:dyDescent="0.2">
      <c r="A894" s="26"/>
      <c r="G894" s="28"/>
    </row>
    <row r="895" spans="1:7" x14ac:dyDescent="0.2">
      <c r="A895" s="26"/>
      <c r="G895" s="28"/>
    </row>
    <row r="896" spans="1:7" x14ac:dyDescent="0.2">
      <c r="A896" s="26"/>
      <c r="G896" s="28"/>
    </row>
    <row r="897" spans="1:7" x14ac:dyDescent="0.2">
      <c r="A897" s="26"/>
      <c r="G897" s="28"/>
    </row>
    <row r="898" spans="1:7" x14ac:dyDescent="0.2">
      <c r="A898" s="26"/>
      <c r="G898" s="28"/>
    </row>
    <row r="899" spans="1:7" x14ac:dyDescent="0.2">
      <c r="A899" s="26"/>
      <c r="G899" s="28"/>
    </row>
    <row r="900" spans="1:7" x14ac:dyDescent="0.2">
      <c r="A900" s="26"/>
      <c r="G900" s="28"/>
    </row>
    <row r="901" spans="1:7" x14ac:dyDescent="0.2">
      <c r="A901" s="26"/>
      <c r="G901" s="28"/>
    </row>
    <row r="902" spans="1:7" x14ac:dyDescent="0.2">
      <c r="A902" s="26"/>
      <c r="G902" s="28"/>
    </row>
    <row r="903" spans="1:7" x14ac:dyDescent="0.2">
      <c r="A903" s="26"/>
      <c r="G903" s="28"/>
    </row>
    <row r="904" spans="1:7" x14ac:dyDescent="0.2">
      <c r="A904" s="26"/>
      <c r="G904" s="28"/>
    </row>
    <row r="905" spans="1:7" x14ac:dyDescent="0.2">
      <c r="A905" s="26"/>
      <c r="G905" s="28"/>
    </row>
    <row r="906" spans="1:7" x14ac:dyDescent="0.2">
      <c r="A906" s="26"/>
      <c r="G906" s="28"/>
    </row>
    <row r="907" spans="1:7" x14ac:dyDescent="0.2">
      <c r="A907" s="26"/>
      <c r="G907" s="28"/>
    </row>
    <row r="908" spans="1:7" x14ac:dyDescent="0.2">
      <c r="A908" s="26"/>
      <c r="G908" s="28"/>
    </row>
    <row r="909" spans="1:7" x14ac:dyDescent="0.2">
      <c r="A909" s="26"/>
      <c r="G909" s="28"/>
    </row>
    <row r="910" spans="1:7" x14ac:dyDescent="0.2">
      <c r="A910" s="26"/>
      <c r="G910" s="28"/>
    </row>
    <row r="911" spans="1:7" x14ac:dyDescent="0.2">
      <c r="A911" s="26"/>
      <c r="G911" s="28"/>
    </row>
    <row r="912" spans="1:7" x14ac:dyDescent="0.2">
      <c r="A912" s="26"/>
      <c r="G912" s="28"/>
    </row>
    <row r="913" spans="1:7" x14ac:dyDescent="0.2">
      <c r="A913" s="26"/>
      <c r="G913" s="28"/>
    </row>
    <row r="914" spans="1:7" x14ac:dyDescent="0.2">
      <c r="A914" s="26"/>
      <c r="G914" s="28"/>
    </row>
    <row r="915" spans="1:7" x14ac:dyDescent="0.2">
      <c r="A915" s="26"/>
      <c r="G915" s="28"/>
    </row>
    <row r="916" spans="1:7" x14ac:dyDescent="0.2">
      <c r="A916" s="26"/>
      <c r="G916" s="28"/>
    </row>
    <row r="917" spans="1:7" x14ac:dyDescent="0.2">
      <c r="A917" s="26"/>
      <c r="G917" s="28"/>
    </row>
    <row r="918" spans="1:7" x14ac:dyDescent="0.2">
      <c r="A918" s="26"/>
      <c r="G918" s="28"/>
    </row>
    <row r="919" spans="1:7" x14ac:dyDescent="0.2">
      <c r="A919" s="26"/>
      <c r="G919" s="28"/>
    </row>
    <row r="920" spans="1:7" x14ac:dyDescent="0.2">
      <c r="A920" s="26"/>
      <c r="G920" s="28"/>
    </row>
    <row r="921" spans="1:7" x14ac:dyDescent="0.2">
      <c r="A921" s="26"/>
      <c r="G921" s="28"/>
    </row>
    <row r="922" spans="1:7" x14ac:dyDescent="0.2">
      <c r="A922" s="26"/>
      <c r="G922" s="28"/>
    </row>
    <row r="923" spans="1:7" x14ac:dyDescent="0.2">
      <c r="A923" s="26"/>
      <c r="G923" s="28"/>
    </row>
    <row r="924" spans="1:7" x14ac:dyDescent="0.2">
      <c r="A924" s="26"/>
      <c r="G924" s="28"/>
    </row>
    <row r="925" spans="1:7" x14ac:dyDescent="0.2">
      <c r="A925" s="26"/>
      <c r="G925" s="28"/>
    </row>
    <row r="926" spans="1:7" x14ac:dyDescent="0.2">
      <c r="A926" s="26"/>
      <c r="G926" s="28"/>
    </row>
    <row r="927" spans="1:7" x14ac:dyDescent="0.2">
      <c r="A927" s="26"/>
      <c r="G927" s="28"/>
    </row>
    <row r="928" spans="1:7" x14ac:dyDescent="0.2">
      <c r="A928" s="26"/>
      <c r="G928" s="28"/>
    </row>
    <row r="929" spans="1:7" x14ac:dyDescent="0.2">
      <c r="A929" s="26"/>
      <c r="G929" s="28"/>
    </row>
    <row r="930" spans="1:7" x14ac:dyDescent="0.2">
      <c r="A930" s="26"/>
      <c r="G930" s="28"/>
    </row>
    <row r="931" spans="1:7" x14ac:dyDescent="0.2">
      <c r="A931" s="26"/>
      <c r="G931" s="28"/>
    </row>
    <row r="932" spans="1:7" x14ac:dyDescent="0.2">
      <c r="A932" s="26"/>
      <c r="G932" s="28"/>
    </row>
    <row r="933" spans="1:7" x14ac:dyDescent="0.2">
      <c r="A933" s="26"/>
      <c r="G933" s="28"/>
    </row>
    <row r="934" spans="1:7" x14ac:dyDescent="0.2">
      <c r="A934" s="26"/>
      <c r="G934" s="28"/>
    </row>
    <row r="935" spans="1:7" x14ac:dyDescent="0.2">
      <c r="A935" s="26"/>
      <c r="G935" s="28"/>
    </row>
    <row r="936" spans="1:7" x14ac:dyDescent="0.2">
      <c r="A936" s="26"/>
      <c r="G936" s="28"/>
    </row>
    <row r="937" spans="1:7" x14ac:dyDescent="0.2">
      <c r="A937" s="26"/>
      <c r="G937" s="28"/>
    </row>
    <row r="938" spans="1:7" x14ac:dyDescent="0.2">
      <c r="A938" s="26"/>
      <c r="G938" s="28"/>
    </row>
    <row r="939" spans="1:7" x14ac:dyDescent="0.2">
      <c r="A939" s="26"/>
      <c r="G939" s="28"/>
    </row>
    <row r="940" spans="1:7" x14ac:dyDescent="0.2">
      <c r="A940" s="26"/>
      <c r="G940" s="28"/>
    </row>
    <row r="941" spans="1:7" x14ac:dyDescent="0.2">
      <c r="A941" s="26"/>
      <c r="G941" s="28"/>
    </row>
    <row r="942" spans="1:7" x14ac:dyDescent="0.2">
      <c r="A942" s="26"/>
      <c r="G942" s="28"/>
    </row>
    <row r="943" spans="1:7" x14ac:dyDescent="0.2">
      <c r="A943" s="26"/>
      <c r="G943" s="28"/>
    </row>
    <row r="944" spans="1:7" x14ac:dyDescent="0.2">
      <c r="A944" s="26"/>
      <c r="G944" s="28"/>
    </row>
    <row r="945" spans="1:7" x14ac:dyDescent="0.2">
      <c r="A945" s="26"/>
      <c r="G945" s="28"/>
    </row>
    <row r="946" spans="1:7" x14ac:dyDescent="0.2">
      <c r="A946" s="26"/>
      <c r="G946" s="28"/>
    </row>
    <row r="947" spans="1:7" x14ac:dyDescent="0.2">
      <c r="A947" s="26"/>
      <c r="G947" s="28"/>
    </row>
    <row r="948" spans="1:7" x14ac:dyDescent="0.2">
      <c r="A948" s="26"/>
      <c r="G948" s="28"/>
    </row>
    <row r="949" spans="1:7" x14ac:dyDescent="0.2">
      <c r="A949" s="26"/>
      <c r="G949" s="28"/>
    </row>
    <row r="950" spans="1:7" x14ac:dyDescent="0.2">
      <c r="A950" s="26"/>
      <c r="G950" s="28"/>
    </row>
    <row r="951" spans="1:7" x14ac:dyDescent="0.2">
      <c r="A951" s="26"/>
      <c r="G951" s="28"/>
    </row>
    <row r="952" spans="1:7" x14ac:dyDescent="0.2">
      <c r="A952" s="26"/>
      <c r="G952" s="28"/>
    </row>
    <row r="953" spans="1:7" x14ac:dyDescent="0.2">
      <c r="A953" s="26"/>
      <c r="G953" s="28"/>
    </row>
    <row r="954" spans="1:7" x14ac:dyDescent="0.2">
      <c r="A954" s="26"/>
      <c r="G954" s="28"/>
    </row>
    <row r="955" spans="1:7" x14ac:dyDescent="0.2">
      <c r="A955" s="26"/>
      <c r="G955" s="28"/>
    </row>
    <row r="956" spans="1:7" x14ac:dyDescent="0.2">
      <c r="A956" s="26"/>
      <c r="G956" s="28"/>
    </row>
    <row r="957" spans="1:7" x14ac:dyDescent="0.2">
      <c r="A957" s="26"/>
      <c r="G957" s="28"/>
    </row>
    <row r="958" spans="1:7" x14ac:dyDescent="0.2">
      <c r="A958" s="26"/>
      <c r="G958" s="28"/>
    </row>
    <row r="959" spans="1:7" x14ac:dyDescent="0.2">
      <c r="A959" s="26"/>
      <c r="G959" s="28"/>
    </row>
    <row r="960" spans="1:7" x14ac:dyDescent="0.2">
      <c r="A960" s="26"/>
      <c r="G960" s="28"/>
    </row>
    <row r="961" spans="1:7" x14ac:dyDescent="0.2">
      <c r="A961" s="26"/>
      <c r="G961" s="28"/>
    </row>
    <row r="962" spans="1:7" x14ac:dyDescent="0.2">
      <c r="A962" s="26"/>
      <c r="G962" s="28"/>
    </row>
    <row r="963" spans="1:7" x14ac:dyDescent="0.2">
      <c r="A963" s="26"/>
      <c r="G963" s="28"/>
    </row>
    <row r="964" spans="1:7" x14ac:dyDescent="0.2">
      <c r="A964" s="26"/>
      <c r="G964" s="28"/>
    </row>
    <row r="965" spans="1:7" x14ac:dyDescent="0.2">
      <c r="A965" s="26"/>
      <c r="G965" s="28"/>
    </row>
    <row r="966" spans="1:7" x14ac:dyDescent="0.2">
      <c r="A966" s="26"/>
      <c r="G966" s="28"/>
    </row>
    <row r="967" spans="1:7" x14ac:dyDescent="0.2">
      <c r="A967" s="26"/>
      <c r="G967" s="28"/>
    </row>
    <row r="968" spans="1:7" x14ac:dyDescent="0.2">
      <c r="A968" s="26"/>
      <c r="G968" s="28"/>
    </row>
    <row r="969" spans="1:7" x14ac:dyDescent="0.2">
      <c r="A969" s="26"/>
      <c r="G969" s="28"/>
    </row>
    <row r="970" spans="1:7" x14ac:dyDescent="0.2">
      <c r="A970" s="26"/>
      <c r="G970" s="28"/>
    </row>
    <row r="971" spans="1:7" x14ac:dyDescent="0.2">
      <c r="A971" s="26"/>
      <c r="G971" s="28"/>
    </row>
    <row r="972" spans="1:7" x14ac:dyDescent="0.2">
      <c r="A972" s="26"/>
      <c r="G972" s="28"/>
    </row>
    <row r="973" spans="1:7" x14ac:dyDescent="0.2">
      <c r="A973" s="26"/>
      <c r="G973" s="28"/>
    </row>
    <row r="974" spans="1:7" x14ac:dyDescent="0.2">
      <c r="A974" s="26"/>
      <c r="G974" s="28"/>
    </row>
    <row r="975" spans="1:7" x14ac:dyDescent="0.2">
      <c r="A975" s="26"/>
      <c r="G975" s="28"/>
    </row>
    <row r="976" spans="1:7" x14ac:dyDescent="0.2">
      <c r="A976" s="26"/>
      <c r="G976" s="28"/>
    </row>
    <row r="977" spans="1:7" x14ac:dyDescent="0.2">
      <c r="A977" s="26"/>
      <c r="G977" s="28"/>
    </row>
    <row r="978" spans="1:7" x14ac:dyDescent="0.2">
      <c r="A978" s="26"/>
      <c r="G978" s="28"/>
    </row>
    <row r="979" spans="1:7" x14ac:dyDescent="0.2">
      <c r="A979" s="26"/>
      <c r="G979" s="28"/>
    </row>
    <row r="980" spans="1:7" x14ac:dyDescent="0.2">
      <c r="A980" s="26"/>
      <c r="G980" s="28"/>
    </row>
    <row r="981" spans="1:7" x14ac:dyDescent="0.2">
      <c r="A981" s="26"/>
      <c r="G981" s="28"/>
    </row>
    <row r="982" spans="1:7" x14ac:dyDescent="0.2">
      <c r="A982" s="26"/>
      <c r="G982" s="28"/>
    </row>
    <row r="983" spans="1:7" x14ac:dyDescent="0.2">
      <c r="A983" s="26"/>
      <c r="G983" s="28"/>
    </row>
    <row r="984" spans="1:7" x14ac:dyDescent="0.2">
      <c r="A984" s="26"/>
      <c r="G984" s="28"/>
    </row>
    <row r="985" spans="1:7" x14ac:dyDescent="0.2">
      <c r="A985" s="26"/>
      <c r="G985" s="28"/>
    </row>
    <row r="986" spans="1:7" x14ac:dyDescent="0.2">
      <c r="A986" s="26"/>
      <c r="G986" s="28"/>
    </row>
    <row r="987" spans="1:7" x14ac:dyDescent="0.2">
      <c r="A987" s="26"/>
      <c r="G987" s="28"/>
    </row>
    <row r="988" spans="1:7" x14ac:dyDescent="0.2">
      <c r="A988" s="26"/>
      <c r="G988" s="28"/>
    </row>
    <row r="989" spans="1:7" x14ac:dyDescent="0.2">
      <c r="A989" s="26"/>
      <c r="G989" s="28"/>
    </row>
    <row r="990" spans="1:7" x14ac:dyDescent="0.2">
      <c r="A990" s="26"/>
      <c r="G990" s="28"/>
    </row>
    <row r="991" spans="1:7" x14ac:dyDescent="0.2">
      <c r="A991" s="26"/>
      <c r="G991" s="28"/>
    </row>
    <row r="992" spans="1:7" x14ac:dyDescent="0.2">
      <c r="A992" s="26"/>
      <c r="G992" s="28"/>
    </row>
    <row r="993" spans="1:7" x14ac:dyDescent="0.2">
      <c r="A993" s="26"/>
      <c r="G993" s="28"/>
    </row>
    <row r="994" spans="1:7" x14ac:dyDescent="0.2">
      <c r="A994" s="26"/>
      <c r="G994" s="28"/>
    </row>
    <row r="995" spans="1:7" x14ac:dyDescent="0.2">
      <c r="A995" s="26"/>
      <c r="G995" s="28"/>
    </row>
    <row r="996" spans="1:7" x14ac:dyDescent="0.2">
      <c r="A996" s="26"/>
      <c r="G996" s="28"/>
    </row>
    <row r="997" spans="1:7" x14ac:dyDescent="0.2">
      <c r="A997" s="26"/>
      <c r="G997" s="28"/>
    </row>
    <row r="998" spans="1:7" x14ac:dyDescent="0.2">
      <c r="A998" s="26"/>
      <c r="G998" s="28"/>
    </row>
    <row r="999" spans="1:7" x14ac:dyDescent="0.2">
      <c r="A999" s="26"/>
      <c r="G999" s="28"/>
    </row>
    <row r="1000" spans="1:7" x14ac:dyDescent="0.2">
      <c r="A1000" s="26"/>
      <c r="G1000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2.5703125" defaultRowHeight="15.75" customHeight="1" x14ac:dyDescent="0.2"/>
  <sheetData>
    <row r="1" spans="1:7" x14ac:dyDescent="0.2">
      <c r="A1" s="26" t="str">
        <f ca="1">IFERROR(__xludf.DUMMYFUNCTION("GOOGLEFINANCE(""INDEXDB:DAX"", ""all"", DATE(2016,1,1),DATE(2020,1,1),""WEEKLY"")"),"Date")</f>
        <v>Date</v>
      </c>
      <c r="B1" s="27" t="str">
        <f ca="1">IFERROR(__xludf.DUMMYFUNCTION("""COMPUTED_VALUE"""),"Open")</f>
        <v>Open</v>
      </c>
      <c r="C1" s="27" t="str">
        <f ca="1">IFERROR(__xludf.DUMMYFUNCTION("""COMPUTED_VALUE"""),"High")</f>
        <v>High</v>
      </c>
      <c r="D1" s="27" t="str">
        <f ca="1">IFERROR(__xludf.DUMMYFUNCTION("""COMPUTED_VALUE"""),"Low")</f>
        <v>Low</v>
      </c>
      <c r="E1" s="27" t="str">
        <f ca="1">IFERROR(__xludf.DUMMYFUNCTION("""COMPUTED_VALUE"""),"Close")</f>
        <v>Close</v>
      </c>
      <c r="F1" s="27" t="str">
        <f ca="1">IFERROR(__xludf.DUMMYFUNCTION("""COMPUTED_VALUE"""),"Volume")</f>
        <v>Volume</v>
      </c>
      <c r="G1" s="28"/>
    </row>
    <row r="2" spans="1:7" x14ac:dyDescent="0.2">
      <c r="A2" s="26">
        <f ca="1">IFERROR(__xludf.DUMMYFUNCTION("""COMPUTED_VALUE"""),42377.8333333333)</f>
        <v>42377.833333333299</v>
      </c>
      <c r="B2" s="27">
        <f ca="1">IFERROR(__xludf.DUMMYFUNCTION("""COMPUTED_VALUE"""),10485.81)</f>
        <v>10485.81</v>
      </c>
      <c r="C2" s="27">
        <f ca="1">IFERROR(__xludf.DUMMYFUNCTION("""COMPUTED_VALUE"""),10485.91)</f>
        <v>10485.91</v>
      </c>
      <c r="D2" s="27">
        <f ca="1">IFERROR(__xludf.DUMMYFUNCTION("""COMPUTED_VALUE"""),9810.47)</f>
        <v>9810.4699999999993</v>
      </c>
      <c r="E2" s="27">
        <f ca="1">IFERROR(__xludf.DUMMYFUNCTION("""COMPUTED_VALUE"""),9849.34)</f>
        <v>9849.34</v>
      </c>
      <c r="F2" s="27">
        <f ca="1">IFERROR(__xludf.DUMMYFUNCTION("""COMPUTED_VALUE"""),0)</f>
        <v>0</v>
      </c>
      <c r="G2" s="28"/>
    </row>
    <row r="3" spans="1:7" x14ac:dyDescent="0.2">
      <c r="A3" s="26">
        <f ca="1">IFERROR(__xludf.DUMMYFUNCTION("""COMPUTED_VALUE"""),42384.8333333333)</f>
        <v>42384.833333333299</v>
      </c>
      <c r="B3" s="27">
        <f ca="1">IFERROR(__xludf.DUMMYFUNCTION("""COMPUTED_VALUE"""),9814.04)</f>
        <v>9814.0400000000009</v>
      </c>
      <c r="C3" s="27">
        <f ca="1">IFERROR(__xludf.DUMMYFUNCTION("""COMPUTED_VALUE"""),10164.05)</f>
        <v>10164.049999999999</v>
      </c>
      <c r="D3" s="27">
        <f ca="1">IFERROR(__xludf.DUMMYFUNCTION("""COMPUTED_VALUE"""),9459.09)</f>
        <v>9459.09</v>
      </c>
      <c r="E3" s="27">
        <f ca="1">IFERROR(__xludf.DUMMYFUNCTION("""COMPUTED_VALUE"""),9545.27)</f>
        <v>9545.27</v>
      </c>
      <c r="F3" s="27">
        <f ca="1">IFERROR(__xludf.DUMMYFUNCTION("""COMPUTED_VALUE"""),0)</f>
        <v>0</v>
      </c>
      <c r="G3" s="28">
        <f t="shared" ref="G3:G209" ca="1" si="0">E3/E2-1</f>
        <v>-3.0872119350129013E-2</v>
      </c>
    </row>
    <row r="4" spans="1:7" x14ac:dyDescent="0.2">
      <c r="A4" s="26">
        <f ca="1">IFERROR(__xludf.DUMMYFUNCTION("""COMPUTED_VALUE"""),42391.8333333333)</f>
        <v>42391.833333333299</v>
      </c>
      <c r="B4" s="27">
        <f ca="1">IFERROR(__xludf.DUMMYFUNCTION("""COMPUTED_VALUE"""),9542.6)</f>
        <v>9542.6</v>
      </c>
      <c r="C4" s="27">
        <f ca="1">IFERROR(__xludf.DUMMYFUNCTION("""COMPUTED_VALUE"""),9837.62)</f>
        <v>9837.6200000000008</v>
      </c>
      <c r="D4" s="27">
        <f ca="1">IFERROR(__xludf.DUMMYFUNCTION("""COMPUTED_VALUE"""),9314.57)</f>
        <v>9314.57</v>
      </c>
      <c r="E4" s="27">
        <f ca="1">IFERROR(__xludf.DUMMYFUNCTION("""COMPUTED_VALUE"""),9764.88)</f>
        <v>9764.8799999999992</v>
      </c>
      <c r="F4" s="27">
        <f ca="1">IFERROR(__xludf.DUMMYFUNCTION("""COMPUTED_VALUE"""),0)</f>
        <v>0</v>
      </c>
      <c r="G4" s="28">
        <f t="shared" ca="1" si="0"/>
        <v>2.3007206710758288E-2</v>
      </c>
    </row>
    <row r="5" spans="1:7" x14ac:dyDescent="0.2">
      <c r="A5" s="26">
        <f ca="1">IFERROR(__xludf.DUMMYFUNCTION("""COMPUTED_VALUE"""),42398.8333333333)</f>
        <v>42398.833333333299</v>
      </c>
      <c r="B5" s="27">
        <f ca="1">IFERROR(__xludf.DUMMYFUNCTION("""COMPUTED_VALUE"""),9790.44)</f>
        <v>9790.44</v>
      </c>
      <c r="C5" s="27">
        <f ca="1">IFERROR(__xludf.DUMMYFUNCTION("""COMPUTED_VALUE"""),9905.08)</f>
        <v>9905.08</v>
      </c>
      <c r="D5" s="27">
        <f ca="1">IFERROR(__xludf.DUMMYFUNCTION("""COMPUTED_VALUE"""),9563.64)</f>
        <v>9563.64</v>
      </c>
      <c r="E5" s="27">
        <f ca="1">IFERROR(__xludf.DUMMYFUNCTION("""COMPUTED_VALUE"""),9798.11)</f>
        <v>9798.11</v>
      </c>
      <c r="F5" s="27">
        <f ca="1">IFERROR(__xludf.DUMMYFUNCTION("""COMPUTED_VALUE"""),0)</f>
        <v>0</v>
      </c>
      <c r="G5" s="28">
        <f t="shared" ca="1" si="0"/>
        <v>3.4030116089498463E-3</v>
      </c>
    </row>
    <row r="6" spans="1:7" x14ac:dyDescent="0.2">
      <c r="A6" s="26">
        <f ca="1">IFERROR(__xludf.DUMMYFUNCTION("""COMPUTED_VALUE"""),42405.8333333333)</f>
        <v>42405.833333333299</v>
      </c>
      <c r="B6" s="27">
        <f ca="1">IFERROR(__xludf.DUMMYFUNCTION("""COMPUTED_VALUE"""),9823.73)</f>
        <v>9823.73</v>
      </c>
      <c r="C6" s="27">
        <f ca="1">IFERROR(__xludf.DUMMYFUNCTION("""COMPUTED_VALUE"""),9827.1)</f>
        <v>9827.1</v>
      </c>
      <c r="D6" s="27">
        <f ca="1">IFERROR(__xludf.DUMMYFUNCTION("""COMPUTED_VALUE"""),9250.84)</f>
        <v>9250.84</v>
      </c>
      <c r="E6" s="27">
        <f ca="1">IFERROR(__xludf.DUMMYFUNCTION("""COMPUTED_VALUE"""),9286.23)</f>
        <v>9286.23</v>
      </c>
      <c r="F6" s="27">
        <f ca="1">IFERROR(__xludf.DUMMYFUNCTION("""COMPUTED_VALUE"""),0)</f>
        <v>0</v>
      </c>
      <c r="G6" s="28">
        <f t="shared" ca="1" si="0"/>
        <v>-5.2242728444567454E-2</v>
      </c>
    </row>
    <row r="7" spans="1:7" x14ac:dyDescent="0.2">
      <c r="A7" s="26">
        <f ca="1">IFERROR(__xludf.DUMMYFUNCTION("""COMPUTED_VALUE"""),42412.8333333333)</f>
        <v>42412.833333333299</v>
      </c>
      <c r="B7" s="27">
        <f ca="1">IFERROR(__xludf.DUMMYFUNCTION("""COMPUTED_VALUE"""),9329.87)</f>
        <v>9329.8700000000008</v>
      </c>
      <c r="C7" s="27">
        <f ca="1">IFERROR(__xludf.DUMMYFUNCTION("""COMPUTED_VALUE"""),9337.52)</f>
        <v>9337.52</v>
      </c>
      <c r="D7" s="27">
        <f ca="1">IFERROR(__xludf.DUMMYFUNCTION("""COMPUTED_VALUE"""),8699.29)</f>
        <v>8699.2900000000009</v>
      </c>
      <c r="E7" s="27">
        <f ca="1">IFERROR(__xludf.DUMMYFUNCTION("""COMPUTED_VALUE"""),8967.51)</f>
        <v>8967.51</v>
      </c>
      <c r="F7" s="27">
        <f ca="1">IFERROR(__xludf.DUMMYFUNCTION("""COMPUTED_VALUE"""),0)</f>
        <v>0</v>
      </c>
      <c r="G7" s="28">
        <f t="shared" ca="1" si="0"/>
        <v>-3.4321786128493459E-2</v>
      </c>
    </row>
    <row r="8" spans="1:7" x14ac:dyDescent="0.2">
      <c r="A8" s="26">
        <f ca="1">IFERROR(__xludf.DUMMYFUNCTION("""COMPUTED_VALUE"""),42419.8333333333)</f>
        <v>42419.833333333299</v>
      </c>
      <c r="B8" s="27">
        <f ca="1">IFERROR(__xludf.DUMMYFUNCTION("""COMPUTED_VALUE"""),9163.54)</f>
        <v>9163.5400000000009</v>
      </c>
      <c r="C8" s="27">
        <f ca="1">IFERROR(__xludf.DUMMYFUNCTION("""COMPUTED_VALUE"""),9551.87)</f>
        <v>9551.8700000000008</v>
      </c>
      <c r="D8" s="27">
        <f ca="1">IFERROR(__xludf.DUMMYFUNCTION("""COMPUTED_VALUE"""),9079.19)</f>
        <v>9079.19</v>
      </c>
      <c r="E8" s="27">
        <f ca="1">IFERROR(__xludf.DUMMYFUNCTION("""COMPUTED_VALUE"""),9388.05)</f>
        <v>9388.0499999999993</v>
      </c>
      <c r="F8" s="27">
        <f ca="1">IFERROR(__xludf.DUMMYFUNCTION("""COMPUTED_VALUE"""),0)</f>
        <v>0</v>
      </c>
      <c r="G8" s="28">
        <f t="shared" ca="1" si="0"/>
        <v>4.6895961086187654E-2</v>
      </c>
    </row>
    <row r="9" spans="1:7" x14ac:dyDescent="0.2">
      <c r="A9" s="26">
        <f ca="1">IFERROR(__xludf.DUMMYFUNCTION("""COMPUTED_VALUE"""),42426.8333333333)</f>
        <v>42426.833333333299</v>
      </c>
      <c r="B9" s="27">
        <f ca="1">IFERROR(__xludf.DUMMYFUNCTION("""COMPUTED_VALUE"""),9481.37)</f>
        <v>9481.3700000000008</v>
      </c>
      <c r="C9" s="27">
        <f ca="1">IFERROR(__xludf.DUMMYFUNCTION("""COMPUTED_VALUE"""),9581.45)</f>
        <v>9581.4500000000007</v>
      </c>
      <c r="D9" s="27">
        <f ca="1">IFERROR(__xludf.DUMMYFUNCTION("""COMPUTED_VALUE"""),9125.19)</f>
        <v>9125.19</v>
      </c>
      <c r="E9" s="27">
        <f ca="1">IFERROR(__xludf.DUMMYFUNCTION("""COMPUTED_VALUE"""),9513.3)</f>
        <v>9513.2999999999993</v>
      </c>
      <c r="F9" s="27">
        <f ca="1">IFERROR(__xludf.DUMMYFUNCTION("""COMPUTED_VALUE"""),0)</f>
        <v>0</v>
      </c>
      <c r="G9" s="28">
        <f t="shared" ca="1" si="0"/>
        <v>1.334142873120614E-2</v>
      </c>
    </row>
    <row r="10" spans="1:7" x14ac:dyDescent="0.2">
      <c r="A10" s="26">
        <f ca="1">IFERROR(__xludf.DUMMYFUNCTION("""COMPUTED_VALUE"""),42433.8333333333)</f>
        <v>42433.833333333299</v>
      </c>
      <c r="B10" s="27">
        <f ca="1">IFERROR(__xludf.DUMMYFUNCTION("""COMPUTED_VALUE"""),9424.93)</f>
        <v>9424.93</v>
      </c>
      <c r="C10" s="27">
        <f ca="1">IFERROR(__xludf.DUMMYFUNCTION("""COMPUTED_VALUE"""),9899.11)</f>
        <v>9899.11</v>
      </c>
      <c r="D10" s="27">
        <f ca="1">IFERROR(__xludf.DUMMYFUNCTION("""COMPUTED_VALUE"""),9332.42)</f>
        <v>9332.42</v>
      </c>
      <c r="E10" s="27">
        <f ca="1">IFERROR(__xludf.DUMMYFUNCTION("""COMPUTED_VALUE"""),9824.17)</f>
        <v>9824.17</v>
      </c>
      <c r="F10" s="27">
        <f ca="1">IFERROR(__xludf.DUMMYFUNCTION("""COMPUTED_VALUE"""),0)</f>
        <v>0</v>
      </c>
      <c r="G10" s="28">
        <f t="shared" ca="1" si="0"/>
        <v>3.2677409521406853E-2</v>
      </c>
    </row>
    <row r="11" spans="1:7" x14ac:dyDescent="0.2">
      <c r="A11" s="26">
        <f ca="1">IFERROR(__xludf.DUMMYFUNCTION("""COMPUTED_VALUE"""),42440.8333333333)</f>
        <v>42440.833333333299</v>
      </c>
      <c r="B11" s="27">
        <f ca="1">IFERROR(__xludf.DUMMYFUNCTION("""COMPUTED_VALUE"""),9764.08)</f>
        <v>9764.08</v>
      </c>
      <c r="C11" s="27">
        <f ca="1">IFERROR(__xludf.DUMMYFUNCTION("""COMPUTED_VALUE"""),9995.84)</f>
        <v>9995.84</v>
      </c>
      <c r="D11" s="27">
        <f ca="1">IFERROR(__xludf.DUMMYFUNCTION("""COMPUTED_VALUE"""),9498.15)</f>
        <v>9498.15</v>
      </c>
      <c r="E11" s="27">
        <f ca="1">IFERROR(__xludf.DUMMYFUNCTION("""COMPUTED_VALUE"""),9831.13)</f>
        <v>9831.1299999999992</v>
      </c>
      <c r="F11" s="27">
        <f ca="1">IFERROR(__xludf.DUMMYFUNCTION("""COMPUTED_VALUE"""),0)</f>
        <v>0</v>
      </c>
      <c r="G11" s="28">
        <f t="shared" ca="1" si="0"/>
        <v>7.0845679584108368E-4</v>
      </c>
    </row>
    <row r="12" spans="1:7" x14ac:dyDescent="0.2">
      <c r="A12" s="26">
        <f ca="1">IFERROR(__xludf.DUMMYFUNCTION("""COMPUTED_VALUE"""),42447.8333333333)</f>
        <v>42447.833333333299</v>
      </c>
      <c r="B12" s="27">
        <f ca="1">IFERROR(__xludf.DUMMYFUNCTION("""COMPUTED_VALUE"""),9948.21)</f>
        <v>9948.2099999999991</v>
      </c>
      <c r="C12" s="27">
        <f ca="1">IFERROR(__xludf.DUMMYFUNCTION("""COMPUTED_VALUE"""),10055.29)</f>
        <v>10055.290000000001</v>
      </c>
      <c r="D12" s="27">
        <f ca="1">IFERROR(__xludf.DUMMYFUNCTION("""COMPUTED_VALUE"""),9753.04)</f>
        <v>9753.0400000000009</v>
      </c>
      <c r="E12" s="27">
        <f ca="1">IFERROR(__xludf.DUMMYFUNCTION("""COMPUTED_VALUE"""),9950.8)</f>
        <v>9950.7999999999993</v>
      </c>
      <c r="F12" s="27">
        <f ca="1">IFERROR(__xludf.DUMMYFUNCTION("""COMPUTED_VALUE"""),0)</f>
        <v>0</v>
      </c>
      <c r="G12" s="28">
        <f t="shared" ca="1" si="0"/>
        <v>1.2172557986721788E-2</v>
      </c>
    </row>
    <row r="13" spans="1:7" x14ac:dyDescent="0.2">
      <c r="A13" s="26">
        <f ca="1">IFERROR(__xludf.DUMMYFUNCTION("""COMPUTED_VALUE"""),42453.8333333333)</f>
        <v>42453.833333333299</v>
      </c>
      <c r="B13" s="27">
        <f ca="1">IFERROR(__xludf.DUMMYFUNCTION("""COMPUTED_VALUE"""),9893.26)</f>
        <v>9893.26</v>
      </c>
      <c r="C13" s="27">
        <f ca="1">IFERROR(__xludf.DUMMYFUNCTION("""COMPUTED_VALUE"""),10112.17)</f>
        <v>10112.17</v>
      </c>
      <c r="D13" s="27">
        <f ca="1">IFERROR(__xludf.DUMMYFUNCTION("""COMPUTED_VALUE"""),9762.57)</f>
        <v>9762.57</v>
      </c>
      <c r="E13" s="27">
        <f ca="1">IFERROR(__xludf.DUMMYFUNCTION("""COMPUTED_VALUE"""),9851.35)</f>
        <v>9851.35</v>
      </c>
      <c r="F13" s="27">
        <f ca="1">IFERROR(__xludf.DUMMYFUNCTION("""COMPUTED_VALUE"""),0)</f>
        <v>0</v>
      </c>
      <c r="G13" s="28">
        <f t="shared" ca="1" si="0"/>
        <v>-9.9941713229085849E-3</v>
      </c>
    </row>
    <row r="14" spans="1:7" x14ac:dyDescent="0.2">
      <c r="A14" s="26">
        <f ca="1">IFERROR(__xludf.DUMMYFUNCTION("""COMPUTED_VALUE"""),42461.8333333333)</f>
        <v>42461.833333333299</v>
      </c>
      <c r="B14" s="27">
        <f ca="1">IFERROR(__xludf.DUMMYFUNCTION("""COMPUTED_VALUE"""),9900.88)</f>
        <v>9900.8799999999992</v>
      </c>
      <c r="C14" s="27">
        <f ca="1">IFERROR(__xludf.DUMMYFUNCTION("""COMPUTED_VALUE"""),10097.7)</f>
        <v>10097.700000000001</v>
      </c>
      <c r="D14" s="27">
        <f ca="1">IFERROR(__xludf.DUMMYFUNCTION("""COMPUTED_VALUE"""),9675.5)</f>
        <v>9675.5</v>
      </c>
      <c r="E14" s="27">
        <f ca="1">IFERROR(__xludf.DUMMYFUNCTION("""COMPUTED_VALUE"""),9794.64)</f>
        <v>9794.64</v>
      </c>
      <c r="F14" s="27">
        <f ca="1">IFERROR(__xludf.DUMMYFUNCTION("""COMPUTED_VALUE"""),0)</f>
        <v>0</v>
      </c>
      <c r="G14" s="28">
        <f t="shared" ca="1" si="0"/>
        <v>-5.7565714343720265E-3</v>
      </c>
    </row>
    <row r="15" spans="1:7" x14ac:dyDescent="0.2">
      <c r="A15" s="26">
        <f ca="1">IFERROR(__xludf.DUMMYFUNCTION("""COMPUTED_VALUE"""),42468.8333333333)</f>
        <v>42468.833333333299</v>
      </c>
      <c r="B15" s="27">
        <f ca="1">IFERROR(__xludf.DUMMYFUNCTION("""COMPUTED_VALUE"""),9789.77)</f>
        <v>9789.77</v>
      </c>
      <c r="C15" s="27">
        <f ca="1">IFERROR(__xludf.DUMMYFUNCTION("""COMPUTED_VALUE"""),9907.05)</f>
        <v>9907.0499999999993</v>
      </c>
      <c r="D15" s="27">
        <f ca="1">IFERROR(__xludf.DUMMYFUNCTION("""COMPUTED_VALUE"""),9484.75)</f>
        <v>9484.75</v>
      </c>
      <c r="E15" s="27">
        <f ca="1">IFERROR(__xludf.DUMMYFUNCTION("""COMPUTED_VALUE"""),9622.26)</f>
        <v>9622.26</v>
      </c>
      <c r="F15" s="27">
        <f ca="1">IFERROR(__xludf.DUMMYFUNCTION("""COMPUTED_VALUE"""),0)</f>
        <v>0</v>
      </c>
      <c r="G15" s="28">
        <f t="shared" ca="1" si="0"/>
        <v>-1.7599421724534992E-2</v>
      </c>
    </row>
    <row r="16" spans="1:7" x14ac:dyDescent="0.2">
      <c r="A16" s="26">
        <f ca="1">IFERROR(__xludf.DUMMYFUNCTION("""COMPUTED_VALUE"""),42475.8333333333)</f>
        <v>42475.833333333299</v>
      </c>
      <c r="B16" s="27">
        <f ca="1">IFERROR(__xludf.DUMMYFUNCTION("""COMPUTED_VALUE"""),9595.56)</f>
        <v>9595.56</v>
      </c>
      <c r="C16" s="27">
        <f ca="1">IFERROR(__xludf.DUMMYFUNCTION("""COMPUTED_VALUE"""),10098.44)</f>
        <v>10098.44</v>
      </c>
      <c r="D16" s="27">
        <f ca="1">IFERROR(__xludf.DUMMYFUNCTION("""COMPUTED_VALUE"""),9524.66)</f>
        <v>9524.66</v>
      </c>
      <c r="E16" s="27">
        <f ca="1">IFERROR(__xludf.DUMMYFUNCTION("""COMPUTED_VALUE"""),10051.57)</f>
        <v>10051.57</v>
      </c>
      <c r="F16" s="27">
        <f ca="1">IFERROR(__xludf.DUMMYFUNCTION("""COMPUTED_VALUE"""),0)</f>
        <v>0</v>
      </c>
      <c r="G16" s="28">
        <f t="shared" ca="1" si="0"/>
        <v>4.461633753400962E-2</v>
      </c>
    </row>
    <row r="17" spans="1:7" x14ac:dyDescent="0.2">
      <c r="A17" s="26">
        <f ca="1">IFERROR(__xludf.DUMMYFUNCTION("""COMPUTED_VALUE"""),42482.8333333333)</f>
        <v>42482.833333333299</v>
      </c>
      <c r="B17" s="27">
        <f ca="1">IFERROR(__xludf.DUMMYFUNCTION("""COMPUTED_VALUE"""),9933.7)</f>
        <v>9933.7000000000007</v>
      </c>
      <c r="C17" s="27">
        <f ca="1">IFERROR(__xludf.DUMMYFUNCTION("""COMPUTED_VALUE"""),10474.38)</f>
        <v>10474.379999999999</v>
      </c>
      <c r="D17" s="27">
        <f ca="1">IFERROR(__xludf.DUMMYFUNCTION("""COMPUTED_VALUE"""),9920.9)</f>
        <v>9920.9</v>
      </c>
      <c r="E17" s="27">
        <f ca="1">IFERROR(__xludf.DUMMYFUNCTION("""COMPUTED_VALUE"""),10373.49)</f>
        <v>10373.49</v>
      </c>
      <c r="F17" s="27">
        <f ca="1">IFERROR(__xludf.DUMMYFUNCTION("""COMPUTED_VALUE"""),0)</f>
        <v>0</v>
      </c>
      <c r="G17" s="28">
        <f t="shared" ca="1" si="0"/>
        <v>3.2026837598504443E-2</v>
      </c>
    </row>
    <row r="18" spans="1:7" x14ac:dyDescent="0.2">
      <c r="A18" s="26">
        <f ca="1">IFERROR(__xludf.DUMMYFUNCTION("""COMPUTED_VALUE"""),42489.8333333333)</f>
        <v>42489.833333333299</v>
      </c>
      <c r="B18" s="27">
        <f ca="1">IFERROR(__xludf.DUMMYFUNCTION("""COMPUTED_VALUE"""),10379.16)</f>
        <v>10379.16</v>
      </c>
      <c r="C18" s="27">
        <f ca="1">IFERROR(__xludf.DUMMYFUNCTION("""COMPUTED_VALUE"""),10399.3)</f>
        <v>10399.299999999999</v>
      </c>
      <c r="D18" s="27">
        <f ca="1">IFERROR(__xludf.DUMMYFUNCTION("""COMPUTED_VALUE"""),10038.97)</f>
        <v>10038.969999999999</v>
      </c>
      <c r="E18" s="27">
        <f ca="1">IFERROR(__xludf.DUMMYFUNCTION("""COMPUTED_VALUE"""),10038.97)</f>
        <v>10038.969999999999</v>
      </c>
      <c r="F18" s="27">
        <f ca="1">IFERROR(__xludf.DUMMYFUNCTION("""COMPUTED_VALUE"""),0)</f>
        <v>0</v>
      </c>
      <c r="G18" s="28">
        <f t="shared" ca="1" si="0"/>
        <v>-3.2247584949713248E-2</v>
      </c>
    </row>
    <row r="19" spans="1:7" x14ac:dyDescent="0.2">
      <c r="A19" s="26">
        <f ca="1">IFERROR(__xludf.DUMMYFUNCTION("""COMPUTED_VALUE"""),42496.8333333333)</f>
        <v>42496.833333333299</v>
      </c>
      <c r="B19" s="27">
        <f ca="1">IFERROR(__xludf.DUMMYFUNCTION("""COMPUTED_VALUE"""),10091.17)</f>
        <v>10091.17</v>
      </c>
      <c r="C19" s="27">
        <f ca="1">IFERROR(__xludf.DUMMYFUNCTION("""COMPUTED_VALUE"""),10153.9)</f>
        <v>10153.9</v>
      </c>
      <c r="D19" s="27">
        <f ca="1">IFERROR(__xludf.DUMMYFUNCTION("""COMPUTED_VALUE"""),9737)</f>
        <v>9737</v>
      </c>
      <c r="E19" s="27">
        <f ca="1">IFERROR(__xludf.DUMMYFUNCTION("""COMPUTED_VALUE"""),9869.95)</f>
        <v>9869.9500000000007</v>
      </c>
      <c r="F19" s="27">
        <f ca="1">IFERROR(__xludf.DUMMYFUNCTION("""COMPUTED_VALUE"""),0)</f>
        <v>0</v>
      </c>
      <c r="G19" s="28">
        <f t="shared" ca="1" si="0"/>
        <v>-1.6836388593650442E-2</v>
      </c>
    </row>
    <row r="20" spans="1:7" x14ac:dyDescent="0.2">
      <c r="A20" s="26">
        <f ca="1">IFERROR(__xludf.DUMMYFUNCTION("""COMPUTED_VALUE"""),42503.8333333333)</f>
        <v>42503.833333333299</v>
      </c>
      <c r="B20" s="27">
        <f ca="1">IFERROR(__xludf.DUMMYFUNCTION("""COMPUTED_VALUE"""),9929.19)</f>
        <v>9929.19</v>
      </c>
      <c r="C20" s="27">
        <f ca="1">IFERROR(__xludf.DUMMYFUNCTION("""COMPUTED_VALUE"""),10106.93)</f>
        <v>10106.93</v>
      </c>
      <c r="D20" s="27">
        <f ca="1">IFERROR(__xludf.DUMMYFUNCTION("""COMPUTED_VALUE"""),9767.94)</f>
        <v>9767.94</v>
      </c>
      <c r="E20" s="27">
        <f ca="1">IFERROR(__xludf.DUMMYFUNCTION("""COMPUTED_VALUE"""),9952.9)</f>
        <v>9952.9</v>
      </c>
      <c r="F20" s="27">
        <f ca="1">IFERROR(__xludf.DUMMYFUNCTION("""COMPUTED_VALUE"""),0)</f>
        <v>0</v>
      </c>
      <c r="G20" s="28">
        <f t="shared" ca="1" si="0"/>
        <v>8.4042978941127888E-3</v>
      </c>
    </row>
    <row r="21" spans="1:7" x14ac:dyDescent="0.2">
      <c r="A21" s="26">
        <f ca="1">IFERROR(__xludf.DUMMYFUNCTION("""COMPUTED_VALUE"""),42510.8333333333)</f>
        <v>42510.833333333299</v>
      </c>
      <c r="B21" s="27">
        <f ca="1">IFERROR(__xludf.DUMMYFUNCTION("""COMPUTED_VALUE"""),10016.79)</f>
        <v>10016.790000000001</v>
      </c>
      <c r="C21" s="27">
        <f ca="1">IFERROR(__xludf.DUMMYFUNCTION("""COMPUTED_VALUE"""),10080.31)</f>
        <v>10080.31</v>
      </c>
      <c r="D21" s="27">
        <f ca="1">IFERROR(__xludf.DUMMYFUNCTION("""COMPUTED_VALUE"""),9773.72)</f>
        <v>9773.7199999999993</v>
      </c>
      <c r="E21" s="27">
        <f ca="1">IFERROR(__xludf.DUMMYFUNCTION("""COMPUTED_VALUE"""),9916.02)</f>
        <v>9916.02</v>
      </c>
      <c r="F21" s="27">
        <f ca="1">IFERROR(__xludf.DUMMYFUNCTION("""COMPUTED_VALUE"""),0)</f>
        <v>0</v>
      </c>
      <c r="G21" s="28">
        <f t="shared" ca="1" si="0"/>
        <v>-3.7054526821327372E-3</v>
      </c>
    </row>
    <row r="22" spans="1:7" x14ac:dyDescent="0.2">
      <c r="A22" s="26">
        <f ca="1">IFERROR(__xludf.DUMMYFUNCTION("""COMPUTED_VALUE"""),42517.8333333333)</f>
        <v>42517.833333333299</v>
      </c>
      <c r="B22" s="27">
        <f ca="1">IFERROR(__xludf.DUMMYFUNCTION("""COMPUTED_VALUE"""),9891.38)</f>
        <v>9891.3799999999992</v>
      </c>
      <c r="C22" s="27">
        <f ca="1">IFERROR(__xludf.DUMMYFUNCTION("""COMPUTED_VALUE"""),10298.76)</f>
        <v>10298.76</v>
      </c>
      <c r="D22" s="27">
        <f ca="1">IFERROR(__xludf.DUMMYFUNCTION("""COMPUTED_VALUE"""),9773.8)</f>
        <v>9773.7999999999993</v>
      </c>
      <c r="E22" s="27">
        <f ca="1">IFERROR(__xludf.DUMMYFUNCTION("""COMPUTED_VALUE"""),10286.31)</f>
        <v>10286.31</v>
      </c>
      <c r="F22" s="27">
        <f ca="1">IFERROR(__xludf.DUMMYFUNCTION("""COMPUTED_VALUE"""),0)</f>
        <v>0</v>
      </c>
      <c r="G22" s="28">
        <f t="shared" ca="1" si="0"/>
        <v>3.7342603181518275E-2</v>
      </c>
    </row>
    <row r="23" spans="1:7" x14ac:dyDescent="0.2">
      <c r="A23" s="26">
        <f ca="1">IFERROR(__xludf.DUMMYFUNCTION("""COMPUTED_VALUE"""),42524.8333333333)</f>
        <v>42524.833333333299</v>
      </c>
      <c r="B23" s="27">
        <f ca="1">IFERROR(__xludf.DUMMYFUNCTION("""COMPUTED_VALUE"""),10293.43)</f>
        <v>10293.43</v>
      </c>
      <c r="C23" s="27">
        <f ca="1">IFERROR(__xludf.DUMMYFUNCTION("""COMPUTED_VALUE"""),10365.24)</f>
        <v>10365.24</v>
      </c>
      <c r="D23" s="27">
        <f ca="1">IFERROR(__xludf.DUMMYFUNCTION("""COMPUTED_VALUE"""),10040.87)</f>
        <v>10040.870000000001</v>
      </c>
      <c r="E23" s="27">
        <f ca="1">IFERROR(__xludf.DUMMYFUNCTION("""COMPUTED_VALUE"""),10103.26)</f>
        <v>10103.26</v>
      </c>
      <c r="F23" s="27">
        <f ca="1">IFERROR(__xludf.DUMMYFUNCTION("""COMPUTED_VALUE"""),0)</f>
        <v>0</v>
      </c>
      <c r="G23" s="28">
        <f t="shared" ca="1" si="0"/>
        <v>-1.7795497121902759E-2</v>
      </c>
    </row>
    <row r="24" spans="1:7" x14ac:dyDescent="0.2">
      <c r="A24" s="26">
        <f ca="1">IFERROR(__xludf.DUMMYFUNCTION("""COMPUTED_VALUE"""),42531.8333333333)</f>
        <v>42531.833333333299</v>
      </c>
      <c r="B24" s="27">
        <f ca="1">IFERROR(__xludf.DUMMYFUNCTION("""COMPUTED_VALUE"""),10105.09)</f>
        <v>10105.09</v>
      </c>
      <c r="C24" s="27">
        <f ca="1">IFERROR(__xludf.DUMMYFUNCTION("""COMPUTED_VALUE"""),10312.53)</f>
        <v>10312.530000000001</v>
      </c>
      <c r="D24" s="27">
        <f ca="1">IFERROR(__xludf.DUMMYFUNCTION("""COMPUTED_VALUE"""),9819.12)</f>
        <v>9819.1200000000008</v>
      </c>
      <c r="E24" s="27">
        <f ca="1">IFERROR(__xludf.DUMMYFUNCTION("""COMPUTED_VALUE"""),9834.62)</f>
        <v>9834.6200000000008</v>
      </c>
      <c r="F24" s="27">
        <f ca="1">IFERROR(__xludf.DUMMYFUNCTION("""COMPUTED_VALUE"""),0)</f>
        <v>0</v>
      </c>
      <c r="G24" s="28">
        <f t="shared" ca="1" si="0"/>
        <v>-2.6589437468698129E-2</v>
      </c>
    </row>
    <row r="25" spans="1:7" x14ac:dyDescent="0.2">
      <c r="A25" s="26">
        <f ca="1">IFERROR(__xludf.DUMMYFUNCTION("""COMPUTED_VALUE"""),42538.8333333333)</f>
        <v>42538.833333333299</v>
      </c>
      <c r="B25" s="27">
        <f ca="1">IFERROR(__xludf.DUMMYFUNCTION("""COMPUTED_VALUE"""),9715.78)</f>
        <v>9715.7800000000007</v>
      </c>
      <c r="C25" s="27">
        <f ca="1">IFERROR(__xludf.DUMMYFUNCTION("""COMPUTED_VALUE"""),9755.23)</f>
        <v>9755.23</v>
      </c>
      <c r="D25" s="27">
        <f ca="1">IFERROR(__xludf.DUMMYFUNCTION("""COMPUTED_VALUE"""),9432.87)</f>
        <v>9432.8700000000008</v>
      </c>
      <c r="E25" s="27">
        <f ca="1">IFERROR(__xludf.DUMMYFUNCTION("""COMPUTED_VALUE"""),9631.36)</f>
        <v>9631.36</v>
      </c>
      <c r="F25" s="27">
        <f ca="1">IFERROR(__xludf.DUMMYFUNCTION("""COMPUTED_VALUE"""),0)</f>
        <v>0</v>
      </c>
      <c r="G25" s="28">
        <f t="shared" ca="1" si="0"/>
        <v>-2.0667804144949176E-2</v>
      </c>
    </row>
    <row r="26" spans="1:7" x14ac:dyDescent="0.2">
      <c r="A26" s="26">
        <f ca="1">IFERROR(__xludf.DUMMYFUNCTION("""COMPUTED_VALUE"""),42545.8333333333)</f>
        <v>42545.833333333299</v>
      </c>
      <c r="B26" s="27">
        <f ca="1">IFERROR(__xludf.DUMMYFUNCTION("""COMPUTED_VALUE"""),9850.59)</f>
        <v>9850.59</v>
      </c>
      <c r="C26" s="27">
        <f ca="1">IFERROR(__xludf.DUMMYFUNCTION("""COMPUTED_VALUE"""),10340.84)</f>
        <v>10340.84</v>
      </c>
      <c r="D26" s="27">
        <f ca="1">IFERROR(__xludf.DUMMYFUNCTION("""COMPUTED_VALUE"""),9226.15)</f>
        <v>9226.15</v>
      </c>
      <c r="E26" s="27">
        <f ca="1">IFERROR(__xludf.DUMMYFUNCTION("""COMPUTED_VALUE"""),9557.16)</f>
        <v>9557.16</v>
      </c>
      <c r="F26" s="27">
        <f ca="1">IFERROR(__xludf.DUMMYFUNCTION("""COMPUTED_VALUE"""),0)</f>
        <v>0</v>
      </c>
      <c r="G26" s="28">
        <f t="shared" ca="1" si="0"/>
        <v>-7.7040002657984274E-3</v>
      </c>
    </row>
    <row r="27" spans="1:7" x14ac:dyDescent="0.2">
      <c r="A27" s="26">
        <f ca="1">IFERROR(__xludf.DUMMYFUNCTION("""COMPUTED_VALUE"""),42552.8333333333)</f>
        <v>42552.833333333299</v>
      </c>
      <c r="B27" s="27">
        <f ca="1">IFERROR(__xludf.DUMMYFUNCTION("""COMPUTED_VALUE"""),9516.92)</f>
        <v>9516.92</v>
      </c>
      <c r="C27" s="27">
        <f ca="1">IFERROR(__xludf.DUMMYFUNCTION("""COMPUTED_VALUE"""),9806.47)</f>
        <v>9806.4699999999993</v>
      </c>
      <c r="D27" s="27">
        <f ca="1">IFERROR(__xludf.DUMMYFUNCTION("""COMPUTED_VALUE"""),9214.1)</f>
        <v>9214.1</v>
      </c>
      <c r="E27" s="27">
        <f ca="1">IFERROR(__xludf.DUMMYFUNCTION("""COMPUTED_VALUE"""),9776.12)</f>
        <v>9776.1200000000008</v>
      </c>
      <c r="F27" s="27">
        <f ca="1">IFERROR(__xludf.DUMMYFUNCTION("""COMPUTED_VALUE"""),0)</f>
        <v>0</v>
      </c>
      <c r="G27" s="28">
        <f t="shared" ca="1" si="0"/>
        <v>2.2910571759811482E-2</v>
      </c>
    </row>
    <row r="28" spans="1:7" x14ac:dyDescent="0.2">
      <c r="A28" s="26">
        <f ca="1">IFERROR(__xludf.DUMMYFUNCTION("""COMPUTED_VALUE"""),42559.8333333333)</f>
        <v>42559.833333333299</v>
      </c>
      <c r="B28" s="27">
        <f ca="1">IFERROR(__xludf.DUMMYFUNCTION("""COMPUTED_VALUE"""),9797.66)</f>
        <v>9797.66</v>
      </c>
      <c r="C28" s="27">
        <f ca="1">IFERROR(__xludf.DUMMYFUNCTION("""COMPUTED_VALUE"""),9808.99)</f>
        <v>9808.99</v>
      </c>
      <c r="D28" s="27">
        <f ca="1">IFERROR(__xludf.DUMMYFUNCTION("""COMPUTED_VALUE"""),9304.01)</f>
        <v>9304.01</v>
      </c>
      <c r="E28" s="27">
        <f ca="1">IFERROR(__xludf.DUMMYFUNCTION("""COMPUTED_VALUE"""),9629.66)</f>
        <v>9629.66</v>
      </c>
      <c r="F28" s="27">
        <f ca="1">IFERROR(__xludf.DUMMYFUNCTION("""COMPUTED_VALUE"""),0)</f>
        <v>0</v>
      </c>
      <c r="G28" s="28">
        <f t="shared" ca="1" si="0"/>
        <v>-1.4981403665257909E-2</v>
      </c>
    </row>
    <row r="29" spans="1:7" x14ac:dyDescent="0.2">
      <c r="A29" s="26">
        <f ca="1">IFERROR(__xludf.DUMMYFUNCTION("""COMPUTED_VALUE"""),42566.8333333333)</f>
        <v>42566.833333333299</v>
      </c>
      <c r="B29" s="27">
        <f ca="1">IFERROR(__xludf.DUMMYFUNCTION("""COMPUTED_VALUE"""),9744.8)</f>
        <v>9744.7999999999993</v>
      </c>
      <c r="C29" s="27">
        <f ca="1">IFERROR(__xludf.DUMMYFUNCTION("""COMPUTED_VALUE"""),10109.86)</f>
        <v>10109.86</v>
      </c>
      <c r="D29" s="27">
        <f ca="1">IFERROR(__xludf.DUMMYFUNCTION("""COMPUTED_VALUE"""),9690.18)</f>
        <v>9690.18</v>
      </c>
      <c r="E29" s="27">
        <f ca="1">IFERROR(__xludf.DUMMYFUNCTION("""COMPUTED_VALUE"""),10066.9)</f>
        <v>10066.9</v>
      </c>
      <c r="F29" s="27">
        <f ca="1">IFERROR(__xludf.DUMMYFUNCTION("""COMPUTED_VALUE"""),0)</f>
        <v>0</v>
      </c>
      <c r="G29" s="28">
        <f t="shared" ca="1" si="0"/>
        <v>4.5405549105575815E-2</v>
      </c>
    </row>
    <row r="30" spans="1:7" x14ac:dyDescent="0.2">
      <c r="A30" s="26">
        <f ca="1">IFERROR(__xludf.DUMMYFUNCTION("""COMPUTED_VALUE"""),42573.8333333333)</f>
        <v>42573.833333333299</v>
      </c>
      <c r="B30" s="27">
        <f ca="1">IFERROR(__xludf.DUMMYFUNCTION("""COMPUTED_VALUE"""),10079.03)</f>
        <v>10079.030000000001</v>
      </c>
      <c r="C30" s="27">
        <f ca="1">IFERROR(__xludf.DUMMYFUNCTION("""COMPUTED_VALUE"""),10195.65)</f>
        <v>10195.65</v>
      </c>
      <c r="D30" s="27">
        <f ca="1">IFERROR(__xludf.DUMMYFUNCTION("""COMPUTED_VALUE"""),9923.64)</f>
        <v>9923.64</v>
      </c>
      <c r="E30" s="27">
        <f ca="1">IFERROR(__xludf.DUMMYFUNCTION("""COMPUTED_VALUE"""),10147.46)</f>
        <v>10147.459999999999</v>
      </c>
      <c r="F30" s="27">
        <f ca="1">IFERROR(__xludf.DUMMYFUNCTION("""COMPUTED_VALUE"""),0)</f>
        <v>0</v>
      </c>
      <c r="G30" s="28">
        <f t="shared" ca="1" si="0"/>
        <v>8.0024635190574234E-3</v>
      </c>
    </row>
    <row r="31" spans="1:7" x14ac:dyDescent="0.2">
      <c r="A31" s="26">
        <f ca="1">IFERROR(__xludf.DUMMYFUNCTION("""COMPUTED_VALUE"""),42580.8333333333)</f>
        <v>42580.833333333299</v>
      </c>
      <c r="B31" s="27">
        <f ca="1">IFERROR(__xludf.DUMMYFUNCTION("""COMPUTED_VALUE"""),10155.2)</f>
        <v>10155.200000000001</v>
      </c>
      <c r="C31" s="27">
        <f ca="1">IFERROR(__xludf.DUMMYFUNCTION("""COMPUTED_VALUE"""),10381.9)</f>
        <v>10381.9</v>
      </c>
      <c r="D31" s="27">
        <f ca="1">IFERROR(__xludf.DUMMYFUNCTION("""COMPUTED_VALUE"""),10125.22)</f>
        <v>10125.219999999999</v>
      </c>
      <c r="E31" s="27">
        <f ca="1">IFERROR(__xludf.DUMMYFUNCTION("""COMPUTED_VALUE"""),10337.5)</f>
        <v>10337.5</v>
      </c>
      <c r="F31" s="27">
        <f ca="1">IFERROR(__xludf.DUMMYFUNCTION("""COMPUTED_VALUE"""),0)</f>
        <v>0</v>
      </c>
      <c r="G31" s="28">
        <f t="shared" ca="1" si="0"/>
        <v>1.8727839281948544E-2</v>
      </c>
    </row>
    <row r="32" spans="1:7" x14ac:dyDescent="0.2">
      <c r="A32" s="26">
        <f ca="1">IFERROR(__xludf.DUMMYFUNCTION("""COMPUTED_VALUE"""),42587.8333333333)</f>
        <v>42587.833333333299</v>
      </c>
      <c r="B32" s="27">
        <f ca="1">IFERROR(__xludf.DUMMYFUNCTION("""COMPUTED_VALUE"""),10426.36)</f>
        <v>10426.36</v>
      </c>
      <c r="C32" s="27">
        <f ca="1">IFERROR(__xludf.DUMMYFUNCTION("""COMPUTED_VALUE"""),10459.34)</f>
        <v>10459.34</v>
      </c>
      <c r="D32" s="27">
        <f ca="1">IFERROR(__xludf.DUMMYFUNCTION("""COMPUTED_VALUE"""),10092.53)</f>
        <v>10092.530000000001</v>
      </c>
      <c r="E32" s="27">
        <f ca="1">IFERROR(__xludf.DUMMYFUNCTION("""COMPUTED_VALUE"""),10367.21)</f>
        <v>10367.209999999999</v>
      </c>
      <c r="F32" s="27">
        <f ca="1">IFERROR(__xludf.DUMMYFUNCTION("""COMPUTED_VALUE"""),0)</f>
        <v>0</v>
      </c>
      <c r="G32" s="28">
        <f t="shared" ca="1" si="0"/>
        <v>2.8740024183795398E-3</v>
      </c>
    </row>
    <row r="33" spans="1:7" x14ac:dyDescent="0.2">
      <c r="A33" s="26">
        <f ca="1">IFERROR(__xludf.DUMMYFUNCTION("""COMPUTED_VALUE"""),42594.8333333333)</f>
        <v>42594.833333333299</v>
      </c>
      <c r="B33" s="27">
        <f ca="1">IFERROR(__xludf.DUMMYFUNCTION("""COMPUTED_VALUE"""),10407.5)</f>
        <v>10407.5</v>
      </c>
      <c r="C33" s="27">
        <f ca="1">IFERROR(__xludf.DUMMYFUNCTION("""COMPUTED_VALUE"""),10742.84)</f>
        <v>10742.84</v>
      </c>
      <c r="D33" s="27">
        <f ca="1">IFERROR(__xludf.DUMMYFUNCTION("""COMPUTED_VALUE"""),10403.47)</f>
        <v>10403.469999999999</v>
      </c>
      <c r="E33" s="27">
        <f ca="1">IFERROR(__xludf.DUMMYFUNCTION("""COMPUTED_VALUE"""),10713.43)</f>
        <v>10713.43</v>
      </c>
      <c r="F33" s="27">
        <f ca="1">IFERROR(__xludf.DUMMYFUNCTION("""COMPUTED_VALUE"""),0)</f>
        <v>0</v>
      </c>
      <c r="G33" s="28">
        <f t="shared" ca="1" si="0"/>
        <v>3.3395677332667351E-2</v>
      </c>
    </row>
    <row r="34" spans="1:7" x14ac:dyDescent="0.2">
      <c r="A34" s="26">
        <f ca="1">IFERROR(__xludf.DUMMYFUNCTION("""COMPUTED_VALUE"""),42601.8333333333)</f>
        <v>42601.833333333299</v>
      </c>
      <c r="B34" s="27">
        <f ca="1">IFERROR(__xludf.DUMMYFUNCTION("""COMPUTED_VALUE"""),10719.14)</f>
        <v>10719.14</v>
      </c>
      <c r="C34" s="27">
        <f ca="1">IFERROR(__xludf.DUMMYFUNCTION("""COMPUTED_VALUE"""),10802.32)</f>
        <v>10802.32</v>
      </c>
      <c r="D34" s="27">
        <f ca="1">IFERROR(__xludf.DUMMYFUNCTION("""COMPUTED_VALUE"""),10490.96)</f>
        <v>10490.96</v>
      </c>
      <c r="E34" s="27">
        <f ca="1">IFERROR(__xludf.DUMMYFUNCTION("""COMPUTED_VALUE"""),10544.36)</f>
        <v>10544.36</v>
      </c>
      <c r="F34" s="27">
        <f ca="1">IFERROR(__xludf.DUMMYFUNCTION("""COMPUTED_VALUE"""),0)</f>
        <v>0</v>
      </c>
      <c r="G34" s="28">
        <f t="shared" ca="1" si="0"/>
        <v>-1.5781127052680533E-2</v>
      </c>
    </row>
    <row r="35" spans="1:7" x14ac:dyDescent="0.2">
      <c r="A35" s="26">
        <f ca="1">IFERROR(__xludf.DUMMYFUNCTION("""COMPUTED_VALUE"""),42608.8333333333)</f>
        <v>42608.833333333299</v>
      </c>
      <c r="B35" s="27">
        <f ca="1">IFERROR(__xludf.DUMMYFUNCTION("""COMPUTED_VALUE"""),10528.88)</f>
        <v>10528.88</v>
      </c>
      <c r="C35" s="27">
        <f ca="1">IFERROR(__xludf.DUMMYFUNCTION("""COMPUTED_VALUE"""),10656.25)</f>
        <v>10656.25</v>
      </c>
      <c r="D35" s="27">
        <f ca="1">IFERROR(__xludf.DUMMYFUNCTION("""COMPUTED_VALUE"""),10443.48)</f>
        <v>10443.48</v>
      </c>
      <c r="E35" s="27">
        <f ca="1">IFERROR(__xludf.DUMMYFUNCTION("""COMPUTED_VALUE"""),10587.77)</f>
        <v>10587.77</v>
      </c>
      <c r="F35" s="27">
        <f ca="1">IFERROR(__xludf.DUMMYFUNCTION("""COMPUTED_VALUE"""),0)</f>
        <v>0</v>
      </c>
      <c r="G35" s="28">
        <f t="shared" ca="1" si="0"/>
        <v>4.1168928223238588E-3</v>
      </c>
    </row>
    <row r="36" spans="1:7" x14ac:dyDescent="0.2">
      <c r="A36" s="26">
        <f ca="1">IFERROR(__xludf.DUMMYFUNCTION("""COMPUTED_VALUE"""),42615.8333333333)</f>
        <v>42615.833333333299</v>
      </c>
      <c r="B36" s="27">
        <f ca="1">IFERROR(__xludf.DUMMYFUNCTION("""COMPUTED_VALUE"""),10503.88)</f>
        <v>10503.88</v>
      </c>
      <c r="C36" s="27">
        <f ca="1">IFERROR(__xludf.DUMMYFUNCTION("""COMPUTED_VALUE"""),10693.64)</f>
        <v>10693.64</v>
      </c>
      <c r="D36" s="27">
        <f ca="1">IFERROR(__xludf.DUMMYFUNCTION("""COMPUTED_VALUE"""),10441.81)</f>
        <v>10441.81</v>
      </c>
      <c r="E36" s="27">
        <f ca="1">IFERROR(__xludf.DUMMYFUNCTION("""COMPUTED_VALUE"""),10683.82)</f>
        <v>10683.82</v>
      </c>
      <c r="F36" s="27">
        <f ca="1">IFERROR(__xludf.DUMMYFUNCTION("""COMPUTED_VALUE"""),0)</f>
        <v>0</v>
      </c>
      <c r="G36" s="28">
        <f t="shared" ca="1" si="0"/>
        <v>9.0717875435526452E-3</v>
      </c>
    </row>
    <row r="37" spans="1:7" x14ac:dyDescent="0.2">
      <c r="A37" s="26">
        <f ca="1">IFERROR(__xludf.DUMMYFUNCTION("""COMPUTED_VALUE"""),42622.8333333333)</f>
        <v>42622.833333333299</v>
      </c>
      <c r="B37" s="27">
        <f ca="1">IFERROR(__xludf.DUMMYFUNCTION("""COMPUTED_VALUE"""),10712.17)</f>
        <v>10712.17</v>
      </c>
      <c r="C37" s="27">
        <f ca="1">IFERROR(__xludf.DUMMYFUNCTION("""COMPUTED_VALUE"""),10780.42)</f>
        <v>10780.42</v>
      </c>
      <c r="D37" s="27">
        <f ca="1">IFERROR(__xludf.DUMMYFUNCTION("""COMPUTED_VALUE"""),10539.31)</f>
        <v>10539.31</v>
      </c>
      <c r="E37" s="27">
        <f ca="1">IFERROR(__xludf.DUMMYFUNCTION("""COMPUTED_VALUE"""),10573.44)</f>
        <v>10573.44</v>
      </c>
      <c r="F37" s="27">
        <f ca="1">IFERROR(__xludf.DUMMYFUNCTION("""COMPUTED_VALUE"""),0)</f>
        <v>0</v>
      </c>
      <c r="G37" s="28">
        <f t="shared" ca="1" si="0"/>
        <v>-1.0331510639452812E-2</v>
      </c>
    </row>
    <row r="38" spans="1:7" x14ac:dyDescent="0.2">
      <c r="A38" s="26">
        <f ca="1">IFERROR(__xludf.DUMMYFUNCTION("""COMPUTED_VALUE"""),42629.8333333333)</f>
        <v>42629.833333333299</v>
      </c>
      <c r="B38" s="27">
        <f ca="1">IFERROR(__xludf.DUMMYFUNCTION("""COMPUTED_VALUE"""),10380.46)</f>
        <v>10380.459999999999</v>
      </c>
      <c r="C38" s="27">
        <f ca="1">IFERROR(__xludf.DUMMYFUNCTION("""COMPUTED_VALUE"""),10507.04)</f>
        <v>10507.04</v>
      </c>
      <c r="D38" s="27">
        <f ca="1">IFERROR(__xludf.DUMMYFUNCTION("""COMPUTED_VALUE"""),10262.19)</f>
        <v>10262.19</v>
      </c>
      <c r="E38" s="27">
        <f ca="1">IFERROR(__xludf.DUMMYFUNCTION("""COMPUTED_VALUE"""),10276.17)</f>
        <v>10276.17</v>
      </c>
      <c r="F38" s="27">
        <f ca="1">IFERROR(__xludf.DUMMYFUNCTION("""COMPUTED_VALUE"""),0)</f>
        <v>0</v>
      </c>
      <c r="G38" s="28">
        <f t="shared" ca="1" si="0"/>
        <v>-2.8114785727256231E-2</v>
      </c>
    </row>
    <row r="39" spans="1:7" x14ac:dyDescent="0.2">
      <c r="A39" s="26">
        <f ca="1">IFERROR(__xludf.DUMMYFUNCTION("""COMPUTED_VALUE"""),42636.8333333333)</f>
        <v>42636.833333333299</v>
      </c>
      <c r="B39" s="27">
        <f ca="1">IFERROR(__xludf.DUMMYFUNCTION("""COMPUTED_VALUE"""),10349.87)</f>
        <v>10349.870000000001</v>
      </c>
      <c r="C39" s="27">
        <f ca="1">IFERROR(__xludf.DUMMYFUNCTION("""COMPUTED_VALUE"""),10705.4)</f>
        <v>10705.4</v>
      </c>
      <c r="D39" s="27">
        <f ca="1">IFERROR(__xludf.DUMMYFUNCTION("""COMPUTED_VALUE"""),10326.75)</f>
        <v>10326.75</v>
      </c>
      <c r="E39" s="27">
        <f ca="1">IFERROR(__xludf.DUMMYFUNCTION("""COMPUTED_VALUE"""),10626.97)</f>
        <v>10626.97</v>
      </c>
      <c r="F39" s="27">
        <f ca="1">IFERROR(__xludf.DUMMYFUNCTION("""COMPUTED_VALUE"""),0)</f>
        <v>0</v>
      </c>
      <c r="G39" s="28">
        <f t="shared" ca="1" si="0"/>
        <v>3.4137232062139811E-2</v>
      </c>
    </row>
    <row r="40" spans="1:7" x14ac:dyDescent="0.2">
      <c r="A40" s="26">
        <f ca="1">IFERROR(__xludf.DUMMYFUNCTION("""COMPUTED_VALUE"""),42643.8333333333)</f>
        <v>42643.833333333299</v>
      </c>
      <c r="B40" s="27">
        <f ca="1">IFERROR(__xludf.DUMMYFUNCTION("""COMPUTED_VALUE"""),10555.19)</f>
        <v>10555.19</v>
      </c>
      <c r="C40" s="27">
        <f ca="1">IFERROR(__xludf.DUMMYFUNCTION("""COMPUTED_VALUE"""),10575.34)</f>
        <v>10575.34</v>
      </c>
      <c r="D40" s="27">
        <f ca="1">IFERROR(__xludf.DUMMYFUNCTION("""COMPUTED_VALUE"""),10189.94)</f>
        <v>10189.94</v>
      </c>
      <c r="E40" s="27">
        <f ca="1">IFERROR(__xludf.DUMMYFUNCTION("""COMPUTED_VALUE"""),10511.02)</f>
        <v>10511.02</v>
      </c>
      <c r="F40" s="27">
        <f ca="1">IFERROR(__xludf.DUMMYFUNCTION("""COMPUTED_VALUE"""),0)</f>
        <v>0</v>
      </c>
      <c r="G40" s="28">
        <f t="shared" ca="1" si="0"/>
        <v>-1.0910918163879124E-2</v>
      </c>
    </row>
    <row r="41" spans="1:7" x14ac:dyDescent="0.2">
      <c r="A41" s="26">
        <f ca="1">IFERROR(__xludf.DUMMYFUNCTION("""COMPUTED_VALUE"""),42650.8333333333)</f>
        <v>42650.833333333299</v>
      </c>
      <c r="B41" s="27">
        <f ca="1">IFERROR(__xludf.DUMMYFUNCTION("""COMPUTED_VALUE"""),10492.97)</f>
        <v>10492.97</v>
      </c>
      <c r="C41" s="27">
        <f ca="1">IFERROR(__xludf.DUMMYFUNCTION("""COMPUTED_VALUE"""),10646.72)</f>
        <v>10646.72</v>
      </c>
      <c r="D41" s="27">
        <f ca="1">IFERROR(__xludf.DUMMYFUNCTION("""COMPUTED_VALUE"""),10465.35)</f>
        <v>10465.35</v>
      </c>
      <c r="E41" s="27">
        <f ca="1">IFERROR(__xludf.DUMMYFUNCTION("""COMPUTED_VALUE"""),10490.86)</f>
        <v>10490.86</v>
      </c>
      <c r="F41" s="27">
        <f ca="1">IFERROR(__xludf.DUMMYFUNCTION("""COMPUTED_VALUE"""),0)</f>
        <v>0</v>
      </c>
      <c r="G41" s="28">
        <f t="shared" ca="1" si="0"/>
        <v>-1.9179870269488974E-3</v>
      </c>
    </row>
    <row r="42" spans="1:7" x14ac:dyDescent="0.2">
      <c r="A42" s="26">
        <f ca="1">IFERROR(__xludf.DUMMYFUNCTION("""COMPUTED_VALUE"""),42657.8333333333)</f>
        <v>42657.833333333299</v>
      </c>
      <c r="B42" s="27">
        <f ca="1">IFERROR(__xludf.DUMMYFUNCTION("""COMPUTED_VALUE"""),10496.01)</f>
        <v>10496.01</v>
      </c>
      <c r="C42" s="27">
        <f ca="1">IFERROR(__xludf.DUMMYFUNCTION("""COMPUTED_VALUE"""),10692.36)</f>
        <v>10692.36</v>
      </c>
      <c r="D42" s="27">
        <f ca="1">IFERROR(__xludf.DUMMYFUNCTION("""COMPUTED_VALUE"""),10349.06)</f>
        <v>10349.06</v>
      </c>
      <c r="E42" s="27">
        <f ca="1">IFERROR(__xludf.DUMMYFUNCTION("""COMPUTED_VALUE"""),10580.38)</f>
        <v>10580.38</v>
      </c>
      <c r="F42" s="27">
        <f ca="1">IFERROR(__xludf.DUMMYFUNCTION("""COMPUTED_VALUE"""),0)</f>
        <v>0</v>
      </c>
      <c r="G42" s="28">
        <f t="shared" ca="1" si="0"/>
        <v>8.5331421828143128E-3</v>
      </c>
    </row>
    <row r="43" spans="1:7" x14ac:dyDescent="0.2">
      <c r="A43" s="26">
        <f ca="1">IFERROR(__xludf.DUMMYFUNCTION("""COMPUTED_VALUE"""),42664.8333333333)</f>
        <v>42664.833333333299</v>
      </c>
      <c r="B43" s="27">
        <f ca="1">IFERROR(__xludf.DUMMYFUNCTION("""COMPUTED_VALUE"""),10544.69)</f>
        <v>10544.69</v>
      </c>
      <c r="C43" s="27">
        <f ca="1">IFERROR(__xludf.DUMMYFUNCTION("""COMPUTED_VALUE"""),10748.41)</f>
        <v>10748.41</v>
      </c>
      <c r="D43" s="27">
        <f ca="1">IFERROR(__xludf.DUMMYFUNCTION("""COMPUTED_VALUE"""),10491.28)</f>
        <v>10491.28</v>
      </c>
      <c r="E43" s="27">
        <f ca="1">IFERROR(__xludf.DUMMYFUNCTION("""COMPUTED_VALUE"""),10710.73)</f>
        <v>10710.73</v>
      </c>
      <c r="F43" s="27">
        <f ca="1">IFERROR(__xludf.DUMMYFUNCTION("""COMPUTED_VALUE"""),0)</f>
        <v>0</v>
      </c>
      <c r="G43" s="28">
        <f t="shared" ca="1" si="0"/>
        <v>1.2319973384698812E-2</v>
      </c>
    </row>
    <row r="44" spans="1:7" x14ac:dyDescent="0.2">
      <c r="A44" s="26">
        <f ca="1">IFERROR(__xludf.DUMMYFUNCTION("""COMPUTED_VALUE"""),42671.8333333333)</f>
        <v>42671.833333333299</v>
      </c>
      <c r="B44" s="27">
        <f ca="1">IFERROR(__xludf.DUMMYFUNCTION("""COMPUTED_VALUE"""),10743.87)</f>
        <v>10743.87</v>
      </c>
      <c r="C44" s="27">
        <f ca="1">IFERROR(__xludf.DUMMYFUNCTION("""COMPUTED_VALUE"""),10827.72)</f>
        <v>10827.72</v>
      </c>
      <c r="D44" s="27">
        <f ca="1">IFERROR(__xludf.DUMMYFUNCTION("""COMPUTED_VALUE"""),10583.57)</f>
        <v>10583.57</v>
      </c>
      <c r="E44" s="27">
        <f ca="1">IFERROR(__xludf.DUMMYFUNCTION("""COMPUTED_VALUE"""),10696.19)</f>
        <v>10696.19</v>
      </c>
      <c r="F44" s="27">
        <f ca="1">IFERROR(__xludf.DUMMYFUNCTION("""COMPUTED_VALUE"""),0)</f>
        <v>0</v>
      </c>
      <c r="G44" s="28">
        <f t="shared" ca="1" si="0"/>
        <v>-1.3575171813684506E-3</v>
      </c>
    </row>
    <row r="45" spans="1:7" x14ac:dyDescent="0.2">
      <c r="A45" s="26">
        <f ca="1">IFERROR(__xludf.DUMMYFUNCTION("""COMPUTED_VALUE"""),42678.8333333333)</f>
        <v>42678.833333333299</v>
      </c>
      <c r="B45" s="27">
        <f ca="1">IFERROR(__xludf.DUMMYFUNCTION("""COMPUTED_VALUE"""),10658.67)</f>
        <v>10658.67</v>
      </c>
      <c r="C45" s="27">
        <f ca="1">IFERROR(__xludf.DUMMYFUNCTION("""COMPUTED_VALUE"""),10730.48)</f>
        <v>10730.48</v>
      </c>
      <c r="D45" s="27">
        <f ca="1">IFERROR(__xludf.DUMMYFUNCTION("""COMPUTED_VALUE"""),10212.53)</f>
        <v>10212.530000000001</v>
      </c>
      <c r="E45" s="27">
        <f ca="1">IFERROR(__xludf.DUMMYFUNCTION("""COMPUTED_VALUE"""),10259.13)</f>
        <v>10259.129999999999</v>
      </c>
      <c r="F45" s="27">
        <f ca="1">IFERROR(__xludf.DUMMYFUNCTION("""COMPUTED_VALUE"""),0)</f>
        <v>0</v>
      </c>
      <c r="G45" s="28">
        <f t="shared" ca="1" si="0"/>
        <v>-4.0861278642208232E-2</v>
      </c>
    </row>
    <row r="46" spans="1:7" x14ac:dyDescent="0.2">
      <c r="A46" s="26">
        <f ca="1">IFERROR(__xludf.DUMMYFUNCTION("""COMPUTED_VALUE"""),42685.8333333333)</f>
        <v>42685.833333333299</v>
      </c>
      <c r="B46" s="27">
        <f ca="1">IFERROR(__xludf.DUMMYFUNCTION("""COMPUTED_VALUE"""),10410.56)</f>
        <v>10410.56</v>
      </c>
      <c r="C46" s="27">
        <f ca="1">IFERROR(__xludf.DUMMYFUNCTION("""COMPUTED_VALUE"""),10793.97)</f>
        <v>10793.97</v>
      </c>
      <c r="D46" s="27">
        <f ca="1">IFERROR(__xludf.DUMMYFUNCTION("""COMPUTED_VALUE"""),10174.92)</f>
        <v>10174.92</v>
      </c>
      <c r="E46" s="27">
        <f ca="1">IFERROR(__xludf.DUMMYFUNCTION("""COMPUTED_VALUE"""),10667.95)</f>
        <v>10667.95</v>
      </c>
      <c r="F46" s="27">
        <f ca="1">IFERROR(__xludf.DUMMYFUNCTION("""COMPUTED_VALUE"""),0)</f>
        <v>0</v>
      </c>
      <c r="G46" s="28">
        <f t="shared" ca="1" si="0"/>
        <v>3.9849382939879163E-2</v>
      </c>
    </row>
    <row r="47" spans="1:7" x14ac:dyDescent="0.2">
      <c r="A47" s="26">
        <f ca="1">IFERROR(__xludf.DUMMYFUNCTION("""COMPUTED_VALUE"""),42692.8333333333)</f>
        <v>42692.833333333299</v>
      </c>
      <c r="B47" s="27">
        <f ca="1">IFERROR(__xludf.DUMMYFUNCTION("""COMPUTED_VALUE"""),10750.62)</f>
        <v>10750.62</v>
      </c>
      <c r="C47" s="27">
        <f ca="1">IFERROR(__xludf.DUMMYFUNCTION("""COMPUTED_VALUE"""),10802.39)</f>
        <v>10802.39</v>
      </c>
      <c r="D47" s="27">
        <f ca="1">IFERROR(__xludf.DUMMYFUNCTION("""COMPUTED_VALUE"""),10604.32)</f>
        <v>10604.32</v>
      </c>
      <c r="E47" s="27">
        <f ca="1">IFERROR(__xludf.DUMMYFUNCTION("""COMPUTED_VALUE"""),10664.56)</f>
        <v>10664.56</v>
      </c>
      <c r="F47" s="27">
        <f ca="1">IFERROR(__xludf.DUMMYFUNCTION("""COMPUTED_VALUE"""),0)</f>
        <v>0</v>
      </c>
      <c r="G47" s="28">
        <f t="shared" ca="1" si="0"/>
        <v>-3.1777426778356599E-4</v>
      </c>
    </row>
    <row r="48" spans="1:7" x14ac:dyDescent="0.2">
      <c r="A48" s="26">
        <f ca="1">IFERROR(__xludf.DUMMYFUNCTION("""COMPUTED_VALUE"""),42699.8333333333)</f>
        <v>42699.833333333299</v>
      </c>
      <c r="B48" s="27">
        <f ca="1">IFERROR(__xludf.DUMMYFUNCTION("""COMPUTED_VALUE"""),10697.95)</f>
        <v>10697.95</v>
      </c>
      <c r="C48" s="27">
        <f ca="1">IFERROR(__xludf.DUMMYFUNCTION("""COMPUTED_VALUE"""),10767.73)</f>
        <v>10767.73</v>
      </c>
      <c r="D48" s="27">
        <f ca="1">IFERROR(__xludf.DUMMYFUNCTION("""COMPUTED_VALUE"""),10595.14)</f>
        <v>10595.14</v>
      </c>
      <c r="E48" s="27">
        <f ca="1">IFERROR(__xludf.DUMMYFUNCTION("""COMPUTED_VALUE"""),10699.27)</f>
        <v>10699.27</v>
      </c>
      <c r="F48" s="27">
        <f ca="1">IFERROR(__xludf.DUMMYFUNCTION("""COMPUTED_VALUE"""),0)</f>
        <v>0</v>
      </c>
      <c r="G48" s="28">
        <f t="shared" ca="1" si="0"/>
        <v>3.2547053042977225E-3</v>
      </c>
    </row>
    <row r="49" spans="1:7" x14ac:dyDescent="0.2">
      <c r="A49" s="26">
        <f ca="1">IFERROR(__xludf.DUMMYFUNCTION("""COMPUTED_VALUE"""),42706.8333333333)</f>
        <v>42706.833333333299</v>
      </c>
      <c r="B49" s="27">
        <f ca="1">IFERROR(__xludf.DUMMYFUNCTION("""COMPUTED_VALUE"""),10655.92)</f>
        <v>10655.92</v>
      </c>
      <c r="C49" s="27">
        <f ca="1">IFERROR(__xludf.DUMMYFUNCTION("""COMPUTED_VALUE"""),10691.67)</f>
        <v>10691.67</v>
      </c>
      <c r="D49" s="27">
        <f ca="1">IFERROR(__xludf.DUMMYFUNCTION("""COMPUTED_VALUE"""),10402.59)</f>
        <v>10402.59</v>
      </c>
      <c r="E49" s="27">
        <f ca="1">IFERROR(__xludf.DUMMYFUNCTION("""COMPUTED_VALUE"""),10513.35)</f>
        <v>10513.35</v>
      </c>
      <c r="F49" s="27">
        <f ca="1">IFERROR(__xludf.DUMMYFUNCTION("""COMPUTED_VALUE"""),0)</f>
        <v>0</v>
      </c>
      <c r="G49" s="28">
        <f t="shared" ca="1" si="0"/>
        <v>-1.7376886460478191E-2</v>
      </c>
    </row>
    <row r="50" spans="1:7" x14ac:dyDescent="0.2">
      <c r="A50" s="26">
        <f ca="1">IFERROR(__xludf.DUMMYFUNCTION("""COMPUTED_VALUE"""),42713.8333333333)</f>
        <v>42713.833333333299</v>
      </c>
      <c r="B50" s="27">
        <f ca="1">IFERROR(__xludf.DUMMYFUNCTION("""COMPUTED_VALUE"""),10494.64)</f>
        <v>10494.64</v>
      </c>
      <c r="C50" s="27">
        <f ca="1">IFERROR(__xludf.DUMMYFUNCTION("""COMPUTED_VALUE"""),11231.69)</f>
        <v>11231.69</v>
      </c>
      <c r="D50" s="27">
        <f ca="1">IFERROR(__xludf.DUMMYFUNCTION("""COMPUTED_VALUE"""),10493.62)</f>
        <v>10493.62</v>
      </c>
      <c r="E50" s="27">
        <f ca="1">IFERROR(__xludf.DUMMYFUNCTION("""COMPUTED_VALUE"""),11203.63)</f>
        <v>11203.63</v>
      </c>
      <c r="F50" s="27">
        <f ca="1">IFERROR(__xludf.DUMMYFUNCTION("""COMPUTED_VALUE"""),0)</f>
        <v>0</v>
      </c>
      <c r="G50" s="28">
        <f t="shared" ca="1" si="0"/>
        <v>6.5657473593098148E-2</v>
      </c>
    </row>
    <row r="51" spans="1:7" x14ac:dyDescent="0.2">
      <c r="A51" s="26">
        <f ca="1">IFERROR(__xludf.DUMMYFUNCTION("""COMPUTED_VALUE"""),42720.8333333333)</f>
        <v>42720.833333333299</v>
      </c>
      <c r="B51" s="27">
        <f ca="1">IFERROR(__xludf.DUMMYFUNCTION("""COMPUTED_VALUE"""),11198.42)</f>
        <v>11198.42</v>
      </c>
      <c r="C51" s="27">
        <f ca="1">IFERROR(__xludf.DUMMYFUNCTION("""COMPUTED_VALUE"""),11451.57)</f>
        <v>11451.57</v>
      </c>
      <c r="D51" s="27">
        <f ca="1">IFERROR(__xludf.DUMMYFUNCTION("""COMPUTED_VALUE"""),11141.86)</f>
        <v>11141.86</v>
      </c>
      <c r="E51" s="27">
        <f ca="1">IFERROR(__xludf.DUMMYFUNCTION("""COMPUTED_VALUE"""),11404.01)</f>
        <v>11404.01</v>
      </c>
      <c r="F51" s="27">
        <f ca="1">IFERROR(__xludf.DUMMYFUNCTION("""COMPUTED_VALUE"""),0)</f>
        <v>0</v>
      </c>
      <c r="G51" s="28">
        <f t="shared" ca="1" si="0"/>
        <v>1.7885274683294705E-2</v>
      </c>
    </row>
    <row r="52" spans="1:7" x14ac:dyDescent="0.2">
      <c r="A52" s="26">
        <f ca="1">IFERROR(__xludf.DUMMYFUNCTION("""COMPUTED_VALUE"""),42727.8333333333)</f>
        <v>42727.833333333299</v>
      </c>
      <c r="B52" s="27">
        <f ca="1">IFERROR(__xludf.DUMMYFUNCTION("""COMPUTED_VALUE"""),11384.03)</f>
        <v>11384.03</v>
      </c>
      <c r="C52" s="27">
        <f ca="1">IFERROR(__xludf.DUMMYFUNCTION("""COMPUTED_VALUE"""),11480.18)</f>
        <v>11480.18</v>
      </c>
      <c r="D52" s="27">
        <f ca="1">IFERROR(__xludf.DUMMYFUNCTION("""COMPUTED_VALUE"""),11380.12)</f>
        <v>11380.12</v>
      </c>
      <c r="E52" s="27">
        <f ca="1">IFERROR(__xludf.DUMMYFUNCTION("""COMPUTED_VALUE"""),11449.93)</f>
        <v>11449.93</v>
      </c>
      <c r="F52" s="27">
        <f ca="1">IFERROR(__xludf.DUMMYFUNCTION("""COMPUTED_VALUE"""),0)</f>
        <v>0</v>
      </c>
      <c r="G52" s="28">
        <f t="shared" ca="1" si="0"/>
        <v>4.0266537823099302E-3</v>
      </c>
    </row>
    <row r="53" spans="1:7" x14ac:dyDescent="0.2">
      <c r="A53" s="26">
        <f ca="1">IFERROR(__xludf.DUMMYFUNCTION("""COMPUTED_VALUE"""),42734.8333333333)</f>
        <v>42734.833333333299</v>
      </c>
      <c r="B53" s="27">
        <f ca="1">IFERROR(__xludf.DUMMYFUNCTION("""COMPUTED_VALUE"""),11457.91)</f>
        <v>11457.91</v>
      </c>
      <c r="C53" s="27">
        <f ca="1">IFERROR(__xludf.DUMMYFUNCTION("""COMPUTED_VALUE"""),11481.66)</f>
        <v>11481.66</v>
      </c>
      <c r="D53" s="27">
        <f ca="1">IFERROR(__xludf.DUMMYFUNCTION("""COMPUTED_VALUE"""),11404.82)</f>
        <v>11404.82</v>
      </c>
      <c r="E53" s="27">
        <f ca="1">IFERROR(__xludf.DUMMYFUNCTION("""COMPUTED_VALUE"""),11481.06)</f>
        <v>11481.06</v>
      </c>
      <c r="F53" s="27">
        <f ca="1">IFERROR(__xludf.DUMMYFUNCTION("""COMPUTED_VALUE"""),0)</f>
        <v>0</v>
      </c>
      <c r="G53" s="28">
        <f t="shared" ca="1" si="0"/>
        <v>2.7187939140238537E-3</v>
      </c>
    </row>
    <row r="54" spans="1:7" x14ac:dyDescent="0.2">
      <c r="A54" s="26">
        <f ca="1">IFERROR(__xludf.DUMMYFUNCTION("""COMPUTED_VALUE"""),42741.8333333333)</f>
        <v>42741.833333333299</v>
      </c>
      <c r="B54" s="27">
        <f ca="1">IFERROR(__xludf.DUMMYFUNCTION("""COMPUTED_VALUE"""),11426.38)</f>
        <v>11426.38</v>
      </c>
      <c r="C54" s="27">
        <f ca="1">IFERROR(__xludf.DUMMYFUNCTION("""COMPUTED_VALUE"""),11637.37)</f>
        <v>11637.37</v>
      </c>
      <c r="D54" s="27">
        <f ca="1">IFERROR(__xludf.DUMMYFUNCTION("""COMPUTED_VALUE"""),11414.82)</f>
        <v>11414.82</v>
      </c>
      <c r="E54" s="27">
        <f ca="1">IFERROR(__xludf.DUMMYFUNCTION("""COMPUTED_VALUE"""),11599.01)</f>
        <v>11599.01</v>
      </c>
      <c r="F54" s="27">
        <f ca="1">IFERROR(__xludf.DUMMYFUNCTION("""COMPUTED_VALUE"""),0)</f>
        <v>0</v>
      </c>
      <c r="G54" s="28">
        <f t="shared" ca="1" si="0"/>
        <v>1.0273441650858084E-2</v>
      </c>
    </row>
    <row r="55" spans="1:7" x14ac:dyDescent="0.2">
      <c r="A55" s="26">
        <f ca="1">IFERROR(__xludf.DUMMYFUNCTION("""COMPUTED_VALUE"""),42748.8333333333)</f>
        <v>42748.833333333299</v>
      </c>
      <c r="B55" s="27">
        <f ca="1">IFERROR(__xludf.DUMMYFUNCTION("""COMPUTED_VALUE"""),11606.89)</f>
        <v>11606.89</v>
      </c>
      <c r="C55" s="27">
        <f ca="1">IFERROR(__xludf.DUMMYFUNCTION("""COMPUTED_VALUE"""),11692.27)</f>
        <v>11692.27</v>
      </c>
      <c r="D55" s="27">
        <f ca="1">IFERROR(__xludf.DUMMYFUNCTION("""COMPUTED_VALUE"""),11491.87)</f>
        <v>11491.87</v>
      </c>
      <c r="E55" s="27">
        <f ca="1">IFERROR(__xludf.DUMMYFUNCTION("""COMPUTED_VALUE"""),11629.18)</f>
        <v>11629.18</v>
      </c>
      <c r="F55" s="27">
        <f ca="1">IFERROR(__xludf.DUMMYFUNCTION("""COMPUTED_VALUE"""),0)</f>
        <v>0</v>
      </c>
      <c r="G55" s="28">
        <f t="shared" ca="1" si="0"/>
        <v>2.6010840580359407E-3</v>
      </c>
    </row>
    <row r="56" spans="1:7" x14ac:dyDescent="0.2">
      <c r="A56" s="26">
        <f ca="1">IFERROR(__xludf.DUMMYFUNCTION("""COMPUTED_VALUE"""),42755.8333333333)</f>
        <v>42755.833333333299</v>
      </c>
      <c r="B56" s="27">
        <f ca="1">IFERROR(__xludf.DUMMYFUNCTION("""COMPUTED_VALUE"""),11537.45)</f>
        <v>11537.45</v>
      </c>
      <c r="C56" s="27">
        <f ca="1">IFERROR(__xludf.DUMMYFUNCTION("""COMPUTED_VALUE"""),11644.88)</f>
        <v>11644.88</v>
      </c>
      <c r="D56" s="27">
        <f ca="1">IFERROR(__xludf.DUMMYFUNCTION("""COMPUTED_VALUE"""),11425.14)</f>
        <v>11425.14</v>
      </c>
      <c r="E56" s="27">
        <f ca="1">IFERROR(__xludf.DUMMYFUNCTION("""COMPUTED_VALUE"""),11630.13)</f>
        <v>11630.13</v>
      </c>
      <c r="F56" s="27">
        <f ca="1">IFERROR(__xludf.DUMMYFUNCTION("""COMPUTED_VALUE"""),0)</f>
        <v>0</v>
      </c>
      <c r="G56" s="28">
        <f t="shared" ca="1" si="0"/>
        <v>8.1691056462940281E-5</v>
      </c>
    </row>
    <row r="57" spans="1:7" x14ac:dyDescent="0.2">
      <c r="A57" s="26">
        <f ca="1">IFERROR(__xludf.DUMMYFUNCTION("""COMPUTED_VALUE"""),42762.8333333333)</f>
        <v>42762.833333333299</v>
      </c>
      <c r="B57" s="27">
        <f ca="1">IFERROR(__xludf.DUMMYFUNCTION("""COMPUTED_VALUE"""),11545.97)</f>
        <v>11545.97</v>
      </c>
      <c r="C57" s="27">
        <f ca="1">IFERROR(__xludf.DUMMYFUNCTION("""COMPUTED_VALUE"""),11893.08)</f>
        <v>11893.08</v>
      </c>
      <c r="D57" s="27">
        <f ca="1">IFERROR(__xludf.DUMMYFUNCTION("""COMPUTED_VALUE"""),11508.83)</f>
        <v>11508.83</v>
      </c>
      <c r="E57" s="27">
        <f ca="1">IFERROR(__xludf.DUMMYFUNCTION("""COMPUTED_VALUE"""),11814.27)</f>
        <v>11814.27</v>
      </c>
      <c r="F57" s="27">
        <f ca="1">IFERROR(__xludf.DUMMYFUNCTION("""COMPUTED_VALUE"""),0)</f>
        <v>0</v>
      </c>
      <c r="G57" s="28">
        <f t="shared" ca="1" si="0"/>
        <v>1.5833013044566302E-2</v>
      </c>
    </row>
    <row r="58" spans="1:7" x14ac:dyDescent="0.2">
      <c r="A58" s="26">
        <f ca="1">IFERROR(__xludf.DUMMYFUNCTION("""COMPUTED_VALUE"""),42769.8333333333)</f>
        <v>42769.833333333299</v>
      </c>
      <c r="B58" s="27">
        <f ca="1">IFERROR(__xludf.DUMMYFUNCTION("""COMPUTED_VALUE"""),11786.31)</f>
        <v>11786.31</v>
      </c>
      <c r="C58" s="27">
        <f ca="1">IFERROR(__xludf.DUMMYFUNCTION("""COMPUTED_VALUE"""),11792.33)</f>
        <v>11792.33</v>
      </c>
      <c r="D58" s="27">
        <f ca="1">IFERROR(__xludf.DUMMYFUNCTION("""COMPUTED_VALUE"""),11535.31)</f>
        <v>11535.31</v>
      </c>
      <c r="E58" s="27">
        <f ca="1">IFERROR(__xludf.DUMMYFUNCTION("""COMPUTED_VALUE"""),11651.49)</f>
        <v>11651.49</v>
      </c>
      <c r="F58" s="27">
        <f ca="1">IFERROR(__xludf.DUMMYFUNCTION("""COMPUTED_VALUE"""),0)</f>
        <v>0</v>
      </c>
      <c r="G58" s="28">
        <f t="shared" ca="1" si="0"/>
        <v>-1.3778252909405375E-2</v>
      </c>
    </row>
    <row r="59" spans="1:7" x14ac:dyDescent="0.2">
      <c r="A59" s="26">
        <f ca="1">IFERROR(__xludf.DUMMYFUNCTION("""COMPUTED_VALUE"""),42776.8333333333)</f>
        <v>42776.833333333299</v>
      </c>
      <c r="B59" s="27">
        <f ca="1">IFERROR(__xludf.DUMMYFUNCTION("""COMPUTED_VALUE"""),11628.03)</f>
        <v>11628.03</v>
      </c>
      <c r="C59" s="27">
        <f ca="1">IFERROR(__xludf.DUMMYFUNCTION("""COMPUTED_VALUE"""),11711.55)</f>
        <v>11711.55</v>
      </c>
      <c r="D59" s="27">
        <f ca="1">IFERROR(__xludf.DUMMYFUNCTION("""COMPUTED_VALUE"""),11479.78)</f>
        <v>11479.78</v>
      </c>
      <c r="E59" s="27">
        <f ca="1">IFERROR(__xludf.DUMMYFUNCTION("""COMPUTED_VALUE"""),11666.97)</f>
        <v>11666.97</v>
      </c>
      <c r="F59" s="27">
        <f ca="1">IFERROR(__xludf.DUMMYFUNCTION("""COMPUTED_VALUE"""),0)</f>
        <v>0</v>
      </c>
      <c r="G59" s="28">
        <f t="shared" ca="1" si="0"/>
        <v>1.3285854427200761E-3</v>
      </c>
    </row>
    <row r="60" spans="1:7" x14ac:dyDescent="0.2">
      <c r="A60" s="26">
        <f ca="1">IFERROR(__xludf.DUMMYFUNCTION("""COMPUTED_VALUE"""),42783.8333333333)</f>
        <v>42783.833333333299</v>
      </c>
      <c r="B60" s="27">
        <f ca="1">IFERROR(__xludf.DUMMYFUNCTION("""COMPUTED_VALUE"""),11697.99)</f>
        <v>11697.99</v>
      </c>
      <c r="C60" s="27">
        <f ca="1">IFERROR(__xludf.DUMMYFUNCTION("""COMPUTED_VALUE"""),11848.04)</f>
        <v>11848.04</v>
      </c>
      <c r="D60" s="27">
        <f ca="1">IFERROR(__xludf.DUMMYFUNCTION("""COMPUTED_VALUE"""),11684.91)</f>
        <v>11684.91</v>
      </c>
      <c r="E60" s="27">
        <f ca="1">IFERROR(__xludf.DUMMYFUNCTION("""COMPUTED_VALUE"""),11757.02)</f>
        <v>11757.02</v>
      </c>
      <c r="F60" s="27">
        <f ca="1">IFERROR(__xludf.DUMMYFUNCTION("""COMPUTED_VALUE"""),0)</f>
        <v>0</v>
      </c>
      <c r="G60" s="28">
        <f t="shared" ca="1" si="0"/>
        <v>7.7183707509320687E-3</v>
      </c>
    </row>
    <row r="61" spans="1:7" x14ac:dyDescent="0.2">
      <c r="A61" s="26">
        <f ca="1">IFERROR(__xludf.DUMMYFUNCTION("""COMPUTED_VALUE"""),42790.8333333333)</f>
        <v>42790.833333333299</v>
      </c>
      <c r="B61" s="27">
        <f ca="1">IFERROR(__xludf.DUMMYFUNCTION("""COMPUTED_VALUE"""),11831.71)</f>
        <v>11831.71</v>
      </c>
      <c r="C61" s="27">
        <f ca="1">IFERROR(__xludf.DUMMYFUNCTION("""COMPUTED_VALUE"""),12031.11)</f>
        <v>12031.11</v>
      </c>
      <c r="D61" s="27">
        <f ca="1">IFERROR(__xludf.DUMMYFUNCTION("""COMPUTED_VALUE"""),11722.35)</f>
        <v>11722.35</v>
      </c>
      <c r="E61" s="27">
        <f ca="1">IFERROR(__xludf.DUMMYFUNCTION("""COMPUTED_VALUE"""),11804.03)</f>
        <v>11804.03</v>
      </c>
      <c r="F61" s="27">
        <f ca="1">IFERROR(__xludf.DUMMYFUNCTION("""COMPUTED_VALUE"""),0)</f>
        <v>0</v>
      </c>
      <c r="G61" s="28">
        <f t="shared" ca="1" si="0"/>
        <v>3.9984621953521593E-3</v>
      </c>
    </row>
    <row r="62" spans="1:7" x14ac:dyDescent="0.2">
      <c r="A62" s="26">
        <f ca="1">IFERROR(__xludf.DUMMYFUNCTION("""COMPUTED_VALUE"""),42797.8333333333)</f>
        <v>42797.833333333299</v>
      </c>
      <c r="B62" s="27">
        <f ca="1">IFERROR(__xludf.DUMMYFUNCTION("""COMPUTED_VALUE"""),11858.14)</f>
        <v>11858.14</v>
      </c>
      <c r="C62" s="27">
        <f ca="1">IFERROR(__xludf.DUMMYFUNCTION("""COMPUTED_VALUE"""),12082.59)</f>
        <v>12082.59</v>
      </c>
      <c r="D62" s="27">
        <f ca="1">IFERROR(__xludf.DUMMYFUNCTION("""COMPUTED_VALUE"""),11780.83)</f>
        <v>11780.83</v>
      </c>
      <c r="E62" s="27">
        <f ca="1">IFERROR(__xludf.DUMMYFUNCTION("""COMPUTED_VALUE"""),12027.36)</f>
        <v>12027.36</v>
      </c>
      <c r="F62" s="27">
        <f ca="1">IFERROR(__xludf.DUMMYFUNCTION("""COMPUTED_VALUE"""),0)</f>
        <v>0</v>
      </c>
      <c r="G62" s="28">
        <f t="shared" ca="1" si="0"/>
        <v>1.8919809590453474E-2</v>
      </c>
    </row>
    <row r="63" spans="1:7" x14ac:dyDescent="0.2">
      <c r="A63" s="26">
        <f ca="1">IFERROR(__xludf.DUMMYFUNCTION("""COMPUTED_VALUE"""),42804.8333333333)</f>
        <v>42804.833333333299</v>
      </c>
      <c r="B63" s="27">
        <f ca="1">IFERROR(__xludf.DUMMYFUNCTION("""COMPUTED_VALUE"""),11956.81)</f>
        <v>11956.81</v>
      </c>
      <c r="C63" s="27">
        <f ca="1">IFERROR(__xludf.DUMMYFUNCTION("""COMPUTED_VALUE"""),12067.07)</f>
        <v>12067.07</v>
      </c>
      <c r="D63" s="27">
        <f ca="1">IFERROR(__xludf.DUMMYFUNCTION("""COMPUTED_VALUE"""),11917.78)</f>
        <v>11917.78</v>
      </c>
      <c r="E63" s="27">
        <f ca="1">IFERROR(__xludf.DUMMYFUNCTION("""COMPUTED_VALUE"""),11963.18)</f>
        <v>11963.18</v>
      </c>
      <c r="F63" s="27">
        <f ca="1">IFERROR(__xludf.DUMMYFUNCTION("""COMPUTED_VALUE"""),0)</f>
        <v>0</v>
      </c>
      <c r="G63" s="28">
        <f t="shared" ca="1" si="0"/>
        <v>-5.3361668728632017E-3</v>
      </c>
    </row>
    <row r="64" spans="1:7" x14ac:dyDescent="0.2">
      <c r="A64" s="26">
        <f ca="1">IFERROR(__xludf.DUMMYFUNCTION("""COMPUTED_VALUE"""),42811.8333333333)</f>
        <v>42811.833333333299</v>
      </c>
      <c r="B64" s="27">
        <f ca="1">IFERROR(__xludf.DUMMYFUNCTION("""COMPUTED_VALUE"""),11954.8)</f>
        <v>11954.8</v>
      </c>
      <c r="C64" s="27">
        <f ca="1">IFERROR(__xludf.DUMMYFUNCTION("""COMPUTED_VALUE"""),12156.44)</f>
        <v>12156.44</v>
      </c>
      <c r="D64" s="27">
        <f ca="1">IFERROR(__xludf.DUMMYFUNCTION("""COMPUTED_VALUE"""),11930.38)</f>
        <v>11930.38</v>
      </c>
      <c r="E64" s="27">
        <f ca="1">IFERROR(__xludf.DUMMYFUNCTION("""COMPUTED_VALUE"""),12095.24)</f>
        <v>12095.24</v>
      </c>
      <c r="F64" s="27">
        <f ca="1">IFERROR(__xludf.DUMMYFUNCTION("""COMPUTED_VALUE"""),0)</f>
        <v>0</v>
      </c>
      <c r="G64" s="28">
        <f t="shared" ca="1" si="0"/>
        <v>1.1038870935654144E-2</v>
      </c>
    </row>
    <row r="65" spans="1:7" x14ac:dyDescent="0.2">
      <c r="A65" s="26">
        <f ca="1">IFERROR(__xludf.DUMMYFUNCTION("""COMPUTED_VALUE"""),42818.8333333333)</f>
        <v>42818.833333333299</v>
      </c>
      <c r="B65" s="27">
        <f ca="1">IFERROR(__xludf.DUMMYFUNCTION("""COMPUTED_VALUE"""),12050.81)</f>
        <v>12050.81</v>
      </c>
      <c r="C65" s="27">
        <f ca="1">IFERROR(__xludf.DUMMYFUNCTION("""COMPUTED_VALUE"""),12111.24)</f>
        <v>12111.24</v>
      </c>
      <c r="D65" s="27">
        <f ca="1">IFERROR(__xludf.DUMMYFUNCTION("""COMPUTED_VALUE"""),11850.27)</f>
        <v>11850.27</v>
      </c>
      <c r="E65" s="27">
        <f ca="1">IFERROR(__xludf.DUMMYFUNCTION("""COMPUTED_VALUE"""),12064.27)</f>
        <v>12064.27</v>
      </c>
      <c r="F65" s="27">
        <f ca="1">IFERROR(__xludf.DUMMYFUNCTION("""COMPUTED_VALUE"""),0)</f>
        <v>0</v>
      </c>
      <c r="G65" s="28">
        <f t="shared" ca="1" si="0"/>
        <v>-2.5605114077934532E-3</v>
      </c>
    </row>
    <row r="66" spans="1:7" x14ac:dyDescent="0.2">
      <c r="A66" s="26">
        <f ca="1">IFERROR(__xludf.DUMMYFUNCTION("""COMPUTED_VALUE"""),42825.8333333333)</f>
        <v>42825.833333333299</v>
      </c>
      <c r="B66" s="27">
        <f ca="1">IFERROR(__xludf.DUMMYFUNCTION("""COMPUTED_VALUE"""),11957.65)</f>
        <v>11957.65</v>
      </c>
      <c r="C66" s="27">
        <f ca="1">IFERROR(__xludf.DUMMYFUNCTION("""COMPUTED_VALUE"""),12313.29)</f>
        <v>12313.29</v>
      </c>
      <c r="D66" s="27">
        <f ca="1">IFERROR(__xludf.DUMMYFUNCTION("""COMPUTED_VALUE"""),11916.07)</f>
        <v>11916.07</v>
      </c>
      <c r="E66" s="27">
        <f ca="1">IFERROR(__xludf.DUMMYFUNCTION("""COMPUTED_VALUE"""),12312.87)</f>
        <v>12312.87</v>
      </c>
      <c r="F66" s="27">
        <f ca="1">IFERROR(__xludf.DUMMYFUNCTION("""COMPUTED_VALUE"""),0)</f>
        <v>0</v>
      </c>
      <c r="G66" s="28">
        <f t="shared" ca="1" si="0"/>
        <v>2.0606302743555904E-2</v>
      </c>
    </row>
    <row r="67" spans="1:7" x14ac:dyDescent="0.2">
      <c r="A67" s="26">
        <f ca="1">IFERROR(__xludf.DUMMYFUNCTION("""COMPUTED_VALUE"""),42832.8333333333)</f>
        <v>42832.833333333299</v>
      </c>
      <c r="B67" s="27">
        <f ca="1">IFERROR(__xludf.DUMMYFUNCTION("""COMPUTED_VALUE"""),12368.82)</f>
        <v>12368.82</v>
      </c>
      <c r="C67" s="27">
        <f ca="1">IFERROR(__xludf.DUMMYFUNCTION("""COMPUTED_VALUE"""),12375.58)</f>
        <v>12375.58</v>
      </c>
      <c r="D67" s="27">
        <f ca="1">IFERROR(__xludf.DUMMYFUNCTION("""COMPUTED_VALUE"""),12119.04)</f>
        <v>12119.04</v>
      </c>
      <c r="E67" s="27">
        <f ca="1">IFERROR(__xludf.DUMMYFUNCTION("""COMPUTED_VALUE"""),12225.06)</f>
        <v>12225.06</v>
      </c>
      <c r="F67" s="27">
        <f ca="1">IFERROR(__xludf.DUMMYFUNCTION("""COMPUTED_VALUE"""),0)</f>
        <v>0</v>
      </c>
      <c r="G67" s="28">
        <f t="shared" ca="1" si="0"/>
        <v>-7.1315623408678697E-3</v>
      </c>
    </row>
    <row r="68" spans="1:7" x14ac:dyDescent="0.2">
      <c r="A68" s="26">
        <f ca="1">IFERROR(__xludf.DUMMYFUNCTION("""COMPUTED_VALUE"""),42838.8333333333)</f>
        <v>42838.833333333299</v>
      </c>
      <c r="B68" s="27">
        <f ca="1">IFERROR(__xludf.DUMMYFUNCTION("""COMPUTED_VALUE"""),12244.5)</f>
        <v>12244.5</v>
      </c>
      <c r="C68" s="27">
        <f ca="1">IFERROR(__xludf.DUMMYFUNCTION("""COMPUTED_VALUE"""),12246.88)</f>
        <v>12246.88</v>
      </c>
      <c r="D68" s="27">
        <f ca="1">IFERROR(__xludf.DUMMYFUNCTION("""COMPUTED_VALUE"""),12049.93)</f>
        <v>12049.93</v>
      </c>
      <c r="E68" s="27">
        <f ca="1">IFERROR(__xludf.DUMMYFUNCTION("""COMPUTED_VALUE"""),12109)</f>
        <v>12109</v>
      </c>
      <c r="F68" s="27">
        <f ca="1">IFERROR(__xludf.DUMMYFUNCTION("""COMPUTED_VALUE"""),0)</f>
        <v>0</v>
      </c>
      <c r="G68" s="28">
        <f t="shared" ca="1" si="0"/>
        <v>-9.4936139372731043E-3</v>
      </c>
    </row>
    <row r="69" spans="1:7" x14ac:dyDescent="0.2">
      <c r="A69" s="26">
        <f ca="1">IFERROR(__xludf.DUMMYFUNCTION("""COMPUTED_VALUE"""),42846.8333333333)</f>
        <v>42846.833333333299</v>
      </c>
      <c r="B69" s="27">
        <f ca="1">IFERROR(__xludf.DUMMYFUNCTION("""COMPUTED_VALUE"""),12135.61)</f>
        <v>12135.61</v>
      </c>
      <c r="C69" s="27">
        <f ca="1">IFERROR(__xludf.DUMMYFUNCTION("""COMPUTED_VALUE"""),12162.47)</f>
        <v>12162.47</v>
      </c>
      <c r="D69" s="27">
        <f ca="1">IFERROR(__xludf.DUMMYFUNCTION("""COMPUTED_VALUE"""),11941.57)</f>
        <v>11941.57</v>
      </c>
      <c r="E69" s="27">
        <f ca="1">IFERROR(__xludf.DUMMYFUNCTION("""COMPUTED_VALUE"""),12048.57)</f>
        <v>12048.57</v>
      </c>
      <c r="F69" s="27">
        <f ca="1">IFERROR(__xludf.DUMMYFUNCTION("""COMPUTED_VALUE"""),0)</f>
        <v>0</v>
      </c>
      <c r="G69" s="28">
        <f t="shared" ca="1" si="0"/>
        <v>-4.9905029317036664E-3</v>
      </c>
    </row>
    <row r="70" spans="1:7" x14ac:dyDescent="0.2">
      <c r="A70" s="26">
        <f ca="1">IFERROR(__xludf.DUMMYFUNCTION("""COMPUTED_VALUE"""),42853.8333333333)</f>
        <v>42853.833333333299</v>
      </c>
      <c r="B70" s="27">
        <f ca="1">IFERROR(__xludf.DUMMYFUNCTION("""COMPUTED_VALUE"""),12296.56)</f>
        <v>12296.56</v>
      </c>
      <c r="C70" s="27">
        <f ca="1">IFERROR(__xludf.DUMMYFUNCTION("""COMPUTED_VALUE"""),12486.29)</f>
        <v>12486.29</v>
      </c>
      <c r="D70" s="27">
        <f ca="1">IFERROR(__xludf.DUMMYFUNCTION("""COMPUTED_VALUE"""),12289.37)</f>
        <v>12289.37</v>
      </c>
      <c r="E70" s="27">
        <f ca="1">IFERROR(__xludf.DUMMYFUNCTION("""COMPUTED_VALUE"""),12438.01)</f>
        <v>12438.01</v>
      </c>
      <c r="F70" s="27">
        <f ca="1">IFERROR(__xludf.DUMMYFUNCTION("""COMPUTED_VALUE"""),0)</f>
        <v>0</v>
      </c>
      <c r="G70" s="28">
        <f t="shared" ca="1" si="0"/>
        <v>3.2322507982275095E-2</v>
      </c>
    </row>
    <row r="71" spans="1:7" x14ac:dyDescent="0.2">
      <c r="A71" s="26">
        <f ca="1">IFERROR(__xludf.DUMMYFUNCTION("""COMPUTED_VALUE"""),42860.8333333333)</f>
        <v>42860.833333333299</v>
      </c>
      <c r="B71" s="27">
        <f ca="1">IFERROR(__xludf.DUMMYFUNCTION("""COMPUTED_VALUE"""),12478.46)</f>
        <v>12478.46</v>
      </c>
      <c r="C71" s="27">
        <f ca="1">IFERROR(__xludf.DUMMYFUNCTION("""COMPUTED_VALUE"""),12718.66)</f>
        <v>12718.66</v>
      </c>
      <c r="D71" s="27">
        <f ca="1">IFERROR(__xludf.DUMMYFUNCTION("""COMPUTED_VALUE"""),12433.51)</f>
        <v>12433.51</v>
      </c>
      <c r="E71" s="27">
        <f ca="1">IFERROR(__xludf.DUMMYFUNCTION("""COMPUTED_VALUE"""),12716.89)</f>
        <v>12716.89</v>
      </c>
      <c r="F71" s="27">
        <f ca="1">IFERROR(__xludf.DUMMYFUNCTION("""COMPUTED_VALUE"""),0)</f>
        <v>0</v>
      </c>
      <c r="G71" s="28">
        <f t="shared" ca="1" si="0"/>
        <v>2.2421593164822839E-2</v>
      </c>
    </row>
    <row r="72" spans="1:7" x14ac:dyDescent="0.2">
      <c r="A72" s="26">
        <f ca="1">IFERROR(__xludf.DUMMYFUNCTION("""COMPUTED_VALUE"""),42867.8333333333)</f>
        <v>42867.833333333299</v>
      </c>
      <c r="B72" s="27">
        <f ca="1">IFERROR(__xludf.DUMMYFUNCTION("""COMPUTED_VALUE"""),12758.48)</f>
        <v>12758.48</v>
      </c>
      <c r="C72" s="27">
        <f ca="1">IFERROR(__xludf.DUMMYFUNCTION("""COMPUTED_VALUE"""),12783.23)</f>
        <v>12783.23</v>
      </c>
      <c r="D72" s="27">
        <f ca="1">IFERROR(__xludf.DUMMYFUNCTION("""COMPUTED_VALUE"""),12659.7)</f>
        <v>12659.7</v>
      </c>
      <c r="E72" s="27">
        <f ca="1">IFERROR(__xludf.DUMMYFUNCTION("""COMPUTED_VALUE"""),12770.41)</f>
        <v>12770.41</v>
      </c>
      <c r="F72" s="27">
        <f ca="1">IFERROR(__xludf.DUMMYFUNCTION("""COMPUTED_VALUE"""),0)</f>
        <v>0</v>
      </c>
      <c r="G72" s="28">
        <f t="shared" ca="1" si="0"/>
        <v>4.2085761534462751E-3</v>
      </c>
    </row>
    <row r="73" spans="1:7" x14ac:dyDescent="0.2">
      <c r="A73" s="26">
        <f ca="1">IFERROR(__xludf.DUMMYFUNCTION("""COMPUTED_VALUE"""),42874.8333333333)</f>
        <v>42874.833333333299</v>
      </c>
      <c r="B73" s="27">
        <f ca="1">IFERROR(__xludf.DUMMYFUNCTION("""COMPUTED_VALUE"""),12824.05)</f>
        <v>12824.05</v>
      </c>
      <c r="C73" s="27">
        <f ca="1">IFERROR(__xludf.DUMMYFUNCTION("""COMPUTED_VALUE"""),12841.66)</f>
        <v>12841.66</v>
      </c>
      <c r="D73" s="27">
        <f ca="1">IFERROR(__xludf.DUMMYFUNCTION("""COMPUTED_VALUE"""),12489.95)</f>
        <v>12489.95</v>
      </c>
      <c r="E73" s="27">
        <f ca="1">IFERROR(__xludf.DUMMYFUNCTION("""COMPUTED_VALUE"""),12638.69)</f>
        <v>12638.69</v>
      </c>
      <c r="F73" s="27">
        <f ca="1">IFERROR(__xludf.DUMMYFUNCTION("""COMPUTED_VALUE"""),0)</f>
        <v>0</v>
      </c>
      <c r="G73" s="28">
        <f t="shared" ca="1" si="0"/>
        <v>-1.0314469151734285E-2</v>
      </c>
    </row>
    <row r="74" spans="1:7" x14ac:dyDescent="0.2">
      <c r="A74" s="26">
        <f ca="1">IFERROR(__xludf.DUMMYFUNCTION("""COMPUTED_VALUE"""),42881.8333333333)</f>
        <v>42881.833333333299</v>
      </c>
      <c r="B74" s="27">
        <f ca="1">IFERROR(__xludf.DUMMYFUNCTION("""COMPUTED_VALUE"""),12664.97)</f>
        <v>12664.97</v>
      </c>
      <c r="C74" s="27">
        <f ca="1">IFERROR(__xludf.DUMMYFUNCTION("""COMPUTED_VALUE"""),12703.74)</f>
        <v>12703.74</v>
      </c>
      <c r="D74" s="27">
        <f ca="1">IFERROR(__xludf.DUMMYFUNCTION("""COMPUTED_VALUE"""),12529.51)</f>
        <v>12529.51</v>
      </c>
      <c r="E74" s="27">
        <f ca="1">IFERROR(__xludf.DUMMYFUNCTION("""COMPUTED_VALUE"""),12602.18)</f>
        <v>12602.18</v>
      </c>
      <c r="F74" s="27">
        <f ca="1">IFERROR(__xludf.DUMMYFUNCTION("""COMPUTED_VALUE"""),0)</f>
        <v>0</v>
      </c>
      <c r="G74" s="28">
        <f t="shared" ca="1" si="0"/>
        <v>-2.8887487548155955E-3</v>
      </c>
    </row>
    <row r="75" spans="1:7" x14ac:dyDescent="0.2">
      <c r="A75" s="26">
        <f ca="1">IFERROR(__xludf.DUMMYFUNCTION("""COMPUTED_VALUE"""),42888.8333333333)</f>
        <v>42888.833333333299</v>
      </c>
      <c r="B75" s="27">
        <f ca="1">IFERROR(__xludf.DUMMYFUNCTION("""COMPUTED_VALUE"""),12588.8)</f>
        <v>12588.8</v>
      </c>
      <c r="C75" s="27">
        <f ca="1">IFERROR(__xludf.DUMMYFUNCTION("""COMPUTED_VALUE"""),12878.59)</f>
        <v>12878.59</v>
      </c>
      <c r="D75" s="27">
        <f ca="1">IFERROR(__xludf.DUMMYFUNCTION("""COMPUTED_VALUE"""),12567.22)</f>
        <v>12567.22</v>
      </c>
      <c r="E75" s="27">
        <f ca="1">IFERROR(__xludf.DUMMYFUNCTION("""COMPUTED_VALUE"""),12822.94)</f>
        <v>12822.94</v>
      </c>
      <c r="F75" s="27">
        <f ca="1">IFERROR(__xludf.DUMMYFUNCTION("""COMPUTED_VALUE"""),0)</f>
        <v>0</v>
      </c>
      <c r="G75" s="28">
        <f t="shared" ca="1" si="0"/>
        <v>1.7517604097069039E-2</v>
      </c>
    </row>
    <row r="76" spans="1:7" x14ac:dyDescent="0.2">
      <c r="A76" s="26">
        <f ca="1">IFERROR(__xludf.DUMMYFUNCTION("""COMPUTED_VALUE"""),42895.8333333333)</f>
        <v>42895.833333333299</v>
      </c>
      <c r="B76" s="27">
        <f ca="1">IFERROR(__xludf.DUMMYFUNCTION("""COMPUTED_VALUE"""),12768.46)</f>
        <v>12768.46</v>
      </c>
      <c r="C76" s="27">
        <f ca="1">IFERROR(__xludf.DUMMYFUNCTION("""COMPUTED_VALUE"""),12821.03)</f>
        <v>12821.03</v>
      </c>
      <c r="D76" s="27">
        <f ca="1">IFERROR(__xludf.DUMMYFUNCTION("""COMPUTED_VALUE"""),12640.52)</f>
        <v>12640.52</v>
      </c>
      <c r="E76" s="27">
        <f ca="1">IFERROR(__xludf.DUMMYFUNCTION("""COMPUTED_VALUE"""),12815.72)</f>
        <v>12815.72</v>
      </c>
      <c r="F76" s="27">
        <f ca="1">IFERROR(__xludf.DUMMYFUNCTION("""COMPUTED_VALUE"""),0)</f>
        <v>0</v>
      </c>
      <c r="G76" s="28">
        <f t="shared" ca="1" si="0"/>
        <v>-5.6305340272988502E-4</v>
      </c>
    </row>
    <row r="77" spans="1:7" x14ac:dyDescent="0.2">
      <c r="A77" s="26">
        <f ca="1">IFERROR(__xludf.DUMMYFUNCTION("""COMPUTED_VALUE"""),42902.8333333333)</f>
        <v>42902.833333333299</v>
      </c>
      <c r="B77" s="27">
        <f ca="1">IFERROR(__xludf.DUMMYFUNCTION("""COMPUTED_VALUE"""),12760.39)</f>
        <v>12760.39</v>
      </c>
      <c r="C77" s="27">
        <f ca="1">IFERROR(__xludf.DUMMYFUNCTION("""COMPUTED_VALUE"""),12921.17)</f>
        <v>12921.17</v>
      </c>
      <c r="D77" s="27">
        <f ca="1">IFERROR(__xludf.DUMMYFUNCTION("""COMPUTED_VALUE"""),12620.9)</f>
        <v>12620.9</v>
      </c>
      <c r="E77" s="27">
        <f ca="1">IFERROR(__xludf.DUMMYFUNCTION("""COMPUTED_VALUE"""),12752.73)</f>
        <v>12752.73</v>
      </c>
      <c r="F77" s="27">
        <f ca="1">IFERROR(__xludf.DUMMYFUNCTION("""COMPUTED_VALUE"""),0)</f>
        <v>0</v>
      </c>
      <c r="G77" s="28">
        <f t="shared" ca="1" si="0"/>
        <v>-4.9150574450752549E-3</v>
      </c>
    </row>
    <row r="78" spans="1:7" x14ac:dyDescent="0.2">
      <c r="A78" s="26">
        <f ca="1">IFERROR(__xludf.DUMMYFUNCTION("""COMPUTED_VALUE"""),42909.8333333333)</f>
        <v>42909.833333333299</v>
      </c>
      <c r="B78" s="27">
        <f ca="1">IFERROR(__xludf.DUMMYFUNCTION("""COMPUTED_VALUE"""),12849.99)</f>
        <v>12849.99</v>
      </c>
      <c r="C78" s="27">
        <f ca="1">IFERROR(__xludf.DUMMYFUNCTION("""COMPUTED_VALUE"""),12951.54)</f>
        <v>12951.54</v>
      </c>
      <c r="D78" s="27">
        <f ca="1">IFERROR(__xludf.DUMMYFUNCTION("""COMPUTED_VALUE"""),12677.4)</f>
        <v>12677.4</v>
      </c>
      <c r="E78" s="27">
        <f ca="1">IFERROR(__xludf.DUMMYFUNCTION("""COMPUTED_VALUE"""),12733.41)</f>
        <v>12733.41</v>
      </c>
      <c r="F78" s="27">
        <f ca="1">IFERROR(__xludf.DUMMYFUNCTION("""COMPUTED_VALUE"""),0)</f>
        <v>0</v>
      </c>
      <c r="G78" s="28">
        <f t="shared" ca="1" si="0"/>
        <v>-1.5149697358918246E-3</v>
      </c>
    </row>
    <row r="79" spans="1:7" x14ac:dyDescent="0.2">
      <c r="A79" s="26">
        <f ca="1">IFERROR(__xludf.DUMMYFUNCTION("""COMPUTED_VALUE"""),42916.8333333333)</f>
        <v>42916.833333333299</v>
      </c>
      <c r="B79" s="27">
        <f ca="1">IFERROR(__xludf.DUMMYFUNCTION("""COMPUTED_VALUE"""),12783.89)</f>
        <v>12783.89</v>
      </c>
      <c r="C79" s="27">
        <f ca="1">IFERROR(__xludf.DUMMYFUNCTION("""COMPUTED_VALUE"""),12841.31)</f>
        <v>12841.31</v>
      </c>
      <c r="D79" s="27">
        <f ca="1">IFERROR(__xludf.DUMMYFUNCTION("""COMPUTED_VALUE"""),12319)</f>
        <v>12319</v>
      </c>
      <c r="E79" s="27">
        <f ca="1">IFERROR(__xludf.DUMMYFUNCTION("""COMPUTED_VALUE"""),12325.12)</f>
        <v>12325.12</v>
      </c>
      <c r="F79" s="27">
        <f ca="1">IFERROR(__xludf.DUMMYFUNCTION("""COMPUTED_VALUE"""),0)</f>
        <v>0</v>
      </c>
      <c r="G79" s="28">
        <f t="shared" ca="1" si="0"/>
        <v>-3.2064466627556909E-2</v>
      </c>
    </row>
    <row r="80" spans="1:7" x14ac:dyDescent="0.2">
      <c r="A80" s="26">
        <f ca="1">IFERROR(__xludf.DUMMYFUNCTION("""COMPUTED_VALUE"""),42923.8333333333)</f>
        <v>42923.833333333299</v>
      </c>
      <c r="B80" s="27">
        <f ca="1">IFERROR(__xludf.DUMMYFUNCTION("""COMPUTED_VALUE"""),12396.34)</f>
        <v>12396.34</v>
      </c>
      <c r="C80" s="27">
        <f ca="1">IFERROR(__xludf.DUMMYFUNCTION("""COMPUTED_VALUE"""),12496.82)</f>
        <v>12496.82</v>
      </c>
      <c r="D80" s="27">
        <f ca="1">IFERROR(__xludf.DUMMYFUNCTION("""COMPUTED_VALUE"""),12316.43)</f>
        <v>12316.43</v>
      </c>
      <c r="E80" s="27">
        <f ca="1">IFERROR(__xludf.DUMMYFUNCTION("""COMPUTED_VALUE"""),12388.68)</f>
        <v>12388.68</v>
      </c>
      <c r="F80" s="27">
        <f ca="1">IFERROR(__xludf.DUMMYFUNCTION("""COMPUTED_VALUE"""),0)</f>
        <v>0</v>
      </c>
      <c r="G80" s="28">
        <f t="shared" ca="1" si="0"/>
        <v>5.1569477619690662E-3</v>
      </c>
    </row>
    <row r="81" spans="1:7" x14ac:dyDescent="0.2">
      <c r="A81" s="26">
        <f ca="1">IFERROR(__xludf.DUMMYFUNCTION("""COMPUTED_VALUE"""),42930.8333333333)</f>
        <v>42930.833333333299</v>
      </c>
      <c r="B81" s="27">
        <f ca="1">IFERROR(__xludf.DUMMYFUNCTION("""COMPUTED_VALUE"""),12464.96)</f>
        <v>12464.96</v>
      </c>
      <c r="C81" s="27">
        <f ca="1">IFERROR(__xludf.DUMMYFUNCTION("""COMPUTED_VALUE"""),12676.52)</f>
        <v>12676.52</v>
      </c>
      <c r="D81" s="27">
        <f ca="1">IFERROR(__xludf.DUMMYFUNCTION("""COMPUTED_VALUE"""),12406.2)</f>
        <v>12406.2</v>
      </c>
      <c r="E81" s="27">
        <f ca="1">IFERROR(__xludf.DUMMYFUNCTION("""COMPUTED_VALUE"""),12631.72)</f>
        <v>12631.72</v>
      </c>
      <c r="F81" s="27">
        <f ca="1">IFERROR(__xludf.DUMMYFUNCTION("""COMPUTED_VALUE"""),0)</f>
        <v>0</v>
      </c>
      <c r="G81" s="28">
        <f t="shared" ca="1" si="0"/>
        <v>1.9617909252640287E-2</v>
      </c>
    </row>
    <row r="82" spans="1:7" x14ac:dyDescent="0.2">
      <c r="A82" s="26">
        <f ca="1">IFERROR(__xludf.DUMMYFUNCTION("""COMPUTED_VALUE"""),42937.8333333333)</f>
        <v>42937.833333333299</v>
      </c>
      <c r="B82" s="27">
        <f ca="1">IFERROR(__xludf.DUMMYFUNCTION("""COMPUTED_VALUE"""),12652.37)</f>
        <v>12652.37</v>
      </c>
      <c r="C82" s="27">
        <f ca="1">IFERROR(__xludf.DUMMYFUNCTION("""COMPUTED_VALUE"""),12656.13)</f>
        <v>12656.13</v>
      </c>
      <c r="D82" s="27">
        <f ca="1">IFERROR(__xludf.DUMMYFUNCTION("""COMPUTED_VALUE"""),12190.89)</f>
        <v>12190.89</v>
      </c>
      <c r="E82" s="27">
        <f ca="1">IFERROR(__xludf.DUMMYFUNCTION("""COMPUTED_VALUE"""),12240.06)</f>
        <v>12240.06</v>
      </c>
      <c r="F82" s="27">
        <f ca="1">IFERROR(__xludf.DUMMYFUNCTION("""COMPUTED_VALUE"""),0)</f>
        <v>0</v>
      </c>
      <c r="G82" s="28">
        <f t="shared" ca="1" si="0"/>
        <v>-3.1006070432213484E-2</v>
      </c>
    </row>
    <row r="83" spans="1:7" x14ac:dyDescent="0.2">
      <c r="A83" s="26">
        <f ca="1">IFERROR(__xludf.DUMMYFUNCTION("""COMPUTED_VALUE"""),42944.8333333333)</f>
        <v>42944.833333333299</v>
      </c>
      <c r="B83" s="27">
        <f ca="1">IFERROR(__xludf.DUMMYFUNCTION("""COMPUTED_VALUE"""),12228.63)</f>
        <v>12228.63</v>
      </c>
      <c r="C83" s="27">
        <f ca="1">IFERROR(__xludf.DUMMYFUNCTION("""COMPUTED_VALUE"""),12341.03)</f>
        <v>12341.03</v>
      </c>
      <c r="D83" s="27">
        <f ca="1">IFERROR(__xludf.DUMMYFUNCTION("""COMPUTED_VALUE"""),12098.57)</f>
        <v>12098.57</v>
      </c>
      <c r="E83" s="27">
        <f ca="1">IFERROR(__xludf.DUMMYFUNCTION("""COMPUTED_VALUE"""),12162.7)</f>
        <v>12162.7</v>
      </c>
      <c r="F83" s="27">
        <f ca="1">IFERROR(__xludf.DUMMYFUNCTION("""COMPUTED_VALUE"""),0)</f>
        <v>0</v>
      </c>
      <c r="G83" s="28">
        <f t="shared" ca="1" si="0"/>
        <v>-6.3202304563865219E-3</v>
      </c>
    </row>
    <row r="84" spans="1:7" x14ac:dyDescent="0.2">
      <c r="A84" s="26">
        <f ca="1">IFERROR(__xludf.DUMMYFUNCTION("""COMPUTED_VALUE"""),42951.8333333333)</f>
        <v>42951.833333333299</v>
      </c>
      <c r="B84" s="27">
        <f ca="1">IFERROR(__xludf.DUMMYFUNCTION("""COMPUTED_VALUE"""),12141.53)</f>
        <v>12141.53</v>
      </c>
      <c r="C84" s="27">
        <f ca="1">IFERROR(__xludf.DUMMYFUNCTION("""COMPUTED_VALUE"""),12321.98)</f>
        <v>12321.98</v>
      </c>
      <c r="D84" s="27">
        <f ca="1">IFERROR(__xludf.DUMMYFUNCTION("""COMPUTED_VALUE"""),12092.06)</f>
        <v>12092.06</v>
      </c>
      <c r="E84" s="27">
        <f ca="1">IFERROR(__xludf.DUMMYFUNCTION("""COMPUTED_VALUE"""),12297.72)</f>
        <v>12297.72</v>
      </c>
      <c r="F84" s="27">
        <f ca="1">IFERROR(__xludf.DUMMYFUNCTION("""COMPUTED_VALUE"""),0)</f>
        <v>0</v>
      </c>
      <c r="G84" s="28">
        <f t="shared" ca="1" si="0"/>
        <v>1.1101153526766216E-2</v>
      </c>
    </row>
    <row r="85" spans="1:7" x14ac:dyDescent="0.2">
      <c r="A85" s="26">
        <f ca="1">IFERROR(__xludf.DUMMYFUNCTION("""COMPUTED_VALUE"""),42958.8333333333)</f>
        <v>42958.833333333299</v>
      </c>
      <c r="B85" s="27">
        <f ca="1">IFERROR(__xludf.DUMMYFUNCTION("""COMPUTED_VALUE"""),12305.74)</f>
        <v>12305.74</v>
      </c>
      <c r="C85" s="27">
        <f ca="1">IFERROR(__xludf.DUMMYFUNCTION("""COMPUTED_VALUE"""),12336)</f>
        <v>12336</v>
      </c>
      <c r="D85" s="27">
        <f ca="1">IFERROR(__xludf.DUMMYFUNCTION("""COMPUTED_VALUE"""),11934.92)</f>
        <v>11934.92</v>
      </c>
      <c r="E85" s="27">
        <f ca="1">IFERROR(__xludf.DUMMYFUNCTION("""COMPUTED_VALUE"""),12014.06)</f>
        <v>12014.06</v>
      </c>
      <c r="F85" s="27">
        <f ca="1">IFERROR(__xludf.DUMMYFUNCTION("""COMPUTED_VALUE"""),0)</f>
        <v>0</v>
      </c>
      <c r="G85" s="28">
        <f t="shared" ca="1" si="0"/>
        <v>-2.306606427858171E-2</v>
      </c>
    </row>
    <row r="86" spans="1:7" x14ac:dyDescent="0.2">
      <c r="A86" s="26">
        <f ca="1">IFERROR(__xludf.DUMMYFUNCTION("""COMPUTED_VALUE"""),42965.8333333333)</f>
        <v>42965.833333333299</v>
      </c>
      <c r="B86" s="27">
        <f ca="1">IFERROR(__xludf.DUMMYFUNCTION("""COMPUTED_VALUE"""),12100.17)</f>
        <v>12100.17</v>
      </c>
      <c r="C86" s="27">
        <f ca="1">IFERROR(__xludf.DUMMYFUNCTION("""COMPUTED_VALUE"""),12301.4)</f>
        <v>12301.4</v>
      </c>
      <c r="D86" s="27">
        <f ca="1">IFERROR(__xludf.DUMMYFUNCTION("""COMPUTED_VALUE"""),12080.74)</f>
        <v>12080.74</v>
      </c>
      <c r="E86" s="27">
        <f ca="1">IFERROR(__xludf.DUMMYFUNCTION("""COMPUTED_VALUE"""),12165.19)</f>
        <v>12165.19</v>
      </c>
      <c r="F86" s="27">
        <f ca="1">IFERROR(__xludf.DUMMYFUNCTION("""COMPUTED_VALUE"""),0)</f>
        <v>0</v>
      </c>
      <c r="G86" s="28">
        <f t="shared" ca="1" si="0"/>
        <v>1.2579427770462281E-2</v>
      </c>
    </row>
    <row r="87" spans="1:7" x14ac:dyDescent="0.2">
      <c r="A87" s="26">
        <f ca="1">IFERROR(__xludf.DUMMYFUNCTION("""COMPUTED_VALUE"""),42972.8333333333)</f>
        <v>42972.833333333299</v>
      </c>
      <c r="B87" s="27">
        <f ca="1">IFERROR(__xludf.DUMMYFUNCTION("""COMPUTED_VALUE"""),12105.72)</f>
        <v>12105.72</v>
      </c>
      <c r="C87" s="27">
        <f ca="1">IFERROR(__xludf.DUMMYFUNCTION("""COMPUTED_VALUE"""),12269.92)</f>
        <v>12269.92</v>
      </c>
      <c r="D87" s="27">
        <f ca="1">IFERROR(__xludf.DUMMYFUNCTION("""COMPUTED_VALUE"""),12021.7)</f>
        <v>12021.7</v>
      </c>
      <c r="E87" s="27">
        <f ca="1">IFERROR(__xludf.DUMMYFUNCTION("""COMPUTED_VALUE"""),12167.94)</f>
        <v>12167.94</v>
      </c>
      <c r="F87" s="27">
        <f ca="1">IFERROR(__xludf.DUMMYFUNCTION("""COMPUTED_VALUE"""),0)</f>
        <v>0</v>
      </c>
      <c r="G87" s="28">
        <f t="shared" ca="1" si="0"/>
        <v>2.260548335044632E-4</v>
      </c>
    </row>
    <row r="88" spans="1:7" x14ac:dyDescent="0.2">
      <c r="A88" s="26">
        <f ca="1">IFERROR(__xludf.DUMMYFUNCTION("""COMPUTED_VALUE"""),42979.8333333333)</f>
        <v>42979.833333333299</v>
      </c>
      <c r="B88" s="27">
        <f ca="1">IFERROR(__xludf.DUMMYFUNCTION("""COMPUTED_VALUE"""),12105.49)</f>
        <v>12105.49</v>
      </c>
      <c r="C88" s="27">
        <f ca="1">IFERROR(__xludf.DUMMYFUNCTION("""COMPUTED_VALUE"""),12191.23)</f>
        <v>12191.23</v>
      </c>
      <c r="D88" s="27">
        <f ca="1">IFERROR(__xludf.DUMMYFUNCTION("""COMPUTED_VALUE"""),11868.84)</f>
        <v>11868.84</v>
      </c>
      <c r="E88" s="27">
        <f ca="1">IFERROR(__xludf.DUMMYFUNCTION("""COMPUTED_VALUE"""),12142.64)</f>
        <v>12142.64</v>
      </c>
      <c r="F88" s="27">
        <f ca="1">IFERROR(__xludf.DUMMYFUNCTION("""COMPUTED_VALUE"""),0)</f>
        <v>0</v>
      </c>
      <c r="G88" s="28">
        <f t="shared" ca="1" si="0"/>
        <v>-2.079234447244227E-3</v>
      </c>
    </row>
    <row r="89" spans="1:7" x14ac:dyDescent="0.2">
      <c r="A89" s="26">
        <f ca="1">IFERROR(__xludf.DUMMYFUNCTION("""COMPUTED_VALUE"""),42986.8333333333)</f>
        <v>42986.833333333299</v>
      </c>
      <c r="B89" s="27">
        <f ca="1">IFERROR(__xludf.DUMMYFUNCTION("""COMPUTED_VALUE"""),12051.8)</f>
        <v>12051.8</v>
      </c>
      <c r="C89" s="27">
        <f ca="1">IFERROR(__xludf.DUMMYFUNCTION("""COMPUTED_VALUE"""),12363.6)</f>
        <v>12363.6</v>
      </c>
      <c r="D89" s="27">
        <f ca="1">IFERROR(__xludf.DUMMYFUNCTION("""COMPUTED_VALUE"""),12050.53)</f>
        <v>12050.53</v>
      </c>
      <c r="E89" s="27">
        <f ca="1">IFERROR(__xludf.DUMMYFUNCTION("""COMPUTED_VALUE"""),12303.98)</f>
        <v>12303.98</v>
      </c>
      <c r="F89" s="27">
        <f ca="1">IFERROR(__xludf.DUMMYFUNCTION("""COMPUTED_VALUE"""),0)</f>
        <v>0</v>
      </c>
      <c r="G89" s="28">
        <f t="shared" ca="1" si="0"/>
        <v>1.3287061133328448E-2</v>
      </c>
    </row>
    <row r="90" spans="1:7" x14ac:dyDescent="0.2">
      <c r="A90" s="26">
        <f ca="1">IFERROR(__xludf.DUMMYFUNCTION("""COMPUTED_VALUE"""),42993.8333333333)</f>
        <v>42993.833333333299</v>
      </c>
      <c r="B90" s="27">
        <f ca="1">IFERROR(__xludf.DUMMYFUNCTION("""COMPUTED_VALUE"""),12381.52)</f>
        <v>12381.52</v>
      </c>
      <c r="C90" s="27">
        <f ca="1">IFERROR(__xludf.DUMMYFUNCTION("""COMPUTED_VALUE"""),12565.85)</f>
        <v>12565.85</v>
      </c>
      <c r="D90" s="27">
        <f ca="1">IFERROR(__xludf.DUMMYFUNCTION("""COMPUTED_VALUE"""),12381.33)</f>
        <v>12381.33</v>
      </c>
      <c r="E90" s="27">
        <f ca="1">IFERROR(__xludf.DUMMYFUNCTION("""COMPUTED_VALUE"""),12518.81)</f>
        <v>12518.81</v>
      </c>
      <c r="F90" s="27">
        <f ca="1">IFERROR(__xludf.DUMMYFUNCTION("""COMPUTED_VALUE"""),0)</f>
        <v>0</v>
      </c>
      <c r="G90" s="28">
        <f t="shared" ca="1" si="0"/>
        <v>1.7460203934011487E-2</v>
      </c>
    </row>
    <row r="91" spans="1:7" x14ac:dyDescent="0.2">
      <c r="A91" s="26">
        <f ca="1">IFERROR(__xludf.DUMMYFUNCTION("""COMPUTED_VALUE"""),43000.8333333333)</f>
        <v>43000.833333333299</v>
      </c>
      <c r="B91" s="27">
        <f ca="1">IFERROR(__xludf.DUMMYFUNCTION("""COMPUTED_VALUE"""),12593.55)</f>
        <v>12593.55</v>
      </c>
      <c r="C91" s="27">
        <f ca="1">IFERROR(__xludf.DUMMYFUNCTION("""COMPUTED_VALUE"""),12646.56)</f>
        <v>12646.56</v>
      </c>
      <c r="D91" s="27">
        <f ca="1">IFERROR(__xludf.DUMMYFUNCTION("""COMPUTED_VALUE"""),12518.22)</f>
        <v>12518.22</v>
      </c>
      <c r="E91" s="27">
        <f ca="1">IFERROR(__xludf.DUMMYFUNCTION("""COMPUTED_VALUE"""),12592.35)</f>
        <v>12592.35</v>
      </c>
      <c r="F91" s="27">
        <f ca="1">IFERROR(__xludf.DUMMYFUNCTION("""COMPUTED_VALUE"""),0)</f>
        <v>0</v>
      </c>
      <c r="G91" s="28">
        <f t="shared" ca="1" si="0"/>
        <v>5.8743602626767366E-3</v>
      </c>
    </row>
    <row r="92" spans="1:7" x14ac:dyDescent="0.2">
      <c r="A92" s="26">
        <f ca="1">IFERROR(__xludf.DUMMYFUNCTION("""COMPUTED_VALUE"""),43007.8333333333)</f>
        <v>43007.833333333299</v>
      </c>
      <c r="B92" s="27">
        <f ca="1">IFERROR(__xludf.DUMMYFUNCTION("""COMPUTED_VALUE"""),12573.35)</f>
        <v>12573.35</v>
      </c>
      <c r="C92" s="27">
        <f ca="1">IFERROR(__xludf.DUMMYFUNCTION("""COMPUTED_VALUE"""),12828.86)</f>
        <v>12828.86</v>
      </c>
      <c r="D92" s="27">
        <f ca="1">IFERROR(__xludf.DUMMYFUNCTION("""COMPUTED_VALUE"""),12551.87)</f>
        <v>12551.87</v>
      </c>
      <c r="E92" s="27">
        <f ca="1">IFERROR(__xludf.DUMMYFUNCTION("""COMPUTED_VALUE"""),12828.86)</f>
        <v>12828.86</v>
      </c>
      <c r="F92" s="27">
        <f ca="1">IFERROR(__xludf.DUMMYFUNCTION("""COMPUTED_VALUE"""),0)</f>
        <v>0</v>
      </c>
      <c r="G92" s="28">
        <f t="shared" ca="1" si="0"/>
        <v>1.8782038301031978E-2</v>
      </c>
    </row>
    <row r="93" spans="1:7" x14ac:dyDescent="0.2">
      <c r="A93" s="26">
        <f ca="1">IFERROR(__xludf.DUMMYFUNCTION("""COMPUTED_VALUE"""),43014.8333333333)</f>
        <v>43014.833333333299</v>
      </c>
      <c r="B93" s="27">
        <f ca="1">IFERROR(__xludf.DUMMYFUNCTION("""COMPUTED_VALUE"""),12866.27)</f>
        <v>12866.27</v>
      </c>
      <c r="C93" s="27">
        <f ca="1">IFERROR(__xludf.DUMMYFUNCTION("""COMPUTED_VALUE"""),12993.53)</f>
        <v>12993.53</v>
      </c>
      <c r="D93" s="27">
        <f ca="1">IFERROR(__xludf.DUMMYFUNCTION("""COMPUTED_VALUE"""),12849.59)</f>
        <v>12849.59</v>
      </c>
      <c r="E93" s="27">
        <f ca="1">IFERROR(__xludf.DUMMYFUNCTION("""COMPUTED_VALUE"""),12955.94)</f>
        <v>12955.94</v>
      </c>
      <c r="F93" s="27">
        <f ca="1">IFERROR(__xludf.DUMMYFUNCTION("""COMPUTED_VALUE"""),0)</f>
        <v>0</v>
      </c>
      <c r="G93" s="28">
        <f t="shared" ca="1" si="0"/>
        <v>9.9057905378965305E-3</v>
      </c>
    </row>
    <row r="94" spans="1:7" x14ac:dyDescent="0.2">
      <c r="A94" s="26">
        <f ca="1">IFERROR(__xludf.DUMMYFUNCTION("""COMPUTED_VALUE"""),43021.8333333333)</f>
        <v>43021.833333333299</v>
      </c>
      <c r="B94" s="27">
        <f ca="1">IFERROR(__xludf.DUMMYFUNCTION("""COMPUTED_VALUE"""),12975.86)</f>
        <v>12975.86</v>
      </c>
      <c r="C94" s="27">
        <f ca="1">IFERROR(__xludf.DUMMYFUNCTION("""COMPUTED_VALUE"""),13036.74)</f>
        <v>13036.74</v>
      </c>
      <c r="D94" s="27">
        <f ca="1">IFERROR(__xludf.DUMMYFUNCTION("""COMPUTED_VALUE"""),12909.28)</f>
        <v>12909.28</v>
      </c>
      <c r="E94" s="27">
        <f ca="1">IFERROR(__xludf.DUMMYFUNCTION("""COMPUTED_VALUE"""),12991.87)</f>
        <v>12991.87</v>
      </c>
      <c r="F94" s="27">
        <f ca="1">IFERROR(__xludf.DUMMYFUNCTION("""COMPUTED_VALUE"""),0)</f>
        <v>0</v>
      </c>
      <c r="G94" s="28">
        <f t="shared" ca="1" si="0"/>
        <v>2.7732453222228948E-3</v>
      </c>
    </row>
    <row r="95" spans="1:7" x14ac:dyDescent="0.2">
      <c r="A95" s="26">
        <f ca="1">IFERROR(__xludf.DUMMYFUNCTION("""COMPUTED_VALUE"""),43028.8333333333)</f>
        <v>43028.833333333299</v>
      </c>
      <c r="B95" s="27">
        <f ca="1">IFERROR(__xludf.DUMMYFUNCTION("""COMPUTED_VALUE"""),13017.18)</f>
        <v>13017.18</v>
      </c>
      <c r="C95" s="27">
        <f ca="1">IFERROR(__xludf.DUMMYFUNCTION("""COMPUTED_VALUE"""),13094.76)</f>
        <v>13094.76</v>
      </c>
      <c r="D95" s="27">
        <f ca="1">IFERROR(__xludf.DUMMYFUNCTION("""COMPUTED_VALUE"""),12911.58)</f>
        <v>12911.58</v>
      </c>
      <c r="E95" s="27">
        <f ca="1">IFERROR(__xludf.DUMMYFUNCTION("""COMPUTED_VALUE"""),12991.28)</f>
        <v>12991.28</v>
      </c>
      <c r="F95" s="27">
        <f ca="1">IFERROR(__xludf.DUMMYFUNCTION("""COMPUTED_VALUE"""),0)</f>
        <v>0</v>
      </c>
      <c r="G95" s="28">
        <f t="shared" ca="1" si="0"/>
        <v>-4.5413015986150995E-5</v>
      </c>
    </row>
    <row r="96" spans="1:7" x14ac:dyDescent="0.2">
      <c r="A96" s="26">
        <f ca="1">IFERROR(__xludf.DUMMYFUNCTION("""COMPUTED_VALUE"""),43035.8333333333)</f>
        <v>43035.833333333299</v>
      </c>
      <c r="B96" s="27">
        <f ca="1">IFERROR(__xludf.DUMMYFUNCTION("""COMPUTED_VALUE"""),13014.57)</f>
        <v>13014.57</v>
      </c>
      <c r="C96" s="27">
        <f ca="1">IFERROR(__xludf.DUMMYFUNCTION("""COMPUTED_VALUE"""),13249.03)</f>
        <v>13249.03</v>
      </c>
      <c r="D96" s="27">
        <f ca="1">IFERROR(__xludf.DUMMYFUNCTION("""COMPUTED_VALUE"""),12931.22)</f>
        <v>12931.22</v>
      </c>
      <c r="E96" s="27">
        <f ca="1">IFERROR(__xludf.DUMMYFUNCTION("""COMPUTED_VALUE"""),13217.54)</f>
        <v>13217.54</v>
      </c>
      <c r="F96" s="27">
        <f ca="1">IFERROR(__xludf.DUMMYFUNCTION("""COMPUTED_VALUE"""),0)</f>
        <v>0</v>
      </c>
      <c r="G96" s="28">
        <f t="shared" ca="1" si="0"/>
        <v>1.7416297701227323E-2</v>
      </c>
    </row>
    <row r="97" spans="1:7" x14ac:dyDescent="0.2">
      <c r="A97" s="26">
        <f ca="1">IFERROR(__xludf.DUMMYFUNCTION("""COMPUTED_VALUE"""),43042.8333333333)</f>
        <v>43042.833333333299</v>
      </c>
      <c r="B97" s="27">
        <f ca="1">IFERROR(__xludf.DUMMYFUNCTION("""COMPUTED_VALUE"""),13227.85)</f>
        <v>13227.85</v>
      </c>
      <c r="C97" s="27">
        <f ca="1">IFERROR(__xludf.DUMMYFUNCTION("""COMPUTED_VALUE"""),13505.01)</f>
        <v>13505.01</v>
      </c>
      <c r="D97" s="27">
        <f ca="1">IFERROR(__xludf.DUMMYFUNCTION("""COMPUTED_VALUE"""),13214.6)</f>
        <v>13214.6</v>
      </c>
      <c r="E97" s="27">
        <f ca="1">IFERROR(__xludf.DUMMYFUNCTION("""COMPUTED_VALUE"""),13478.86)</f>
        <v>13478.86</v>
      </c>
      <c r="F97" s="27">
        <f ca="1">IFERROR(__xludf.DUMMYFUNCTION("""COMPUTED_VALUE"""),0)</f>
        <v>0</v>
      </c>
      <c r="G97" s="28">
        <f t="shared" ca="1" si="0"/>
        <v>1.9770698632271877E-2</v>
      </c>
    </row>
    <row r="98" spans="1:7" x14ac:dyDescent="0.2">
      <c r="A98" s="26">
        <f ca="1">IFERROR(__xludf.DUMMYFUNCTION("""COMPUTED_VALUE"""),43049.8333333333)</f>
        <v>43049.833333333299</v>
      </c>
      <c r="B98" s="27">
        <f ca="1">IFERROR(__xludf.DUMMYFUNCTION("""COMPUTED_VALUE"""),13459.42)</f>
        <v>13459.42</v>
      </c>
      <c r="C98" s="27">
        <f ca="1">IFERROR(__xludf.DUMMYFUNCTION("""COMPUTED_VALUE"""),13525.56)</f>
        <v>13525.56</v>
      </c>
      <c r="D98" s="27">
        <f ca="1">IFERROR(__xludf.DUMMYFUNCTION("""COMPUTED_VALUE"""),13111.65)</f>
        <v>13111.65</v>
      </c>
      <c r="E98" s="27">
        <f ca="1">IFERROR(__xludf.DUMMYFUNCTION("""COMPUTED_VALUE"""),13127.47)</f>
        <v>13127.47</v>
      </c>
      <c r="F98" s="27">
        <f ca="1">IFERROR(__xludf.DUMMYFUNCTION("""COMPUTED_VALUE"""),0)</f>
        <v>0</v>
      </c>
      <c r="G98" s="28">
        <f t="shared" ca="1" si="0"/>
        <v>-2.6069712126990052E-2</v>
      </c>
    </row>
    <row r="99" spans="1:7" x14ac:dyDescent="0.2">
      <c r="A99" s="26">
        <f ca="1">IFERROR(__xludf.DUMMYFUNCTION("""COMPUTED_VALUE"""),43056.8333333333)</f>
        <v>43056.833333333299</v>
      </c>
      <c r="B99" s="27">
        <f ca="1">IFERROR(__xludf.DUMMYFUNCTION("""COMPUTED_VALUE"""),13150.78)</f>
        <v>13150.78</v>
      </c>
      <c r="C99" s="27">
        <f ca="1">IFERROR(__xludf.DUMMYFUNCTION("""COMPUTED_VALUE"""),13163.94)</f>
        <v>13163.94</v>
      </c>
      <c r="D99" s="27">
        <f ca="1">IFERROR(__xludf.DUMMYFUNCTION("""COMPUTED_VALUE"""),12847.88)</f>
        <v>12847.88</v>
      </c>
      <c r="E99" s="27">
        <f ca="1">IFERROR(__xludf.DUMMYFUNCTION("""COMPUTED_VALUE"""),12993.73)</f>
        <v>12993.73</v>
      </c>
      <c r="F99" s="27">
        <f ca="1">IFERROR(__xludf.DUMMYFUNCTION("""COMPUTED_VALUE"""),0)</f>
        <v>0</v>
      </c>
      <c r="G99" s="28">
        <f t="shared" ca="1" si="0"/>
        <v>-1.0187797039338142E-2</v>
      </c>
    </row>
    <row r="100" spans="1:7" x14ac:dyDescent="0.2">
      <c r="A100" s="26">
        <f ca="1">IFERROR(__xludf.DUMMYFUNCTION("""COMPUTED_VALUE"""),43063.8333333333)</f>
        <v>43063.833333333299</v>
      </c>
      <c r="B100" s="27">
        <f ca="1">IFERROR(__xludf.DUMMYFUNCTION("""COMPUTED_VALUE"""),12932.81)</f>
        <v>12932.81</v>
      </c>
      <c r="C100" s="27">
        <f ca="1">IFERROR(__xludf.DUMMYFUNCTION("""COMPUTED_VALUE"""),13209.01)</f>
        <v>13209.01</v>
      </c>
      <c r="D100" s="27">
        <f ca="1">IFERROR(__xludf.DUMMYFUNCTION("""COMPUTED_VALUE"""),12921.15)</f>
        <v>12921.15</v>
      </c>
      <c r="E100" s="27">
        <f ca="1">IFERROR(__xludf.DUMMYFUNCTION("""COMPUTED_VALUE"""),13059.84)</f>
        <v>13059.84</v>
      </c>
      <c r="F100" s="27">
        <f ca="1">IFERROR(__xludf.DUMMYFUNCTION("""COMPUTED_VALUE"""),0)</f>
        <v>0</v>
      </c>
      <c r="G100" s="28">
        <f t="shared" ca="1" si="0"/>
        <v>5.0878385190396003E-3</v>
      </c>
    </row>
    <row r="101" spans="1:7" x14ac:dyDescent="0.2">
      <c r="A101" s="26">
        <f ca="1">IFERROR(__xludf.DUMMYFUNCTION("""COMPUTED_VALUE"""),43070.8333333333)</f>
        <v>43070.833333333299</v>
      </c>
      <c r="B101" s="27">
        <f ca="1">IFERROR(__xludf.DUMMYFUNCTION("""COMPUTED_VALUE"""),13036.74)</f>
        <v>13036.74</v>
      </c>
      <c r="C101" s="27">
        <f ca="1">IFERROR(__xludf.DUMMYFUNCTION("""COMPUTED_VALUE"""),13196.15)</f>
        <v>13196.15</v>
      </c>
      <c r="D101" s="27">
        <f ca="1">IFERROR(__xludf.DUMMYFUNCTION("""COMPUTED_VALUE"""),12810.13)</f>
        <v>12810.13</v>
      </c>
      <c r="E101" s="27">
        <f ca="1">IFERROR(__xludf.DUMMYFUNCTION("""COMPUTED_VALUE"""),12861.49)</f>
        <v>12861.49</v>
      </c>
      <c r="F101" s="27">
        <f ca="1">IFERROR(__xludf.DUMMYFUNCTION("""COMPUTED_VALUE"""),0)</f>
        <v>0</v>
      </c>
      <c r="G101" s="28">
        <f t="shared" ca="1" si="0"/>
        <v>-1.5187781779868681E-2</v>
      </c>
    </row>
    <row r="102" spans="1:7" x14ac:dyDescent="0.2">
      <c r="A102" s="26">
        <f ca="1">IFERROR(__xludf.DUMMYFUNCTION("""COMPUTED_VALUE"""),43077.8333333333)</f>
        <v>43077.833333333299</v>
      </c>
      <c r="B102" s="27">
        <f ca="1">IFERROR(__xludf.DUMMYFUNCTION("""COMPUTED_VALUE"""),13038.77)</f>
        <v>13038.77</v>
      </c>
      <c r="C102" s="27">
        <f ca="1">IFERROR(__xludf.DUMMYFUNCTION("""COMPUTED_VALUE"""),13240.92)</f>
        <v>13240.92</v>
      </c>
      <c r="D102" s="27">
        <f ca="1">IFERROR(__xludf.DUMMYFUNCTION("""COMPUTED_VALUE"""),12864.68)</f>
        <v>12864.68</v>
      </c>
      <c r="E102" s="27">
        <f ca="1">IFERROR(__xludf.DUMMYFUNCTION("""COMPUTED_VALUE"""),13153.7)</f>
        <v>13153.7</v>
      </c>
      <c r="F102" s="27">
        <f ca="1">IFERROR(__xludf.DUMMYFUNCTION("""COMPUTED_VALUE"""),0)</f>
        <v>0</v>
      </c>
      <c r="G102" s="28">
        <f t="shared" ca="1" si="0"/>
        <v>2.2719762640253993E-2</v>
      </c>
    </row>
    <row r="103" spans="1:7" x14ac:dyDescent="0.2">
      <c r="A103" s="26">
        <f ca="1">IFERROR(__xludf.DUMMYFUNCTION("""COMPUTED_VALUE"""),43084.8333333333)</f>
        <v>43084.833333333299</v>
      </c>
      <c r="B103" s="27">
        <f ca="1">IFERROR(__xludf.DUMMYFUNCTION("""COMPUTED_VALUE"""),13181.85)</f>
        <v>13181.85</v>
      </c>
      <c r="C103" s="27">
        <f ca="1">IFERROR(__xludf.DUMMYFUNCTION("""COMPUTED_VALUE"""),13192.42)</f>
        <v>13192.42</v>
      </c>
      <c r="D103" s="27">
        <f ca="1">IFERROR(__xludf.DUMMYFUNCTION("""COMPUTED_VALUE"""),13008.07)</f>
        <v>13008.07</v>
      </c>
      <c r="E103" s="27">
        <f ca="1">IFERROR(__xludf.DUMMYFUNCTION("""COMPUTED_VALUE"""),13103.56)</f>
        <v>13103.56</v>
      </c>
      <c r="F103" s="27">
        <f ca="1">IFERROR(__xludf.DUMMYFUNCTION("""COMPUTED_VALUE"""),0)</f>
        <v>0</v>
      </c>
      <c r="G103" s="28">
        <f t="shared" ca="1" si="0"/>
        <v>-3.8118552194440491E-3</v>
      </c>
    </row>
    <row r="104" spans="1:7" x14ac:dyDescent="0.2">
      <c r="A104" s="26">
        <f ca="1">IFERROR(__xludf.DUMMYFUNCTION("""COMPUTED_VALUE"""),43091.8333333333)</f>
        <v>43091.833333333299</v>
      </c>
      <c r="B104" s="27">
        <f ca="1">IFERROR(__xludf.DUMMYFUNCTION("""COMPUTED_VALUE"""),13211.63)</f>
        <v>13211.63</v>
      </c>
      <c r="C104" s="27">
        <f ca="1">IFERROR(__xludf.DUMMYFUNCTION("""COMPUTED_VALUE"""),13338.91)</f>
        <v>13338.91</v>
      </c>
      <c r="D104" s="27">
        <f ca="1">IFERROR(__xludf.DUMMYFUNCTION("""COMPUTED_VALUE"""),13013.63)</f>
        <v>13013.63</v>
      </c>
      <c r="E104" s="27">
        <f ca="1">IFERROR(__xludf.DUMMYFUNCTION("""COMPUTED_VALUE"""),13072.79)</f>
        <v>13072.79</v>
      </c>
      <c r="F104" s="27">
        <f ca="1">IFERROR(__xludf.DUMMYFUNCTION("""COMPUTED_VALUE"""),0)</f>
        <v>0</v>
      </c>
      <c r="G104" s="28">
        <f t="shared" ca="1" si="0"/>
        <v>-2.3482168204670417E-3</v>
      </c>
    </row>
    <row r="105" spans="1:7" x14ac:dyDescent="0.2">
      <c r="A105" s="26">
        <f ca="1">IFERROR(__xludf.DUMMYFUNCTION("""COMPUTED_VALUE"""),43098.8333333333)</f>
        <v>43098.833333333299</v>
      </c>
      <c r="B105" s="27">
        <f ca="1">IFERROR(__xludf.DUMMYFUNCTION("""COMPUTED_VALUE"""),13070.19)</f>
        <v>13070.19</v>
      </c>
      <c r="C105" s="27">
        <f ca="1">IFERROR(__xludf.DUMMYFUNCTION("""COMPUTED_VALUE"""),13128.74)</f>
        <v>13128.74</v>
      </c>
      <c r="D105" s="27">
        <f ca="1">IFERROR(__xludf.DUMMYFUNCTION("""COMPUTED_VALUE"""),12911.73)</f>
        <v>12911.73</v>
      </c>
      <c r="E105" s="27">
        <f ca="1">IFERROR(__xludf.DUMMYFUNCTION("""COMPUTED_VALUE"""),12917.64)</f>
        <v>12917.64</v>
      </c>
      <c r="F105" s="27">
        <f ca="1">IFERROR(__xludf.DUMMYFUNCTION("""COMPUTED_VALUE"""),0)</f>
        <v>0</v>
      </c>
      <c r="G105" s="28">
        <f t="shared" ca="1" si="0"/>
        <v>-1.1868162802278759E-2</v>
      </c>
    </row>
    <row r="106" spans="1:7" x14ac:dyDescent="0.2">
      <c r="A106" s="26">
        <f ca="1">IFERROR(__xludf.DUMMYFUNCTION("""COMPUTED_VALUE"""),43105.8333333333)</f>
        <v>43105.833333333299</v>
      </c>
      <c r="B106" s="27">
        <f ca="1">IFERROR(__xludf.DUMMYFUNCTION("""COMPUTED_VALUE"""),12897.69)</f>
        <v>12897.69</v>
      </c>
      <c r="C106" s="27">
        <f ca="1">IFERROR(__xludf.DUMMYFUNCTION("""COMPUTED_VALUE"""),13332.8)</f>
        <v>13332.8</v>
      </c>
      <c r="D106" s="27">
        <f ca="1">IFERROR(__xludf.DUMMYFUNCTION("""COMPUTED_VALUE"""),12745.15)</f>
        <v>12745.15</v>
      </c>
      <c r="E106" s="27">
        <f ca="1">IFERROR(__xludf.DUMMYFUNCTION("""COMPUTED_VALUE"""),13319.64)</f>
        <v>13319.64</v>
      </c>
      <c r="F106" s="27">
        <f ca="1">IFERROR(__xludf.DUMMYFUNCTION("""COMPUTED_VALUE"""),0)</f>
        <v>0</v>
      </c>
      <c r="G106" s="28">
        <f t="shared" ca="1" si="0"/>
        <v>3.1120235584828126E-2</v>
      </c>
    </row>
    <row r="107" spans="1:7" x14ac:dyDescent="0.2">
      <c r="A107" s="26">
        <f ca="1">IFERROR(__xludf.DUMMYFUNCTION("""COMPUTED_VALUE"""),43112.8333333333)</f>
        <v>43112.833333333299</v>
      </c>
      <c r="B107" s="27">
        <f ca="1">IFERROR(__xludf.DUMMYFUNCTION("""COMPUTED_VALUE"""),13399.62)</f>
        <v>13399.62</v>
      </c>
      <c r="C107" s="27">
        <f ca="1">IFERROR(__xludf.DUMMYFUNCTION("""COMPUTED_VALUE"""),13425.02)</f>
        <v>13425.02</v>
      </c>
      <c r="D107" s="27">
        <f ca="1">IFERROR(__xludf.DUMMYFUNCTION("""COMPUTED_VALUE"""),13151.84)</f>
        <v>13151.84</v>
      </c>
      <c r="E107" s="27">
        <f ca="1">IFERROR(__xludf.DUMMYFUNCTION("""COMPUTED_VALUE"""),13245.03)</f>
        <v>13245.03</v>
      </c>
      <c r="F107" s="27">
        <f ca="1">IFERROR(__xludf.DUMMYFUNCTION("""COMPUTED_VALUE"""),0)</f>
        <v>0</v>
      </c>
      <c r="G107" s="28">
        <f t="shared" ca="1" si="0"/>
        <v>-5.601502743317277E-3</v>
      </c>
    </row>
    <row r="108" spans="1:7" x14ac:dyDescent="0.2">
      <c r="A108" s="26">
        <f ca="1">IFERROR(__xludf.DUMMYFUNCTION("""COMPUTED_VALUE"""),43119.8333333333)</f>
        <v>43119.833333333299</v>
      </c>
      <c r="B108" s="27">
        <f ca="1">IFERROR(__xludf.DUMMYFUNCTION("""COMPUTED_VALUE"""),13244.37)</f>
        <v>13244.37</v>
      </c>
      <c r="C108" s="27">
        <f ca="1">IFERROR(__xludf.DUMMYFUNCTION("""COMPUTED_VALUE"""),13445.47)</f>
        <v>13445.47</v>
      </c>
      <c r="D108" s="27">
        <f ca="1">IFERROR(__xludf.DUMMYFUNCTION("""COMPUTED_VALUE"""),13137.51)</f>
        <v>13137.51</v>
      </c>
      <c r="E108" s="27">
        <f ca="1">IFERROR(__xludf.DUMMYFUNCTION("""COMPUTED_VALUE"""),13434.45)</f>
        <v>13434.45</v>
      </c>
      <c r="F108" s="27">
        <f ca="1">IFERROR(__xludf.DUMMYFUNCTION("""COMPUTED_VALUE"""),0)</f>
        <v>0</v>
      </c>
      <c r="G108" s="28">
        <f t="shared" ca="1" si="0"/>
        <v>1.4301213360785159E-2</v>
      </c>
    </row>
    <row r="109" spans="1:7" x14ac:dyDescent="0.2">
      <c r="A109" s="26">
        <f ca="1">IFERROR(__xludf.DUMMYFUNCTION("""COMPUTED_VALUE"""),43126.8333333333)</f>
        <v>43126.833333333299</v>
      </c>
      <c r="B109" s="27">
        <f ca="1">IFERROR(__xludf.DUMMYFUNCTION("""COMPUTED_VALUE"""),13435.14)</f>
        <v>13435.14</v>
      </c>
      <c r="C109" s="27">
        <f ca="1">IFERROR(__xludf.DUMMYFUNCTION("""COMPUTED_VALUE"""),13596.89)</f>
        <v>13596.89</v>
      </c>
      <c r="D109" s="27">
        <f ca="1">IFERROR(__xludf.DUMMYFUNCTION("""COMPUTED_VALUE"""),13222.47)</f>
        <v>13222.47</v>
      </c>
      <c r="E109" s="27">
        <f ca="1">IFERROR(__xludf.DUMMYFUNCTION("""COMPUTED_VALUE"""),13340.17)</f>
        <v>13340.17</v>
      </c>
      <c r="F109" s="27">
        <f ca="1">IFERROR(__xludf.DUMMYFUNCTION("""COMPUTED_VALUE"""),0)</f>
        <v>0</v>
      </c>
      <c r="G109" s="28">
        <f t="shared" ca="1" si="0"/>
        <v>-7.0177789191221418E-3</v>
      </c>
    </row>
    <row r="110" spans="1:7" x14ac:dyDescent="0.2">
      <c r="A110" s="26">
        <f ca="1">IFERROR(__xludf.DUMMYFUNCTION("""COMPUTED_VALUE"""),43133.8333333333)</f>
        <v>43133.833333333299</v>
      </c>
      <c r="B110" s="27">
        <f ca="1">IFERROR(__xludf.DUMMYFUNCTION("""COMPUTED_VALUE"""),13358.9)</f>
        <v>13358.9</v>
      </c>
      <c r="C110" s="27">
        <f ca="1">IFERROR(__xludf.DUMMYFUNCTION("""COMPUTED_VALUE"""),13370.02)</f>
        <v>13370.02</v>
      </c>
      <c r="D110" s="27">
        <f ca="1">IFERROR(__xludf.DUMMYFUNCTION("""COMPUTED_VALUE"""),12782.07)</f>
        <v>12782.07</v>
      </c>
      <c r="E110" s="27">
        <f ca="1">IFERROR(__xludf.DUMMYFUNCTION("""COMPUTED_VALUE"""),12785.16)</f>
        <v>12785.16</v>
      </c>
      <c r="F110" s="27">
        <f ca="1">IFERROR(__xludf.DUMMYFUNCTION("""COMPUTED_VALUE"""),0)</f>
        <v>0</v>
      </c>
      <c r="G110" s="28">
        <f t="shared" ca="1" si="0"/>
        <v>-4.1604417335011523E-2</v>
      </c>
    </row>
    <row r="111" spans="1:7" x14ac:dyDescent="0.2">
      <c r="A111" s="26">
        <f ca="1">IFERROR(__xludf.DUMMYFUNCTION("""COMPUTED_VALUE"""),43140.8333333333)</f>
        <v>43140.833333333299</v>
      </c>
      <c r="B111" s="27">
        <f ca="1">IFERROR(__xludf.DUMMYFUNCTION("""COMPUTED_VALUE"""),12687.79)</f>
        <v>12687.79</v>
      </c>
      <c r="C111" s="27">
        <f ca="1">IFERROR(__xludf.DUMMYFUNCTION("""COMPUTED_VALUE"""),12752.6)</f>
        <v>12752.6</v>
      </c>
      <c r="D111" s="27">
        <f ca="1">IFERROR(__xludf.DUMMYFUNCTION("""COMPUTED_VALUE"""),12003.36)</f>
        <v>12003.36</v>
      </c>
      <c r="E111" s="27">
        <f ca="1">IFERROR(__xludf.DUMMYFUNCTION("""COMPUTED_VALUE"""),12107.48)</f>
        <v>12107.48</v>
      </c>
      <c r="F111" s="27">
        <f ca="1">IFERROR(__xludf.DUMMYFUNCTION("""COMPUTED_VALUE"""),0)</f>
        <v>0</v>
      </c>
      <c r="G111" s="28">
        <f t="shared" ca="1" si="0"/>
        <v>-5.3005202907120519E-2</v>
      </c>
    </row>
    <row r="112" spans="1:7" x14ac:dyDescent="0.2">
      <c r="A112" s="26">
        <f ca="1">IFERROR(__xludf.DUMMYFUNCTION("""COMPUTED_VALUE"""),43147.8333333333)</f>
        <v>43147.833333333299</v>
      </c>
      <c r="B112" s="27">
        <f ca="1">IFERROR(__xludf.DUMMYFUNCTION("""COMPUTED_VALUE"""),12238.63)</f>
        <v>12238.63</v>
      </c>
      <c r="C112" s="27">
        <f ca="1">IFERROR(__xludf.DUMMYFUNCTION("""COMPUTED_VALUE"""),12484.12)</f>
        <v>12484.12</v>
      </c>
      <c r="D112" s="27">
        <f ca="1">IFERROR(__xludf.DUMMYFUNCTION("""COMPUTED_VALUE"""),12075.21)</f>
        <v>12075.21</v>
      </c>
      <c r="E112" s="27">
        <f ca="1">IFERROR(__xludf.DUMMYFUNCTION("""COMPUTED_VALUE"""),12451.96)</f>
        <v>12451.96</v>
      </c>
      <c r="F112" s="27">
        <f ca="1">IFERROR(__xludf.DUMMYFUNCTION("""COMPUTED_VALUE"""),0)</f>
        <v>0</v>
      </c>
      <c r="G112" s="28">
        <f t="shared" ca="1" si="0"/>
        <v>2.8451833081698297E-2</v>
      </c>
    </row>
    <row r="113" spans="1:7" x14ac:dyDescent="0.2">
      <c r="A113" s="26">
        <f ca="1">IFERROR(__xludf.DUMMYFUNCTION("""COMPUTED_VALUE"""),43154.8333333333)</f>
        <v>43154.833333333299</v>
      </c>
      <c r="B113" s="27">
        <f ca="1">IFERROR(__xludf.DUMMYFUNCTION("""COMPUTED_VALUE"""),12495.07)</f>
        <v>12495.07</v>
      </c>
      <c r="C113" s="27">
        <f ca="1">IFERROR(__xludf.DUMMYFUNCTION("""COMPUTED_VALUE"""),12513.32)</f>
        <v>12513.32</v>
      </c>
      <c r="D113" s="27">
        <f ca="1">IFERROR(__xludf.DUMMYFUNCTION("""COMPUTED_VALUE"""),12283.7)</f>
        <v>12283.7</v>
      </c>
      <c r="E113" s="27">
        <f ca="1">IFERROR(__xludf.DUMMYFUNCTION("""COMPUTED_VALUE"""),12483.79)</f>
        <v>12483.79</v>
      </c>
      <c r="F113" s="27">
        <f ca="1">IFERROR(__xludf.DUMMYFUNCTION("""COMPUTED_VALUE"""),0)</f>
        <v>0</v>
      </c>
      <c r="G113" s="28">
        <f t="shared" ca="1" si="0"/>
        <v>2.556224080385805E-3</v>
      </c>
    </row>
    <row r="114" spans="1:7" x14ac:dyDescent="0.2">
      <c r="A114" s="26">
        <f ca="1">IFERROR(__xludf.DUMMYFUNCTION("""COMPUTED_VALUE"""),43161.8333333333)</f>
        <v>43161.833333333299</v>
      </c>
      <c r="B114" s="27">
        <f ca="1">IFERROR(__xludf.DUMMYFUNCTION("""COMPUTED_VALUE"""),12566.05)</f>
        <v>12566.05</v>
      </c>
      <c r="C114" s="27">
        <f ca="1">IFERROR(__xludf.DUMMYFUNCTION("""COMPUTED_VALUE"""),12601.46)</f>
        <v>12601.46</v>
      </c>
      <c r="D114" s="27">
        <f ca="1">IFERROR(__xludf.DUMMYFUNCTION("""COMPUTED_VALUE"""),11877.66)</f>
        <v>11877.66</v>
      </c>
      <c r="E114" s="27">
        <f ca="1">IFERROR(__xludf.DUMMYFUNCTION("""COMPUTED_VALUE"""),11913.71)</f>
        <v>11913.71</v>
      </c>
      <c r="F114" s="27">
        <f ca="1">IFERROR(__xludf.DUMMYFUNCTION("""COMPUTED_VALUE"""),0)</f>
        <v>0</v>
      </c>
      <c r="G114" s="28">
        <f t="shared" ca="1" si="0"/>
        <v>-4.5665619174946159E-2</v>
      </c>
    </row>
    <row r="115" spans="1:7" x14ac:dyDescent="0.2">
      <c r="A115" s="26">
        <f ca="1">IFERROR(__xludf.DUMMYFUNCTION("""COMPUTED_VALUE"""),43168.8333333333)</f>
        <v>43168.833333333299</v>
      </c>
      <c r="B115" s="27">
        <f ca="1">IFERROR(__xludf.DUMMYFUNCTION("""COMPUTED_VALUE"""),11831.57)</f>
        <v>11831.57</v>
      </c>
      <c r="C115" s="27">
        <f ca="1">IFERROR(__xludf.DUMMYFUNCTION("""COMPUTED_VALUE"""),12407.98)</f>
        <v>12407.98</v>
      </c>
      <c r="D115" s="27">
        <f ca="1">IFERROR(__xludf.DUMMYFUNCTION("""COMPUTED_VALUE"""),11830.98)</f>
        <v>11830.98</v>
      </c>
      <c r="E115" s="27">
        <f ca="1">IFERROR(__xludf.DUMMYFUNCTION("""COMPUTED_VALUE"""),12346.68)</f>
        <v>12346.68</v>
      </c>
      <c r="F115" s="27">
        <f ca="1">IFERROR(__xludf.DUMMYFUNCTION("""COMPUTED_VALUE"""),0)</f>
        <v>0</v>
      </c>
      <c r="G115" s="28">
        <f t="shared" ca="1" si="0"/>
        <v>3.6342163776019509E-2</v>
      </c>
    </row>
    <row r="116" spans="1:7" x14ac:dyDescent="0.2">
      <c r="A116" s="26">
        <f ca="1">IFERROR(__xludf.DUMMYFUNCTION("""COMPUTED_VALUE"""),43175.8333333333)</f>
        <v>43175.833333333299</v>
      </c>
      <c r="B116" s="27">
        <f ca="1">IFERROR(__xludf.DUMMYFUNCTION("""COMPUTED_VALUE"""),12453.3)</f>
        <v>12453.3</v>
      </c>
      <c r="C116" s="27">
        <f ca="1">IFERROR(__xludf.DUMMYFUNCTION("""COMPUTED_VALUE"""),12459.9)</f>
        <v>12459.9</v>
      </c>
      <c r="D116" s="27">
        <f ca="1">IFERROR(__xludf.DUMMYFUNCTION("""COMPUTED_VALUE"""),12162.47)</f>
        <v>12162.47</v>
      </c>
      <c r="E116" s="27">
        <f ca="1">IFERROR(__xludf.DUMMYFUNCTION("""COMPUTED_VALUE"""),12389.58)</f>
        <v>12389.58</v>
      </c>
      <c r="F116" s="27">
        <f ca="1">IFERROR(__xludf.DUMMYFUNCTION("""COMPUTED_VALUE"""),0)</f>
        <v>0</v>
      </c>
      <c r="G116" s="28">
        <f t="shared" ca="1" si="0"/>
        <v>3.4746182779499257E-3</v>
      </c>
    </row>
    <row r="117" spans="1:7" x14ac:dyDescent="0.2">
      <c r="A117" s="26">
        <f ca="1">IFERROR(__xludf.DUMMYFUNCTION("""COMPUTED_VALUE"""),43182.8333333333)</f>
        <v>43182.833333333299</v>
      </c>
      <c r="B117" s="27">
        <f ca="1">IFERROR(__xludf.DUMMYFUNCTION("""COMPUTED_VALUE"""),12346.51)</f>
        <v>12346.51</v>
      </c>
      <c r="C117" s="27">
        <f ca="1">IFERROR(__xludf.DUMMYFUNCTION("""COMPUTED_VALUE"""),12369.77)</f>
        <v>12369.77</v>
      </c>
      <c r="D117" s="27">
        <f ca="1">IFERROR(__xludf.DUMMYFUNCTION("""COMPUTED_VALUE"""),11818.7)</f>
        <v>11818.7</v>
      </c>
      <c r="E117" s="27">
        <f ca="1">IFERROR(__xludf.DUMMYFUNCTION("""COMPUTED_VALUE"""),11886.31)</f>
        <v>11886.31</v>
      </c>
      <c r="F117" s="27">
        <f ca="1">IFERROR(__xludf.DUMMYFUNCTION("""COMPUTED_VALUE"""),0)</f>
        <v>0</v>
      </c>
      <c r="G117" s="28">
        <f t="shared" ca="1" si="0"/>
        <v>-4.0620424582592851E-2</v>
      </c>
    </row>
    <row r="118" spans="1:7" x14ac:dyDescent="0.2">
      <c r="A118" s="26">
        <f ca="1">IFERROR(__xludf.DUMMYFUNCTION("""COMPUTED_VALUE"""),43188.8333333333)</f>
        <v>43188.833333333299</v>
      </c>
      <c r="B118" s="27">
        <f ca="1">IFERROR(__xludf.DUMMYFUNCTION("""COMPUTED_VALUE"""),11919.64)</f>
        <v>11919.64</v>
      </c>
      <c r="C118" s="27">
        <f ca="1">IFERROR(__xludf.DUMMYFUNCTION("""COMPUTED_VALUE"""),12151.31)</f>
        <v>12151.31</v>
      </c>
      <c r="D118" s="27">
        <f ca="1">IFERROR(__xludf.DUMMYFUNCTION("""COMPUTED_VALUE"""),11726.62)</f>
        <v>11726.62</v>
      </c>
      <c r="E118" s="27">
        <f ca="1">IFERROR(__xludf.DUMMYFUNCTION("""COMPUTED_VALUE"""),12096.73)</f>
        <v>12096.73</v>
      </c>
      <c r="F118" s="27">
        <f ca="1">IFERROR(__xludf.DUMMYFUNCTION("""COMPUTED_VALUE"""),0)</f>
        <v>0</v>
      </c>
      <c r="G118" s="28">
        <f t="shared" ca="1" si="0"/>
        <v>1.7702718505574921E-2</v>
      </c>
    </row>
    <row r="119" spans="1:7" x14ac:dyDescent="0.2">
      <c r="A119" s="26">
        <f ca="1">IFERROR(__xludf.DUMMYFUNCTION("""COMPUTED_VALUE"""),43196.8333333333)</f>
        <v>43196.833333333299</v>
      </c>
      <c r="B119" s="27">
        <f ca="1">IFERROR(__xludf.DUMMYFUNCTION("""COMPUTED_VALUE"""),11997.47)</f>
        <v>11997.47</v>
      </c>
      <c r="C119" s="27">
        <f ca="1">IFERROR(__xludf.DUMMYFUNCTION("""COMPUTED_VALUE"""),12322.37)</f>
        <v>12322.37</v>
      </c>
      <c r="D119" s="27">
        <f ca="1">IFERROR(__xludf.DUMMYFUNCTION("""COMPUTED_VALUE"""),11792.35)</f>
        <v>11792.35</v>
      </c>
      <c r="E119" s="27">
        <f ca="1">IFERROR(__xludf.DUMMYFUNCTION("""COMPUTED_VALUE"""),12241.27)</f>
        <v>12241.27</v>
      </c>
      <c r="F119" s="27">
        <f ca="1">IFERROR(__xludf.DUMMYFUNCTION("""COMPUTED_VALUE"""),0)</f>
        <v>0</v>
      </c>
      <c r="G119" s="28">
        <f t="shared" ca="1" si="0"/>
        <v>1.1948683652524439E-2</v>
      </c>
    </row>
    <row r="120" spans="1:7" x14ac:dyDescent="0.2">
      <c r="A120" s="26">
        <f ca="1">IFERROR(__xludf.DUMMYFUNCTION("""COMPUTED_VALUE"""),43203.8333333333)</f>
        <v>43203.833333333299</v>
      </c>
      <c r="B120" s="27">
        <f ca="1">IFERROR(__xludf.DUMMYFUNCTION("""COMPUTED_VALUE"""),12311.02)</f>
        <v>12311.02</v>
      </c>
      <c r="C120" s="27">
        <f ca="1">IFERROR(__xludf.DUMMYFUNCTION("""COMPUTED_VALUE"""),12523.97)</f>
        <v>12523.97</v>
      </c>
      <c r="D120" s="27">
        <f ca="1">IFERROR(__xludf.DUMMYFUNCTION("""COMPUTED_VALUE"""),12205.39)</f>
        <v>12205.39</v>
      </c>
      <c r="E120" s="27">
        <f ca="1">IFERROR(__xludf.DUMMYFUNCTION("""COMPUTED_VALUE"""),12442.4)</f>
        <v>12442.4</v>
      </c>
      <c r="F120" s="27">
        <f ca="1">IFERROR(__xludf.DUMMYFUNCTION("""COMPUTED_VALUE"""),0)</f>
        <v>0</v>
      </c>
      <c r="G120" s="28">
        <f t="shared" ca="1" si="0"/>
        <v>1.6430484745455276E-2</v>
      </c>
    </row>
    <row r="121" spans="1:7" x14ac:dyDescent="0.2">
      <c r="A121" s="26">
        <f ca="1">IFERROR(__xludf.DUMMYFUNCTION("""COMPUTED_VALUE"""),43210.8333333333)</f>
        <v>43210.833333333299</v>
      </c>
      <c r="B121" s="27">
        <f ca="1">IFERROR(__xludf.DUMMYFUNCTION("""COMPUTED_VALUE"""),12478.99)</f>
        <v>12478.99</v>
      </c>
      <c r="C121" s="27">
        <f ca="1">IFERROR(__xludf.DUMMYFUNCTION("""COMPUTED_VALUE"""),12640.25)</f>
        <v>12640.25</v>
      </c>
      <c r="D121" s="27">
        <f ca="1">IFERROR(__xludf.DUMMYFUNCTION("""COMPUTED_VALUE"""),12375.63)</f>
        <v>12375.63</v>
      </c>
      <c r="E121" s="27">
        <f ca="1">IFERROR(__xludf.DUMMYFUNCTION("""COMPUTED_VALUE"""),12540.5)</f>
        <v>12540.5</v>
      </c>
      <c r="F121" s="27">
        <f ca="1">IFERROR(__xludf.DUMMYFUNCTION("""COMPUTED_VALUE"""),0)</f>
        <v>0</v>
      </c>
      <c r="G121" s="28">
        <f t="shared" ca="1" si="0"/>
        <v>7.8843309972354003E-3</v>
      </c>
    </row>
    <row r="122" spans="1:7" x14ac:dyDescent="0.2">
      <c r="A122" s="26">
        <f ca="1">IFERROR(__xludf.DUMMYFUNCTION("""COMPUTED_VALUE"""),43217.8333333333)</f>
        <v>43217.833333333299</v>
      </c>
      <c r="B122" s="27">
        <f ca="1">IFERROR(__xludf.DUMMYFUNCTION("""COMPUTED_VALUE"""),12538.16)</f>
        <v>12538.16</v>
      </c>
      <c r="C122" s="27">
        <f ca="1">IFERROR(__xludf.DUMMYFUNCTION("""COMPUTED_VALUE"""),12647.16)</f>
        <v>12647.16</v>
      </c>
      <c r="D122" s="27">
        <f ca="1">IFERROR(__xludf.DUMMYFUNCTION("""COMPUTED_VALUE"""),12312.27)</f>
        <v>12312.27</v>
      </c>
      <c r="E122" s="27">
        <f ca="1">IFERROR(__xludf.DUMMYFUNCTION("""COMPUTED_VALUE"""),12580.87)</f>
        <v>12580.87</v>
      </c>
      <c r="F122" s="27">
        <f ca="1">IFERROR(__xludf.DUMMYFUNCTION("""COMPUTED_VALUE"""),0)</f>
        <v>0</v>
      </c>
      <c r="G122" s="28">
        <f t="shared" ca="1" si="0"/>
        <v>3.219169889557838E-3</v>
      </c>
    </row>
    <row r="123" spans="1:7" x14ac:dyDescent="0.2">
      <c r="A123" s="26">
        <f ca="1">IFERROR(__xludf.DUMMYFUNCTION("""COMPUTED_VALUE"""),43224.8333333333)</f>
        <v>43224.833333333299</v>
      </c>
      <c r="B123" s="27">
        <f ca="1">IFERROR(__xludf.DUMMYFUNCTION("""COMPUTED_VALUE"""),12606.27)</f>
        <v>12606.27</v>
      </c>
      <c r="C123" s="27">
        <f ca="1">IFERROR(__xludf.DUMMYFUNCTION("""COMPUTED_VALUE"""),12827.54)</f>
        <v>12827.54</v>
      </c>
      <c r="D123" s="27">
        <f ca="1">IFERROR(__xludf.DUMMYFUNCTION("""COMPUTED_VALUE"""),12563.74)</f>
        <v>12563.74</v>
      </c>
      <c r="E123" s="27">
        <f ca="1">IFERROR(__xludf.DUMMYFUNCTION("""COMPUTED_VALUE"""),12819.6)</f>
        <v>12819.6</v>
      </c>
      <c r="F123" s="27">
        <f ca="1">IFERROR(__xludf.DUMMYFUNCTION("""COMPUTED_VALUE"""),0)</f>
        <v>0</v>
      </c>
      <c r="G123" s="28">
        <f t="shared" ca="1" si="0"/>
        <v>1.897563523031387E-2</v>
      </c>
    </row>
    <row r="124" spans="1:7" x14ac:dyDescent="0.2">
      <c r="A124" s="26">
        <f ca="1">IFERROR(__xludf.DUMMYFUNCTION("""COMPUTED_VALUE"""),43231.8333333333)</f>
        <v>43231.833333333299</v>
      </c>
      <c r="B124" s="27">
        <f ca="1">IFERROR(__xludf.DUMMYFUNCTION("""COMPUTED_VALUE"""),12827.43)</f>
        <v>12827.43</v>
      </c>
      <c r="C124" s="27">
        <f ca="1">IFERROR(__xludf.DUMMYFUNCTION("""COMPUTED_VALUE"""),13034.21)</f>
        <v>13034.21</v>
      </c>
      <c r="D124" s="27">
        <f ca="1">IFERROR(__xludf.DUMMYFUNCTION("""COMPUTED_VALUE"""),12813.55)</f>
        <v>12813.55</v>
      </c>
      <c r="E124" s="27">
        <f ca="1">IFERROR(__xludf.DUMMYFUNCTION("""COMPUTED_VALUE"""),13001.24)</f>
        <v>13001.24</v>
      </c>
      <c r="F124" s="27">
        <f ca="1">IFERROR(__xludf.DUMMYFUNCTION("""COMPUTED_VALUE"""),0)</f>
        <v>0</v>
      </c>
      <c r="G124" s="28">
        <f t="shared" ca="1" si="0"/>
        <v>1.4168928827732463E-2</v>
      </c>
    </row>
    <row r="125" spans="1:7" x14ac:dyDescent="0.2">
      <c r="A125" s="26">
        <f ca="1">IFERROR(__xludf.DUMMYFUNCTION("""COMPUTED_VALUE"""),43238.8333333333)</f>
        <v>43238.833333333299</v>
      </c>
      <c r="B125" s="27">
        <f ca="1">IFERROR(__xludf.DUMMYFUNCTION("""COMPUTED_VALUE"""),13009.83)</f>
        <v>13009.83</v>
      </c>
      <c r="C125" s="27">
        <f ca="1">IFERROR(__xludf.DUMMYFUNCTION("""COMPUTED_VALUE"""),13133.19)</f>
        <v>13133.19</v>
      </c>
      <c r="D125" s="27">
        <f ca="1">IFERROR(__xludf.DUMMYFUNCTION("""COMPUTED_VALUE"""),12918.29)</f>
        <v>12918.29</v>
      </c>
      <c r="E125" s="27">
        <f ca="1">IFERROR(__xludf.DUMMYFUNCTION("""COMPUTED_VALUE"""),13077.72)</f>
        <v>13077.72</v>
      </c>
      <c r="F125" s="27">
        <f ca="1">IFERROR(__xludf.DUMMYFUNCTION("""COMPUTED_VALUE"""),0)</f>
        <v>0</v>
      </c>
      <c r="G125" s="28">
        <f t="shared" ca="1" si="0"/>
        <v>5.8825158215678464E-3</v>
      </c>
    </row>
    <row r="126" spans="1:7" x14ac:dyDescent="0.2">
      <c r="A126" s="26">
        <f ca="1">IFERROR(__xludf.DUMMYFUNCTION("""COMPUTED_VALUE"""),43245.8333333333)</f>
        <v>43245.833333333299</v>
      </c>
      <c r="B126" s="27">
        <f ca="1">IFERROR(__xludf.DUMMYFUNCTION("""COMPUTED_VALUE"""),13132.56)</f>
        <v>13132.56</v>
      </c>
      <c r="C126" s="27">
        <f ca="1">IFERROR(__xludf.DUMMYFUNCTION("""COMPUTED_VALUE"""),13204.31)</f>
        <v>13204.31</v>
      </c>
      <c r="D126" s="27">
        <f ca="1">IFERROR(__xludf.DUMMYFUNCTION("""COMPUTED_VALUE"""),12801.82)</f>
        <v>12801.82</v>
      </c>
      <c r="E126" s="27">
        <f ca="1">IFERROR(__xludf.DUMMYFUNCTION("""COMPUTED_VALUE"""),12938.01)</f>
        <v>12938.01</v>
      </c>
      <c r="F126" s="27">
        <f ca="1">IFERROR(__xludf.DUMMYFUNCTION("""COMPUTED_VALUE"""),0)</f>
        <v>0</v>
      </c>
      <c r="G126" s="28">
        <f t="shared" ca="1" si="0"/>
        <v>-1.0683054844422335E-2</v>
      </c>
    </row>
    <row r="127" spans="1:7" x14ac:dyDescent="0.2">
      <c r="A127" s="26">
        <f ca="1">IFERROR(__xludf.DUMMYFUNCTION("""COMPUTED_VALUE"""),43252.8333333333)</f>
        <v>43252.833333333299</v>
      </c>
      <c r="B127" s="27">
        <f ca="1">IFERROR(__xludf.DUMMYFUNCTION("""COMPUTED_VALUE"""),13016.55)</f>
        <v>13016.55</v>
      </c>
      <c r="C127" s="27">
        <f ca="1">IFERROR(__xludf.DUMMYFUNCTION("""COMPUTED_VALUE"""),13040.63)</f>
        <v>13040.63</v>
      </c>
      <c r="D127" s="27">
        <f ca="1">IFERROR(__xludf.DUMMYFUNCTION("""COMPUTED_VALUE"""),12547.61)</f>
        <v>12547.61</v>
      </c>
      <c r="E127" s="27">
        <f ca="1">IFERROR(__xludf.DUMMYFUNCTION("""COMPUTED_VALUE"""),12724.27)</f>
        <v>12724.27</v>
      </c>
      <c r="F127" s="27">
        <f ca="1">IFERROR(__xludf.DUMMYFUNCTION("""COMPUTED_VALUE"""),0)</f>
        <v>0</v>
      </c>
      <c r="G127" s="28">
        <f t="shared" ca="1" si="0"/>
        <v>-1.6520314947971126E-2</v>
      </c>
    </row>
    <row r="128" spans="1:7" x14ac:dyDescent="0.2">
      <c r="A128" s="26">
        <f ca="1">IFERROR(__xludf.DUMMYFUNCTION("""COMPUTED_VALUE"""),43259.8333333333)</f>
        <v>43259.833333333299</v>
      </c>
      <c r="B128" s="27">
        <f ca="1">IFERROR(__xludf.DUMMYFUNCTION("""COMPUTED_VALUE"""),12839.44)</f>
        <v>12839.44</v>
      </c>
      <c r="C128" s="27">
        <f ca="1">IFERROR(__xludf.DUMMYFUNCTION("""COMPUTED_VALUE"""),12925.24)</f>
        <v>12925.24</v>
      </c>
      <c r="D128" s="27">
        <f ca="1">IFERROR(__xludf.DUMMYFUNCTION("""COMPUTED_VALUE"""),12610.68)</f>
        <v>12610.68</v>
      </c>
      <c r="E128" s="27">
        <f ca="1">IFERROR(__xludf.DUMMYFUNCTION("""COMPUTED_VALUE"""),12766.55)</f>
        <v>12766.55</v>
      </c>
      <c r="F128" s="27">
        <f ca="1">IFERROR(__xludf.DUMMYFUNCTION("""COMPUTED_VALUE"""),0)</f>
        <v>0</v>
      </c>
      <c r="G128" s="28">
        <f t="shared" ca="1" si="0"/>
        <v>3.3227839396678949E-3</v>
      </c>
    </row>
    <row r="129" spans="1:7" x14ac:dyDescent="0.2">
      <c r="A129" s="26">
        <f ca="1">IFERROR(__xludf.DUMMYFUNCTION("""COMPUTED_VALUE"""),43266.8333333333)</f>
        <v>43266.833333333299</v>
      </c>
      <c r="B129" s="27">
        <f ca="1">IFERROR(__xludf.DUMMYFUNCTION("""COMPUTED_VALUE"""),12816.32)</f>
        <v>12816.32</v>
      </c>
      <c r="C129" s="27">
        <f ca="1">IFERROR(__xludf.DUMMYFUNCTION("""COMPUTED_VALUE"""),13170.05)</f>
        <v>13170.05</v>
      </c>
      <c r="D129" s="27">
        <f ca="1">IFERROR(__xludf.DUMMYFUNCTION("""COMPUTED_VALUE"""),12751.66)</f>
        <v>12751.66</v>
      </c>
      <c r="E129" s="27">
        <f ca="1">IFERROR(__xludf.DUMMYFUNCTION("""COMPUTED_VALUE"""),13010.55)</f>
        <v>13010.55</v>
      </c>
      <c r="F129" s="27">
        <f ca="1">IFERROR(__xludf.DUMMYFUNCTION("""COMPUTED_VALUE"""),0)</f>
        <v>0</v>
      </c>
      <c r="G129" s="28">
        <f t="shared" ca="1" si="0"/>
        <v>1.9112446197288913E-2</v>
      </c>
    </row>
    <row r="130" spans="1:7" x14ac:dyDescent="0.2">
      <c r="A130" s="26">
        <f ca="1">IFERROR(__xludf.DUMMYFUNCTION("""COMPUTED_VALUE"""),43273.8333333333)</f>
        <v>43273.833333333299</v>
      </c>
      <c r="B130" s="27">
        <f ca="1">IFERROR(__xludf.DUMMYFUNCTION("""COMPUTED_VALUE"""),12945.53)</f>
        <v>12945.53</v>
      </c>
      <c r="C130" s="27">
        <f ca="1">IFERROR(__xludf.DUMMYFUNCTION("""COMPUTED_VALUE"""),12982.92)</f>
        <v>12982.92</v>
      </c>
      <c r="D130" s="27">
        <f ca="1">IFERROR(__xludf.DUMMYFUNCTION("""COMPUTED_VALUE"""),12472.98)</f>
        <v>12472.98</v>
      </c>
      <c r="E130" s="27">
        <f ca="1">IFERROR(__xludf.DUMMYFUNCTION("""COMPUTED_VALUE"""),12579.72)</f>
        <v>12579.72</v>
      </c>
      <c r="F130" s="27">
        <f ca="1">IFERROR(__xludf.DUMMYFUNCTION("""COMPUTED_VALUE"""),0)</f>
        <v>0</v>
      </c>
      <c r="G130" s="28">
        <f t="shared" ca="1" si="0"/>
        <v>-3.3113896030529055E-2</v>
      </c>
    </row>
    <row r="131" spans="1:7" x14ac:dyDescent="0.2">
      <c r="A131" s="26">
        <f ca="1">IFERROR(__xludf.DUMMYFUNCTION("""COMPUTED_VALUE"""),43280.8333333333)</f>
        <v>43280.833333333299</v>
      </c>
      <c r="B131" s="27">
        <f ca="1">IFERROR(__xludf.DUMMYFUNCTION("""COMPUTED_VALUE"""),12497.48)</f>
        <v>12497.48</v>
      </c>
      <c r="C131" s="27">
        <f ca="1">IFERROR(__xludf.DUMMYFUNCTION("""COMPUTED_VALUE"""),12518.89)</f>
        <v>12518.89</v>
      </c>
      <c r="D131" s="27">
        <f ca="1">IFERROR(__xludf.DUMMYFUNCTION("""COMPUTED_VALUE"""),12104.41)</f>
        <v>12104.41</v>
      </c>
      <c r="E131" s="27">
        <f ca="1">IFERROR(__xludf.DUMMYFUNCTION("""COMPUTED_VALUE"""),12306)</f>
        <v>12306</v>
      </c>
      <c r="F131" s="27">
        <f ca="1">IFERROR(__xludf.DUMMYFUNCTION("""COMPUTED_VALUE"""),0)</f>
        <v>0</v>
      </c>
      <c r="G131" s="28">
        <f t="shared" ca="1" si="0"/>
        <v>-2.1758830880178492E-2</v>
      </c>
    </row>
    <row r="132" spans="1:7" x14ac:dyDescent="0.2">
      <c r="A132" s="26">
        <f ca="1">IFERROR(__xludf.DUMMYFUNCTION("""COMPUTED_VALUE"""),43287.8333333333)</f>
        <v>43287.833333333299</v>
      </c>
      <c r="B132" s="27">
        <f ca="1">IFERROR(__xludf.DUMMYFUNCTION("""COMPUTED_VALUE"""),12147.94)</f>
        <v>12147.94</v>
      </c>
      <c r="C132" s="27">
        <f ca="1">IFERROR(__xludf.DUMMYFUNCTION("""COMPUTED_VALUE"""),12516.51)</f>
        <v>12516.51</v>
      </c>
      <c r="D132" s="27">
        <f ca="1">IFERROR(__xludf.DUMMYFUNCTION("""COMPUTED_VALUE"""),12132.72)</f>
        <v>12132.72</v>
      </c>
      <c r="E132" s="27">
        <f ca="1">IFERROR(__xludf.DUMMYFUNCTION("""COMPUTED_VALUE"""),12496.17)</f>
        <v>12496.17</v>
      </c>
      <c r="F132" s="27">
        <f ca="1">IFERROR(__xludf.DUMMYFUNCTION("""COMPUTED_VALUE"""),0)</f>
        <v>0</v>
      </c>
      <c r="G132" s="28">
        <f t="shared" ca="1" si="0"/>
        <v>1.5453437347635379E-2</v>
      </c>
    </row>
    <row r="133" spans="1:7" x14ac:dyDescent="0.2">
      <c r="A133" s="26">
        <f ca="1">IFERROR(__xludf.DUMMYFUNCTION("""COMPUTED_VALUE"""),43294.8333333333)</f>
        <v>43294.833333333299</v>
      </c>
      <c r="B133" s="27">
        <f ca="1">IFERROR(__xludf.DUMMYFUNCTION("""COMPUTED_VALUE"""),12541.74)</f>
        <v>12541.74</v>
      </c>
      <c r="C133" s="27">
        <f ca="1">IFERROR(__xludf.DUMMYFUNCTION("""COMPUTED_VALUE"""),12639.79)</f>
        <v>12639.79</v>
      </c>
      <c r="D133" s="27">
        <f ca="1">IFERROR(__xludf.DUMMYFUNCTION("""COMPUTED_VALUE"""),12398.47)</f>
        <v>12398.47</v>
      </c>
      <c r="E133" s="27">
        <f ca="1">IFERROR(__xludf.DUMMYFUNCTION("""COMPUTED_VALUE"""),12540.73)</f>
        <v>12540.73</v>
      </c>
      <c r="F133" s="27">
        <f ca="1">IFERROR(__xludf.DUMMYFUNCTION("""COMPUTED_VALUE"""),0)</f>
        <v>0</v>
      </c>
      <c r="G133" s="28">
        <f t="shared" ca="1" si="0"/>
        <v>3.5658925894894722E-3</v>
      </c>
    </row>
    <row r="134" spans="1:7" x14ac:dyDescent="0.2">
      <c r="A134" s="26">
        <f ca="1">IFERROR(__xludf.DUMMYFUNCTION("""COMPUTED_VALUE"""),43301.8333333333)</f>
        <v>43301.833333333299</v>
      </c>
      <c r="B134" s="27">
        <f ca="1">IFERROR(__xludf.DUMMYFUNCTION("""COMPUTED_VALUE"""),12530.98)</f>
        <v>12530.98</v>
      </c>
      <c r="C134" s="27">
        <f ca="1">IFERROR(__xludf.DUMMYFUNCTION("""COMPUTED_VALUE"""),12778.96)</f>
        <v>12778.96</v>
      </c>
      <c r="D134" s="27">
        <f ca="1">IFERROR(__xludf.DUMMYFUNCTION("""COMPUTED_VALUE"""),12469.5)</f>
        <v>12469.5</v>
      </c>
      <c r="E134" s="27">
        <f ca="1">IFERROR(__xludf.DUMMYFUNCTION("""COMPUTED_VALUE"""),12561.42)</f>
        <v>12561.42</v>
      </c>
      <c r="F134" s="27">
        <f ca="1">IFERROR(__xludf.DUMMYFUNCTION("""COMPUTED_VALUE"""),0)</f>
        <v>0</v>
      </c>
      <c r="G134" s="28">
        <f t="shared" ca="1" si="0"/>
        <v>1.6498242127851448E-3</v>
      </c>
    </row>
    <row r="135" spans="1:7" x14ac:dyDescent="0.2">
      <c r="A135" s="26">
        <f ca="1">IFERROR(__xludf.DUMMYFUNCTION("""COMPUTED_VALUE"""),43308.8333333333)</f>
        <v>43308.833333333299</v>
      </c>
      <c r="B135" s="27">
        <f ca="1">IFERROR(__xludf.DUMMYFUNCTION("""COMPUTED_VALUE"""),12510.23)</f>
        <v>12510.23</v>
      </c>
      <c r="C135" s="27">
        <f ca="1">IFERROR(__xludf.DUMMYFUNCTION("""COMPUTED_VALUE"""),12886.83)</f>
        <v>12886.83</v>
      </c>
      <c r="D135" s="27">
        <f ca="1">IFERROR(__xludf.DUMMYFUNCTION("""COMPUTED_VALUE"""),12489.33)</f>
        <v>12489.33</v>
      </c>
      <c r="E135" s="27">
        <f ca="1">IFERROR(__xludf.DUMMYFUNCTION("""COMPUTED_VALUE"""),12860.4)</f>
        <v>12860.4</v>
      </c>
      <c r="F135" s="27">
        <f ca="1">IFERROR(__xludf.DUMMYFUNCTION("""COMPUTED_VALUE"""),0)</f>
        <v>0</v>
      </c>
      <c r="G135" s="28">
        <f t="shared" ca="1" si="0"/>
        <v>2.3801449199214675E-2</v>
      </c>
    </row>
    <row r="136" spans="1:7" x14ac:dyDescent="0.2">
      <c r="A136" s="26">
        <f ca="1">IFERROR(__xludf.DUMMYFUNCTION("""COMPUTED_VALUE"""),43315.8333333333)</f>
        <v>43315.833333333299</v>
      </c>
      <c r="B136" s="27">
        <f ca="1">IFERROR(__xludf.DUMMYFUNCTION("""COMPUTED_VALUE"""),12822.87)</f>
        <v>12822.87</v>
      </c>
      <c r="C136" s="27">
        <f ca="1">IFERROR(__xludf.DUMMYFUNCTION("""COMPUTED_VALUE"""),12860.59)</f>
        <v>12860.59</v>
      </c>
      <c r="D136" s="27">
        <f ca="1">IFERROR(__xludf.DUMMYFUNCTION("""COMPUTED_VALUE"""),12493.2)</f>
        <v>12493.2</v>
      </c>
      <c r="E136" s="27">
        <f ca="1">IFERROR(__xludf.DUMMYFUNCTION("""COMPUTED_VALUE"""),12615.76)</f>
        <v>12615.76</v>
      </c>
      <c r="F136" s="27">
        <f ca="1">IFERROR(__xludf.DUMMYFUNCTION("""COMPUTED_VALUE"""),0)</f>
        <v>0</v>
      </c>
      <c r="G136" s="28">
        <f t="shared" ca="1" si="0"/>
        <v>-1.9022736462318335E-2</v>
      </c>
    </row>
    <row r="137" spans="1:7" x14ac:dyDescent="0.2">
      <c r="A137" s="26">
        <f ca="1">IFERROR(__xludf.DUMMYFUNCTION("""COMPUTED_VALUE"""),43322.8333333333)</f>
        <v>43322.833333333299</v>
      </c>
      <c r="B137" s="27">
        <f ca="1">IFERROR(__xludf.DUMMYFUNCTION("""COMPUTED_VALUE"""),12631.4)</f>
        <v>12631.4</v>
      </c>
      <c r="C137" s="27">
        <f ca="1">IFERROR(__xludf.DUMMYFUNCTION("""COMPUTED_VALUE"""),12738.53)</f>
        <v>12738.53</v>
      </c>
      <c r="D137" s="27">
        <f ca="1">IFERROR(__xludf.DUMMYFUNCTION("""COMPUTED_VALUE"""),12390.4)</f>
        <v>12390.4</v>
      </c>
      <c r="E137" s="27">
        <f ca="1">IFERROR(__xludf.DUMMYFUNCTION("""COMPUTED_VALUE"""),12424.35)</f>
        <v>12424.35</v>
      </c>
      <c r="F137" s="27">
        <f ca="1">IFERROR(__xludf.DUMMYFUNCTION("""COMPUTED_VALUE"""),0)</f>
        <v>0</v>
      </c>
      <c r="G137" s="28">
        <f t="shared" ca="1" si="0"/>
        <v>-1.5172292434225132E-2</v>
      </c>
    </row>
    <row r="138" spans="1:7" x14ac:dyDescent="0.2">
      <c r="A138" s="26">
        <f ca="1">IFERROR(__xludf.DUMMYFUNCTION("""COMPUTED_VALUE"""),43329.8333333333)</f>
        <v>43329.833333333299</v>
      </c>
      <c r="B138" s="27">
        <f ca="1">IFERROR(__xludf.DUMMYFUNCTION("""COMPUTED_VALUE"""),12346.75)</f>
        <v>12346.75</v>
      </c>
      <c r="C138" s="27">
        <f ca="1">IFERROR(__xludf.DUMMYFUNCTION("""COMPUTED_VALUE"""),12461.82)</f>
        <v>12461.82</v>
      </c>
      <c r="D138" s="27">
        <f ca="1">IFERROR(__xludf.DUMMYFUNCTION("""COMPUTED_VALUE"""),12120.65)</f>
        <v>12120.65</v>
      </c>
      <c r="E138" s="27">
        <f ca="1">IFERROR(__xludf.DUMMYFUNCTION("""COMPUTED_VALUE"""),12210.55)</f>
        <v>12210.55</v>
      </c>
      <c r="F138" s="27">
        <f ca="1">IFERROR(__xludf.DUMMYFUNCTION("""COMPUTED_VALUE"""),0)</f>
        <v>0</v>
      </c>
      <c r="G138" s="28">
        <f t="shared" ca="1" si="0"/>
        <v>-1.7208143685585209E-2</v>
      </c>
    </row>
    <row r="139" spans="1:7" x14ac:dyDescent="0.2">
      <c r="A139" s="26">
        <f ca="1">IFERROR(__xludf.DUMMYFUNCTION("""COMPUTED_VALUE"""),43336.8333333333)</f>
        <v>43336.833333333299</v>
      </c>
      <c r="B139" s="27">
        <f ca="1">IFERROR(__xludf.DUMMYFUNCTION("""COMPUTED_VALUE"""),12263.01)</f>
        <v>12263.01</v>
      </c>
      <c r="C139" s="27">
        <f ca="1">IFERROR(__xludf.DUMMYFUNCTION("""COMPUTED_VALUE"""),12444.35)</f>
        <v>12444.35</v>
      </c>
      <c r="D139" s="27">
        <f ca="1">IFERROR(__xludf.DUMMYFUNCTION("""COMPUTED_VALUE"""),12245.56)</f>
        <v>12245.56</v>
      </c>
      <c r="E139" s="27">
        <f ca="1">IFERROR(__xludf.DUMMYFUNCTION("""COMPUTED_VALUE"""),12394.52)</f>
        <v>12394.52</v>
      </c>
      <c r="F139" s="27">
        <f ca="1">IFERROR(__xludf.DUMMYFUNCTION("""COMPUTED_VALUE"""),0)</f>
        <v>0</v>
      </c>
      <c r="G139" s="28">
        <f t="shared" ca="1" si="0"/>
        <v>1.5066479396915078E-2</v>
      </c>
    </row>
    <row r="140" spans="1:7" x14ac:dyDescent="0.2">
      <c r="A140" s="26">
        <f ca="1">IFERROR(__xludf.DUMMYFUNCTION("""COMPUTED_VALUE"""),43343.8333333333)</f>
        <v>43343.833333333299</v>
      </c>
      <c r="B140" s="27">
        <f ca="1">IFERROR(__xludf.DUMMYFUNCTION("""COMPUTED_VALUE"""),12462.75)</f>
        <v>12462.75</v>
      </c>
      <c r="C140" s="27">
        <f ca="1">IFERROR(__xludf.DUMMYFUNCTION("""COMPUTED_VALUE"""),12597.02)</f>
        <v>12597.02</v>
      </c>
      <c r="D140" s="27">
        <f ca="1">IFERROR(__xludf.DUMMYFUNCTION("""COMPUTED_VALUE"""),12348.91)</f>
        <v>12348.91</v>
      </c>
      <c r="E140" s="27">
        <f ca="1">IFERROR(__xludf.DUMMYFUNCTION("""COMPUTED_VALUE"""),12364.06)</f>
        <v>12364.06</v>
      </c>
      <c r="F140" s="27">
        <f ca="1">IFERROR(__xludf.DUMMYFUNCTION("""COMPUTED_VALUE"""),0)</f>
        <v>0</v>
      </c>
      <c r="G140" s="28">
        <f t="shared" ca="1" si="0"/>
        <v>-2.4575376860096476E-3</v>
      </c>
    </row>
    <row r="141" spans="1:7" x14ac:dyDescent="0.2">
      <c r="A141" s="26">
        <f ca="1">IFERROR(__xludf.DUMMYFUNCTION("""COMPUTED_VALUE"""),43350.8333333333)</f>
        <v>43350.833333333299</v>
      </c>
      <c r="B141" s="27">
        <f ca="1">IFERROR(__xludf.DUMMYFUNCTION("""COMPUTED_VALUE"""),12338.36)</f>
        <v>12338.36</v>
      </c>
      <c r="C141" s="27">
        <f ca="1">IFERROR(__xludf.DUMMYFUNCTION("""COMPUTED_VALUE"""),12402.87)</f>
        <v>12402.87</v>
      </c>
      <c r="D141" s="27">
        <f ca="1">IFERROR(__xludf.DUMMYFUNCTION("""COMPUTED_VALUE"""),11888.57)</f>
        <v>11888.57</v>
      </c>
      <c r="E141" s="27">
        <f ca="1">IFERROR(__xludf.DUMMYFUNCTION("""COMPUTED_VALUE"""),11959.63)</f>
        <v>11959.63</v>
      </c>
      <c r="F141" s="27">
        <f ca="1">IFERROR(__xludf.DUMMYFUNCTION("""COMPUTED_VALUE"""),0)</f>
        <v>0</v>
      </c>
      <c r="G141" s="28">
        <f t="shared" ca="1" si="0"/>
        <v>-3.2710129197043747E-2</v>
      </c>
    </row>
    <row r="142" spans="1:7" x14ac:dyDescent="0.2">
      <c r="A142" s="26">
        <f ca="1">IFERROR(__xludf.DUMMYFUNCTION("""COMPUTED_VALUE"""),43357.8333333333)</f>
        <v>43357.833333333299</v>
      </c>
      <c r="B142" s="27">
        <f ca="1">IFERROR(__xludf.DUMMYFUNCTION("""COMPUTED_VALUE"""),11950.55)</f>
        <v>11950.55</v>
      </c>
      <c r="C142" s="27">
        <f ca="1">IFERROR(__xludf.DUMMYFUNCTION("""COMPUTED_VALUE"""),12134.54)</f>
        <v>12134.54</v>
      </c>
      <c r="D142" s="27">
        <f ca="1">IFERROR(__xludf.DUMMYFUNCTION("""COMPUTED_VALUE"""),11865.47)</f>
        <v>11865.47</v>
      </c>
      <c r="E142" s="27">
        <f ca="1">IFERROR(__xludf.DUMMYFUNCTION("""COMPUTED_VALUE"""),12124.33)</f>
        <v>12124.33</v>
      </c>
      <c r="F142" s="27">
        <f ca="1">IFERROR(__xludf.DUMMYFUNCTION("""COMPUTED_VALUE"""),0)</f>
        <v>0</v>
      </c>
      <c r="G142" s="28">
        <f t="shared" ca="1" si="0"/>
        <v>1.3771329046132763E-2</v>
      </c>
    </row>
    <row r="143" spans="1:7" x14ac:dyDescent="0.2">
      <c r="A143" s="26">
        <f ca="1">IFERROR(__xludf.DUMMYFUNCTION("""COMPUTED_VALUE"""),43364.8333333333)</f>
        <v>43364.833333333299</v>
      </c>
      <c r="B143" s="27">
        <f ca="1">IFERROR(__xludf.DUMMYFUNCTION("""COMPUTED_VALUE"""),12056.38)</f>
        <v>12056.38</v>
      </c>
      <c r="C143" s="27">
        <f ca="1">IFERROR(__xludf.DUMMYFUNCTION("""COMPUTED_VALUE"""),12458.3)</f>
        <v>12458.3</v>
      </c>
      <c r="D143" s="27">
        <f ca="1">IFERROR(__xludf.DUMMYFUNCTION("""COMPUTED_VALUE"""),12040.8)</f>
        <v>12040.8</v>
      </c>
      <c r="E143" s="27">
        <f ca="1">IFERROR(__xludf.DUMMYFUNCTION("""COMPUTED_VALUE"""),12430.88)</f>
        <v>12430.88</v>
      </c>
      <c r="F143" s="27">
        <f ca="1">IFERROR(__xludf.DUMMYFUNCTION("""COMPUTED_VALUE"""),0)</f>
        <v>0</v>
      </c>
      <c r="G143" s="28">
        <f t="shared" ca="1" si="0"/>
        <v>2.5283871356190257E-2</v>
      </c>
    </row>
    <row r="144" spans="1:7" x14ac:dyDescent="0.2">
      <c r="A144" s="26">
        <f ca="1">IFERROR(__xludf.DUMMYFUNCTION("""COMPUTED_VALUE"""),43371.8333333333)</f>
        <v>43371.833333333299</v>
      </c>
      <c r="B144" s="27">
        <f ca="1">IFERROR(__xludf.DUMMYFUNCTION("""COMPUTED_VALUE"""),12383.42)</f>
        <v>12383.42</v>
      </c>
      <c r="C144" s="27">
        <f ca="1">IFERROR(__xludf.DUMMYFUNCTION("""COMPUTED_VALUE"""),12456.69)</f>
        <v>12456.69</v>
      </c>
      <c r="D144" s="27">
        <f ca="1">IFERROR(__xludf.DUMMYFUNCTION("""COMPUTED_VALUE"""),12190.57)</f>
        <v>12190.57</v>
      </c>
      <c r="E144" s="27">
        <f ca="1">IFERROR(__xludf.DUMMYFUNCTION("""COMPUTED_VALUE"""),12246.73)</f>
        <v>12246.73</v>
      </c>
      <c r="F144" s="27">
        <f ca="1">IFERROR(__xludf.DUMMYFUNCTION("""COMPUTED_VALUE"""),0)</f>
        <v>0</v>
      </c>
      <c r="G144" s="28">
        <f t="shared" ca="1" si="0"/>
        <v>-1.4813915024519564E-2</v>
      </c>
    </row>
    <row r="145" spans="1:7" x14ac:dyDescent="0.2">
      <c r="A145" s="26">
        <f ca="1">IFERROR(__xludf.DUMMYFUNCTION("""COMPUTED_VALUE"""),43378.8333333333)</f>
        <v>43378.833333333299</v>
      </c>
      <c r="B145" s="27">
        <f ca="1">IFERROR(__xludf.DUMMYFUNCTION("""COMPUTED_VALUE"""),12265.89)</f>
        <v>12265.89</v>
      </c>
      <c r="C145" s="27">
        <f ca="1">IFERROR(__xludf.DUMMYFUNCTION("""COMPUTED_VALUE"""),12373.29)</f>
        <v>12373.29</v>
      </c>
      <c r="D145" s="27">
        <f ca="1">IFERROR(__xludf.DUMMYFUNCTION("""COMPUTED_VALUE"""),12103.55)</f>
        <v>12103.55</v>
      </c>
      <c r="E145" s="27">
        <f ca="1">IFERROR(__xludf.DUMMYFUNCTION("""COMPUTED_VALUE"""),12111.9)</f>
        <v>12111.9</v>
      </c>
      <c r="F145" s="27">
        <f ca="1">IFERROR(__xludf.DUMMYFUNCTION("""COMPUTED_VALUE"""),0)</f>
        <v>0</v>
      </c>
      <c r="G145" s="28">
        <f t="shared" ca="1" si="0"/>
        <v>-1.1009469466543353E-2</v>
      </c>
    </row>
    <row r="146" spans="1:7" x14ac:dyDescent="0.2">
      <c r="A146" s="26">
        <f ca="1">IFERROR(__xludf.DUMMYFUNCTION("""COMPUTED_VALUE"""),43385.8333333333)</f>
        <v>43385.833333333299</v>
      </c>
      <c r="B146" s="27">
        <f ca="1">IFERROR(__xludf.DUMMYFUNCTION("""COMPUTED_VALUE"""),12044.96)</f>
        <v>12044.96</v>
      </c>
      <c r="C146" s="27">
        <f ca="1">IFERROR(__xludf.DUMMYFUNCTION("""COMPUTED_VALUE"""),12072.27)</f>
        <v>12072.27</v>
      </c>
      <c r="D146" s="27">
        <f ca="1">IFERROR(__xludf.DUMMYFUNCTION("""COMPUTED_VALUE"""),11514.55)</f>
        <v>11514.55</v>
      </c>
      <c r="E146" s="27">
        <f ca="1">IFERROR(__xludf.DUMMYFUNCTION("""COMPUTED_VALUE"""),11523.81)</f>
        <v>11523.81</v>
      </c>
      <c r="F146" s="27">
        <f ca="1">IFERROR(__xludf.DUMMYFUNCTION("""COMPUTED_VALUE"""),0)</f>
        <v>0</v>
      </c>
      <c r="G146" s="28">
        <f t="shared" ca="1" si="0"/>
        <v>-4.855472716914766E-2</v>
      </c>
    </row>
    <row r="147" spans="1:7" x14ac:dyDescent="0.2">
      <c r="A147" s="26">
        <f ca="1">IFERROR(__xludf.DUMMYFUNCTION("""COMPUTED_VALUE"""),43392.8333333333)</f>
        <v>43392.833333333299</v>
      </c>
      <c r="B147" s="27">
        <f ca="1">IFERROR(__xludf.DUMMYFUNCTION("""COMPUTED_VALUE"""),11523.81)</f>
        <v>11523.81</v>
      </c>
      <c r="C147" s="27">
        <f ca="1">IFERROR(__xludf.DUMMYFUNCTION("""COMPUTED_VALUE"""),11847.79)</f>
        <v>11847.79</v>
      </c>
      <c r="D147" s="27">
        <f ca="1">IFERROR(__xludf.DUMMYFUNCTION("""COMPUTED_VALUE"""),11459.08)</f>
        <v>11459.08</v>
      </c>
      <c r="E147" s="27">
        <f ca="1">IFERROR(__xludf.DUMMYFUNCTION("""COMPUTED_VALUE"""),11553.83)</f>
        <v>11553.83</v>
      </c>
      <c r="F147" s="27">
        <f ca="1">IFERROR(__xludf.DUMMYFUNCTION("""COMPUTED_VALUE"""),0)</f>
        <v>0</v>
      </c>
      <c r="G147" s="28">
        <f t="shared" ca="1" si="0"/>
        <v>2.6050412146676472E-3</v>
      </c>
    </row>
    <row r="148" spans="1:7" x14ac:dyDescent="0.2">
      <c r="A148" s="26">
        <f ca="1">IFERROR(__xludf.DUMMYFUNCTION("""COMPUTED_VALUE"""),43399.8333333333)</f>
        <v>43399.833333333299</v>
      </c>
      <c r="B148" s="27">
        <f ca="1">IFERROR(__xludf.DUMMYFUNCTION("""COMPUTED_VALUE"""),11665.68)</f>
        <v>11665.68</v>
      </c>
      <c r="C148" s="27">
        <f ca="1">IFERROR(__xludf.DUMMYFUNCTION("""COMPUTED_VALUE"""),11677.45)</f>
        <v>11677.45</v>
      </c>
      <c r="D148" s="27">
        <f ca="1">IFERROR(__xludf.DUMMYFUNCTION("""COMPUTED_VALUE"""),11051.04)</f>
        <v>11051.04</v>
      </c>
      <c r="E148" s="27">
        <f ca="1">IFERROR(__xludf.DUMMYFUNCTION("""COMPUTED_VALUE"""),11200.62)</f>
        <v>11200.62</v>
      </c>
      <c r="F148" s="27">
        <f ca="1">IFERROR(__xludf.DUMMYFUNCTION("""COMPUTED_VALUE"""),0)</f>
        <v>0</v>
      </c>
      <c r="G148" s="28">
        <f t="shared" ca="1" si="0"/>
        <v>-3.0570815045746658E-2</v>
      </c>
    </row>
    <row r="149" spans="1:7" x14ac:dyDescent="0.2">
      <c r="A149" s="26">
        <f ca="1">IFERROR(__xludf.DUMMYFUNCTION("""COMPUTED_VALUE"""),43406.8333333333)</f>
        <v>43406.833333333299</v>
      </c>
      <c r="B149" s="27">
        <f ca="1">IFERROR(__xludf.DUMMYFUNCTION("""COMPUTED_VALUE"""),11270.67)</f>
        <v>11270.67</v>
      </c>
      <c r="C149" s="27">
        <f ca="1">IFERROR(__xludf.DUMMYFUNCTION("""COMPUTED_VALUE"""),11689.96)</f>
        <v>11689.96</v>
      </c>
      <c r="D149" s="27">
        <f ca="1">IFERROR(__xludf.DUMMYFUNCTION("""COMPUTED_VALUE"""),11212.58)</f>
        <v>11212.58</v>
      </c>
      <c r="E149" s="27">
        <f ca="1">IFERROR(__xludf.DUMMYFUNCTION("""COMPUTED_VALUE"""),11518.99)</f>
        <v>11518.99</v>
      </c>
      <c r="F149" s="27">
        <f ca="1">IFERROR(__xludf.DUMMYFUNCTION("""COMPUTED_VALUE"""),0)</f>
        <v>0</v>
      </c>
      <c r="G149" s="28">
        <f t="shared" ca="1" si="0"/>
        <v>2.8424319368034912E-2</v>
      </c>
    </row>
    <row r="150" spans="1:7" x14ac:dyDescent="0.2">
      <c r="A150" s="26">
        <f ca="1">IFERROR(__xludf.DUMMYFUNCTION("""COMPUTED_VALUE"""),43413.8333333333)</f>
        <v>43413.833333333299</v>
      </c>
      <c r="B150" s="27">
        <f ca="1">IFERROR(__xludf.DUMMYFUNCTION("""COMPUTED_VALUE"""),11522.33)</f>
        <v>11522.33</v>
      </c>
      <c r="C150" s="27">
        <f ca="1">IFERROR(__xludf.DUMMYFUNCTION("""COMPUTED_VALUE"""),11648.79)</f>
        <v>11648.79</v>
      </c>
      <c r="D150" s="27">
        <f ca="1">IFERROR(__xludf.DUMMYFUNCTION("""COMPUTED_VALUE"""),11418.35)</f>
        <v>11418.35</v>
      </c>
      <c r="E150" s="27">
        <f ca="1">IFERROR(__xludf.DUMMYFUNCTION("""COMPUTED_VALUE"""),11529.16)</f>
        <v>11529.16</v>
      </c>
      <c r="F150" s="27">
        <f ca="1">IFERROR(__xludf.DUMMYFUNCTION("""COMPUTED_VALUE"""),0)</f>
        <v>0</v>
      </c>
      <c r="G150" s="28">
        <f t="shared" ca="1" si="0"/>
        <v>8.8288990614637797E-4</v>
      </c>
    </row>
    <row r="151" spans="1:7" x14ac:dyDescent="0.2">
      <c r="A151" s="26">
        <f ca="1">IFERROR(__xludf.DUMMYFUNCTION("""COMPUTED_VALUE"""),43420.8333333333)</f>
        <v>43420.833333333299</v>
      </c>
      <c r="B151" s="27">
        <f ca="1">IFERROR(__xludf.DUMMYFUNCTION("""COMPUTED_VALUE"""),11591.59)</f>
        <v>11591.59</v>
      </c>
      <c r="C151" s="27">
        <f ca="1">IFERROR(__xludf.DUMMYFUNCTION("""COMPUTED_VALUE"""),11598.51)</f>
        <v>11598.51</v>
      </c>
      <c r="D151" s="27">
        <f ca="1">IFERROR(__xludf.DUMMYFUNCTION("""COMPUTED_VALUE"""),11233.21)</f>
        <v>11233.21</v>
      </c>
      <c r="E151" s="27">
        <f ca="1">IFERROR(__xludf.DUMMYFUNCTION("""COMPUTED_VALUE"""),11341)</f>
        <v>11341</v>
      </c>
      <c r="F151" s="27">
        <f ca="1">IFERROR(__xludf.DUMMYFUNCTION("""COMPUTED_VALUE"""),0)</f>
        <v>0</v>
      </c>
      <c r="G151" s="28">
        <f t="shared" ca="1" si="0"/>
        <v>-1.6320356383292434E-2</v>
      </c>
    </row>
    <row r="152" spans="1:7" x14ac:dyDescent="0.2">
      <c r="A152" s="26">
        <f ca="1">IFERROR(__xludf.DUMMYFUNCTION("""COMPUTED_VALUE"""),43427.8333333333)</f>
        <v>43427.833333333299</v>
      </c>
      <c r="B152" s="27">
        <f ca="1">IFERROR(__xludf.DUMMYFUNCTION("""COMPUTED_VALUE"""),11384)</f>
        <v>11384</v>
      </c>
      <c r="C152" s="27">
        <f ca="1">IFERROR(__xludf.DUMMYFUNCTION("""COMPUTED_VALUE"""),11419.55)</f>
        <v>11419.55</v>
      </c>
      <c r="D152" s="27">
        <f ca="1">IFERROR(__xludf.DUMMYFUNCTION("""COMPUTED_VALUE"""),11009.25)</f>
        <v>11009.25</v>
      </c>
      <c r="E152" s="27">
        <f ca="1">IFERROR(__xludf.DUMMYFUNCTION("""COMPUTED_VALUE"""),11192.69)</f>
        <v>11192.69</v>
      </c>
      <c r="F152" s="27">
        <f ca="1">IFERROR(__xludf.DUMMYFUNCTION("""COMPUTED_VALUE"""),0)</f>
        <v>0</v>
      </c>
      <c r="G152" s="28">
        <f t="shared" ca="1" si="0"/>
        <v>-1.3077330041442514E-2</v>
      </c>
    </row>
    <row r="153" spans="1:7" x14ac:dyDescent="0.2">
      <c r="A153" s="26">
        <f ca="1">IFERROR(__xludf.DUMMYFUNCTION("""COMPUTED_VALUE"""),43434.8333333333)</f>
        <v>43434.833333333299</v>
      </c>
      <c r="B153" s="27">
        <f ca="1">IFERROR(__xludf.DUMMYFUNCTION("""COMPUTED_VALUE"""),11315.9)</f>
        <v>11315.9</v>
      </c>
      <c r="C153" s="27">
        <f ca="1">IFERROR(__xludf.DUMMYFUNCTION("""COMPUTED_VALUE"""),11403.72)</f>
        <v>11403.72</v>
      </c>
      <c r="D153" s="27">
        <f ca="1">IFERROR(__xludf.DUMMYFUNCTION("""COMPUTED_VALUE"""),11208.6)</f>
        <v>11208.6</v>
      </c>
      <c r="E153" s="27">
        <f ca="1">IFERROR(__xludf.DUMMYFUNCTION("""COMPUTED_VALUE"""),11257.24)</f>
        <v>11257.24</v>
      </c>
      <c r="F153" s="27">
        <f ca="1">IFERROR(__xludf.DUMMYFUNCTION("""COMPUTED_VALUE"""),0)</f>
        <v>0</v>
      </c>
      <c r="G153" s="28">
        <f t="shared" ca="1" si="0"/>
        <v>5.7671569569066605E-3</v>
      </c>
    </row>
    <row r="154" spans="1:7" x14ac:dyDescent="0.2">
      <c r="A154" s="26">
        <f ca="1">IFERROR(__xludf.DUMMYFUNCTION("""COMPUTED_VALUE"""),43441.8333333333)</f>
        <v>43441.833333333299</v>
      </c>
      <c r="B154" s="27">
        <f ca="1">IFERROR(__xludf.DUMMYFUNCTION("""COMPUTED_VALUE"""),11534.75)</f>
        <v>11534.75</v>
      </c>
      <c r="C154" s="27">
        <f ca="1">IFERROR(__xludf.DUMMYFUNCTION("""COMPUTED_VALUE"""),11566.97)</f>
        <v>11566.97</v>
      </c>
      <c r="D154" s="27">
        <f ca="1">IFERROR(__xludf.DUMMYFUNCTION("""COMPUTED_VALUE"""),10762.41)</f>
        <v>10762.41</v>
      </c>
      <c r="E154" s="27">
        <f ca="1">IFERROR(__xludf.DUMMYFUNCTION("""COMPUTED_VALUE"""),10788.09)</f>
        <v>10788.09</v>
      </c>
      <c r="F154" s="27">
        <f ca="1">IFERROR(__xludf.DUMMYFUNCTION("""COMPUTED_VALUE"""),0)</f>
        <v>0</v>
      </c>
      <c r="G154" s="28">
        <f t="shared" ca="1" si="0"/>
        <v>-4.1675401785872923E-2</v>
      </c>
    </row>
    <row r="155" spans="1:7" x14ac:dyDescent="0.2">
      <c r="A155" s="26">
        <f ca="1">IFERROR(__xludf.DUMMYFUNCTION("""COMPUTED_VALUE"""),43448.8333333333)</f>
        <v>43448.833333333299</v>
      </c>
      <c r="B155" s="27">
        <f ca="1">IFERROR(__xludf.DUMMYFUNCTION("""COMPUTED_VALUE"""),10726.17)</f>
        <v>10726.17</v>
      </c>
      <c r="C155" s="27">
        <f ca="1">IFERROR(__xludf.DUMMYFUNCTION("""COMPUTED_VALUE"""),10988.77)</f>
        <v>10988.77</v>
      </c>
      <c r="D155" s="27">
        <f ca="1">IFERROR(__xludf.DUMMYFUNCTION("""COMPUTED_VALUE"""),10585.77)</f>
        <v>10585.77</v>
      </c>
      <c r="E155" s="27">
        <f ca="1">IFERROR(__xludf.DUMMYFUNCTION("""COMPUTED_VALUE"""),10865.77)</f>
        <v>10865.77</v>
      </c>
      <c r="F155" s="27">
        <f ca="1">IFERROR(__xludf.DUMMYFUNCTION("""COMPUTED_VALUE"""),0)</f>
        <v>0</v>
      </c>
      <c r="G155" s="28">
        <f t="shared" ca="1" si="0"/>
        <v>7.2005331805722328E-3</v>
      </c>
    </row>
    <row r="156" spans="1:7" x14ac:dyDescent="0.2">
      <c r="A156" s="26">
        <f ca="1">IFERROR(__xludf.DUMMYFUNCTION("""COMPUTED_VALUE"""),43455.8333333333)</f>
        <v>43455.833333333299</v>
      </c>
      <c r="B156" s="27">
        <f ca="1">IFERROR(__xludf.DUMMYFUNCTION("""COMPUTED_VALUE"""),10852.99)</f>
        <v>10852.99</v>
      </c>
      <c r="C156" s="27">
        <f ca="1">IFERROR(__xludf.DUMMYFUNCTION("""COMPUTED_VALUE"""),10886.8)</f>
        <v>10886.8</v>
      </c>
      <c r="D156" s="27">
        <f ca="1">IFERROR(__xludf.DUMMYFUNCTION("""COMPUTED_VALUE"""),10512.64)</f>
        <v>10512.64</v>
      </c>
      <c r="E156" s="27">
        <f ca="1">IFERROR(__xludf.DUMMYFUNCTION("""COMPUTED_VALUE"""),10633.82)</f>
        <v>10633.82</v>
      </c>
      <c r="F156" s="27">
        <f ca="1">IFERROR(__xludf.DUMMYFUNCTION("""COMPUTED_VALUE"""),0)</f>
        <v>0</v>
      </c>
      <c r="G156" s="28">
        <f t="shared" ca="1" si="0"/>
        <v>-2.1346853467356763E-2</v>
      </c>
    </row>
    <row r="157" spans="1:7" x14ac:dyDescent="0.2">
      <c r="A157" s="26">
        <f ca="1">IFERROR(__xludf.DUMMYFUNCTION("""COMPUTED_VALUE"""),43462.8333333333)</f>
        <v>43462.833333333299</v>
      </c>
      <c r="B157" s="27">
        <f ca="1">IFERROR(__xludf.DUMMYFUNCTION("""COMPUTED_VALUE"""),10607.42)</f>
        <v>10607.42</v>
      </c>
      <c r="C157" s="27">
        <f ca="1">IFERROR(__xludf.DUMMYFUNCTION("""COMPUTED_VALUE"""),10635.45)</f>
        <v>10635.45</v>
      </c>
      <c r="D157" s="27">
        <f ca="1">IFERROR(__xludf.DUMMYFUNCTION("""COMPUTED_VALUE"""),10279.2)</f>
        <v>10279.200000000001</v>
      </c>
      <c r="E157" s="27">
        <f ca="1">IFERROR(__xludf.DUMMYFUNCTION("""COMPUTED_VALUE"""),10558.96)</f>
        <v>10558.96</v>
      </c>
      <c r="F157" s="27">
        <f ca="1">IFERROR(__xludf.DUMMYFUNCTION("""COMPUTED_VALUE"""),0)</f>
        <v>0</v>
      </c>
      <c r="G157" s="28">
        <f t="shared" ca="1" si="0"/>
        <v>-7.0398031939604699E-3</v>
      </c>
    </row>
    <row r="158" spans="1:7" x14ac:dyDescent="0.2">
      <c r="A158" s="26">
        <f ca="1">IFERROR(__xludf.DUMMYFUNCTION("""COMPUTED_VALUE"""),43469.8333333333)</f>
        <v>43469.833333333299</v>
      </c>
      <c r="B158" s="27">
        <f ca="1">IFERROR(__xludf.DUMMYFUNCTION("""COMPUTED_VALUE"""),10477.77)</f>
        <v>10477.77</v>
      </c>
      <c r="C158" s="27">
        <f ca="1">IFERROR(__xludf.DUMMYFUNCTION("""COMPUTED_VALUE"""),10786.34)</f>
        <v>10786.34</v>
      </c>
      <c r="D158" s="27">
        <f ca="1">IFERROR(__xludf.DUMMYFUNCTION("""COMPUTED_VALUE"""),10386.97)</f>
        <v>10386.969999999999</v>
      </c>
      <c r="E158" s="27">
        <f ca="1">IFERROR(__xludf.DUMMYFUNCTION("""COMPUTED_VALUE"""),10767.69)</f>
        <v>10767.69</v>
      </c>
      <c r="F158" s="27">
        <f ca="1">IFERROR(__xludf.DUMMYFUNCTION("""COMPUTED_VALUE"""),0)</f>
        <v>0</v>
      </c>
      <c r="G158" s="28">
        <f t="shared" ca="1" si="0"/>
        <v>1.9768045337798634E-2</v>
      </c>
    </row>
    <row r="159" spans="1:7" x14ac:dyDescent="0.2">
      <c r="A159" s="26">
        <f ca="1">IFERROR(__xludf.DUMMYFUNCTION("""COMPUTED_VALUE"""),43476.8333333333)</f>
        <v>43476.833333333299</v>
      </c>
      <c r="B159" s="27">
        <f ca="1">IFERROR(__xludf.DUMMYFUNCTION("""COMPUTED_VALUE"""),10814.39)</f>
        <v>10814.39</v>
      </c>
      <c r="C159" s="27">
        <f ca="1">IFERROR(__xludf.DUMMYFUNCTION("""COMPUTED_VALUE"""),10961.92)</f>
        <v>10961.92</v>
      </c>
      <c r="D159" s="27">
        <f ca="1">IFERROR(__xludf.DUMMYFUNCTION("""COMPUTED_VALUE"""),10681.27)</f>
        <v>10681.27</v>
      </c>
      <c r="E159" s="27">
        <f ca="1">IFERROR(__xludf.DUMMYFUNCTION("""COMPUTED_VALUE"""),10887.46)</f>
        <v>10887.46</v>
      </c>
      <c r="F159" s="27">
        <f ca="1">IFERROR(__xludf.DUMMYFUNCTION("""COMPUTED_VALUE"""),0)</f>
        <v>0</v>
      </c>
      <c r="G159" s="28">
        <f t="shared" ca="1" si="0"/>
        <v>1.1123091396576079E-2</v>
      </c>
    </row>
    <row r="160" spans="1:7" x14ac:dyDescent="0.2">
      <c r="A160" s="26">
        <f ca="1">IFERROR(__xludf.DUMMYFUNCTION("""COMPUTED_VALUE"""),43483.8333333333)</f>
        <v>43483.833333333299</v>
      </c>
      <c r="B160" s="27">
        <f ca="1">IFERROR(__xludf.DUMMYFUNCTION("""COMPUTED_VALUE"""),10820.85)</f>
        <v>10820.85</v>
      </c>
      <c r="C160" s="27">
        <f ca="1">IFERROR(__xludf.DUMMYFUNCTION("""COMPUTED_VALUE"""),11216.82)</f>
        <v>11216.82</v>
      </c>
      <c r="D160" s="27">
        <f ca="1">IFERROR(__xludf.DUMMYFUNCTION("""COMPUTED_VALUE"""),10786.75)</f>
        <v>10786.75</v>
      </c>
      <c r="E160" s="27">
        <f ca="1">IFERROR(__xludf.DUMMYFUNCTION("""COMPUTED_VALUE"""),11205.54)</f>
        <v>11205.54</v>
      </c>
      <c r="F160" s="27">
        <f ca="1">IFERROR(__xludf.DUMMYFUNCTION("""COMPUTED_VALUE"""),0)</f>
        <v>0</v>
      </c>
      <c r="G160" s="28">
        <f t="shared" ca="1" si="0"/>
        <v>2.9215262329322256E-2</v>
      </c>
    </row>
    <row r="161" spans="1:7" x14ac:dyDescent="0.2">
      <c r="A161" s="26">
        <f ca="1">IFERROR(__xludf.DUMMYFUNCTION("""COMPUTED_VALUE"""),43490.8333333333)</f>
        <v>43490.833333333299</v>
      </c>
      <c r="B161" s="27">
        <f ca="1">IFERROR(__xludf.DUMMYFUNCTION("""COMPUTED_VALUE"""),11176.12)</f>
        <v>11176.12</v>
      </c>
      <c r="C161" s="27">
        <f ca="1">IFERROR(__xludf.DUMMYFUNCTION("""COMPUTED_VALUE"""),11321.62)</f>
        <v>11321.62</v>
      </c>
      <c r="D161" s="27">
        <f ca="1">IFERROR(__xludf.DUMMYFUNCTION("""COMPUTED_VALUE"""),11007.21)</f>
        <v>11007.21</v>
      </c>
      <c r="E161" s="27">
        <f ca="1">IFERROR(__xludf.DUMMYFUNCTION("""COMPUTED_VALUE"""),11281.79)</f>
        <v>11281.79</v>
      </c>
      <c r="F161" s="27">
        <f ca="1">IFERROR(__xludf.DUMMYFUNCTION("""COMPUTED_VALUE"""),0)</f>
        <v>0</v>
      </c>
      <c r="G161" s="28">
        <f t="shared" ca="1" si="0"/>
        <v>6.8046698329575772E-3</v>
      </c>
    </row>
    <row r="162" spans="1:7" x14ac:dyDescent="0.2">
      <c r="A162" s="26">
        <f ca="1">IFERROR(__xludf.DUMMYFUNCTION("""COMPUTED_VALUE"""),43497.8333333333)</f>
        <v>43497.833333333299</v>
      </c>
      <c r="B162" s="27">
        <f ca="1">IFERROR(__xludf.DUMMYFUNCTION("""COMPUTED_VALUE"""),11233.16)</f>
        <v>11233.16</v>
      </c>
      <c r="C162" s="27">
        <f ca="1">IFERROR(__xludf.DUMMYFUNCTION("""COMPUTED_VALUE"""),11311.37)</f>
        <v>11311.37</v>
      </c>
      <c r="D162" s="27">
        <f ca="1">IFERROR(__xludf.DUMMYFUNCTION("""COMPUTED_VALUE"""),11051.11)</f>
        <v>11051.11</v>
      </c>
      <c r="E162" s="27">
        <f ca="1">IFERROR(__xludf.DUMMYFUNCTION("""COMPUTED_VALUE"""),11180.66)</f>
        <v>11180.66</v>
      </c>
      <c r="F162" s="27">
        <f ca="1">IFERROR(__xludf.DUMMYFUNCTION("""COMPUTED_VALUE"""),0)</f>
        <v>0</v>
      </c>
      <c r="G162" s="28">
        <f t="shared" ca="1" si="0"/>
        <v>-8.9640030527071701E-3</v>
      </c>
    </row>
    <row r="163" spans="1:7" x14ac:dyDescent="0.2">
      <c r="A163" s="26">
        <f ca="1">IFERROR(__xludf.DUMMYFUNCTION("""COMPUTED_VALUE"""),43504.8333333333)</f>
        <v>43504.833333333299</v>
      </c>
      <c r="B163" s="27">
        <f ca="1">IFERROR(__xludf.DUMMYFUNCTION("""COMPUTED_VALUE"""),11180.42)</f>
        <v>11180.42</v>
      </c>
      <c r="C163" s="27">
        <f ca="1">IFERROR(__xludf.DUMMYFUNCTION("""COMPUTED_VALUE"""),11371.74)</f>
        <v>11371.74</v>
      </c>
      <c r="D163" s="27">
        <f ca="1">IFERROR(__xludf.DUMMYFUNCTION("""COMPUTED_VALUE"""),10863.56)</f>
        <v>10863.56</v>
      </c>
      <c r="E163" s="27">
        <f ca="1">IFERROR(__xludf.DUMMYFUNCTION("""COMPUTED_VALUE"""),10906.78)</f>
        <v>10906.78</v>
      </c>
      <c r="F163" s="27">
        <f ca="1">IFERROR(__xludf.DUMMYFUNCTION("""COMPUTED_VALUE"""),0)</f>
        <v>0</v>
      </c>
      <c r="G163" s="28">
        <f t="shared" ca="1" si="0"/>
        <v>-2.4495870547892484E-2</v>
      </c>
    </row>
    <row r="164" spans="1:7" x14ac:dyDescent="0.2">
      <c r="A164" s="26">
        <f ca="1">IFERROR(__xludf.DUMMYFUNCTION("""COMPUTED_VALUE"""),43511.8333333333)</f>
        <v>43511.833333333299</v>
      </c>
      <c r="B164" s="27">
        <f ca="1">IFERROR(__xludf.DUMMYFUNCTION("""COMPUTED_VALUE"""),10955.83)</f>
        <v>10955.83</v>
      </c>
      <c r="C164" s="27">
        <f ca="1">IFERROR(__xludf.DUMMYFUNCTION("""COMPUTED_VALUE"""),11323.05)</f>
        <v>11323.05</v>
      </c>
      <c r="D164" s="27">
        <f ca="1">IFERROR(__xludf.DUMMYFUNCTION("""COMPUTED_VALUE"""),10944.58)</f>
        <v>10944.58</v>
      </c>
      <c r="E164" s="27">
        <f ca="1">IFERROR(__xludf.DUMMYFUNCTION("""COMPUTED_VALUE"""),11299.8)</f>
        <v>11299.8</v>
      </c>
      <c r="F164" s="27">
        <f ca="1">IFERROR(__xludf.DUMMYFUNCTION("""COMPUTED_VALUE"""),0)</f>
        <v>0</v>
      </c>
      <c r="G164" s="28">
        <f t="shared" ca="1" si="0"/>
        <v>3.6034466634515372E-2</v>
      </c>
    </row>
    <row r="165" spans="1:7" x14ac:dyDescent="0.2">
      <c r="A165" s="26">
        <f ca="1">IFERROR(__xludf.DUMMYFUNCTION("""COMPUTED_VALUE"""),43518.8333333333)</f>
        <v>43518.833333333299</v>
      </c>
      <c r="B165" s="27">
        <f ca="1">IFERROR(__xludf.DUMMYFUNCTION("""COMPUTED_VALUE"""),11287.74)</f>
        <v>11287.74</v>
      </c>
      <c r="C165" s="27">
        <f ca="1">IFERROR(__xludf.DUMMYFUNCTION("""COMPUTED_VALUE"""),11504.71)</f>
        <v>11504.71</v>
      </c>
      <c r="D165" s="27">
        <f ca="1">IFERROR(__xludf.DUMMYFUNCTION("""COMPUTED_VALUE"""),11244.52)</f>
        <v>11244.52</v>
      </c>
      <c r="E165" s="27">
        <f ca="1">IFERROR(__xludf.DUMMYFUNCTION("""COMPUTED_VALUE"""),11457.7)</f>
        <v>11457.7</v>
      </c>
      <c r="F165" s="27">
        <f ca="1">IFERROR(__xludf.DUMMYFUNCTION("""COMPUTED_VALUE"""),0)</f>
        <v>0</v>
      </c>
      <c r="G165" s="28">
        <f t="shared" ca="1" si="0"/>
        <v>1.3973698649533794E-2</v>
      </c>
    </row>
    <row r="166" spans="1:7" x14ac:dyDescent="0.2">
      <c r="A166" s="26">
        <f ca="1">IFERROR(__xludf.DUMMYFUNCTION("""COMPUTED_VALUE"""),43525.8333333333)</f>
        <v>43525.833333333299</v>
      </c>
      <c r="B166" s="27">
        <f ca="1">IFERROR(__xludf.DUMMYFUNCTION("""COMPUTED_VALUE"""),11517.76)</f>
        <v>11517.76</v>
      </c>
      <c r="C166" s="27">
        <f ca="1">IFERROR(__xludf.DUMMYFUNCTION("""COMPUTED_VALUE"""),11676.86)</f>
        <v>11676.86</v>
      </c>
      <c r="D166" s="27">
        <f ca="1">IFERROR(__xludf.DUMMYFUNCTION("""COMPUTED_VALUE"""),11416.08)</f>
        <v>11416.08</v>
      </c>
      <c r="E166" s="27">
        <f ca="1">IFERROR(__xludf.DUMMYFUNCTION("""COMPUTED_VALUE"""),11601.68)</f>
        <v>11601.68</v>
      </c>
      <c r="F166" s="27">
        <f ca="1">IFERROR(__xludf.DUMMYFUNCTION("""COMPUTED_VALUE"""),0)</f>
        <v>0</v>
      </c>
      <c r="G166" s="28">
        <f t="shared" ca="1" si="0"/>
        <v>1.2566221842079894E-2</v>
      </c>
    </row>
    <row r="167" spans="1:7" x14ac:dyDescent="0.2">
      <c r="A167" s="26">
        <f ca="1">IFERROR(__xludf.DUMMYFUNCTION("""COMPUTED_VALUE"""),43532.8333333333)</f>
        <v>43532.833333333299</v>
      </c>
      <c r="B167" s="27">
        <f ca="1">IFERROR(__xludf.DUMMYFUNCTION("""COMPUTED_VALUE"""),11646.21)</f>
        <v>11646.21</v>
      </c>
      <c r="C167" s="27">
        <f ca="1">IFERROR(__xludf.DUMMYFUNCTION("""COMPUTED_VALUE"""),11652.77)</f>
        <v>11652.77</v>
      </c>
      <c r="D167" s="27">
        <f ca="1">IFERROR(__xludf.DUMMYFUNCTION("""COMPUTED_VALUE"""),11405.21)</f>
        <v>11405.21</v>
      </c>
      <c r="E167" s="27">
        <f ca="1">IFERROR(__xludf.DUMMYFUNCTION("""COMPUTED_VALUE"""),11457.84)</f>
        <v>11457.84</v>
      </c>
      <c r="F167" s="27">
        <f ca="1">IFERROR(__xludf.DUMMYFUNCTION("""COMPUTED_VALUE"""),0)</f>
        <v>0</v>
      </c>
      <c r="G167" s="28">
        <f t="shared" ca="1" si="0"/>
        <v>-1.2398204397983781E-2</v>
      </c>
    </row>
    <row r="168" spans="1:7" x14ac:dyDescent="0.2">
      <c r="A168" s="26">
        <f ca="1">IFERROR(__xludf.DUMMYFUNCTION("""COMPUTED_VALUE"""),43539.8333333333)</f>
        <v>43539.833333333299</v>
      </c>
      <c r="B168" s="27">
        <f ca="1">IFERROR(__xludf.DUMMYFUNCTION("""COMPUTED_VALUE"""),11497.98)</f>
        <v>11497.98</v>
      </c>
      <c r="C168" s="27">
        <f ca="1">IFERROR(__xludf.DUMMYFUNCTION("""COMPUTED_VALUE"""),11725.66)</f>
        <v>11725.66</v>
      </c>
      <c r="D168" s="27">
        <f ca="1">IFERROR(__xludf.DUMMYFUNCTION("""COMPUTED_VALUE"""),11462.9)</f>
        <v>11462.9</v>
      </c>
      <c r="E168" s="27">
        <f ca="1">IFERROR(__xludf.DUMMYFUNCTION("""COMPUTED_VALUE"""),11685.69)</f>
        <v>11685.69</v>
      </c>
      <c r="F168" s="27">
        <f ca="1">IFERROR(__xludf.DUMMYFUNCTION("""COMPUTED_VALUE"""),0)</f>
        <v>0</v>
      </c>
      <c r="G168" s="28">
        <f t="shared" ca="1" si="0"/>
        <v>1.9885947089503864E-2</v>
      </c>
    </row>
    <row r="169" spans="1:7" x14ac:dyDescent="0.2">
      <c r="A169" s="26">
        <f ca="1">IFERROR(__xludf.DUMMYFUNCTION("""COMPUTED_VALUE"""),43546.8333333333)</f>
        <v>43546.833333333299</v>
      </c>
      <c r="B169" s="27">
        <f ca="1">IFERROR(__xludf.DUMMYFUNCTION("""COMPUTED_VALUE"""),11685.54)</f>
        <v>11685.54</v>
      </c>
      <c r="C169" s="27">
        <f ca="1">IFERROR(__xludf.DUMMYFUNCTION("""COMPUTED_VALUE"""),11823.29)</f>
        <v>11823.29</v>
      </c>
      <c r="D169" s="27">
        <f ca="1">IFERROR(__xludf.DUMMYFUNCTION("""COMPUTED_VALUE"""),11356.49)</f>
        <v>11356.49</v>
      </c>
      <c r="E169" s="27">
        <f ca="1">IFERROR(__xludf.DUMMYFUNCTION("""COMPUTED_VALUE"""),11364.17)</f>
        <v>11364.17</v>
      </c>
      <c r="F169" s="27">
        <f ca="1">IFERROR(__xludf.DUMMYFUNCTION("""COMPUTED_VALUE"""),0)</f>
        <v>0</v>
      </c>
      <c r="G169" s="28">
        <f t="shared" ca="1" si="0"/>
        <v>-2.7513993610989163E-2</v>
      </c>
    </row>
    <row r="170" spans="1:7" x14ac:dyDescent="0.2">
      <c r="A170" s="26">
        <f ca="1">IFERROR(__xludf.DUMMYFUNCTION("""COMPUTED_VALUE"""),43553.8333333333)</f>
        <v>43553.833333333299</v>
      </c>
      <c r="B170" s="27">
        <f ca="1">IFERROR(__xludf.DUMMYFUNCTION("""COMPUTED_VALUE"""),11323.2)</f>
        <v>11323.2</v>
      </c>
      <c r="C170" s="27">
        <f ca="1">IFERROR(__xludf.DUMMYFUNCTION("""COMPUTED_VALUE"""),11549.42)</f>
        <v>11549.42</v>
      </c>
      <c r="D170" s="27">
        <f ca="1">IFERROR(__xludf.DUMMYFUNCTION("""COMPUTED_VALUE"""),11299.8)</f>
        <v>11299.8</v>
      </c>
      <c r="E170" s="27">
        <f ca="1">IFERROR(__xludf.DUMMYFUNCTION("""COMPUTED_VALUE"""),11526.04)</f>
        <v>11526.04</v>
      </c>
      <c r="F170" s="27">
        <f ca="1">IFERROR(__xludf.DUMMYFUNCTION("""COMPUTED_VALUE"""),0)</f>
        <v>0</v>
      </c>
      <c r="G170" s="28">
        <f t="shared" ca="1" si="0"/>
        <v>1.424389110687363E-2</v>
      </c>
    </row>
    <row r="171" spans="1:7" x14ac:dyDescent="0.2">
      <c r="A171" s="26">
        <f ca="1">IFERROR(__xludf.DUMMYFUNCTION("""COMPUTED_VALUE"""),43560.8333333333)</f>
        <v>43560.833333333299</v>
      </c>
      <c r="B171" s="27">
        <f ca="1">IFERROR(__xludf.DUMMYFUNCTION("""COMPUTED_VALUE"""),11617.18)</f>
        <v>11617.18</v>
      </c>
      <c r="C171" s="27">
        <f ca="1">IFERROR(__xludf.DUMMYFUNCTION("""COMPUTED_VALUE"""),12029.26)</f>
        <v>12029.26</v>
      </c>
      <c r="D171" s="27">
        <f ca="1">IFERROR(__xludf.DUMMYFUNCTION("""COMPUTED_VALUE"""),11612.7)</f>
        <v>11612.7</v>
      </c>
      <c r="E171" s="27">
        <f ca="1">IFERROR(__xludf.DUMMYFUNCTION("""COMPUTED_VALUE"""),12009.75)</f>
        <v>12009.75</v>
      </c>
      <c r="F171" s="27">
        <f ca="1">IFERROR(__xludf.DUMMYFUNCTION("""COMPUTED_VALUE"""),0)</f>
        <v>0</v>
      </c>
      <c r="G171" s="28">
        <f t="shared" ca="1" si="0"/>
        <v>4.1966711897581499E-2</v>
      </c>
    </row>
    <row r="172" spans="1:7" x14ac:dyDescent="0.2">
      <c r="A172" s="26">
        <f ca="1">IFERROR(__xludf.DUMMYFUNCTION("""COMPUTED_VALUE"""),43567.8333333333)</f>
        <v>43567.833333333299</v>
      </c>
      <c r="B172" s="27">
        <f ca="1">IFERROR(__xludf.DUMMYFUNCTION("""COMPUTED_VALUE"""),11979.73)</f>
        <v>11979.73</v>
      </c>
      <c r="C172" s="27">
        <f ca="1">IFERROR(__xludf.DUMMYFUNCTION("""COMPUTED_VALUE"""),12031.15)</f>
        <v>12031.15</v>
      </c>
      <c r="D172" s="27">
        <f ca="1">IFERROR(__xludf.DUMMYFUNCTION("""COMPUTED_VALUE"""),11846.6)</f>
        <v>11846.6</v>
      </c>
      <c r="E172" s="27">
        <f ca="1">IFERROR(__xludf.DUMMYFUNCTION("""COMPUTED_VALUE"""),11999.93)</f>
        <v>11999.93</v>
      </c>
      <c r="F172" s="27">
        <f ca="1">IFERROR(__xludf.DUMMYFUNCTION("""COMPUTED_VALUE"""),0)</f>
        <v>0</v>
      </c>
      <c r="G172" s="28">
        <f t="shared" ca="1" si="0"/>
        <v>-8.1766897728929866E-4</v>
      </c>
    </row>
    <row r="173" spans="1:7" x14ac:dyDescent="0.2">
      <c r="A173" s="26">
        <f ca="1">IFERROR(__xludf.DUMMYFUNCTION("""COMPUTED_VALUE"""),43573.8333333333)</f>
        <v>43573.833333333299</v>
      </c>
      <c r="B173" s="27">
        <f ca="1">IFERROR(__xludf.DUMMYFUNCTION("""COMPUTED_VALUE"""),12011.11)</f>
        <v>12011.11</v>
      </c>
      <c r="C173" s="27">
        <f ca="1">IFERROR(__xludf.DUMMYFUNCTION("""COMPUTED_VALUE"""),12243.63)</f>
        <v>12243.63</v>
      </c>
      <c r="D173" s="27">
        <f ca="1">IFERROR(__xludf.DUMMYFUNCTION("""COMPUTED_VALUE"""),11983.33)</f>
        <v>11983.33</v>
      </c>
      <c r="E173" s="27">
        <f ca="1">IFERROR(__xludf.DUMMYFUNCTION("""COMPUTED_VALUE"""),12222.39)</f>
        <v>12222.39</v>
      </c>
      <c r="F173" s="27">
        <f ca="1">IFERROR(__xludf.DUMMYFUNCTION("""COMPUTED_VALUE"""),0)</f>
        <v>0</v>
      </c>
      <c r="G173" s="28">
        <f t="shared" ca="1" si="0"/>
        <v>1.8538441474241774E-2</v>
      </c>
    </row>
    <row r="174" spans="1:7" x14ac:dyDescent="0.2">
      <c r="A174" s="26">
        <f ca="1">IFERROR(__xludf.DUMMYFUNCTION("""COMPUTED_VALUE"""),43581.8333333333)</f>
        <v>43581.833333333299</v>
      </c>
      <c r="B174" s="27">
        <f ca="1">IFERROR(__xludf.DUMMYFUNCTION("""COMPUTED_VALUE"""),12224.32)</f>
        <v>12224.32</v>
      </c>
      <c r="C174" s="27">
        <f ca="1">IFERROR(__xludf.DUMMYFUNCTION("""COMPUTED_VALUE"""),12349.83)</f>
        <v>12349.83</v>
      </c>
      <c r="D174" s="27">
        <f ca="1">IFERROR(__xludf.DUMMYFUNCTION("""COMPUTED_VALUE"""),12182.98)</f>
        <v>12182.98</v>
      </c>
      <c r="E174" s="27">
        <f ca="1">IFERROR(__xludf.DUMMYFUNCTION("""COMPUTED_VALUE"""),12315.18)</f>
        <v>12315.18</v>
      </c>
      <c r="F174" s="27">
        <f ca="1">IFERROR(__xludf.DUMMYFUNCTION("""COMPUTED_VALUE"""),0)</f>
        <v>0</v>
      </c>
      <c r="G174" s="28">
        <f t="shared" ca="1" si="0"/>
        <v>7.5918048761332013E-3</v>
      </c>
    </row>
    <row r="175" spans="1:7" x14ac:dyDescent="0.2">
      <c r="A175" s="26">
        <f ca="1">IFERROR(__xludf.DUMMYFUNCTION("""COMPUTED_VALUE"""),43588.8333333333)</f>
        <v>43588.833333333299</v>
      </c>
      <c r="B175" s="27">
        <f ca="1">IFERROR(__xludf.DUMMYFUNCTION("""COMPUTED_VALUE"""),12308.98)</f>
        <v>12308.98</v>
      </c>
      <c r="C175" s="27">
        <f ca="1">IFERROR(__xludf.DUMMYFUNCTION("""COMPUTED_VALUE"""),12435.67)</f>
        <v>12435.67</v>
      </c>
      <c r="D175" s="27">
        <f ca="1">IFERROR(__xludf.DUMMYFUNCTION("""COMPUTED_VALUE"""),12266.34)</f>
        <v>12266.34</v>
      </c>
      <c r="E175" s="27">
        <f ca="1">IFERROR(__xludf.DUMMYFUNCTION("""COMPUTED_VALUE"""),12412.75)</f>
        <v>12412.75</v>
      </c>
      <c r="F175" s="27">
        <f ca="1">IFERROR(__xludf.DUMMYFUNCTION("""COMPUTED_VALUE"""),0)</f>
        <v>0</v>
      </c>
      <c r="G175" s="28">
        <f t="shared" ca="1" si="0"/>
        <v>7.9227425015306885E-3</v>
      </c>
    </row>
    <row r="176" spans="1:7" x14ac:dyDescent="0.2">
      <c r="A176" s="26">
        <f ca="1">IFERROR(__xludf.DUMMYFUNCTION("""COMPUTED_VALUE"""),43595.8333333333)</f>
        <v>43595.833333333299</v>
      </c>
      <c r="B176" s="27">
        <f ca="1">IFERROR(__xludf.DUMMYFUNCTION("""COMPUTED_VALUE"""),12171.9)</f>
        <v>12171.9</v>
      </c>
      <c r="C176" s="27">
        <f ca="1">IFERROR(__xludf.DUMMYFUNCTION("""COMPUTED_VALUE"""),12319.05)</f>
        <v>12319.05</v>
      </c>
      <c r="D176" s="27">
        <f ca="1">IFERROR(__xludf.DUMMYFUNCTION("""COMPUTED_VALUE"""),11957.31)</f>
        <v>11957.31</v>
      </c>
      <c r="E176" s="27">
        <f ca="1">IFERROR(__xludf.DUMMYFUNCTION("""COMPUTED_VALUE"""),12059.83)</f>
        <v>12059.83</v>
      </c>
      <c r="F176" s="27">
        <f ca="1">IFERROR(__xludf.DUMMYFUNCTION("""COMPUTED_VALUE"""),0)</f>
        <v>0</v>
      </c>
      <c r="G176" s="28">
        <f t="shared" ca="1" si="0"/>
        <v>-2.8432055749128882E-2</v>
      </c>
    </row>
    <row r="177" spans="1:7" x14ac:dyDescent="0.2">
      <c r="A177" s="26">
        <f ca="1">IFERROR(__xludf.DUMMYFUNCTION("""COMPUTED_VALUE"""),43602.8333333333)</f>
        <v>43602.833333333299</v>
      </c>
      <c r="B177" s="27">
        <f ca="1">IFERROR(__xludf.DUMMYFUNCTION("""COMPUTED_VALUE"""),12044.1)</f>
        <v>12044.1</v>
      </c>
      <c r="C177" s="27">
        <f ca="1">IFERROR(__xludf.DUMMYFUNCTION("""COMPUTED_VALUE"""),12310.37)</f>
        <v>12310.37</v>
      </c>
      <c r="D177" s="27">
        <f ca="1">IFERROR(__xludf.DUMMYFUNCTION("""COMPUTED_VALUE"""),11844.47)</f>
        <v>11844.47</v>
      </c>
      <c r="E177" s="27">
        <f ca="1">IFERROR(__xludf.DUMMYFUNCTION("""COMPUTED_VALUE"""),12238.94)</f>
        <v>12238.94</v>
      </c>
      <c r="F177" s="27">
        <f ca="1">IFERROR(__xludf.DUMMYFUNCTION("""COMPUTED_VALUE"""),0)</f>
        <v>0</v>
      </c>
      <c r="G177" s="28">
        <f t="shared" ca="1" si="0"/>
        <v>1.485178480957039E-2</v>
      </c>
    </row>
    <row r="178" spans="1:7" x14ac:dyDescent="0.2">
      <c r="A178" s="26">
        <f ca="1">IFERROR(__xludf.DUMMYFUNCTION("""COMPUTED_VALUE"""),43609.8333333333)</f>
        <v>43609.833333333299</v>
      </c>
      <c r="B178" s="27">
        <f ca="1">IFERROR(__xludf.DUMMYFUNCTION("""COMPUTED_VALUE"""),12226.85)</f>
        <v>12226.85</v>
      </c>
      <c r="C178" s="27">
        <f ca="1">IFERROR(__xludf.DUMMYFUNCTION("""COMPUTED_VALUE"""),12246.5)</f>
        <v>12246.5</v>
      </c>
      <c r="D178" s="27">
        <f ca="1">IFERROR(__xludf.DUMMYFUNCTION("""COMPUTED_VALUE"""),11926.34)</f>
        <v>11926.34</v>
      </c>
      <c r="E178" s="27">
        <f ca="1">IFERROR(__xludf.DUMMYFUNCTION("""COMPUTED_VALUE"""),12011.04)</f>
        <v>12011.04</v>
      </c>
      <c r="F178" s="27">
        <f ca="1">IFERROR(__xludf.DUMMYFUNCTION("""COMPUTED_VALUE"""),0)</f>
        <v>0</v>
      </c>
      <c r="G178" s="28">
        <f t="shared" ca="1" si="0"/>
        <v>-1.8620893639481828E-2</v>
      </c>
    </row>
    <row r="179" spans="1:7" x14ac:dyDescent="0.2">
      <c r="A179" s="26">
        <f ca="1">IFERROR(__xludf.DUMMYFUNCTION("""COMPUTED_VALUE"""),43616.8333333333)</f>
        <v>43616.833333333299</v>
      </c>
      <c r="B179" s="27">
        <f ca="1">IFERROR(__xludf.DUMMYFUNCTION("""COMPUTED_VALUE"""),12077.88)</f>
        <v>12077.88</v>
      </c>
      <c r="C179" s="27">
        <f ca="1">IFERROR(__xludf.DUMMYFUNCTION("""COMPUTED_VALUE"""),12124.55)</f>
        <v>12124.55</v>
      </c>
      <c r="D179" s="27">
        <f ca="1">IFERROR(__xludf.DUMMYFUNCTION("""COMPUTED_VALUE"""),11662.07)</f>
        <v>11662.07</v>
      </c>
      <c r="E179" s="27">
        <f ca="1">IFERROR(__xludf.DUMMYFUNCTION("""COMPUTED_VALUE"""),11726.84)</f>
        <v>11726.84</v>
      </c>
      <c r="F179" s="27">
        <f ca="1">IFERROR(__xludf.DUMMYFUNCTION("""COMPUTED_VALUE"""),0)</f>
        <v>0</v>
      </c>
      <c r="G179" s="28">
        <f t="shared" ca="1" si="0"/>
        <v>-2.3661564693815085E-2</v>
      </c>
    </row>
    <row r="180" spans="1:7" x14ac:dyDescent="0.2">
      <c r="A180" s="26">
        <f ca="1">IFERROR(__xludf.DUMMYFUNCTION("""COMPUTED_VALUE"""),43623.8333333333)</f>
        <v>43623.833333333299</v>
      </c>
      <c r="B180" s="27">
        <f ca="1">IFERROR(__xludf.DUMMYFUNCTION("""COMPUTED_VALUE"""),11661.12)</f>
        <v>11661.12</v>
      </c>
      <c r="C180" s="27">
        <f ca="1">IFERROR(__xludf.DUMMYFUNCTION("""COMPUTED_VALUE"""),12096.61)</f>
        <v>12096.61</v>
      </c>
      <c r="D180" s="27">
        <f ca="1">IFERROR(__xludf.DUMMYFUNCTION("""COMPUTED_VALUE"""),11620.64)</f>
        <v>11620.64</v>
      </c>
      <c r="E180" s="27">
        <f ca="1">IFERROR(__xludf.DUMMYFUNCTION("""COMPUTED_VALUE"""),12045.38)</f>
        <v>12045.38</v>
      </c>
      <c r="F180" s="27">
        <f ca="1">IFERROR(__xludf.DUMMYFUNCTION("""COMPUTED_VALUE"""),0)</f>
        <v>0</v>
      </c>
      <c r="G180" s="28">
        <f t="shared" ca="1" si="0"/>
        <v>2.7163327887137489E-2</v>
      </c>
    </row>
    <row r="181" spans="1:7" x14ac:dyDescent="0.2">
      <c r="A181" s="26">
        <f ca="1">IFERROR(__xludf.DUMMYFUNCTION("""COMPUTED_VALUE"""),43630.8333333333)</f>
        <v>43630.833333333299</v>
      </c>
      <c r="B181" s="27">
        <f ca="1">IFERROR(__xludf.DUMMYFUNCTION("""COMPUTED_VALUE"""),12133.6)</f>
        <v>12133.6</v>
      </c>
      <c r="C181" s="27">
        <f ca="1">IFERROR(__xludf.DUMMYFUNCTION("""COMPUTED_VALUE"""),12227.4)</f>
        <v>12227.4</v>
      </c>
      <c r="D181" s="27">
        <f ca="1">IFERROR(__xludf.DUMMYFUNCTION("""COMPUTED_VALUE"""),12049.76)</f>
        <v>12049.76</v>
      </c>
      <c r="E181" s="27">
        <f ca="1">IFERROR(__xludf.DUMMYFUNCTION("""COMPUTED_VALUE"""),12096.4)</f>
        <v>12096.4</v>
      </c>
      <c r="F181" s="27">
        <f ca="1">IFERROR(__xludf.DUMMYFUNCTION("""COMPUTED_VALUE"""),0)</f>
        <v>0</v>
      </c>
      <c r="G181" s="28">
        <f t="shared" ca="1" si="0"/>
        <v>4.2356488545816084E-3</v>
      </c>
    </row>
    <row r="182" spans="1:7" x14ac:dyDescent="0.2">
      <c r="A182" s="26">
        <f ca="1">IFERROR(__xludf.DUMMYFUNCTION("""COMPUTED_VALUE"""),43637.8333333333)</f>
        <v>43637.833333333299</v>
      </c>
      <c r="B182" s="27">
        <f ca="1">IFERROR(__xludf.DUMMYFUNCTION("""COMPUTED_VALUE"""),12112.47)</f>
        <v>12112.47</v>
      </c>
      <c r="C182" s="27">
        <f ca="1">IFERROR(__xludf.DUMMYFUNCTION("""COMPUTED_VALUE"""),12438.37)</f>
        <v>12438.37</v>
      </c>
      <c r="D182" s="27">
        <f ca="1">IFERROR(__xludf.DUMMYFUNCTION("""COMPUTED_VALUE"""),11987.55)</f>
        <v>11987.55</v>
      </c>
      <c r="E182" s="27">
        <f ca="1">IFERROR(__xludf.DUMMYFUNCTION("""COMPUTED_VALUE"""),12339.92)</f>
        <v>12339.92</v>
      </c>
      <c r="F182" s="27">
        <f ca="1">IFERROR(__xludf.DUMMYFUNCTION("""COMPUTED_VALUE"""),0)</f>
        <v>0</v>
      </c>
      <c r="G182" s="28">
        <f t="shared" ca="1" si="0"/>
        <v>2.0131609404451023E-2</v>
      </c>
    </row>
    <row r="183" spans="1:7" x14ac:dyDescent="0.2">
      <c r="A183" s="26">
        <f ca="1">IFERROR(__xludf.DUMMYFUNCTION("""COMPUTED_VALUE"""),43644.8333333333)</f>
        <v>43644.833333333299</v>
      </c>
      <c r="B183" s="27">
        <f ca="1">IFERROR(__xludf.DUMMYFUNCTION("""COMPUTED_VALUE"""),12308.11)</f>
        <v>12308.11</v>
      </c>
      <c r="C183" s="27">
        <f ca="1">IFERROR(__xludf.DUMMYFUNCTION("""COMPUTED_VALUE"""),12408.22)</f>
        <v>12408.22</v>
      </c>
      <c r="D183" s="27">
        <f ca="1">IFERROR(__xludf.DUMMYFUNCTION("""COMPUTED_VALUE"""),12189.49)</f>
        <v>12189.49</v>
      </c>
      <c r="E183" s="27">
        <f ca="1">IFERROR(__xludf.DUMMYFUNCTION("""COMPUTED_VALUE"""),12398.8)</f>
        <v>12398.8</v>
      </c>
      <c r="F183" s="27">
        <f ca="1">IFERROR(__xludf.DUMMYFUNCTION("""COMPUTED_VALUE"""),0)</f>
        <v>0</v>
      </c>
      <c r="G183" s="28">
        <f t="shared" ca="1" si="0"/>
        <v>4.7715058120312293E-3</v>
      </c>
    </row>
    <row r="184" spans="1:7" x14ac:dyDescent="0.2">
      <c r="A184" s="26">
        <f ca="1">IFERROR(__xludf.DUMMYFUNCTION("""COMPUTED_VALUE"""),43651.8333333333)</f>
        <v>43651.833333333299</v>
      </c>
      <c r="B184" s="27">
        <f ca="1">IFERROR(__xludf.DUMMYFUNCTION("""COMPUTED_VALUE"""),12616.34)</f>
        <v>12616.34</v>
      </c>
      <c r="C184" s="27">
        <f ca="1">IFERROR(__xludf.DUMMYFUNCTION("""COMPUTED_VALUE"""),12656.05)</f>
        <v>12656.05</v>
      </c>
      <c r="D184" s="27">
        <f ca="1">IFERROR(__xludf.DUMMYFUNCTION("""COMPUTED_VALUE"""),12484.26)</f>
        <v>12484.26</v>
      </c>
      <c r="E184" s="27">
        <f ca="1">IFERROR(__xludf.DUMMYFUNCTION("""COMPUTED_VALUE"""),12568.53)</f>
        <v>12568.53</v>
      </c>
      <c r="F184" s="27">
        <f ca="1">IFERROR(__xludf.DUMMYFUNCTION("""COMPUTED_VALUE"""),0)</f>
        <v>0</v>
      </c>
      <c r="G184" s="28">
        <f t="shared" ca="1" si="0"/>
        <v>1.3689227989805541E-2</v>
      </c>
    </row>
    <row r="185" spans="1:7" x14ac:dyDescent="0.2">
      <c r="A185" s="26">
        <f ca="1">IFERROR(__xludf.DUMMYFUNCTION("""COMPUTED_VALUE"""),43658.8333333333)</f>
        <v>43658.833333333299</v>
      </c>
      <c r="B185" s="27">
        <f ca="1">IFERROR(__xludf.DUMMYFUNCTION("""COMPUTED_VALUE"""),12541.18)</f>
        <v>12541.18</v>
      </c>
      <c r="C185" s="27">
        <f ca="1">IFERROR(__xludf.DUMMYFUNCTION("""COMPUTED_VALUE"""),12587.44)</f>
        <v>12587.44</v>
      </c>
      <c r="D185" s="27">
        <f ca="1">IFERROR(__xludf.DUMMYFUNCTION("""COMPUTED_VALUE"""),12304.98)</f>
        <v>12304.98</v>
      </c>
      <c r="E185" s="27">
        <f ca="1">IFERROR(__xludf.DUMMYFUNCTION("""COMPUTED_VALUE"""),12323.32)</f>
        <v>12323.32</v>
      </c>
      <c r="F185" s="27">
        <f ca="1">IFERROR(__xludf.DUMMYFUNCTION("""COMPUTED_VALUE"""),0)</f>
        <v>0</v>
      </c>
      <c r="G185" s="28">
        <f t="shared" ca="1" si="0"/>
        <v>-1.9509839257256134E-2</v>
      </c>
    </row>
    <row r="186" spans="1:7" x14ac:dyDescent="0.2">
      <c r="A186" s="26">
        <f ca="1">IFERROR(__xludf.DUMMYFUNCTION("""COMPUTED_VALUE"""),43665.8333333333)</f>
        <v>43665.833333333299</v>
      </c>
      <c r="B186" s="27">
        <f ca="1">IFERROR(__xludf.DUMMYFUNCTION("""COMPUTED_VALUE"""),12346.59)</f>
        <v>12346.59</v>
      </c>
      <c r="C186" s="27">
        <f ca="1">IFERROR(__xludf.DUMMYFUNCTION("""COMPUTED_VALUE"""),12465.19)</f>
        <v>12465.19</v>
      </c>
      <c r="D186" s="27">
        <f ca="1">IFERROR(__xludf.DUMMYFUNCTION("""COMPUTED_VALUE"""),12172.59)</f>
        <v>12172.59</v>
      </c>
      <c r="E186" s="27">
        <f ca="1">IFERROR(__xludf.DUMMYFUNCTION("""COMPUTED_VALUE"""),12260.07)</f>
        <v>12260.07</v>
      </c>
      <c r="F186" s="27">
        <f ca="1">IFERROR(__xludf.DUMMYFUNCTION("""COMPUTED_VALUE"""),0)</f>
        <v>0</v>
      </c>
      <c r="G186" s="28">
        <f t="shared" ca="1" si="0"/>
        <v>-5.1325454504143053E-3</v>
      </c>
    </row>
    <row r="187" spans="1:7" x14ac:dyDescent="0.2">
      <c r="A187" s="26">
        <f ca="1">IFERROR(__xludf.DUMMYFUNCTION("""COMPUTED_VALUE"""),43672.8333333333)</f>
        <v>43672.833333333299</v>
      </c>
      <c r="B187" s="27">
        <f ca="1">IFERROR(__xludf.DUMMYFUNCTION("""COMPUTED_VALUE"""),12243.58)</f>
        <v>12243.58</v>
      </c>
      <c r="C187" s="27">
        <f ca="1">IFERROR(__xludf.DUMMYFUNCTION("""COMPUTED_VALUE"""),12599.93)</f>
        <v>12599.93</v>
      </c>
      <c r="D187" s="27">
        <f ca="1">IFERROR(__xludf.DUMMYFUNCTION("""COMPUTED_VALUE"""),12236.7)</f>
        <v>12236.7</v>
      </c>
      <c r="E187" s="27">
        <f ca="1">IFERROR(__xludf.DUMMYFUNCTION("""COMPUTED_VALUE"""),12419.9)</f>
        <v>12419.9</v>
      </c>
      <c r="F187" s="27">
        <f ca="1">IFERROR(__xludf.DUMMYFUNCTION("""COMPUTED_VALUE"""),0)</f>
        <v>0</v>
      </c>
      <c r="G187" s="28">
        <f t="shared" ca="1" si="0"/>
        <v>1.3036630296564322E-2</v>
      </c>
    </row>
    <row r="188" spans="1:7" x14ac:dyDescent="0.2">
      <c r="A188" s="26">
        <f ca="1">IFERROR(__xludf.DUMMYFUNCTION("""COMPUTED_VALUE"""),43679.8333333333)</f>
        <v>43679.833333333299</v>
      </c>
      <c r="B188" s="27">
        <f ca="1">IFERROR(__xludf.DUMMYFUNCTION("""COMPUTED_VALUE"""),12398.29)</f>
        <v>12398.29</v>
      </c>
      <c r="C188" s="27">
        <f ca="1">IFERROR(__xludf.DUMMYFUNCTION("""COMPUTED_VALUE"""),12473.97)</f>
        <v>12473.97</v>
      </c>
      <c r="D188" s="27">
        <f ca="1">IFERROR(__xludf.DUMMYFUNCTION("""COMPUTED_VALUE"""),11836.75)</f>
        <v>11836.75</v>
      </c>
      <c r="E188" s="27">
        <f ca="1">IFERROR(__xludf.DUMMYFUNCTION("""COMPUTED_VALUE"""),11872.44)</f>
        <v>11872.44</v>
      </c>
      <c r="F188" s="27">
        <f ca="1">IFERROR(__xludf.DUMMYFUNCTION("""COMPUTED_VALUE"""),0)</f>
        <v>0</v>
      </c>
      <c r="G188" s="28">
        <f t="shared" ca="1" si="0"/>
        <v>-4.4079259897422562E-2</v>
      </c>
    </row>
    <row r="189" spans="1:7" x14ac:dyDescent="0.2">
      <c r="A189" s="26">
        <f ca="1">IFERROR(__xludf.DUMMYFUNCTION("""COMPUTED_VALUE"""),43686.8333333333)</f>
        <v>43686.833333333299</v>
      </c>
      <c r="B189" s="27">
        <f ca="1">IFERROR(__xludf.DUMMYFUNCTION("""COMPUTED_VALUE"""),11758.44)</f>
        <v>11758.44</v>
      </c>
      <c r="C189" s="27">
        <f ca="1">IFERROR(__xludf.DUMMYFUNCTION("""COMPUTED_VALUE"""),11865.63)</f>
        <v>11865.63</v>
      </c>
      <c r="D189" s="27">
        <f ca="1">IFERROR(__xludf.DUMMYFUNCTION("""COMPUTED_VALUE"""),11559.76)</f>
        <v>11559.76</v>
      </c>
      <c r="E189" s="27">
        <f ca="1">IFERROR(__xludf.DUMMYFUNCTION("""COMPUTED_VALUE"""),11693.8)</f>
        <v>11693.8</v>
      </c>
      <c r="F189" s="27">
        <f ca="1">IFERROR(__xludf.DUMMYFUNCTION("""COMPUTED_VALUE"""),0)</f>
        <v>0</v>
      </c>
      <c r="G189" s="28">
        <f t="shared" ca="1" si="0"/>
        <v>-1.5046612153862271E-2</v>
      </c>
    </row>
    <row r="190" spans="1:7" x14ac:dyDescent="0.2">
      <c r="A190" s="26">
        <f ca="1">IFERROR(__xludf.DUMMYFUNCTION("""COMPUTED_VALUE"""),43693.8333333333)</f>
        <v>43693.833333333299</v>
      </c>
      <c r="B190" s="27">
        <f ca="1">IFERROR(__xludf.DUMMYFUNCTION("""COMPUTED_VALUE"""),11801.06)</f>
        <v>11801.06</v>
      </c>
      <c r="C190" s="27">
        <f ca="1">IFERROR(__xludf.DUMMYFUNCTION("""COMPUTED_VALUE"""),11836.97)</f>
        <v>11836.97</v>
      </c>
      <c r="D190" s="27">
        <f ca="1">IFERROR(__xludf.DUMMYFUNCTION("""COMPUTED_VALUE"""),11266.48)</f>
        <v>11266.48</v>
      </c>
      <c r="E190" s="27">
        <f ca="1">IFERROR(__xludf.DUMMYFUNCTION("""COMPUTED_VALUE"""),11562.74)</f>
        <v>11562.74</v>
      </c>
      <c r="F190" s="27">
        <f ca="1">IFERROR(__xludf.DUMMYFUNCTION("""COMPUTED_VALUE"""),0)</f>
        <v>0</v>
      </c>
      <c r="G190" s="28">
        <f t="shared" ca="1" si="0"/>
        <v>-1.1207648497494338E-2</v>
      </c>
    </row>
    <row r="191" spans="1:7" x14ac:dyDescent="0.2">
      <c r="A191" s="26">
        <f ca="1">IFERROR(__xludf.DUMMYFUNCTION("""COMPUTED_VALUE"""),43700.8333333333)</f>
        <v>43700.833333333299</v>
      </c>
      <c r="B191" s="27">
        <f ca="1">IFERROR(__xludf.DUMMYFUNCTION("""COMPUTED_VALUE"""),11679.72)</f>
        <v>11679.72</v>
      </c>
      <c r="C191" s="27">
        <f ca="1">IFERROR(__xludf.DUMMYFUNCTION("""COMPUTED_VALUE"""),11853.14)</f>
        <v>11853.14</v>
      </c>
      <c r="D191" s="27">
        <f ca="1">IFERROR(__xludf.DUMMYFUNCTION("""COMPUTED_VALUE"""),11611.51)</f>
        <v>11611.51</v>
      </c>
      <c r="E191" s="27">
        <f ca="1">IFERROR(__xludf.DUMMYFUNCTION("""COMPUTED_VALUE"""),11611.51)</f>
        <v>11611.51</v>
      </c>
      <c r="F191" s="27">
        <f ca="1">IFERROR(__xludf.DUMMYFUNCTION("""COMPUTED_VALUE"""),0)</f>
        <v>0</v>
      </c>
      <c r="G191" s="28">
        <f t="shared" ca="1" si="0"/>
        <v>4.2178583968852656E-3</v>
      </c>
    </row>
    <row r="192" spans="1:7" x14ac:dyDescent="0.2">
      <c r="A192" s="26">
        <f ca="1">IFERROR(__xludf.DUMMYFUNCTION("""COMPUTED_VALUE"""),43707.8333333333)</f>
        <v>43707.833333333299</v>
      </c>
      <c r="B192" s="27">
        <f ca="1">IFERROR(__xludf.DUMMYFUNCTION("""COMPUTED_VALUE"""),11619.66)</f>
        <v>11619.66</v>
      </c>
      <c r="C192" s="27">
        <f ca="1">IFERROR(__xludf.DUMMYFUNCTION("""COMPUTED_VALUE"""),11989.44)</f>
        <v>11989.44</v>
      </c>
      <c r="D192" s="27">
        <f ca="1">IFERROR(__xludf.DUMMYFUNCTION("""COMPUTED_VALUE"""),11551.99)</f>
        <v>11551.99</v>
      </c>
      <c r="E192" s="27">
        <f ca="1">IFERROR(__xludf.DUMMYFUNCTION("""COMPUTED_VALUE"""),11939.28)</f>
        <v>11939.28</v>
      </c>
      <c r="F192" s="27">
        <f ca="1">IFERROR(__xludf.DUMMYFUNCTION("""COMPUTED_VALUE"""),0)</f>
        <v>0</v>
      </c>
      <c r="G192" s="28">
        <f t="shared" ca="1" si="0"/>
        <v>2.8228025467833318E-2</v>
      </c>
    </row>
    <row r="193" spans="1:7" x14ac:dyDescent="0.2">
      <c r="A193" s="26">
        <f ca="1">IFERROR(__xludf.DUMMYFUNCTION("""COMPUTED_VALUE"""),43714.8333333333)</f>
        <v>43714.833333333299</v>
      </c>
      <c r="B193" s="27">
        <f ca="1">IFERROR(__xludf.DUMMYFUNCTION("""COMPUTED_VALUE"""),11939.99)</f>
        <v>11939.99</v>
      </c>
      <c r="C193" s="27">
        <f ca="1">IFERROR(__xludf.DUMMYFUNCTION("""COMPUTED_VALUE"""),12205.1)</f>
        <v>12205.1</v>
      </c>
      <c r="D193" s="27">
        <f ca="1">IFERROR(__xludf.DUMMYFUNCTION("""COMPUTED_VALUE"""),11869.28)</f>
        <v>11869.28</v>
      </c>
      <c r="E193" s="27">
        <f ca="1">IFERROR(__xludf.DUMMYFUNCTION("""COMPUTED_VALUE"""),12191.73)</f>
        <v>12191.73</v>
      </c>
      <c r="F193" s="27">
        <f ca="1">IFERROR(__xludf.DUMMYFUNCTION("""COMPUTED_VALUE"""),0)</f>
        <v>0</v>
      </c>
      <c r="G193" s="28">
        <f t="shared" ca="1" si="0"/>
        <v>2.1144491125092868E-2</v>
      </c>
    </row>
    <row r="194" spans="1:7" x14ac:dyDescent="0.2">
      <c r="A194" s="26">
        <f ca="1">IFERROR(__xludf.DUMMYFUNCTION("""COMPUTED_VALUE"""),43721.8333333333)</f>
        <v>43721.833333333299</v>
      </c>
      <c r="B194" s="27">
        <f ca="1">IFERROR(__xludf.DUMMYFUNCTION("""COMPUTED_VALUE"""),12210.87)</f>
        <v>12210.87</v>
      </c>
      <c r="C194" s="27">
        <f ca="1">IFERROR(__xludf.DUMMYFUNCTION("""COMPUTED_VALUE"""),12494.25)</f>
        <v>12494.25</v>
      </c>
      <c r="D194" s="27">
        <f ca="1">IFERROR(__xludf.DUMMYFUNCTION("""COMPUTED_VALUE"""),12179.88)</f>
        <v>12179.88</v>
      </c>
      <c r="E194" s="27">
        <f ca="1">IFERROR(__xludf.DUMMYFUNCTION("""COMPUTED_VALUE"""),12468.53)</f>
        <v>12468.53</v>
      </c>
      <c r="F194" s="27">
        <f ca="1">IFERROR(__xludf.DUMMYFUNCTION("""COMPUTED_VALUE"""),0)</f>
        <v>0</v>
      </c>
      <c r="G194" s="28">
        <f t="shared" ca="1" si="0"/>
        <v>2.2703914866881059E-2</v>
      </c>
    </row>
    <row r="195" spans="1:7" x14ac:dyDescent="0.2">
      <c r="A195" s="26">
        <f ca="1">IFERROR(__xludf.DUMMYFUNCTION("""COMPUTED_VALUE"""),43728.8333333333)</f>
        <v>43728.833333333299</v>
      </c>
      <c r="B195" s="27">
        <f ca="1">IFERROR(__xludf.DUMMYFUNCTION("""COMPUTED_VALUE"""),12387.68)</f>
        <v>12387.68</v>
      </c>
      <c r="C195" s="27">
        <f ca="1">IFERROR(__xludf.DUMMYFUNCTION("""COMPUTED_VALUE"""),12490.84)</f>
        <v>12490.84</v>
      </c>
      <c r="D195" s="27">
        <f ca="1">IFERROR(__xludf.DUMMYFUNCTION("""COMPUTED_VALUE"""),12303.51)</f>
        <v>12303.51</v>
      </c>
      <c r="E195" s="27">
        <f ca="1">IFERROR(__xludf.DUMMYFUNCTION("""COMPUTED_VALUE"""),12468.01)</f>
        <v>12468.01</v>
      </c>
      <c r="F195" s="27">
        <f ca="1">IFERROR(__xludf.DUMMYFUNCTION("""COMPUTED_VALUE"""),0)</f>
        <v>0</v>
      </c>
      <c r="G195" s="28">
        <f t="shared" ca="1" si="0"/>
        <v>-4.1704996499247748E-5</v>
      </c>
    </row>
    <row r="196" spans="1:7" x14ac:dyDescent="0.2">
      <c r="A196" s="26">
        <f ca="1">IFERROR(__xludf.DUMMYFUNCTION("""COMPUTED_VALUE"""),43735.8333333333)</f>
        <v>43735.833333333299</v>
      </c>
      <c r="B196" s="27">
        <f ca="1">IFERROR(__xludf.DUMMYFUNCTION("""COMPUTED_VALUE"""),12432.3)</f>
        <v>12432.3</v>
      </c>
      <c r="C196" s="27">
        <f ca="1">IFERROR(__xludf.DUMMYFUNCTION("""COMPUTED_VALUE"""),12441.02)</f>
        <v>12441.02</v>
      </c>
      <c r="D196" s="27">
        <f ca="1">IFERROR(__xludf.DUMMYFUNCTION("""COMPUTED_VALUE"""),12141.82)</f>
        <v>12141.82</v>
      </c>
      <c r="E196" s="27">
        <f ca="1">IFERROR(__xludf.DUMMYFUNCTION("""COMPUTED_VALUE"""),12380.94)</f>
        <v>12380.94</v>
      </c>
      <c r="F196" s="27">
        <f ca="1">IFERROR(__xludf.DUMMYFUNCTION("""COMPUTED_VALUE"""),0)</f>
        <v>0</v>
      </c>
      <c r="G196" s="28">
        <f t="shared" ca="1" si="0"/>
        <v>-6.9834721018029455E-3</v>
      </c>
    </row>
    <row r="197" spans="1:7" x14ac:dyDescent="0.2">
      <c r="A197" s="26">
        <f ca="1">IFERROR(__xludf.DUMMYFUNCTION("""COMPUTED_VALUE"""),43742.8333333333)</f>
        <v>43742.833333333299</v>
      </c>
      <c r="B197" s="27">
        <f ca="1">IFERROR(__xludf.DUMMYFUNCTION("""COMPUTED_VALUE"""),12367.81)</f>
        <v>12367.81</v>
      </c>
      <c r="C197" s="27">
        <f ca="1">IFERROR(__xludf.DUMMYFUNCTION("""COMPUTED_VALUE"""),12497.28)</f>
        <v>12497.28</v>
      </c>
      <c r="D197" s="27">
        <f ca="1">IFERROR(__xludf.DUMMYFUNCTION("""COMPUTED_VALUE"""),11878.98)</f>
        <v>11878.98</v>
      </c>
      <c r="E197" s="27">
        <f ca="1">IFERROR(__xludf.DUMMYFUNCTION("""COMPUTED_VALUE"""),12012.81)</f>
        <v>12012.81</v>
      </c>
      <c r="F197" s="27">
        <f ca="1">IFERROR(__xludf.DUMMYFUNCTION("""COMPUTED_VALUE"""),0)</f>
        <v>0</v>
      </c>
      <c r="G197" s="28">
        <f t="shared" ca="1" si="0"/>
        <v>-2.9733606656683675E-2</v>
      </c>
    </row>
    <row r="198" spans="1:7" x14ac:dyDescent="0.2">
      <c r="A198" s="26">
        <f ca="1">IFERROR(__xludf.DUMMYFUNCTION("""COMPUTED_VALUE"""),43749.8333333333)</f>
        <v>43749.833333333299</v>
      </c>
      <c r="B198" s="27">
        <f ca="1">IFERROR(__xludf.DUMMYFUNCTION("""COMPUTED_VALUE"""),12008.77)</f>
        <v>12008.77</v>
      </c>
      <c r="C198" s="27">
        <f ca="1">IFERROR(__xludf.DUMMYFUNCTION("""COMPUTED_VALUE"""),12511.65)</f>
        <v>12511.65</v>
      </c>
      <c r="D198" s="27">
        <f ca="1">IFERROR(__xludf.DUMMYFUNCTION("""COMPUTED_VALUE"""),11933.02)</f>
        <v>11933.02</v>
      </c>
      <c r="E198" s="27">
        <f ca="1">IFERROR(__xludf.DUMMYFUNCTION("""COMPUTED_VALUE"""),12511.65)</f>
        <v>12511.65</v>
      </c>
      <c r="F198" s="27">
        <f ca="1">IFERROR(__xludf.DUMMYFUNCTION("""COMPUTED_VALUE"""),0)</f>
        <v>0</v>
      </c>
      <c r="G198" s="28">
        <f t="shared" ca="1" si="0"/>
        <v>4.1525671345838289E-2</v>
      </c>
    </row>
    <row r="199" spans="1:7" x14ac:dyDescent="0.2">
      <c r="A199" s="26">
        <f ca="1">IFERROR(__xludf.DUMMYFUNCTION("""COMPUTED_VALUE"""),43756.8333333333)</f>
        <v>43756.833333333299</v>
      </c>
      <c r="B199" s="27">
        <f ca="1">IFERROR(__xludf.DUMMYFUNCTION("""COMPUTED_VALUE"""),12468.78)</f>
        <v>12468.78</v>
      </c>
      <c r="C199" s="27">
        <f ca="1">IFERROR(__xludf.DUMMYFUNCTION("""COMPUTED_VALUE"""),12814.49)</f>
        <v>12814.49</v>
      </c>
      <c r="D199" s="27">
        <f ca="1">IFERROR(__xludf.DUMMYFUNCTION("""COMPUTED_VALUE"""),12387.95)</f>
        <v>12387.95</v>
      </c>
      <c r="E199" s="27">
        <f ca="1">IFERROR(__xludf.DUMMYFUNCTION("""COMPUTED_VALUE"""),12633.6)</f>
        <v>12633.6</v>
      </c>
      <c r="F199" s="27">
        <f ca="1">IFERROR(__xludf.DUMMYFUNCTION("""COMPUTED_VALUE"""),0)</f>
        <v>0</v>
      </c>
      <c r="G199" s="28">
        <f t="shared" ca="1" si="0"/>
        <v>9.7469158744050155E-3</v>
      </c>
    </row>
    <row r="200" spans="1:7" x14ac:dyDescent="0.2">
      <c r="A200" s="26">
        <f ca="1">IFERROR(__xludf.DUMMYFUNCTION("""COMPUTED_VALUE"""),43763.8333333333)</f>
        <v>43763.833333333299</v>
      </c>
      <c r="B200" s="27">
        <f ca="1">IFERROR(__xludf.DUMMYFUNCTION("""COMPUTED_VALUE"""),12661.93)</f>
        <v>12661.93</v>
      </c>
      <c r="C200" s="27">
        <f ca="1">IFERROR(__xludf.DUMMYFUNCTION("""COMPUTED_VALUE"""),12914.24)</f>
        <v>12914.24</v>
      </c>
      <c r="D200" s="27">
        <f ca="1">IFERROR(__xludf.DUMMYFUNCTION("""COMPUTED_VALUE"""),12646.28)</f>
        <v>12646.28</v>
      </c>
      <c r="E200" s="27">
        <f ca="1">IFERROR(__xludf.DUMMYFUNCTION("""COMPUTED_VALUE"""),12894.51)</f>
        <v>12894.51</v>
      </c>
      <c r="F200" s="27">
        <f ca="1">IFERROR(__xludf.DUMMYFUNCTION("""COMPUTED_VALUE"""),0)</f>
        <v>0</v>
      </c>
      <c r="G200" s="28">
        <f t="shared" ca="1" si="0"/>
        <v>2.0652070668693012E-2</v>
      </c>
    </row>
    <row r="201" spans="1:7" x14ac:dyDescent="0.2">
      <c r="A201" s="26">
        <f ca="1">IFERROR(__xludf.DUMMYFUNCTION("""COMPUTED_VALUE"""),43770.8333333333)</f>
        <v>43770.833333333299</v>
      </c>
      <c r="B201" s="27">
        <f ca="1">IFERROR(__xludf.DUMMYFUNCTION("""COMPUTED_VALUE"""),12897.4)</f>
        <v>12897.4</v>
      </c>
      <c r="C201" s="27">
        <f ca="1">IFERROR(__xludf.DUMMYFUNCTION("""COMPUTED_VALUE"""),12992.07)</f>
        <v>12992.07</v>
      </c>
      <c r="D201" s="27">
        <f ca="1">IFERROR(__xludf.DUMMYFUNCTION("""COMPUTED_VALUE"""),12795.09)</f>
        <v>12795.09</v>
      </c>
      <c r="E201" s="27">
        <f ca="1">IFERROR(__xludf.DUMMYFUNCTION("""COMPUTED_VALUE"""),12961.05)</f>
        <v>12961.05</v>
      </c>
      <c r="F201" s="27">
        <f ca="1">IFERROR(__xludf.DUMMYFUNCTION("""COMPUTED_VALUE"""),0)</f>
        <v>0</v>
      </c>
      <c r="G201" s="28">
        <f t="shared" ca="1" si="0"/>
        <v>5.1603356777418785E-3</v>
      </c>
    </row>
    <row r="202" spans="1:7" x14ac:dyDescent="0.2">
      <c r="A202" s="26">
        <f ca="1">IFERROR(__xludf.DUMMYFUNCTION("""COMPUTED_VALUE"""),43777.8333333333)</f>
        <v>43777.833333333299</v>
      </c>
      <c r="B202" s="27">
        <f ca="1">IFERROR(__xludf.DUMMYFUNCTION("""COMPUTED_VALUE"""),13022.95)</f>
        <v>13022.95</v>
      </c>
      <c r="C202" s="27">
        <f ca="1">IFERROR(__xludf.DUMMYFUNCTION("""COMPUTED_VALUE"""),13300.76)</f>
        <v>13300.76</v>
      </c>
      <c r="D202" s="27">
        <f ca="1">IFERROR(__xludf.DUMMYFUNCTION("""COMPUTED_VALUE"""),13019.18)</f>
        <v>13019.18</v>
      </c>
      <c r="E202" s="27">
        <f ca="1">IFERROR(__xludf.DUMMYFUNCTION("""COMPUTED_VALUE"""),13228.56)</f>
        <v>13228.56</v>
      </c>
      <c r="F202" s="27">
        <f ca="1">IFERROR(__xludf.DUMMYFUNCTION("""COMPUTED_VALUE"""),0)</f>
        <v>0</v>
      </c>
      <c r="G202" s="28">
        <f t="shared" ca="1" si="0"/>
        <v>2.0639531519437204E-2</v>
      </c>
    </row>
    <row r="203" spans="1:7" x14ac:dyDescent="0.2">
      <c r="A203" s="26">
        <f ca="1">IFERROR(__xludf.DUMMYFUNCTION("""COMPUTED_VALUE"""),43784.8333333333)</f>
        <v>43784.833333333299</v>
      </c>
      <c r="B203" s="27">
        <f ca="1">IFERROR(__xludf.DUMMYFUNCTION("""COMPUTED_VALUE"""),13170.18)</f>
        <v>13170.18</v>
      </c>
      <c r="C203" s="27">
        <f ca="1">IFERROR(__xludf.DUMMYFUNCTION("""COMPUTED_VALUE"""),13308.26)</f>
        <v>13308.26</v>
      </c>
      <c r="D203" s="27">
        <f ca="1">IFERROR(__xludf.DUMMYFUNCTION("""COMPUTED_VALUE"""),13139.25)</f>
        <v>13139.25</v>
      </c>
      <c r="E203" s="27">
        <f ca="1">IFERROR(__xludf.DUMMYFUNCTION("""COMPUTED_VALUE"""),13241.75)</f>
        <v>13241.75</v>
      </c>
      <c r="F203" s="27">
        <f ca="1">IFERROR(__xludf.DUMMYFUNCTION("""COMPUTED_VALUE"""),0)</f>
        <v>0</v>
      </c>
      <c r="G203" s="28">
        <f t="shared" ca="1" si="0"/>
        <v>9.9708509467388851E-4</v>
      </c>
    </row>
    <row r="204" spans="1:7" x14ac:dyDescent="0.2">
      <c r="A204" s="26">
        <f ca="1">IFERROR(__xludf.DUMMYFUNCTION("""COMPUTED_VALUE"""),43791.8333333333)</f>
        <v>43791.833333333299</v>
      </c>
      <c r="B204" s="27">
        <f ca="1">IFERROR(__xludf.DUMMYFUNCTION("""COMPUTED_VALUE"""),13255.78)</f>
        <v>13255.78</v>
      </c>
      <c r="C204" s="27">
        <f ca="1">IFERROR(__xludf.DUMMYFUNCTION("""COMPUTED_VALUE"""),13374.27)</f>
        <v>13374.27</v>
      </c>
      <c r="D204" s="27">
        <f ca="1">IFERROR(__xludf.DUMMYFUNCTION("""COMPUTED_VALUE"""),13043.9)</f>
        <v>13043.9</v>
      </c>
      <c r="E204" s="27">
        <f ca="1">IFERROR(__xludf.DUMMYFUNCTION("""COMPUTED_VALUE"""),13163.88)</f>
        <v>13163.88</v>
      </c>
      <c r="F204" s="27">
        <f ca="1">IFERROR(__xludf.DUMMYFUNCTION("""COMPUTED_VALUE"""),0)</f>
        <v>0</v>
      </c>
      <c r="G204" s="28">
        <f t="shared" ca="1" si="0"/>
        <v>-5.8806426643004395E-3</v>
      </c>
    </row>
    <row r="205" spans="1:7" x14ac:dyDescent="0.2">
      <c r="A205" s="26">
        <f ca="1">IFERROR(__xludf.DUMMYFUNCTION("""COMPUTED_VALUE"""),43798.8333333333)</f>
        <v>43798.833333333299</v>
      </c>
      <c r="B205" s="27">
        <f ca="1">IFERROR(__xludf.DUMMYFUNCTION("""COMPUTED_VALUE"""),13247.51)</f>
        <v>13247.51</v>
      </c>
      <c r="C205" s="27">
        <f ca="1">IFERROR(__xludf.DUMMYFUNCTION("""COMPUTED_VALUE"""),13314.92)</f>
        <v>13314.92</v>
      </c>
      <c r="D205" s="27">
        <f ca="1">IFERROR(__xludf.DUMMYFUNCTION("""COMPUTED_VALUE"""),13165.07)</f>
        <v>13165.07</v>
      </c>
      <c r="E205" s="27">
        <f ca="1">IFERROR(__xludf.DUMMYFUNCTION("""COMPUTED_VALUE"""),13236.38)</f>
        <v>13236.38</v>
      </c>
      <c r="F205" s="27">
        <f ca="1">IFERROR(__xludf.DUMMYFUNCTION("""COMPUTED_VALUE"""),0)</f>
        <v>0</v>
      </c>
      <c r="G205" s="28">
        <f t="shared" ca="1" si="0"/>
        <v>5.5074947507878225E-3</v>
      </c>
    </row>
    <row r="206" spans="1:7" x14ac:dyDescent="0.2">
      <c r="A206" s="26">
        <f ca="1">IFERROR(__xludf.DUMMYFUNCTION("""COMPUTED_VALUE"""),43805.8333333333)</f>
        <v>43805.833333333299</v>
      </c>
      <c r="B206" s="27">
        <f ca="1">IFERROR(__xludf.DUMMYFUNCTION("""COMPUTED_VALUE"""),13264.93)</f>
        <v>13264.93</v>
      </c>
      <c r="C206" s="27">
        <f ca="1">IFERROR(__xludf.DUMMYFUNCTION("""COMPUTED_VALUE"""),13338.25)</f>
        <v>13338.25</v>
      </c>
      <c r="D206" s="27">
        <f ca="1">IFERROR(__xludf.DUMMYFUNCTION("""COMPUTED_VALUE"""),12927.07)</f>
        <v>12927.07</v>
      </c>
      <c r="E206" s="27">
        <f ca="1">IFERROR(__xludf.DUMMYFUNCTION("""COMPUTED_VALUE"""),13166.58)</f>
        <v>13166.58</v>
      </c>
      <c r="F206" s="27">
        <f ca="1">IFERROR(__xludf.DUMMYFUNCTION("""COMPUTED_VALUE"""),0)</f>
        <v>0</v>
      </c>
      <c r="G206" s="28">
        <f t="shared" ca="1" si="0"/>
        <v>-5.2733451291062661E-3</v>
      </c>
    </row>
    <row r="207" spans="1:7" x14ac:dyDescent="0.2">
      <c r="A207" s="26">
        <f ca="1">IFERROR(__xludf.DUMMYFUNCTION("""COMPUTED_VALUE"""),43812.8333333333)</f>
        <v>43812.833333333299</v>
      </c>
      <c r="B207" s="27">
        <f ca="1">IFERROR(__xludf.DUMMYFUNCTION("""COMPUTED_VALUE"""),13147.57)</f>
        <v>13147.57</v>
      </c>
      <c r="C207" s="27">
        <f ca="1">IFERROR(__xludf.DUMMYFUNCTION("""COMPUTED_VALUE"""),13423.41)</f>
        <v>13423.41</v>
      </c>
      <c r="D207" s="27">
        <f ca="1">IFERROR(__xludf.DUMMYFUNCTION("""COMPUTED_VALUE"""),12886.55)</f>
        <v>12886.55</v>
      </c>
      <c r="E207" s="27">
        <f ca="1">IFERROR(__xludf.DUMMYFUNCTION("""COMPUTED_VALUE"""),13282.72)</f>
        <v>13282.72</v>
      </c>
      <c r="F207" s="27">
        <f ca="1">IFERROR(__xludf.DUMMYFUNCTION("""COMPUTED_VALUE"""),0)</f>
        <v>0</v>
      </c>
      <c r="G207" s="28">
        <f t="shared" ca="1" si="0"/>
        <v>8.8208175547483947E-3</v>
      </c>
    </row>
    <row r="208" spans="1:7" x14ac:dyDescent="0.2">
      <c r="A208" s="26">
        <f ca="1">IFERROR(__xludf.DUMMYFUNCTION("""COMPUTED_VALUE"""),43819.8333333333)</f>
        <v>43819.833333333299</v>
      </c>
      <c r="B208" s="27">
        <f ca="1">IFERROR(__xludf.DUMMYFUNCTION("""COMPUTED_VALUE"""),13349.86)</f>
        <v>13349.86</v>
      </c>
      <c r="C208" s="27">
        <f ca="1">IFERROR(__xludf.DUMMYFUNCTION("""COMPUTED_VALUE"""),13425.85)</f>
        <v>13425.85</v>
      </c>
      <c r="D208" s="27">
        <f ca="1">IFERROR(__xludf.DUMMYFUNCTION("""COMPUTED_VALUE"""),13140.22)</f>
        <v>13140.22</v>
      </c>
      <c r="E208" s="27">
        <f ca="1">IFERROR(__xludf.DUMMYFUNCTION("""COMPUTED_VALUE"""),13318.9)</f>
        <v>13318.9</v>
      </c>
      <c r="F208" s="27">
        <f ca="1">IFERROR(__xludf.DUMMYFUNCTION("""COMPUTED_VALUE"""),0)</f>
        <v>0</v>
      </c>
      <c r="G208" s="28">
        <f t="shared" ca="1" si="0"/>
        <v>2.7238396954840649E-3</v>
      </c>
    </row>
    <row r="209" spans="1:7" x14ac:dyDescent="0.2">
      <c r="A209" s="26">
        <f ca="1">IFERROR(__xludf.DUMMYFUNCTION("""COMPUTED_VALUE"""),43826.8333333333)</f>
        <v>43826.833333333299</v>
      </c>
      <c r="B209" s="27">
        <f ca="1">IFERROR(__xludf.DUMMYFUNCTION("""COMPUTED_VALUE"""),13304.77)</f>
        <v>13304.77</v>
      </c>
      <c r="C209" s="27">
        <f ca="1">IFERROR(__xludf.DUMMYFUNCTION("""COMPUTED_VALUE"""),13381.44)</f>
        <v>13381.44</v>
      </c>
      <c r="D209" s="27">
        <f ca="1">IFERROR(__xludf.DUMMYFUNCTION("""COMPUTED_VALUE"""),13285.55)</f>
        <v>13285.55</v>
      </c>
      <c r="E209" s="27">
        <f ca="1">IFERROR(__xludf.DUMMYFUNCTION("""COMPUTED_VALUE"""),13337.11)</f>
        <v>13337.11</v>
      </c>
      <c r="F209" s="27">
        <f ca="1">IFERROR(__xludf.DUMMYFUNCTION("""COMPUTED_VALUE"""),0)</f>
        <v>0</v>
      </c>
      <c r="G209" s="28">
        <f t="shared" ca="1" si="0"/>
        <v>1.3672300265037407E-3</v>
      </c>
    </row>
    <row r="210" spans="1:7" x14ac:dyDescent="0.2">
      <c r="A210" s="26"/>
      <c r="G210" s="28"/>
    </row>
    <row r="211" spans="1:7" x14ac:dyDescent="0.2">
      <c r="A211" s="26"/>
      <c r="G211" s="28"/>
    </row>
    <row r="212" spans="1:7" x14ac:dyDescent="0.2">
      <c r="A212" s="26"/>
      <c r="G212" s="28"/>
    </row>
    <row r="213" spans="1:7" x14ac:dyDescent="0.2">
      <c r="A213" s="26"/>
      <c r="G213" s="28"/>
    </row>
    <row r="214" spans="1:7" x14ac:dyDescent="0.2">
      <c r="A214" s="26"/>
      <c r="G214" s="28"/>
    </row>
    <row r="215" spans="1:7" x14ac:dyDescent="0.2">
      <c r="A215" s="26"/>
      <c r="G215" s="28"/>
    </row>
    <row r="216" spans="1:7" x14ac:dyDescent="0.2">
      <c r="A216" s="26"/>
      <c r="G216" s="28"/>
    </row>
    <row r="217" spans="1:7" x14ac:dyDescent="0.2">
      <c r="A217" s="26"/>
      <c r="G217" s="28"/>
    </row>
    <row r="218" spans="1:7" x14ac:dyDescent="0.2">
      <c r="A218" s="26"/>
      <c r="G218" s="28"/>
    </row>
    <row r="219" spans="1:7" x14ac:dyDescent="0.2">
      <c r="A219" s="26"/>
      <c r="G219" s="28"/>
    </row>
    <row r="220" spans="1:7" x14ac:dyDescent="0.2">
      <c r="A220" s="26"/>
      <c r="G220" s="28"/>
    </row>
    <row r="221" spans="1:7" x14ac:dyDescent="0.2">
      <c r="A221" s="26"/>
      <c r="G221" s="28"/>
    </row>
    <row r="222" spans="1:7" x14ac:dyDescent="0.2">
      <c r="A222" s="26"/>
      <c r="G222" s="28"/>
    </row>
    <row r="223" spans="1:7" x14ac:dyDescent="0.2">
      <c r="A223" s="26"/>
      <c r="G223" s="28"/>
    </row>
    <row r="224" spans="1:7" x14ac:dyDescent="0.2">
      <c r="A224" s="26"/>
      <c r="G224" s="28"/>
    </row>
    <row r="225" spans="1:7" x14ac:dyDescent="0.2">
      <c r="A225" s="26"/>
      <c r="G225" s="28"/>
    </row>
    <row r="226" spans="1:7" x14ac:dyDescent="0.2">
      <c r="A226" s="26"/>
      <c r="G226" s="28"/>
    </row>
    <row r="227" spans="1:7" x14ac:dyDescent="0.2">
      <c r="A227" s="26"/>
      <c r="G227" s="28"/>
    </row>
    <row r="228" spans="1:7" x14ac:dyDescent="0.2">
      <c r="A228" s="26"/>
      <c r="G228" s="28"/>
    </row>
    <row r="229" spans="1:7" x14ac:dyDescent="0.2">
      <c r="A229" s="26"/>
      <c r="G229" s="28"/>
    </row>
    <row r="230" spans="1:7" x14ac:dyDescent="0.2">
      <c r="A230" s="26"/>
      <c r="G230" s="28"/>
    </row>
    <row r="231" spans="1:7" x14ac:dyDescent="0.2">
      <c r="A231" s="26"/>
      <c r="G231" s="28"/>
    </row>
    <row r="232" spans="1:7" x14ac:dyDescent="0.2">
      <c r="A232" s="26"/>
      <c r="G232" s="28"/>
    </row>
    <row r="233" spans="1:7" x14ac:dyDescent="0.2">
      <c r="A233" s="26"/>
      <c r="G233" s="28"/>
    </row>
    <row r="234" spans="1:7" x14ac:dyDescent="0.2">
      <c r="A234" s="26"/>
      <c r="G234" s="28"/>
    </row>
    <row r="235" spans="1:7" x14ac:dyDescent="0.2">
      <c r="A235" s="26"/>
      <c r="G235" s="28"/>
    </row>
    <row r="236" spans="1:7" x14ac:dyDescent="0.2">
      <c r="A236" s="26"/>
      <c r="G236" s="28"/>
    </row>
    <row r="237" spans="1:7" x14ac:dyDescent="0.2">
      <c r="A237" s="26"/>
      <c r="G237" s="28"/>
    </row>
    <row r="238" spans="1:7" x14ac:dyDescent="0.2">
      <c r="A238" s="26"/>
      <c r="G238" s="28"/>
    </row>
    <row r="239" spans="1:7" x14ac:dyDescent="0.2">
      <c r="A239" s="26"/>
      <c r="G239" s="28"/>
    </row>
    <row r="240" spans="1:7" x14ac:dyDescent="0.2">
      <c r="A240" s="26"/>
      <c r="G240" s="28"/>
    </row>
    <row r="241" spans="1:7" x14ac:dyDescent="0.2">
      <c r="A241" s="26"/>
      <c r="G241" s="28"/>
    </row>
    <row r="242" spans="1:7" x14ac:dyDescent="0.2">
      <c r="A242" s="26"/>
      <c r="G242" s="28"/>
    </row>
    <row r="243" spans="1:7" x14ac:dyDescent="0.2">
      <c r="A243" s="26"/>
      <c r="G243" s="28"/>
    </row>
    <row r="244" spans="1:7" x14ac:dyDescent="0.2">
      <c r="A244" s="26"/>
      <c r="G244" s="28"/>
    </row>
    <row r="245" spans="1:7" x14ac:dyDescent="0.2">
      <c r="A245" s="26"/>
      <c r="G245" s="28"/>
    </row>
    <row r="246" spans="1:7" x14ac:dyDescent="0.2">
      <c r="A246" s="26"/>
      <c r="G246" s="28"/>
    </row>
    <row r="247" spans="1:7" x14ac:dyDescent="0.2">
      <c r="A247" s="26"/>
      <c r="G247" s="28"/>
    </row>
    <row r="248" spans="1:7" x14ac:dyDescent="0.2">
      <c r="A248" s="26"/>
      <c r="G248" s="28"/>
    </row>
    <row r="249" spans="1:7" x14ac:dyDescent="0.2">
      <c r="A249" s="26"/>
      <c r="G249" s="28"/>
    </row>
    <row r="250" spans="1:7" x14ac:dyDescent="0.2">
      <c r="A250" s="26"/>
      <c r="G250" s="28"/>
    </row>
    <row r="251" spans="1:7" x14ac:dyDescent="0.2">
      <c r="A251" s="26"/>
      <c r="G251" s="28"/>
    </row>
    <row r="252" spans="1:7" x14ac:dyDescent="0.2">
      <c r="A252" s="26"/>
      <c r="G252" s="28"/>
    </row>
    <row r="253" spans="1:7" x14ac:dyDescent="0.2">
      <c r="A253" s="26"/>
      <c r="G253" s="28"/>
    </row>
    <row r="254" spans="1:7" x14ac:dyDescent="0.2">
      <c r="A254" s="26"/>
      <c r="G254" s="28"/>
    </row>
    <row r="255" spans="1:7" x14ac:dyDescent="0.2">
      <c r="A255" s="26"/>
      <c r="G255" s="28"/>
    </row>
    <row r="256" spans="1:7" x14ac:dyDescent="0.2">
      <c r="A256" s="26"/>
      <c r="G256" s="28"/>
    </row>
    <row r="257" spans="1:7" x14ac:dyDescent="0.2">
      <c r="A257" s="26"/>
      <c r="G257" s="28"/>
    </row>
    <row r="258" spans="1:7" x14ac:dyDescent="0.2">
      <c r="A258" s="26"/>
      <c r="G258" s="28"/>
    </row>
    <row r="259" spans="1:7" x14ac:dyDescent="0.2">
      <c r="A259" s="26"/>
      <c r="G259" s="28"/>
    </row>
    <row r="260" spans="1:7" x14ac:dyDescent="0.2">
      <c r="A260" s="26"/>
      <c r="G260" s="28"/>
    </row>
    <row r="261" spans="1:7" x14ac:dyDescent="0.2">
      <c r="A261" s="26"/>
      <c r="G261" s="28"/>
    </row>
    <row r="262" spans="1:7" x14ac:dyDescent="0.2">
      <c r="A262" s="26"/>
      <c r="G262" s="28"/>
    </row>
    <row r="263" spans="1:7" x14ac:dyDescent="0.2">
      <c r="A263" s="26"/>
      <c r="G263" s="28"/>
    </row>
    <row r="264" spans="1:7" x14ac:dyDescent="0.2">
      <c r="A264" s="26"/>
      <c r="G264" s="28"/>
    </row>
    <row r="265" spans="1:7" x14ac:dyDescent="0.2">
      <c r="A265" s="26"/>
      <c r="G265" s="28"/>
    </row>
    <row r="266" spans="1:7" x14ac:dyDescent="0.2">
      <c r="A266" s="26"/>
      <c r="G266" s="28"/>
    </row>
    <row r="267" spans="1:7" x14ac:dyDescent="0.2">
      <c r="A267" s="26"/>
      <c r="G267" s="28"/>
    </row>
    <row r="268" spans="1:7" x14ac:dyDescent="0.2">
      <c r="A268" s="26"/>
      <c r="G268" s="28"/>
    </row>
    <row r="269" spans="1:7" x14ac:dyDescent="0.2">
      <c r="A269" s="26"/>
      <c r="G269" s="28"/>
    </row>
    <row r="270" spans="1:7" x14ac:dyDescent="0.2">
      <c r="A270" s="26"/>
      <c r="G270" s="28"/>
    </row>
    <row r="271" spans="1:7" x14ac:dyDescent="0.2">
      <c r="A271" s="26"/>
      <c r="G271" s="28"/>
    </row>
    <row r="272" spans="1:7" x14ac:dyDescent="0.2">
      <c r="A272" s="26"/>
      <c r="G272" s="28"/>
    </row>
    <row r="273" spans="1:7" x14ac:dyDescent="0.2">
      <c r="A273" s="26"/>
      <c r="G273" s="28"/>
    </row>
    <row r="274" spans="1:7" x14ac:dyDescent="0.2">
      <c r="A274" s="26"/>
      <c r="G274" s="28"/>
    </row>
    <row r="275" spans="1:7" x14ac:dyDescent="0.2">
      <c r="A275" s="26"/>
      <c r="G275" s="28"/>
    </row>
    <row r="276" spans="1:7" x14ac:dyDescent="0.2">
      <c r="A276" s="26"/>
      <c r="G276" s="28"/>
    </row>
    <row r="277" spans="1:7" x14ac:dyDescent="0.2">
      <c r="A277" s="26"/>
      <c r="G277" s="28"/>
    </row>
    <row r="278" spans="1:7" x14ac:dyDescent="0.2">
      <c r="A278" s="26"/>
      <c r="G278" s="28"/>
    </row>
    <row r="279" spans="1:7" x14ac:dyDescent="0.2">
      <c r="A279" s="26"/>
      <c r="G279" s="28"/>
    </row>
    <row r="280" spans="1:7" x14ac:dyDescent="0.2">
      <c r="A280" s="26"/>
      <c r="G280" s="28"/>
    </row>
    <row r="281" spans="1:7" x14ac:dyDescent="0.2">
      <c r="A281" s="26"/>
      <c r="G281" s="28"/>
    </row>
    <row r="282" spans="1:7" x14ac:dyDescent="0.2">
      <c r="A282" s="26"/>
      <c r="G282" s="28"/>
    </row>
    <row r="283" spans="1:7" x14ac:dyDescent="0.2">
      <c r="A283" s="26"/>
      <c r="G283" s="28"/>
    </row>
    <row r="284" spans="1:7" x14ac:dyDescent="0.2">
      <c r="A284" s="26"/>
      <c r="G284" s="28"/>
    </row>
    <row r="285" spans="1:7" x14ac:dyDescent="0.2">
      <c r="A285" s="26"/>
      <c r="G285" s="28"/>
    </row>
    <row r="286" spans="1:7" x14ac:dyDescent="0.2">
      <c r="A286" s="26"/>
      <c r="G286" s="28"/>
    </row>
    <row r="287" spans="1:7" x14ac:dyDescent="0.2">
      <c r="A287" s="26"/>
      <c r="G287" s="28"/>
    </row>
    <row r="288" spans="1:7" x14ac:dyDescent="0.2">
      <c r="A288" s="26"/>
      <c r="G288" s="28"/>
    </row>
    <row r="289" spans="1:7" x14ac:dyDescent="0.2">
      <c r="A289" s="26"/>
      <c r="G289" s="28"/>
    </row>
    <row r="290" spans="1:7" x14ac:dyDescent="0.2">
      <c r="A290" s="26"/>
      <c r="G290" s="28"/>
    </row>
    <row r="291" spans="1:7" x14ac:dyDescent="0.2">
      <c r="A291" s="26"/>
      <c r="G291" s="28"/>
    </row>
    <row r="292" spans="1:7" x14ac:dyDescent="0.2">
      <c r="A292" s="26"/>
      <c r="G292" s="28"/>
    </row>
    <row r="293" spans="1:7" x14ac:dyDescent="0.2">
      <c r="A293" s="26"/>
      <c r="G293" s="28"/>
    </row>
    <row r="294" spans="1:7" x14ac:dyDescent="0.2">
      <c r="A294" s="26"/>
      <c r="G294" s="28"/>
    </row>
    <row r="295" spans="1:7" x14ac:dyDescent="0.2">
      <c r="A295" s="26"/>
      <c r="G295" s="28"/>
    </row>
    <row r="296" spans="1:7" x14ac:dyDescent="0.2">
      <c r="A296" s="26"/>
      <c r="G296" s="28"/>
    </row>
    <row r="297" spans="1:7" x14ac:dyDescent="0.2">
      <c r="A297" s="26"/>
      <c r="G297" s="28"/>
    </row>
    <row r="298" spans="1:7" x14ac:dyDescent="0.2">
      <c r="A298" s="26"/>
      <c r="G298" s="28"/>
    </row>
    <row r="299" spans="1:7" x14ac:dyDescent="0.2">
      <c r="A299" s="26"/>
      <c r="G299" s="28"/>
    </row>
    <row r="300" spans="1:7" x14ac:dyDescent="0.2">
      <c r="A300" s="26"/>
      <c r="G300" s="28"/>
    </row>
    <row r="301" spans="1:7" x14ac:dyDescent="0.2">
      <c r="A301" s="26"/>
      <c r="G301" s="28"/>
    </row>
    <row r="302" spans="1:7" x14ac:dyDescent="0.2">
      <c r="A302" s="26"/>
      <c r="G302" s="28"/>
    </row>
    <row r="303" spans="1:7" x14ac:dyDescent="0.2">
      <c r="A303" s="26"/>
      <c r="G303" s="28"/>
    </row>
    <row r="304" spans="1:7" x14ac:dyDescent="0.2">
      <c r="A304" s="26"/>
      <c r="G304" s="28"/>
    </row>
    <row r="305" spans="1:7" x14ac:dyDescent="0.2">
      <c r="A305" s="26"/>
      <c r="G305" s="28"/>
    </row>
    <row r="306" spans="1:7" x14ac:dyDescent="0.2">
      <c r="A306" s="26"/>
      <c r="G306" s="28"/>
    </row>
    <row r="307" spans="1:7" x14ac:dyDescent="0.2">
      <c r="A307" s="26"/>
      <c r="G307" s="28"/>
    </row>
    <row r="308" spans="1:7" x14ac:dyDescent="0.2">
      <c r="A308" s="26"/>
      <c r="G308" s="28"/>
    </row>
    <row r="309" spans="1:7" x14ac:dyDescent="0.2">
      <c r="A309" s="26"/>
      <c r="G309" s="28"/>
    </row>
    <row r="310" spans="1:7" x14ac:dyDescent="0.2">
      <c r="A310" s="26"/>
      <c r="G310" s="28"/>
    </row>
    <row r="311" spans="1:7" x14ac:dyDescent="0.2">
      <c r="A311" s="26"/>
      <c r="G311" s="28"/>
    </row>
    <row r="312" spans="1:7" x14ac:dyDescent="0.2">
      <c r="A312" s="26"/>
      <c r="G312" s="28"/>
    </row>
    <row r="313" spans="1:7" x14ac:dyDescent="0.2">
      <c r="A313" s="26"/>
      <c r="G313" s="28"/>
    </row>
    <row r="314" spans="1:7" x14ac:dyDescent="0.2">
      <c r="A314" s="26"/>
      <c r="G314" s="28"/>
    </row>
    <row r="315" spans="1:7" x14ac:dyDescent="0.2">
      <c r="A315" s="26"/>
      <c r="G315" s="28"/>
    </row>
    <row r="316" spans="1:7" x14ac:dyDescent="0.2">
      <c r="A316" s="26"/>
      <c r="G316" s="28"/>
    </row>
    <row r="317" spans="1:7" x14ac:dyDescent="0.2">
      <c r="A317" s="26"/>
      <c r="G317" s="28"/>
    </row>
    <row r="318" spans="1:7" x14ac:dyDescent="0.2">
      <c r="A318" s="26"/>
      <c r="G318" s="28"/>
    </row>
    <row r="319" spans="1:7" x14ac:dyDescent="0.2">
      <c r="A319" s="26"/>
      <c r="G319" s="28"/>
    </row>
    <row r="320" spans="1:7" x14ac:dyDescent="0.2">
      <c r="A320" s="26"/>
      <c r="G320" s="28"/>
    </row>
    <row r="321" spans="1:7" x14ac:dyDescent="0.2">
      <c r="A321" s="26"/>
      <c r="G321" s="28"/>
    </row>
    <row r="322" spans="1:7" x14ac:dyDescent="0.2">
      <c r="A322" s="26"/>
      <c r="G322" s="28"/>
    </row>
    <row r="323" spans="1:7" x14ac:dyDescent="0.2">
      <c r="A323" s="26"/>
      <c r="G323" s="28"/>
    </row>
    <row r="324" spans="1:7" x14ac:dyDescent="0.2">
      <c r="A324" s="26"/>
      <c r="G324" s="28"/>
    </row>
    <row r="325" spans="1:7" x14ac:dyDescent="0.2">
      <c r="A325" s="26"/>
      <c r="G325" s="28"/>
    </row>
    <row r="326" spans="1:7" x14ac:dyDescent="0.2">
      <c r="A326" s="26"/>
      <c r="G326" s="28"/>
    </row>
    <row r="327" spans="1:7" x14ac:dyDescent="0.2">
      <c r="A327" s="26"/>
      <c r="G327" s="28"/>
    </row>
    <row r="328" spans="1:7" x14ac:dyDescent="0.2">
      <c r="A328" s="26"/>
      <c r="G328" s="28"/>
    </row>
    <row r="329" spans="1:7" x14ac:dyDescent="0.2">
      <c r="A329" s="26"/>
      <c r="G329" s="28"/>
    </row>
    <row r="330" spans="1:7" x14ac:dyDescent="0.2">
      <c r="A330" s="26"/>
      <c r="G330" s="28"/>
    </row>
    <row r="331" spans="1:7" x14ac:dyDescent="0.2">
      <c r="A331" s="26"/>
      <c r="G331" s="28"/>
    </row>
    <row r="332" spans="1:7" x14ac:dyDescent="0.2">
      <c r="A332" s="26"/>
      <c r="G332" s="28"/>
    </row>
    <row r="333" spans="1:7" x14ac:dyDescent="0.2">
      <c r="A333" s="26"/>
      <c r="G333" s="28"/>
    </row>
    <row r="334" spans="1:7" x14ac:dyDescent="0.2">
      <c r="A334" s="26"/>
      <c r="G334" s="28"/>
    </row>
    <row r="335" spans="1:7" x14ac:dyDescent="0.2">
      <c r="A335" s="26"/>
      <c r="G335" s="28"/>
    </row>
    <row r="336" spans="1:7" x14ac:dyDescent="0.2">
      <c r="A336" s="26"/>
      <c r="G336" s="28"/>
    </row>
    <row r="337" spans="1:7" x14ac:dyDescent="0.2">
      <c r="A337" s="26"/>
      <c r="G337" s="28"/>
    </row>
    <row r="338" spans="1:7" x14ac:dyDescent="0.2">
      <c r="A338" s="26"/>
      <c r="G338" s="28"/>
    </row>
    <row r="339" spans="1:7" x14ac:dyDescent="0.2">
      <c r="A339" s="26"/>
      <c r="G339" s="28"/>
    </row>
    <row r="340" spans="1:7" x14ac:dyDescent="0.2">
      <c r="A340" s="26"/>
      <c r="G340" s="28"/>
    </row>
    <row r="341" spans="1:7" x14ac:dyDescent="0.2">
      <c r="A341" s="26"/>
      <c r="G341" s="28"/>
    </row>
    <row r="342" spans="1:7" x14ac:dyDescent="0.2">
      <c r="A342" s="26"/>
      <c r="G342" s="28"/>
    </row>
    <row r="343" spans="1:7" x14ac:dyDescent="0.2">
      <c r="A343" s="26"/>
      <c r="G343" s="28"/>
    </row>
    <row r="344" spans="1:7" x14ac:dyDescent="0.2">
      <c r="A344" s="26"/>
      <c r="G344" s="28"/>
    </row>
    <row r="345" spans="1:7" x14ac:dyDescent="0.2">
      <c r="A345" s="26"/>
      <c r="G345" s="28"/>
    </row>
    <row r="346" spans="1:7" x14ac:dyDescent="0.2">
      <c r="A346" s="26"/>
      <c r="G346" s="28"/>
    </row>
    <row r="347" spans="1:7" x14ac:dyDescent="0.2">
      <c r="A347" s="26"/>
      <c r="G347" s="28"/>
    </row>
    <row r="348" spans="1:7" x14ac:dyDescent="0.2">
      <c r="A348" s="26"/>
      <c r="G348" s="28"/>
    </row>
    <row r="349" spans="1:7" x14ac:dyDescent="0.2">
      <c r="A349" s="26"/>
      <c r="G349" s="28"/>
    </row>
    <row r="350" spans="1:7" x14ac:dyDescent="0.2">
      <c r="A350" s="26"/>
      <c r="G350" s="28"/>
    </row>
    <row r="351" spans="1:7" x14ac:dyDescent="0.2">
      <c r="A351" s="26"/>
      <c r="G351" s="28"/>
    </row>
    <row r="352" spans="1:7" x14ac:dyDescent="0.2">
      <c r="A352" s="26"/>
      <c r="G352" s="28"/>
    </row>
    <row r="353" spans="1:7" x14ac:dyDescent="0.2">
      <c r="A353" s="26"/>
      <c r="G353" s="28"/>
    </row>
    <row r="354" spans="1:7" x14ac:dyDescent="0.2">
      <c r="A354" s="26"/>
      <c r="G354" s="28"/>
    </row>
    <row r="355" spans="1:7" x14ac:dyDescent="0.2">
      <c r="A355" s="26"/>
      <c r="G355" s="28"/>
    </row>
    <row r="356" spans="1:7" x14ac:dyDescent="0.2">
      <c r="A356" s="26"/>
      <c r="G356" s="28"/>
    </row>
    <row r="357" spans="1:7" x14ac:dyDescent="0.2">
      <c r="A357" s="26"/>
      <c r="G357" s="28"/>
    </row>
    <row r="358" spans="1:7" x14ac:dyDescent="0.2">
      <c r="A358" s="26"/>
      <c r="G358" s="28"/>
    </row>
    <row r="359" spans="1:7" x14ac:dyDescent="0.2">
      <c r="A359" s="26"/>
      <c r="G359" s="28"/>
    </row>
    <row r="360" spans="1:7" x14ac:dyDescent="0.2">
      <c r="A360" s="26"/>
      <c r="G360" s="28"/>
    </row>
    <row r="361" spans="1:7" x14ac:dyDescent="0.2">
      <c r="A361" s="26"/>
      <c r="G361" s="28"/>
    </row>
    <row r="362" spans="1:7" x14ac:dyDescent="0.2">
      <c r="A362" s="26"/>
      <c r="G362" s="28"/>
    </row>
    <row r="363" spans="1:7" x14ac:dyDescent="0.2">
      <c r="A363" s="26"/>
      <c r="G363" s="28"/>
    </row>
    <row r="364" spans="1:7" x14ac:dyDescent="0.2">
      <c r="A364" s="26"/>
      <c r="G364" s="28"/>
    </row>
    <row r="365" spans="1:7" x14ac:dyDescent="0.2">
      <c r="A365" s="26"/>
      <c r="G365" s="28"/>
    </row>
    <row r="366" spans="1:7" x14ac:dyDescent="0.2">
      <c r="A366" s="26"/>
      <c r="G366" s="28"/>
    </row>
    <row r="367" spans="1:7" x14ac:dyDescent="0.2">
      <c r="A367" s="26"/>
      <c r="G367" s="28"/>
    </row>
    <row r="368" spans="1:7" x14ac:dyDescent="0.2">
      <c r="A368" s="26"/>
      <c r="G368" s="28"/>
    </row>
    <row r="369" spans="1:7" x14ac:dyDescent="0.2">
      <c r="A369" s="26"/>
      <c r="G369" s="28"/>
    </row>
    <row r="370" spans="1:7" x14ac:dyDescent="0.2">
      <c r="A370" s="26"/>
      <c r="G370" s="28"/>
    </row>
    <row r="371" spans="1:7" x14ac:dyDescent="0.2">
      <c r="A371" s="26"/>
      <c r="G371" s="28"/>
    </row>
    <row r="372" spans="1:7" x14ac:dyDescent="0.2">
      <c r="A372" s="26"/>
      <c r="G372" s="28"/>
    </row>
    <row r="373" spans="1:7" x14ac:dyDescent="0.2">
      <c r="A373" s="26"/>
      <c r="G373" s="28"/>
    </row>
    <row r="374" spans="1:7" x14ac:dyDescent="0.2">
      <c r="A374" s="26"/>
      <c r="G374" s="28"/>
    </row>
    <row r="375" spans="1:7" x14ac:dyDescent="0.2">
      <c r="A375" s="26"/>
      <c r="G375" s="28"/>
    </row>
    <row r="376" spans="1:7" x14ac:dyDescent="0.2">
      <c r="A376" s="26"/>
      <c r="G376" s="28"/>
    </row>
    <row r="377" spans="1:7" x14ac:dyDescent="0.2">
      <c r="A377" s="26"/>
      <c r="G377" s="28"/>
    </row>
    <row r="378" spans="1:7" x14ac:dyDescent="0.2">
      <c r="A378" s="26"/>
      <c r="G378" s="28"/>
    </row>
    <row r="379" spans="1:7" x14ac:dyDescent="0.2">
      <c r="A379" s="26"/>
      <c r="G379" s="28"/>
    </row>
    <row r="380" spans="1:7" x14ac:dyDescent="0.2">
      <c r="A380" s="26"/>
      <c r="G380" s="28"/>
    </row>
    <row r="381" spans="1:7" x14ac:dyDescent="0.2">
      <c r="A381" s="26"/>
      <c r="G381" s="28"/>
    </row>
    <row r="382" spans="1:7" x14ac:dyDescent="0.2">
      <c r="A382" s="26"/>
      <c r="G382" s="28"/>
    </row>
    <row r="383" spans="1:7" x14ac:dyDescent="0.2">
      <c r="A383" s="26"/>
      <c r="G383" s="28"/>
    </row>
    <row r="384" spans="1:7" x14ac:dyDescent="0.2">
      <c r="A384" s="26"/>
      <c r="G384" s="28"/>
    </row>
    <row r="385" spans="1:7" x14ac:dyDescent="0.2">
      <c r="A385" s="26"/>
      <c r="G385" s="28"/>
    </row>
    <row r="386" spans="1:7" x14ac:dyDescent="0.2">
      <c r="A386" s="26"/>
      <c r="G386" s="28"/>
    </row>
    <row r="387" spans="1:7" x14ac:dyDescent="0.2">
      <c r="A387" s="26"/>
      <c r="G387" s="28"/>
    </row>
    <row r="388" spans="1:7" x14ac:dyDescent="0.2">
      <c r="A388" s="26"/>
      <c r="G388" s="28"/>
    </row>
    <row r="389" spans="1:7" x14ac:dyDescent="0.2">
      <c r="A389" s="26"/>
      <c r="G389" s="28"/>
    </row>
    <row r="390" spans="1:7" x14ac:dyDescent="0.2">
      <c r="A390" s="26"/>
      <c r="G390" s="28"/>
    </row>
    <row r="391" spans="1:7" x14ac:dyDescent="0.2">
      <c r="A391" s="26"/>
      <c r="G391" s="28"/>
    </row>
    <row r="392" spans="1:7" x14ac:dyDescent="0.2">
      <c r="A392" s="26"/>
      <c r="G392" s="28"/>
    </row>
    <row r="393" spans="1:7" x14ac:dyDescent="0.2">
      <c r="A393" s="26"/>
      <c r="G393" s="28"/>
    </row>
    <row r="394" spans="1:7" x14ac:dyDescent="0.2">
      <c r="A394" s="26"/>
      <c r="G394" s="28"/>
    </row>
    <row r="395" spans="1:7" x14ac:dyDescent="0.2">
      <c r="A395" s="26"/>
      <c r="G395" s="28"/>
    </row>
    <row r="396" spans="1:7" x14ac:dyDescent="0.2">
      <c r="A396" s="26"/>
      <c r="G396" s="28"/>
    </row>
    <row r="397" spans="1:7" x14ac:dyDescent="0.2">
      <c r="A397" s="26"/>
      <c r="G397" s="28"/>
    </row>
    <row r="398" spans="1:7" x14ac:dyDescent="0.2">
      <c r="A398" s="26"/>
      <c r="G398" s="28"/>
    </row>
    <row r="399" spans="1:7" x14ac:dyDescent="0.2">
      <c r="A399" s="26"/>
      <c r="G399" s="28"/>
    </row>
    <row r="400" spans="1:7" x14ac:dyDescent="0.2">
      <c r="A400" s="26"/>
      <c r="G400" s="28"/>
    </row>
    <row r="401" spans="1:7" x14ac:dyDescent="0.2">
      <c r="A401" s="26"/>
      <c r="G401" s="28"/>
    </row>
    <row r="402" spans="1:7" x14ac:dyDescent="0.2">
      <c r="A402" s="26"/>
      <c r="G402" s="28"/>
    </row>
    <row r="403" spans="1:7" x14ac:dyDescent="0.2">
      <c r="A403" s="26"/>
      <c r="G403" s="28"/>
    </row>
    <row r="404" spans="1:7" x14ac:dyDescent="0.2">
      <c r="A404" s="26"/>
      <c r="G404" s="28"/>
    </row>
    <row r="405" spans="1:7" x14ac:dyDescent="0.2">
      <c r="A405" s="26"/>
      <c r="G405" s="28"/>
    </row>
    <row r="406" spans="1:7" x14ac:dyDescent="0.2">
      <c r="A406" s="26"/>
      <c r="G406" s="28"/>
    </row>
    <row r="407" spans="1:7" x14ac:dyDescent="0.2">
      <c r="A407" s="26"/>
      <c r="G407" s="28"/>
    </row>
    <row r="408" spans="1:7" x14ac:dyDescent="0.2">
      <c r="A408" s="26"/>
      <c r="G408" s="28"/>
    </row>
    <row r="409" spans="1:7" x14ac:dyDescent="0.2">
      <c r="A409" s="26"/>
      <c r="G409" s="28"/>
    </row>
    <row r="410" spans="1:7" x14ac:dyDescent="0.2">
      <c r="A410" s="26"/>
      <c r="G410" s="28"/>
    </row>
    <row r="411" spans="1:7" x14ac:dyDescent="0.2">
      <c r="A411" s="26"/>
      <c r="G411" s="28"/>
    </row>
    <row r="412" spans="1:7" x14ac:dyDescent="0.2">
      <c r="A412" s="26"/>
      <c r="G412" s="28"/>
    </row>
    <row r="413" spans="1:7" x14ac:dyDescent="0.2">
      <c r="A413" s="26"/>
      <c r="G413" s="28"/>
    </row>
    <row r="414" spans="1:7" x14ac:dyDescent="0.2">
      <c r="A414" s="26"/>
      <c r="G414" s="28"/>
    </row>
    <row r="415" spans="1:7" x14ac:dyDescent="0.2">
      <c r="A415" s="26"/>
      <c r="G415" s="28"/>
    </row>
    <row r="416" spans="1:7" x14ac:dyDescent="0.2">
      <c r="A416" s="26"/>
      <c r="G416" s="28"/>
    </row>
    <row r="417" spans="1:7" x14ac:dyDescent="0.2">
      <c r="A417" s="26"/>
      <c r="G417" s="28"/>
    </row>
    <row r="418" spans="1:7" x14ac:dyDescent="0.2">
      <c r="A418" s="26"/>
      <c r="G418" s="28"/>
    </row>
    <row r="419" spans="1:7" x14ac:dyDescent="0.2">
      <c r="A419" s="26"/>
      <c r="G419" s="28"/>
    </row>
    <row r="420" spans="1:7" x14ac:dyDescent="0.2">
      <c r="A420" s="26"/>
      <c r="G420" s="28"/>
    </row>
    <row r="421" spans="1:7" x14ac:dyDescent="0.2">
      <c r="A421" s="26"/>
      <c r="G421" s="28"/>
    </row>
    <row r="422" spans="1:7" x14ac:dyDescent="0.2">
      <c r="A422" s="26"/>
      <c r="G422" s="28"/>
    </row>
    <row r="423" spans="1:7" x14ac:dyDescent="0.2">
      <c r="A423" s="26"/>
      <c r="G423" s="28"/>
    </row>
    <row r="424" spans="1:7" x14ac:dyDescent="0.2">
      <c r="A424" s="26"/>
      <c r="G424" s="28"/>
    </row>
    <row r="425" spans="1:7" x14ac:dyDescent="0.2">
      <c r="A425" s="26"/>
      <c r="G425" s="28"/>
    </row>
    <row r="426" spans="1:7" x14ac:dyDescent="0.2">
      <c r="A426" s="26"/>
      <c r="G426" s="28"/>
    </row>
    <row r="427" spans="1:7" x14ac:dyDescent="0.2">
      <c r="A427" s="26"/>
      <c r="G427" s="28"/>
    </row>
    <row r="428" spans="1:7" x14ac:dyDescent="0.2">
      <c r="A428" s="26"/>
      <c r="G428" s="28"/>
    </row>
    <row r="429" spans="1:7" x14ac:dyDescent="0.2">
      <c r="A429" s="26"/>
      <c r="G429" s="28"/>
    </row>
    <row r="430" spans="1:7" x14ac:dyDescent="0.2">
      <c r="A430" s="26"/>
      <c r="G430" s="28"/>
    </row>
    <row r="431" spans="1:7" x14ac:dyDescent="0.2">
      <c r="A431" s="26"/>
      <c r="G431" s="28"/>
    </row>
    <row r="432" spans="1:7" x14ac:dyDescent="0.2">
      <c r="A432" s="26"/>
      <c r="G432" s="28"/>
    </row>
    <row r="433" spans="1:7" x14ac:dyDescent="0.2">
      <c r="A433" s="26"/>
      <c r="G433" s="28"/>
    </row>
    <row r="434" spans="1:7" x14ac:dyDescent="0.2">
      <c r="A434" s="26"/>
      <c r="G434" s="28"/>
    </row>
    <row r="435" spans="1:7" x14ac:dyDescent="0.2">
      <c r="A435" s="26"/>
      <c r="G435" s="28"/>
    </row>
    <row r="436" spans="1:7" x14ac:dyDescent="0.2">
      <c r="A436" s="26"/>
      <c r="G436" s="28"/>
    </row>
    <row r="437" spans="1:7" x14ac:dyDescent="0.2">
      <c r="A437" s="26"/>
      <c r="G437" s="28"/>
    </row>
    <row r="438" spans="1:7" x14ac:dyDescent="0.2">
      <c r="A438" s="26"/>
      <c r="G438" s="28"/>
    </row>
    <row r="439" spans="1:7" x14ac:dyDescent="0.2">
      <c r="A439" s="26"/>
      <c r="G439" s="28"/>
    </row>
    <row r="440" spans="1:7" x14ac:dyDescent="0.2">
      <c r="A440" s="26"/>
      <c r="G440" s="28"/>
    </row>
    <row r="441" spans="1:7" x14ac:dyDescent="0.2">
      <c r="A441" s="26"/>
      <c r="G441" s="28"/>
    </row>
    <row r="442" spans="1:7" x14ac:dyDescent="0.2">
      <c r="A442" s="26"/>
      <c r="G442" s="28"/>
    </row>
    <row r="443" spans="1:7" x14ac:dyDescent="0.2">
      <c r="A443" s="26"/>
      <c r="G443" s="28"/>
    </row>
    <row r="444" spans="1:7" x14ac:dyDescent="0.2">
      <c r="A444" s="26"/>
      <c r="G444" s="28"/>
    </row>
    <row r="445" spans="1:7" x14ac:dyDescent="0.2">
      <c r="A445" s="26"/>
      <c r="G445" s="28"/>
    </row>
    <row r="446" spans="1:7" x14ac:dyDescent="0.2">
      <c r="A446" s="26"/>
      <c r="G446" s="28"/>
    </row>
    <row r="447" spans="1:7" x14ac:dyDescent="0.2">
      <c r="A447" s="26"/>
      <c r="G447" s="28"/>
    </row>
    <row r="448" spans="1:7" x14ac:dyDescent="0.2">
      <c r="A448" s="26"/>
      <c r="G448" s="28"/>
    </row>
    <row r="449" spans="1:7" x14ac:dyDescent="0.2">
      <c r="A449" s="26"/>
      <c r="G449" s="28"/>
    </row>
    <row r="450" spans="1:7" x14ac:dyDescent="0.2">
      <c r="A450" s="26"/>
      <c r="G450" s="28"/>
    </row>
    <row r="451" spans="1:7" x14ac:dyDescent="0.2">
      <c r="A451" s="26"/>
      <c r="G451" s="28"/>
    </row>
    <row r="452" spans="1:7" x14ac:dyDescent="0.2">
      <c r="A452" s="26"/>
      <c r="G452" s="28"/>
    </row>
    <row r="453" spans="1:7" x14ac:dyDescent="0.2">
      <c r="A453" s="26"/>
      <c r="G453" s="28"/>
    </row>
    <row r="454" spans="1:7" x14ac:dyDescent="0.2">
      <c r="A454" s="26"/>
      <c r="G454" s="28"/>
    </row>
    <row r="455" spans="1:7" x14ac:dyDescent="0.2">
      <c r="A455" s="26"/>
      <c r="G455" s="28"/>
    </row>
    <row r="456" spans="1:7" x14ac:dyDescent="0.2">
      <c r="A456" s="26"/>
      <c r="G456" s="28"/>
    </row>
    <row r="457" spans="1:7" x14ac:dyDescent="0.2">
      <c r="A457" s="26"/>
      <c r="G457" s="28"/>
    </row>
    <row r="458" spans="1:7" x14ac:dyDescent="0.2">
      <c r="A458" s="26"/>
      <c r="G458" s="28"/>
    </row>
    <row r="459" spans="1:7" x14ac:dyDescent="0.2">
      <c r="A459" s="26"/>
      <c r="G459" s="28"/>
    </row>
    <row r="460" spans="1:7" x14ac:dyDescent="0.2">
      <c r="A460" s="26"/>
      <c r="G460" s="28"/>
    </row>
    <row r="461" spans="1:7" x14ac:dyDescent="0.2">
      <c r="A461" s="26"/>
      <c r="G461" s="28"/>
    </row>
    <row r="462" spans="1:7" x14ac:dyDescent="0.2">
      <c r="A462" s="26"/>
      <c r="G462" s="28"/>
    </row>
    <row r="463" spans="1:7" x14ac:dyDescent="0.2">
      <c r="A463" s="26"/>
      <c r="G463" s="28"/>
    </row>
    <row r="464" spans="1:7" x14ac:dyDescent="0.2">
      <c r="A464" s="26"/>
      <c r="G464" s="28"/>
    </row>
    <row r="465" spans="1:7" x14ac:dyDescent="0.2">
      <c r="A465" s="26"/>
      <c r="G465" s="28"/>
    </row>
    <row r="466" spans="1:7" x14ac:dyDescent="0.2">
      <c r="A466" s="26"/>
      <c r="G466" s="28"/>
    </row>
    <row r="467" spans="1:7" x14ac:dyDescent="0.2">
      <c r="A467" s="26"/>
      <c r="G467" s="28"/>
    </row>
    <row r="468" spans="1:7" x14ac:dyDescent="0.2">
      <c r="A468" s="26"/>
      <c r="G468" s="28"/>
    </row>
    <row r="469" spans="1:7" x14ac:dyDescent="0.2">
      <c r="A469" s="26"/>
      <c r="G469" s="28"/>
    </row>
    <row r="470" spans="1:7" x14ac:dyDescent="0.2">
      <c r="A470" s="26"/>
      <c r="G470" s="28"/>
    </row>
    <row r="471" spans="1:7" x14ac:dyDescent="0.2">
      <c r="A471" s="26"/>
      <c r="G471" s="28"/>
    </row>
    <row r="472" spans="1:7" x14ac:dyDescent="0.2">
      <c r="A472" s="26"/>
      <c r="G472" s="28"/>
    </row>
    <row r="473" spans="1:7" x14ac:dyDescent="0.2">
      <c r="A473" s="26"/>
      <c r="G473" s="28"/>
    </row>
    <row r="474" spans="1:7" x14ac:dyDescent="0.2">
      <c r="A474" s="26"/>
      <c r="G474" s="28"/>
    </row>
    <row r="475" spans="1:7" x14ac:dyDescent="0.2">
      <c r="A475" s="26"/>
      <c r="G475" s="28"/>
    </row>
    <row r="476" spans="1:7" x14ac:dyDescent="0.2">
      <c r="A476" s="26"/>
      <c r="G476" s="28"/>
    </row>
    <row r="477" spans="1:7" x14ac:dyDescent="0.2">
      <c r="A477" s="26"/>
      <c r="G477" s="28"/>
    </row>
    <row r="478" spans="1:7" x14ac:dyDescent="0.2">
      <c r="A478" s="26"/>
      <c r="G478" s="28"/>
    </row>
    <row r="479" spans="1:7" x14ac:dyDescent="0.2">
      <c r="A479" s="26"/>
      <c r="G479" s="28"/>
    </row>
    <row r="480" spans="1:7" x14ac:dyDescent="0.2">
      <c r="A480" s="26"/>
      <c r="G480" s="28"/>
    </row>
    <row r="481" spans="1:7" x14ac:dyDescent="0.2">
      <c r="A481" s="26"/>
      <c r="G481" s="28"/>
    </row>
    <row r="482" spans="1:7" x14ac:dyDescent="0.2">
      <c r="A482" s="26"/>
      <c r="G482" s="28"/>
    </row>
    <row r="483" spans="1:7" x14ac:dyDescent="0.2">
      <c r="A483" s="26"/>
      <c r="G483" s="28"/>
    </row>
    <row r="484" spans="1:7" x14ac:dyDescent="0.2">
      <c r="A484" s="26"/>
      <c r="G484" s="28"/>
    </row>
    <row r="485" spans="1:7" x14ac:dyDescent="0.2">
      <c r="A485" s="26"/>
      <c r="G485" s="28"/>
    </row>
    <row r="486" spans="1:7" x14ac:dyDescent="0.2">
      <c r="A486" s="26"/>
      <c r="G486" s="28"/>
    </row>
    <row r="487" spans="1:7" x14ac:dyDescent="0.2">
      <c r="A487" s="26"/>
      <c r="G487" s="28"/>
    </row>
    <row r="488" spans="1:7" x14ac:dyDescent="0.2">
      <c r="A488" s="26"/>
      <c r="G488" s="28"/>
    </row>
    <row r="489" spans="1:7" x14ac:dyDescent="0.2">
      <c r="A489" s="26"/>
      <c r="G489" s="28"/>
    </row>
    <row r="490" spans="1:7" x14ac:dyDescent="0.2">
      <c r="A490" s="26"/>
      <c r="G490" s="28"/>
    </row>
    <row r="491" spans="1:7" x14ac:dyDescent="0.2">
      <c r="A491" s="26"/>
      <c r="G491" s="28"/>
    </row>
    <row r="492" spans="1:7" x14ac:dyDescent="0.2">
      <c r="A492" s="26"/>
      <c r="G492" s="28"/>
    </row>
    <row r="493" spans="1:7" x14ac:dyDescent="0.2">
      <c r="A493" s="26"/>
      <c r="G493" s="28"/>
    </row>
    <row r="494" spans="1:7" x14ac:dyDescent="0.2">
      <c r="A494" s="26"/>
      <c r="G494" s="28"/>
    </row>
    <row r="495" spans="1:7" x14ac:dyDescent="0.2">
      <c r="A495" s="26"/>
      <c r="G495" s="28"/>
    </row>
    <row r="496" spans="1:7" x14ac:dyDescent="0.2">
      <c r="A496" s="26"/>
      <c r="G496" s="28"/>
    </row>
    <row r="497" spans="1:7" x14ac:dyDescent="0.2">
      <c r="A497" s="26"/>
      <c r="G497" s="28"/>
    </row>
    <row r="498" spans="1:7" x14ac:dyDescent="0.2">
      <c r="A498" s="26"/>
      <c r="G498" s="28"/>
    </row>
    <row r="499" spans="1:7" x14ac:dyDescent="0.2">
      <c r="A499" s="26"/>
      <c r="G499" s="28"/>
    </row>
    <row r="500" spans="1:7" x14ac:dyDescent="0.2">
      <c r="A500" s="26"/>
      <c r="G500" s="28"/>
    </row>
    <row r="501" spans="1:7" x14ac:dyDescent="0.2">
      <c r="A501" s="26"/>
      <c r="G501" s="28"/>
    </row>
    <row r="502" spans="1:7" x14ac:dyDescent="0.2">
      <c r="A502" s="26"/>
      <c r="G502" s="28"/>
    </row>
    <row r="503" spans="1:7" x14ac:dyDescent="0.2">
      <c r="A503" s="26"/>
      <c r="G503" s="28"/>
    </row>
    <row r="504" spans="1:7" x14ac:dyDescent="0.2">
      <c r="A504" s="26"/>
      <c r="G504" s="28"/>
    </row>
    <row r="505" spans="1:7" x14ac:dyDescent="0.2">
      <c r="A505" s="26"/>
      <c r="G505" s="28"/>
    </row>
    <row r="506" spans="1:7" x14ac:dyDescent="0.2">
      <c r="A506" s="26"/>
      <c r="G506" s="28"/>
    </row>
    <row r="507" spans="1:7" x14ac:dyDescent="0.2">
      <c r="A507" s="26"/>
      <c r="G507" s="28"/>
    </row>
    <row r="508" spans="1:7" x14ac:dyDescent="0.2">
      <c r="A508" s="26"/>
      <c r="G508" s="28"/>
    </row>
    <row r="509" spans="1:7" x14ac:dyDescent="0.2">
      <c r="A509" s="26"/>
      <c r="G509" s="28"/>
    </row>
    <row r="510" spans="1:7" x14ac:dyDescent="0.2">
      <c r="A510" s="26"/>
      <c r="G510" s="28"/>
    </row>
    <row r="511" spans="1:7" x14ac:dyDescent="0.2">
      <c r="A511" s="26"/>
      <c r="G511" s="28"/>
    </row>
    <row r="512" spans="1:7" x14ac:dyDescent="0.2">
      <c r="A512" s="26"/>
      <c r="G512" s="28"/>
    </row>
    <row r="513" spans="1:7" x14ac:dyDescent="0.2">
      <c r="A513" s="26"/>
      <c r="G513" s="28"/>
    </row>
    <row r="514" spans="1:7" x14ac:dyDescent="0.2">
      <c r="A514" s="26"/>
      <c r="G514" s="28"/>
    </row>
    <row r="515" spans="1:7" x14ac:dyDescent="0.2">
      <c r="A515" s="26"/>
      <c r="G515" s="28"/>
    </row>
    <row r="516" spans="1:7" x14ac:dyDescent="0.2">
      <c r="A516" s="26"/>
      <c r="G516" s="28"/>
    </row>
    <row r="517" spans="1:7" x14ac:dyDescent="0.2">
      <c r="A517" s="26"/>
      <c r="G517" s="28"/>
    </row>
    <row r="518" spans="1:7" x14ac:dyDescent="0.2">
      <c r="A518" s="26"/>
      <c r="G518" s="28"/>
    </row>
    <row r="519" spans="1:7" x14ac:dyDescent="0.2">
      <c r="A519" s="26"/>
      <c r="G519" s="28"/>
    </row>
    <row r="520" spans="1:7" x14ac:dyDescent="0.2">
      <c r="A520" s="26"/>
      <c r="G520" s="28"/>
    </row>
    <row r="521" spans="1:7" x14ac:dyDescent="0.2">
      <c r="A521" s="26"/>
      <c r="G521" s="28"/>
    </row>
    <row r="522" spans="1:7" x14ac:dyDescent="0.2">
      <c r="A522" s="26"/>
      <c r="G522" s="28"/>
    </row>
    <row r="523" spans="1:7" x14ac:dyDescent="0.2">
      <c r="A523" s="26"/>
      <c r="G523" s="28"/>
    </row>
    <row r="524" spans="1:7" x14ac:dyDescent="0.2">
      <c r="A524" s="26"/>
      <c r="G524" s="28"/>
    </row>
    <row r="525" spans="1:7" x14ac:dyDescent="0.2">
      <c r="A525" s="26"/>
      <c r="G525" s="28"/>
    </row>
    <row r="526" spans="1:7" x14ac:dyDescent="0.2">
      <c r="A526" s="26"/>
      <c r="G526" s="28"/>
    </row>
    <row r="527" spans="1:7" x14ac:dyDescent="0.2">
      <c r="A527" s="26"/>
      <c r="G527" s="28"/>
    </row>
    <row r="528" spans="1:7" x14ac:dyDescent="0.2">
      <c r="A528" s="26"/>
      <c r="G528" s="28"/>
    </row>
    <row r="529" spans="1:7" x14ac:dyDescent="0.2">
      <c r="A529" s="26"/>
      <c r="G529" s="28"/>
    </row>
    <row r="530" spans="1:7" x14ac:dyDescent="0.2">
      <c r="A530" s="26"/>
      <c r="G530" s="28"/>
    </row>
    <row r="531" spans="1:7" x14ac:dyDescent="0.2">
      <c r="A531" s="26"/>
      <c r="G531" s="28"/>
    </row>
    <row r="532" spans="1:7" x14ac:dyDescent="0.2">
      <c r="A532" s="26"/>
      <c r="G532" s="28"/>
    </row>
    <row r="533" spans="1:7" x14ac:dyDescent="0.2">
      <c r="A533" s="26"/>
      <c r="G533" s="28"/>
    </row>
    <row r="534" spans="1:7" x14ac:dyDescent="0.2">
      <c r="A534" s="26"/>
      <c r="G534" s="28"/>
    </row>
    <row r="535" spans="1:7" x14ac:dyDescent="0.2">
      <c r="A535" s="26"/>
      <c r="G535" s="28"/>
    </row>
    <row r="536" spans="1:7" x14ac:dyDescent="0.2">
      <c r="A536" s="26"/>
      <c r="G536" s="28"/>
    </row>
    <row r="537" spans="1:7" x14ac:dyDescent="0.2">
      <c r="A537" s="26"/>
      <c r="G537" s="28"/>
    </row>
    <row r="538" spans="1:7" x14ac:dyDescent="0.2">
      <c r="A538" s="26"/>
      <c r="G538" s="28"/>
    </row>
    <row r="539" spans="1:7" x14ac:dyDescent="0.2">
      <c r="A539" s="26"/>
      <c r="G539" s="28"/>
    </row>
    <row r="540" spans="1:7" x14ac:dyDescent="0.2">
      <c r="A540" s="26"/>
      <c r="G540" s="28"/>
    </row>
    <row r="541" spans="1:7" x14ac:dyDescent="0.2">
      <c r="A541" s="26"/>
      <c r="G541" s="28"/>
    </row>
    <row r="542" spans="1:7" x14ac:dyDescent="0.2">
      <c r="A542" s="26"/>
      <c r="G542" s="28"/>
    </row>
    <row r="543" spans="1:7" x14ac:dyDescent="0.2">
      <c r="A543" s="26"/>
      <c r="G543" s="28"/>
    </row>
    <row r="544" spans="1:7" x14ac:dyDescent="0.2">
      <c r="A544" s="26"/>
      <c r="G544" s="28"/>
    </row>
    <row r="545" spans="1:7" x14ac:dyDescent="0.2">
      <c r="A545" s="26"/>
      <c r="G545" s="28"/>
    </row>
    <row r="546" spans="1:7" x14ac:dyDescent="0.2">
      <c r="A546" s="26"/>
      <c r="G546" s="28"/>
    </row>
    <row r="547" spans="1:7" x14ac:dyDescent="0.2">
      <c r="A547" s="26"/>
      <c r="G547" s="28"/>
    </row>
    <row r="548" spans="1:7" x14ac:dyDescent="0.2">
      <c r="A548" s="26"/>
      <c r="G548" s="28"/>
    </row>
    <row r="549" spans="1:7" x14ac:dyDescent="0.2">
      <c r="A549" s="26"/>
      <c r="G549" s="28"/>
    </row>
    <row r="550" spans="1:7" x14ac:dyDescent="0.2">
      <c r="A550" s="26"/>
      <c r="G550" s="28"/>
    </row>
    <row r="551" spans="1:7" x14ac:dyDescent="0.2">
      <c r="A551" s="26"/>
      <c r="G551" s="28"/>
    </row>
    <row r="552" spans="1:7" x14ac:dyDescent="0.2">
      <c r="A552" s="26"/>
      <c r="G552" s="28"/>
    </row>
    <row r="553" spans="1:7" x14ac:dyDescent="0.2">
      <c r="A553" s="26"/>
      <c r="G553" s="28"/>
    </row>
    <row r="554" spans="1:7" x14ac:dyDescent="0.2">
      <c r="A554" s="26"/>
      <c r="G554" s="28"/>
    </row>
    <row r="555" spans="1:7" x14ac:dyDescent="0.2">
      <c r="A555" s="26"/>
      <c r="G555" s="28"/>
    </row>
    <row r="556" spans="1:7" x14ac:dyDescent="0.2">
      <c r="A556" s="26"/>
      <c r="G556" s="28"/>
    </row>
    <row r="557" spans="1:7" x14ac:dyDescent="0.2">
      <c r="A557" s="26"/>
      <c r="G557" s="28"/>
    </row>
    <row r="558" spans="1:7" x14ac:dyDescent="0.2">
      <c r="A558" s="26"/>
      <c r="G558" s="28"/>
    </row>
    <row r="559" spans="1:7" x14ac:dyDescent="0.2">
      <c r="A559" s="26"/>
      <c r="G559" s="28"/>
    </row>
    <row r="560" spans="1:7" x14ac:dyDescent="0.2">
      <c r="A560" s="26"/>
      <c r="G560" s="28"/>
    </row>
    <row r="561" spans="1:7" x14ac:dyDescent="0.2">
      <c r="A561" s="26"/>
      <c r="G561" s="28"/>
    </row>
    <row r="562" spans="1:7" x14ac:dyDescent="0.2">
      <c r="A562" s="26"/>
      <c r="G562" s="28"/>
    </row>
    <row r="563" spans="1:7" x14ac:dyDescent="0.2">
      <c r="A563" s="26"/>
      <c r="G563" s="28"/>
    </row>
    <row r="564" spans="1:7" x14ac:dyDescent="0.2">
      <c r="A564" s="26"/>
      <c r="G564" s="28"/>
    </row>
    <row r="565" spans="1:7" x14ac:dyDescent="0.2">
      <c r="A565" s="26"/>
      <c r="G565" s="28"/>
    </row>
    <row r="566" spans="1:7" x14ac:dyDescent="0.2">
      <c r="A566" s="26"/>
      <c r="G566" s="28"/>
    </row>
    <row r="567" spans="1:7" x14ac:dyDescent="0.2">
      <c r="A567" s="26"/>
      <c r="G567" s="28"/>
    </row>
    <row r="568" spans="1:7" x14ac:dyDescent="0.2">
      <c r="A568" s="26"/>
      <c r="G568" s="28"/>
    </row>
    <row r="569" spans="1:7" x14ac:dyDescent="0.2">
      <c r="A569" s="26"/>
      <c r="G569" s="28"/>
    </row>
    <row r="570" spans="1:7" x14ac:dyDescent="0.2">
      <c r="A570" s="26"/>
      <c r="G570" s="28"/>
    </row>
    <row r="571" spans="1:7" x14ac:dyDescent="0.2">
      <c r="A571" s="26"/>
      <c r="G571" s="28"/>
    </row>
    <row r="572" spans="1:7" x14ac:dyDescent="0.2">
      <c r="A572" s="26"/>
      <c r="G572" s="28"/>
    </row>
    <row r="573" spans="1:7" x14ac:dyDescent="0.2">
      <c r="A573" s="26"/>
      <c r="G573" s="28"/>
    </row>
    <row r="574" spans="1:7" x14ac:dyDescent="0.2">
      <c r="A574" s="26"/>
      <c r="G574" s="28"/>
    </row>
    <row r="575" spans="1:7" x14ac:dyDescent="0.2">
      <c r="A575" s="26"/>
      <c r="G575" s="28"/>
    </row>
    <row r="576" spans="1:7" x14ac:dyDescent="0.2">
      <c r="A576" s="26"/>
      <c r="G576" s="28"/>
    </row>
    <row r="577" spans="1:7" x14ac:dyDescent="0.2">
      <c r="A577" s="26"/>
      <c r="G577" s="28"/>
    </row>
    <row r="578" spans="1:7" x14ac:dyDescent="0.2">
      <c r="A578" s="26"/>
      <c r="G578" s="28"/>
    </row>
    <row r="579" spans="1:7" x14ac:dyDescent="0.2">
      <c r="A579" s="26"/>
      <c r="G579" s="28"/>
    </row>
    <row r="580" spans="1:7" x14ac:dyDescent="0.2">
      <c r="A580" s="26"/>
      <c r="G580" s="28"/>
    </row>
    <row r="581" spans="1:7" x14ac:dyDescent="0.2">
      <c r="A581" s="26"/>
      <c r="G581" s="28"/>
    </row>
    <row r="582" spans="1:7" x14ac:dyDescent="0.2">
      <c r="A582" s="26"/>
      <c r="G582" s="28"/>
    </row>
    <row r="583" spans="1:7" x14ac:dyDescent="0.2">
      <c r="A583" s="26"/>
      <c r="G583" s="28"/>
    </row>
    <row r="584" spans="1:7" x14ac:dyDescent="0.2">
      <c r="A584" s="26"/>
      <c r="G584" s="28"/>
    </row>
    <row r="585" spans="1:7" x14ac:dyDescent="0.2">
      <c r="A585" s="26"/>
      <c r="G585" s="28"/>
    </row>
    <row r="586" spans="1:7" x14ac:dyDescent="0.2">
      <c r="A586" s="26"/>
      <c r="G586" s="28"/>
    </row>
    <row r="587" spans="1:7" x14ac:dyDescent="0.2">
      <c r="A587" s="26"/>
      <c r="G587" s="28"/>
    </row>
    <row r="588" spans="1:7" x14ac:dyDescent="0.2">
      <c r="A588" s="26"/>
      <c r="G588" s="28"/>
    </row>
    <row r="589" spans="1:7" x14ac:dyDescent="0.2">
      <c r="A589" s="26"/>
      <c r="G589" s="28"/>
    </row>
    <row r="590" spans="1:7" x14ac:dyDescent="0.2">
      <c r="A590" s="26"/>
      <c r="G590" s="28"/>
    </row>
    <row r="591" spans="1:7" x14ac:dyDescent="0.2">
      <c r="A591" s="26"/>
      <c r="G591" s="28"/>
    </row>
    <row r="592" spans="1:7" x14ac:dyDescent="0.2">
      <c r="A592" s="26"/>
      <c r="G592" s="28"/>
    </row>
    <row r="593" spans="1:7" x14ac:dyDescent="0.2">
      <c r="A593" s="26"/>
      <c r="G593" s="28"/>
    </row>
    <row r="594" spans="1:7" x14ac:dyDescent="0.2">
      <c r="A594" s="26"/>
      <c r="G594" s="28"/>
    </row>
    <row r="595" spans="1:7" x14ac:dyDescent="0.2">
      <c r="A595" s="26"/>
      <c r="G595" s="28"/>
    </row>
    <row r="596" spans="1:7" x14ac:dyDescent="0.2">
      <c r="A596" s="26"/>
      <c r="G596" s="28"/>
    </row>
    <row r="597" spans="1:7" x14ac:dyDescent="0.2">
      <c r="A597" s="26"/>
      <c r="G597" s="28"/>
    </row>
    <row r="598" spans="1:7" x14ac:dyDescent="0.2">
      <c r="A598" s="26"/>
      <c r="G598" s="28"/>
    </row>
    <row r="599" spans="1:7" x14ac:dyDescent="0.2">
      <c r="A599" s="26"/>
      <c r="G599" s="28"/>
    </row>
    <row r="600" spans="1:7" x14ac:dyDescent="0.2">
      <c r="A600" s="26"/>
      <c r="G600" s="28"/>
    </row>
    <row r="601" spans="1:7" x14ac:dyDescent="0.2">
      <c r="A601" s="26"/>
      <c r="G601" s="28"/>
    </row>
    <row r="602" spans="1:7" x14ac:dyDescent="0.2">
      <c r="A602" s="26"/>
      <c r="G602" s="28"/>
    </row>
    <row r="603" spans="1:7" x14ac:dyDescent="0.2">
      <c r="A603" s="26"/>
      <c r="G603" s="28"/>
    </row>
    <row r="604" spans="1:7" x14ac:dyDescent="0.2">
      <c r="A604" s="26"/>
      <c r="G604" s="28"/>
    </row>
    <row r="605" spans="1:7" x14ac:dyDescent="0.2">
      <c r="A605" s="26"/>
      <c r="G605" s="28"/>
    </row>
    <row r="606" spans="1:7" x14ac:dyDescent="0.2">
      <c r="A606" s="26"/>
      <c r="G606" s="28"/>
    </row>
    <row r="607" spans="1:7" x14ac:dyDescent="0.2">
      <c r="A607" s="26"/>
      <c r="G607" s="28"/>
    </row>
    <row r="608" spans="1:7" x14ac:dyDescent="0.2">
      <c r="A608" s="26"/>
      <c r="G608" s="28"/>
    </row>
    <row r="609" spans="1:7" x14ac:dyDescent="0.2">
      <c r="A609" s="26"/>
      <c r="G609" s="28"/>
    </row>
    <row r="610" spans="1:7" x14ac:dyDescent="0.2">
      <c r="A610" s="26"/>
      <c r="G610" s="28"/>
    </row>
    <row r="611" spans="1:7" x14ac:dyDescent="0.2">
      <c r="A611" s="26"/>
      <c r="G611" s="28"/>
    </row>
    <row r="612" spans="1:7" x14ac:dyDescent="0.2">
      <c r="A612" s="26"/>
      <c r="G612" s="28"/>
    </row>
    <row r="613" spans="1:7" x14ac:dyDescent="0.2">
      <c r="A613" s="26"/>
      <c r="G613" s="28"/>
    </row>
    <row r="614" spans="1:7" x14ac:dyDescent="0.2">
      <c r="A614" s="26"/>
      <c r="G614" s="28"/>
    </row>
    <row r="615" spans="1:7" x14ac:dyDescent="0.2">
      <c r="A615" s="26"/>
      <c r="G615" s="28"/>
    </row>
    <row r="616" spans="1:7" x14ac:dyDescent="0.2">
      <c r="A616" s="26"/>
      <c r="G616" s="28"/>
    </row>
    <row r="617" spans="1:7" x14ac:dyDescent="0.2">
      <c r="A617" s="26"/>
      <c r="G617" s="28"/>
    </row>
    <row r="618" spans="1:7" x14ac:dyDescent="0.2">
      <c r="A618" s="26"/>
      <c r="G618" s="28"/>
    </row>
    <row r="619" spans="1:7" x14ac:dyDescent="0.2">
      <c r="A619" s="26"/>
      <c r="G619" s="28"/>
    </row>
    <row r="620" spans="1:7" x14ac:dyDescent="0.2">
      <c r="A620" s="26"/>
      <c r="G620" s="28"/>
    </row>
    <row r="621" spans="1:7" x14ac:dyDescent="0.2">
      <c r="A621" s="26"/>
      <c r="G621" s="28"/>
    </row>
    <row r="622" spans="1:7" x14ac:dyDescent="0.2">
      <c r="A622" s="26"/>
      <c r="G622" s="28"/>
    </row>
    <row r="623" spans="1:7" x14ac:dyDescent="0.2">
      <c r="A623" s="26"/>
      <c r="G623" s="28"/>
    </row>
    <row r="624" spans="1:7" x14ac:dyDescent="0.2">
      <c r="A624" s="26"/>
      <c r="G624" s="28"/>
    </row>
    <row r="625" spans="1:7" x14ac:dyDescent="0.2">
      <c r="A625" s="26"/>
      <c r="G625" s="28"/>
    </row>
    <row r="626" spans="1:7" x14ac:dyDescent="0.2">
      <c r="A626" s="26"/>
      <c r="G626" s="28"/>
    </row>
    <row r="627" spans="1:7" x14ac:dyDescent="0.2">
      <c r="A627" s="26"/>
      <c r="G627" s="28"/>
    </row>
    <row r="628" spans="1:7" x14ac:dyDescent="0.2">
      <c r="A628" s="26"/>
      <c r="G628" s="28"/>
    </row>
    <row r="629" spans="1:7" x14ac:dyDescent="0.2">
      <c r="A629" s="26"/>
      <c r="G629" s="28"/>
    </row>
    <row r="630" spans="1:7" x14ac:dyDescent="0.2">
      <c r="A630" s="26"/>
      <c r="G630" s="28"/>
    </row>
    <row r="631" spans="1:7" x14ac:dyDescent="0.2">
      <c r="A631" s="26"/>
      <c r="G631" s="28"/>
    </row>
    <row r="632" spans="1:7" x14ac:dyDescent="0.2">
      <c r="A632" s="26"/>
      <c r="G632" s="28"/>
    </row>
    <row r="633" spans="1:7" x14ac:dyDescent="0.2">
      <c r="A633" s="26"/>
      <c r="G633" s="28"/>
    </row>
    <row r="634" spans="1:7" x14ac:dyDescent="0.2">
      <c r="A634" s="26"/>
      <c r="G634" s="28"/>
    </row>
    <row r="635" spans="1:7" x14ac:dyDescent="0.2">
      <c r="A635" s="26"/>
      <c r="G635" s="28"/>
    </row>
    <row r="636" spans="1:7" x14ac:dyDescent="0.2">
      <c r="A636" s="26"/>
      <c r="G636" s="28"/>
    </row>
    <row r="637" spans="1:7" x14ac:dyDescent="0.2">
      <c r="A637" s="26"/>
      <c r="G637" s="28"/>
    </row>
    <row r="638" spans="1:7" x14ac:dyDescent="0.2">
      <c r="A638" s="26"/>
      <c r="G638" s="28"/>
    </row>
    <row r="639" spans="1:7" x14ac:dyDescent="0.2">
      <c r="A639" s="26"/>
      <c r="G639" s="28"/>
    </row>
    <row r="640" spans="1:7" x14ac:dyDescent="0.2">
      <c r="A640" s="26"/>
      <c r="G640" s="28"/>
    </row>
    <row r="641" spans="1:7" x14ac:dyDescent="0.2">
      <c r="A641" s="26"/>
      <c r="G641" s="28"/>
    </row>
    <row r="642" spans="1:7" x14ac:dyDescent="0.2">
      <c r="A642" s="26"/>
      <c r="G642" s="28"/>
    </row>
    <row r="643" spans="1:7" x14ac:dyDescent="0.2">
      <c r="A643" s="26"/>
      <c r="G643" s="28"/>
    </row>
    <row r="644" spans="1:7" x14ac:dyDescent="0.2">
      <c r="A644" s="26"/>
      <c r="G644" s="28"/>
    </row>
    <row r="645" spans="1:7" x14ac:dyDescent="0.2">
      <c r="A645" s="26"/>
      <c r="G645" s="28"/>
    </row>
    <row r="646" spans="1:7" x14ac:dyDescent="0.2">
      <c r="A646" s="26"/>
      <c r="G646" s="28"/>
    </row>
    <row r="647" spans="1:7" x14ac:dyDescent="0.2">
      <c r="A647" s="26"/>
      <c r="G647" s="28"/>
    </row>
    <row r="648" spans="1:7" x14ac:dyDescent="0.2">
      <c r="A648" s="26"/>
      <c r="G648" s="28"/>
    </row>
    <row r="649" spans="1:7" x14ac:dyDescent="0.2">
      <c r="A649" s="26"/>
      <c r="G649" s="28"/>
    </row>
    <row r="650" spans="1:7" x14ac:dyDescent="0.2">
      <c r="A650" s="26"/>
      <c r="G650" s="28"/>
    </row>
    <row r="651" spans="1:7" x14ac:dyDescent="0.2">
      <c r="A651" s="26"/>
      <c r="G651" s="28"/>
    </row>
    <row r="652" spans="1:7" x14ac:dyDescent="0.2">
      <c r="A652" s="26"/>
      <c r="G652" s="28"/>
    </row>
    <row r="653" spans="1:7" x14ac:dyDescent="0.2">
      <c r="A653" s="26"/>
      <c r="G653" s="28"/>
    </row>
    <row r="654" spans="1:7" x14ac:dyDescent="0.2">
      <c r="A654" s="26"/>
      <c r="G654" s="28"/>
    </row>
    <row r="655" spans="1:7" x14ac:dyDescent="0.2">
      <c r="A655" s="26"/>
      <c r="G655" s="28"/>
    </row>
    <row r="656" spans="1:7" x14ac:dyDescent="0.2">
      <c r="A656" s="26"/>
      <c r="G656" s="28"/>
    </row>
    <row r="657" spans="1:7" x14ac:dyDescent="0.2">
      <c r="A657" s="26"/>
      <c r="G657" s="28"/>
    </row>
    <row r="658" spans="1:7" x14ac:dyDescent="0.2">
      <c r="A658" s="26"/>
      <c r="G658" s="28"/>
    </row>
    <row r="659" spans="1:7" x14ac:dyDescent="0.2">
      <c r="A659" s="26"/>
      <c r="G659" s="28"/>
    </row>
    <row r="660" spans="1:7" x14ac:dyDescent="0.2">
      <c r="A660" s="26"/>
      <c r="G660" s="28"/>
    </row>
    <row r="661" spans="1:7" x14ac:dyDescent="0.2">
      <c r="A661" s="26"/>
      <c r="G661" s="28"/>
    </row>
    <row r="662" spans="1:7" x14ac:dyDescent="0.2">
      <c r="A662" s="26"/>
      <c r="G662" s="28"/>
    </row>
    <row r="663" spans="1:7" x14ac:dyDescent="0.2">
      <c r="A663" s="26"/>
      <c r="G663" s="28"/>
    </row>
    <row r="664" spans="1:7" x14ac:dyDescent="0.2">
      <c r="A664" s="26"/>
      <c r="G664" s="28"/>
    </row>
    <row r="665" spans="1:7" x14ac:dyDescent="0.2">
      <c r="A665" s="26"/>
      <c r="G665" s="28"/>
    </row>
    <row r="666" spans="1:7" x14ac:dyDescent="0.2">
      <c r="A666" s="26"/>
      <c r="G666" s="28"/>
    </row>
    <row r="667" spans="1:7" x14ac:dyDescent="0.2">
      <c r="A667" s="26"/>
      <c r="G667" s="28"/>
    </row>
    <row r="668" spans="1:7" x14ac:dyDescent="0.2">
      <c r="A668" s="26"/>
      <c r="G668" s="28"/>
    </row>
    <row r="669" spans="1:7" x14ac:dyDescent="0.2">
      <c r="A669" s="26"/>
      <c r="G669" s="28"/>
    </row>
    <row r="670" spans="1:7" x14ac:dyDescent="0.2">
      <c r="A670" s="26"/>
      <c r="G670" s="28"/>
    </row>
    <row r="671" spans="1:7" x14ac:dyDescent="0.2">
      <c r="A671" s="26"/>
      <c r="G671" s="28"/>
    </row>
    <row r="672" spans="1:7" x14ac:dyDescent="0.2">
      <c r="A672" s="26"/>
      <c r="G672" s="28"/>
    </row>
    <row r="673" spans="1:7" x14ac:dyDescent="0.2">
      <c r="A673" s="26"/>
      <c r="G673" s="28"/>
    </row>
    <row r="674" spans="1:7" x14ac:dyDescent="0.2">
      <c r="A674" s="26"/>
      <c r="G674" s="28"/>
    </row>
    <row r="675" spans="1:7" x14ac:dyDescent="0.2">
      <c r="A675" s="26"/>
      <c r="G675" s="28"/>
    </row>
    <row r="676" spans="1:7" x14ac:dyDescent="0.2">
      <c r="A676" s="26"/>
      <c r="G676" s="28"/>
    </row>
    <row r="677" spans="1:7" x14ac:dyDescent="0.2">
      <c r="A677" s="26"/>
      <c r="G677" s="28"/>
    </row>
    <row r="678" spans="1:7" x14ac:dyDescent="0.2">
      <c r="A678" s="26"/>
      <c r="G678" s="28"/>
    </row>
    <row r="679" spans="1:7" x14ac:dyDescent="0.2">
      <c r="A679" s="26"/>
      <c r="G679" s="28"/>
    </row>
    <row r="680" spans="1:7" x14ac:dyDescent="0.2">
      <c r="A680" s="26"/>
      <c r="G680" s="28"/>
    </row>
    <row r="681" spans="1:7" x14ac:dyDescent="0.2">
      <c r="A681" s="26"/>
      <c r="G681" s="28"/>
    </row>
    <row r="682" spans="1:7" x14ac:dyDescent="0.2">
      <c r="A682" s="26"/>
      <c r="G682" s="28"/>
    </row>
    <row r="683" spans="1:7" x14ac:dyDescent="0.2">
      <c r="A683" s="26"/>
      <c r="G683" s="28"/>
    </row>
    <row r="684" spans="1:7" x14ac:dyDescent="0.2">
      <c r="A684" s="26"/>
      <c r="G684" s="28"/>
    </row>
    <row r="685" spans="1:7" x14ac:dyDescent="0.2">
      <c r="A685" s="26"/>
      <c r="G685" s="28"/>
    </row>
    <row r="686" spans="1:7" x14ac:dyDescent="0.2">
      <c r="A686" s="26"/>
      <c r="G686" s="28"/>
    </row>
    <row r="687" spans="1:7" x14ac:dyDescent="0.2">
      <c r="A687" s="26"/>
      <c r="G687" s="28"/>
    </row>
    <row r="688" spans="1:7" x14ac:dyDescent="0.2">
      <c r="A688" s="26"/>
      <c r="G688" s="28"/>
    </row>
    <row r="689" spans="1:7" x14ac:dyDescent="0.2">
      <c r="A689" s="26"/>
      <c r="G689" s="28"/>
    </row>
    <row r="690" spans="1:7" x14ac:dyDescent="0.2">
      <c r="A690" s="26"/>
      <c r="G690" s="28"/>
    </row>
    <row r="691" spans="1:7" x14ac:dyDescent="0.2">
      <c r="A691" s="26"/>
      <c r="G691" s="28"/>
    </row>
    <row r="692" spans="1:7" x14ac:dyDescent="0.2">
      <c r="A692" s="26"/>
      <c r="G692" s="28"/>
    </row>
    <row r="693" spans="1:7" x14ac:dyDescent="0.2">
      <c r="A693" s="26"/>
      <c r="G693" s="28"/>
    </row>
    <row r="694" spans="1:7" x14ac:dyDescent="0.2">
      <c r="A694" s="26"/>
      <c r="G694" s="28"/>
    </row>
    <row r="695" spans="1:7" x14ac:dyDescent="0.2">
      <c r="A695" s="26"/>
      <c r="G695" s="28"/>
    </row>
    <row r="696" spans="1:7" x14ac:dyDescent="0.2">
      <c r="A696" s="26"/>
      <c r="G696" s="28"/>
    </row>
    <row r="697" spans="1:7" x14ac:dyDescent="0.2">
      <c r="A697" s="26"/>
      <c r="G697" s="28"/>
    </row>
    <row r="698" spans="1:7" x14ac:dyDescent="0.2">
      <c r="A698" s="26"/>
      <c r="G698" s="28"/>
    </row>
    <row r="699" spans="1:7" x14ac:dyDescent="0.2">
      <c r="A699" s="26"/>
      <c r="G699" s="28"/>
    </row>
    <row r="700" spans="1:7" x14ac:dyDescent="0.2">
      <c r="A700" s="26"/>
      <c r="G700" s="28"/>
    </row>
    <row r="701" spans="1:7" x14ac:dyDescent="0.2">
      <c r="A701" s="26"/>
      <c r="G701" s="28"/>
    </row>
    <row r="702" spans="1:7" x14ac:dyDescent="0.2">
      <c r="A702" s="26"/>
      <c r="G702" s="28"/>
    </row>
    <row r="703" spans="1:7" x14ac:dyDescent="0.2">
      <c r="A703" s="26"/>
      <c r="G703" s="28"/>
    </row>
    <row r="704" spans="1:7" x14ac:dyDescent="0.2">
      <c r="A704" s="26"/>
      <c r="G704" s="28"/>
    </row>
    <row r="705" spans="1:7" x14ac:dyDescent="0.2">
      <c r="A705" s="26"/>
      <c r="G705" s="28"/>
    </row>
    <row r="706" spans="1:7" x14ac:dyDescent="0.2">
      <c r="A706" s="26"/>
      <c r="G706" s="28"/>
    </row>
    <row r="707" spans="1:7" x14ac:dyDescent="0.2">
      <c r="A707" s="26"/>
      <c r="G707" s="28"/>
    </row>
    <row r="708" spans="1:7" x14ac:dyDescent="0.2">
      <c r="A708" s="26"/>
      <c r="G708" s="28"/>
    </row>
    <row r="709" spans="1:7" x14ac:dyDescent="0.2">
      <c r="A709" s="26"/>
      <c r="G709" s="28"/>
    </row>
    <row r="710" spans="1:7" x14ac:dyDescent="0.2">
      <c r="A710" s="26"/>
      <c r="G710" s="28"/>
    </row>
    <row r="711" spans="1:7" x14ac:dyDescent="0.2">
      <c r="A711" s="26"/>
      <c r="G711" s="28"/>
    </row>
    <row r="712" spans="1:7" x14ac:dyDescent="0.2">
      <c r="A712" s="26"/>
      <c r="G712" s="28"/>
    </row>
    <row r="713" spans="1:7" x14ac:dyDescent="0.2">
      <c r="A713" s="26"/>
      <c r="G713" s="28"/>
    </row>
    <row r="714" spans="1:7" x14ac:dyDescent="0.2">
      <c r="A714" s="26"/>
      <c r="G714" s="28"/>
    </row>
    <row r="715" spans="1:7" x14ac:dyDescent="0.2">
      <c r="A715" s="26"/>
      <c r="G715" s="28"/>
    </row>
    <row r="716" spans="1:7" x14ac:dyDescent="0.2">
      <c r="A716" s="26"/>
      <c r="G716" s="28"/>
    </row>
    <row r="717" spans="1:7" x14ac:dyDescent="0.2">
      <c r="A717" s="26"/>
      <c r="G717" s="28"/>
    </row>
    <row r="718" spans="1:7" x14ac:dyDescent="0.2">
      <c r="A718" s="26"/>
      <c r="G718" s="28"/>
    </row>
    <row r="719" spans="1:7" x14ac:dyDescent="0.2">
      <c r="A719" s="26"/>
      <c r="G719" s="28"/>
    </row>
    <row r="720" spans="1:7" x14ac:dyDescent="0.2">
      <c r="A720" s="26"/>
      <c r="G720" s="28"/>
    </row>
    <row r="721" spans="1:7" x14ac:dyDescent="0.2">
      <c r="A721" s="26"/>
      <c r="G721" s="28"/>
    </row>
    <row r="722" spans="1:7" x14ac:dyDescent="0.2">
      <c r="A722" s="26"/>
      <c r="G722" s="28"/>
    </row>
    <row r="723" spans="1:7" x14ac:dyDescent="0.2">
      <c r="A723" s="26"/>
      <c r="G723" s="28"/>
    </row>
    <row r="724" spans="1:7" x14ac:dyDescent="0.2">
      <c r="A724" s="26"/>
      <c r="G724" s="28"/>
    </row>
    <row r="725" spans="1:7" x14ac:dyDescent="0.2">
      <c r="A725" s="26"/>
      <c r="G725" s="28"/>
    </row>
    <row r="726" spans="1:7" x14ac:dyDescent="0.2">
      <c r="A726" s="26"/>
      <c r="G726" s="28"/>
    </row>
    <row r="727" spans="1:7" x14ac:dyDescent="0.2">
      <c r="A727" s="26"/>
      <c r="G727" s="28"/>
    </row>
    <row r="728" spans="1:7" x14ac:dyDescent="0.2">
      <c r="A728" s="26"/>
      <c r="G728" s="28"/>
    </row>
    <row r="729" spans="1:7" x14ac:dyDescent="0.2">
      <c r="A729" s="26"/>
      <c r="G729" s="28"/>
    </row>
    <row r="730" spans="1:7" x14ac:dyDescent="0.2">
      <c r="A730" s="26"/>
      <c r="G730" s="28"/>
    </row>
    <row r="731" spans="1:7" x14ac:dyDescent="0.2">
      <c r="A731" s="26"/>
      <c r="G731" s="28"/>
    </row>
    <row r="732" spans="1:7" x14ac:dyDescent="0.2">
      <c r="A732" s="26"/>
      <c r="G732" s="28"/>
    </row>
    <row r="733" spans="1:7" x14ac:dyDescent="0.2">
      <c r="A733" s="26"/>
      <c r="G733" s="28"/>
    </row>
    <row r="734" spans="1:7" x14ac:dyDescent="0.2">
      <c r="A734" s="26"/>
      <c r="G734" s="28"/>
    </row>
    <row r="735" spans="1:7" x14ac:dyDescent="0.2">
      <c r="A735" s="26"/>
      <c r="G735" s="28"/>
    </row>
    <row r="736" spans="1:7" x14ac:dyDescent="0.2">
      <c r="A736" s="26"/>
      <c r="G736" s="28"/>
    </row>
    <row r="737" spans="1:7" x14ac:dyDescent="0.2">
      <c r="A737" s="26"/>
      <c r="G737" s="28"/>
    </row>
    <row r="738" spans="1:7" x14ac:dyDescent="0.2">
      <c r="A738" s="26"/>
      <c r="G738" s="28"/>
    </row>
    <row r="739" spans="1:7" x14ac:dyDescent="0.2">
      <c r="A739" s="26"/>
      <c r="G739" s="28"/>
    </row>
    <row r="740" spans="1:7" x14ac:dyDescent="0.2">
      <c r="A740" s="26"/>
      <c r="G740" s="28"/>
    </row>
    <row r="741" spans="1:7" x14ac:dyDescent="0.2">
      <c r="A741" s="26"/>
      <c r="G741" s="28"/>
    </row>
    <row r="742" spans="1:7" x14ac:dyDescent="0.2">
      <c r="A742" s="26"/>
      <c r="G742" s="28"/>
    </row>
    <row r="743" spans="1:7" x14ac:dyDescent="0.2">
      <c r="A743" s="26"/>
      <c r="G743" s="28"/>
    </row>
    <row r="744" spans="1:7" x14ac:dyDescent="0.2">
      <c r="A744" s="26"/>
      <c r="G744" s="28"/>
    </row>
    <row r="745" spans="1:7" x14ac:dyDescent="0.2">
      <c r="A745" s="26"/>
      <c r="G745" s="28"/>
    </row>
    <row r="746" spans="1:7" x14ac:dyDescent="0.2">
      <c r="A746" s="26"/>
      <c r="G746" s="28"/>
    </row>
    <row r="747" spans="1:7" x14ac:dyDescent="0.2">
      <c r="A747" s="26"/>
      <c r="G747" s="28"/>
    </row>
    <row r="748" spans="1:7" x14ac:dyDescent="0.2">
      <c r="A748" s="26"/>
      <c r="G748" s="28"/>
    </row>
    <row r="749" spans="1:7" x14ac:dyDescent="0.2">
      <c r="A749" s="26"/>
      <c r="G749" s="28"/>
    </row>
    <row r="750" spans="1:7" x14ac:dyDescent="0.2">
      <c r="A750" s="26"/>
      <c r="G750" s="28"/>
    </row>
    <row r="751" spans="1:7" x14ac:dyDescent="0.2">
      <c r="A751" s="26"/>
      <c r="G751" s="28"/>
    </row>
    <row r="752" spans="1:7" x14ac:dyDescent="0.2">
      <c r="A752" s="26"/>
      <c r="G752" s="28"/>
    </row>
    <row r="753" spans="1:7" x14ac:dyDescent="0.2">
      <c r="A753" s="26"/>
      <c r="G753" s="28"/>
    </row>
    <row r="754" spans="1:7" x14ac:dyDescent="0.2">
      <c r="A754" s="26"/>
      <c r="G754" s="28"/>
    </row>
    <row r="755" spans="1:7" x14ac:dyDescent="0.2">
      <c r="A755" s="26"/>
      <c r="G755" s="28"/>
    </row>
    <row r="756" spans="1:7" x14ac:dyDescent="0.2">
      <c r="A756" s="26"/>
      <c r="G756" s="28"/>
    </row>
    <row r="757" spans="1:7" x14ac:dyDescent="0.2">
      <c r="A757" s="26"/>
      <c r="G757" s="28"/>
    </row>
    <row r="758" spans="1:7" x14ac:dyDescent="0.2">
      <c r="A758" s="26"/>
      <c r="G758" s="28"/>
    </row>
    <row r="759" spans="1:7" x14ac:dyDescent="0.2">
      <c r="A759" s="26"/>
      <c r="G759" s="28"/>
    </row>
    <row r="760" spans="1:7" x14ac:dyDescent="0.2">
      <c r="A760" s="26"/>
      <c r="G760" s="28"/>
    </row>
    <row r="761" spans="1:7" x14ac:dyDescent="0.2">
      <c r="A761" s="26"/>
      <c r="G761" s="28"/>
    </row>
    <row r="762" spans="1:7" x14ac:dyDescent="0.2">
      <c r="A762" s="26"/>
      <c r="G762" s="28"/>
    </row>
    <row r="763" spans="1:7" x14ac:dyDescent="0.2">
      <c r="A763" s="26"/>
      <c r="G763" s="28"/>
    </row>
    <row r="764" spans="1:7" x14ac:dyDescent="0.2">
      <c r="A764" s="26"/>
      <c r="G764" s="28"/>
    </row>
    <row r="765" spans="1:7" x14ac:dyDescent="0.2">
      <c r="A765" s="26"/>
      <c r="G765" s="28"/>
    </row>
    <row r="766" spans="1:7" x14ac:dyDescent="0.2">
      <c r="A766" s="26"/>
      <c r="G766" s="28"/>
    </row>
    <row r="767" spans="1:7" x14ac:dyDescent="0.2">
      <c r="A767" s="26"/>
      <c r="G767" s="28"/>
    </row>
    <row r="768" spans="1:7" x14ac:dyDescent="0.2">
      <c r="A768" s="26"/>
      <c r="G768" s="28"/>
    </row>
    <row r="769" spans="1:7" x14ac:dyDescent="0.2">
      <c r="A769" s="26"/>
      <c r="G769" s="28"/>
    </row>
    <row r="770" spans="1:7" x14ac:dyDescent="0.2">
      <c r="A770" s="26"/>
      <c r="G770" s="28"/>
    </row>
    <row r="771" spans="1:7" x14ac:dyDescent="0.2">
      <c r="A771" s="26"/>
      <c r="G771" s="28"/>
    </row>
    <row r="772" spans="1:7" x14ac:dyDescent="0.2">
      <c r="A772" s="26"/>
      <c r="G772" s="28"/>
    </row>
    <row r="773" spans="1:7" x14ac:dyDescent="0.2">
      <c r="A773" s="26"/>
      <c r="G773" s="28"/>
    </row>
    <row r="774" spans="1:7" x14ac:dyDescent="0.2">
      <c r="A774" s="26"/>
      <c r="G774" s="28"/>
    </row>
    <row r="775" spans="1:7" x14ac:dyDescent="0.2">
      <c r="A775" s="26"/>
      <c r="G775" s="28"/>
    </row>
    <row r="776" spans="1:7" x14ac:dyDescent="0.2">
      <c r="A776" s="26"/>
      <c r="G776" s="28"/>
    </row>
    <row r="777" spans="1:7" x14ac:dyDescent="0.2">
      <c r="A777" s="26"/>
      <c r="G777" s="28"/>
    </row>
    <row r="778" spans="1:7" x14ac:dyDescent="0.2">
      <c r="A778" s="26"/>
      <c r="G778" s="28"/>
    </row>
    <row r="779" spans="1:7" x14ac:dyDescent="0.2">
      <c r="A779" s="26"/>
      <c r="G779" s="28"/>
    </row>
    <row r="780" spans="1:7" x14ac:dyDescent="0.2">
      <c r="A780" s="26"/>
      <c r="G780" s="28"/>
    </row>
    <row r="781" spans="1:7" x14ac:dyDescent="0.2">
      <c r="A781" s="26"/>
      <c r="G781" s="28"/>
    </row>
    <row r="782" spans="1:7" x14ac:dyDescent="0.2">
      <c r="A782" s="26"/>
      <c r="G782" s="28"/>
    </row>
    <row r="783" spans="1:7" x14ac:dyDescent="0.2">
      <c r="A783" s="26"/>
      <c r="G783" s="28"/>
    </row>
    <row r="784" spans="1:7" x14ac:dyDescent="0.2">
      <c r="A784" s="26"/>
      <c r="G784" s="28"/>
    </row>
    <row r="785" spans="1:7" x14ac:dyDescent="0.2">
      <c r="A785" s="26"/>
      <c r="G785" s="28"/>
    </row>
    <row r="786" spans="1:7" x14ac:dyDescent="0.2">
      <c r="A786" s="26"/>
      <c r="G786" s="28"/>
    </row>
    <row r="787" spans="1:7" x14ac:dyDescent="0.2">
      <c r="A787" s="26"/>
      <c r="G787" s="28"/>
    </row>
    <row r="788" spans="1:7" x14ac:dyDescent="0.2">
      <c r="A788" s="26"/>
      <c r="G788" s="28"/>
    </row>
    <row r="789" spans="1:7" x14ac:dyDescent="0.2">
      <c r="A789" s="26"/>
      <c r="G789" s="28"/>
    </row>
    <row r="790" spans="1:7" x14ac:dyDescent="0.2">
      <c r="A790" s="26"/>
      <c r="G790" s="28"/>
    </row>
    <row r="791" spans="1:7" x14ac:dyDescent="0.2">
      <c r="A791" s="26"/>
      <c r="G791" s="28"/>
    </row>
    <row r="792" spans="1:7" x14ac:dyDescent="0.2">
      <c r="A792" s="26"/>
      <c r="G792" s="28"/>
    </row>
    <row r="793" spans="1:7" x14ac:dyDescent="0.2">
      <c r="A793" s="26"/>
      <c r="G793" s="28"/>
    </row>
    <row r="794" spans="1:7" x14ac:dyDescent="0.2">
      <c r="A794" s="26"/>
      <c r="G794" s="28"/>
    </row>
    <row r="795" spans="1:7" x14ac:dyDescent="0.2">
      <c r="A795" s="26"/>
      <c r="G795" s="28"/>
    </row>
    <row r="796" spans="1:7" x14ac:dyDescent="0.2">
      <c r="A796" s="26"/>
      <c r="G796" s="28"/>
    </row>
    <row r="797" spans="1:7" x14ac:dyDescent="0.2">
      <c r="A797" s="26"/>
      <c r="G797" s="28"/>
    </row>
    <row r="798" spans="1:7" x14ac:dyDescent="0.2">
      <c r="A798" s="26"/>
      <c r="G798" s="28"/>
    </row>
    <row r="799" spans="1:7" x14ac:dyDescent="0.2">
      <c r="A799" s="26"/>
      <c r="G799" s="28"/>
    </row>
    <row r="800" spans="1:7" x14ac:dyDescent="0.2">
      <c r="A800" s="26"/>
      <c r="G800" s="28"/>
    </row>
    <row r="801" spans="1:7" x14ac:dyDescent="0.2">
      <c r="A801" s="26"/>
      <c r="G801" s="28"/>
    </row>
    <row r="802" spans="1:7" x14ac:dyDescent="0.2">
      <c r="A802" s="26"/>
      <c r="G802" s="28"/>
    </row>
    <row r="803" spans="1:7" x14ac:dyDescent="0.2">
      <c r="A803" s="26"/>
      <c r="G803" s="28"/>
    </row>
    <row r="804" spans="1:7" x14ac:dyDescent="0.2">
      <c r="A804" s="26"/>
      <c r="G804" s="28"/>
    </row>
    <row r="805" spans="1:7" x14ac:dyDescent="0.2">
      <c r="A805" s="26"/>
      <c r="G805" s="28"/>
    </row>
    <row r="806" spans="1:7" x14ac:dyDescent="0.2">
      <c r="A806" s="26"/>
      <c r="G806" s="28"/>
    </row>
    <row r="807" spans="1:7" x14ac:dyDescent="0.2">
      <c r="A807" s="26"/>
      <c r="G807" s="28"/>
    </row>
    <row r="808" spans="1:7" x14ac:dyDescent="0.2">
      <c r="A808" s="26"/>
      <c r="G808" s="28"/>
    </row>
    <row r="809" spans="1:7" x14ac:dyDescent="0.2">
      <c r="A809" s="26"/>
      <c r="G809" s="28"/>
    </row>
    <row r="810" spans="1:7" x14ac:dyDescent="0.2">
      <c r="A810" s="26"/>
      <c r="G810" s="28"/>
    </row>
    <row r="811" spans="1:7" x14ac:dyDescent="0.2">
      <c r="A811" s="26"/>
      <c r="G811" s="28"/>
    </row>
    <row r="812" spans="1:7" x14ac:dyDescent="0.2">
      <c r="A812" s="26"/>
      <c r="G812" s="28"/>
    </row>
    <row r="813" spans="1:7" x14ac:dyDescent="0.2">
      <c r="A813" s="26"/>
      <c r="G813" s="28"/>
    </row>
    <row r="814" spans="1:7" x14ac:dyDescent="0.2">
      <c r="A814" s="26"/>
      <c r="G814" s="28"/>
    </row>
    <row r="815" spans="1:7" x14ac:dyDescent="0.2">
      <c r="A815" s="26"/>
      <c r="G815" s="28"/>
    </row>
    <row r="816" spans="1:7" x14ac:dyDescent="0.2">
      <c r="A816" s="26"/>
      <c r="G816" s="28"/>
    </row>
    <row r="817" spans="1:7" x14ac:dyDescent="0.2">
      <c r="A817" s="26"/>
      <c r="G817" s="28"/>
    </row>
    <row r="818" spans="1:7" x14ac:dyDescent="0.2">
      <c r="A818" s="26"/>
      <c r="G818" s="28"/>
    </row>
    <row r="819" spans="1:7" x14ac:dyDescent="0.2">
      <c r="A819" s="26"/>
      <c r="G819" s="28"/>
    </row>
    <row r="820" spans="1:7" x14ac:dyDescent="0.2">
      <c r="A820" s="26"/>
      <c r="G820" s="28"/>
    </row>
    <row r="821" spans="1:7" x14ac:dyDescent="0.2">
      <c r="A821" s="26"/>
      <c r="G821" s="28"/>
    </row>
    <row r="822" spans="1:7" x14ac:dyDescent="0.2">
      <c r="A822" s="26"/>
      <c r="G822" s="28"/>
    </row>
    <row r="823" spans="1:7" x14ac:dyDescent="0.2">
      <c r="A823" s="26"/>
      <c r="G823" s="28"/>
    </row>
    <row r="824" spans="1:7" x14ac:dyDescent="0.2">
      <c r="A824" s="26"/>
      <c r="G824" s="28"/>
    </row>
    <row r="825" spans="1:7" x14ac:dyDescent="0.2">
      <c r="A825" s="26"/>
      <c r="G825" s="28"/>
    </row>
    <row r="826" spans="1:7" x14ac:dyDescent="0.2">
      <c r="A826" s="26"/>
      <c r="G826" s="28"/>
    </row>
    <row r="827" spans="1:7" x14ac:dyDescent="0.2">
      <c r="A827" s="26"/>
      <c r="G827" s="28"/>
    </row>
    <row r="828" spans="1:7" x14ac:dyDescent="0.2">
      <c r="A828" s="26"/>
      <c r="G828" s="28"/>
    </row>
    <row r="829" spans="1:7" x14ac:dyDescent="0.2">
      <c r="A829" s="26"/>
      <c r="G829" s="28"/>
    </row>
    <row r="830" spans="1:7" x14ac:dyDescent="0.2">
      <c r="A830" s="26"/>
      <c r="G830" s="28"/>
    </row>
    <row r="831" spans="1:7" x14ac:dyDescent="0.2">
      <c r="A831" s="26"/>
      <c r="G831" s="28"/>
    </row>
    <row r="832" spans="1:7" x14ac:dyDescent="0.2">
      <c r="A832" s="26"/>
      <c r="G832" s="28"/>
    </row>
    <row r="833" spans="1:7" x14ac:dyDescent="0.2">
      <c r="A833" s="26"/>
      <c r="G833" s="28"/>
    </row>
    <row r="834" spans="1:7" x14ac:dyDescent="0.2">
      <c r="A834" s="26"/>
      <c r="G834" s="28"/>
    </row>
    <row r="835" spans="1:7" x14ac:dyDescent="0.2">
      <c r="A835" s="26"/>
      <c r="G835" s="28"/>
    </row>
    <row r="836" spans="1:7" x14ac:dyDescent="0.2">
      <c r="A836" s="26"/>
      <c r="G836" s="28"/>
    </row>
    <row r="837" spans="1:7" x14ac:dyDescent="0.2">
      <c r="A837" s="26"/>
      <c r="G837" s="28"/>
    </row>
    <row r="838" spans="1:7" x14ac:dyDescent="0.2">
      <c r="A838" s="26"/>
      <c r="G838" s="28"/>
    </row>
    <row r="839" spans="1:7" x14ac:dyDescent="0.2">
      <c r="A839" s="26"/>
      <c r="G839" s="28"/>
    </row>
    <row r="840" spans="1:7" x14ac:dyDescent="0.2">
      <c r="A840" s="26"/>
      <c r="G840" s="28"/>
    </row>
    <row r="841" spans="1:7" x14ac:dyDescent="0.2">
      <c r="A841" s="26"/>
      <c r="G841" s="28"/>
    </row>
    <row r="842" spans="1:7" x14ac:dyDescent="0.2">
      <c r="A842" s="26"/>
      <c r="G842" s="28"/>
    </row>
    <row r="843" spans="1:7" x14ac:dyDescent="0.2">
      <c r="A843" s="26"/>
      <c r="G843" s="28"/>
    </row>
    <row r="844" spans="1:7" x14ac:dyDescent="0.2">
      <c r="A844" s="26"/>
      <c r="G844" s="28"/>
    </row>
    <row r="845" spans="1:7" x14ac:dyDescent="0.2">
      <c r="A845" s="26"/>
      <c r="G845" s="28"/>
    </row>
    <row r="846" spans="1:7" x14ac:dyDescent="0.2">
      <c r="A846" s="26"/>
      <c r="G846" s="28"/>
    </row>
    <row r="847" spans="1:7" x14ac:dyDescent="0.2">
      <c r="A847" s="26"/>
      <c r="G847" s="28"/>
    </row>
    <row r="848" spans="1:7" x14ac:dyDescent="0.2">
      <c r="A848" s="26"/>
      <c r="G848" s="28"/>
    </row>
    <row r="849" spans="1:7" x14ac:dyDescent="0.2">
      <c r="A849" s="26"/>
      <c r="G849" s="28"/>
    </row>
    <row r="850" spans="1:7" x14ac:dyDescent="0.2">
      <c r="A850" s="26"/>
      <c r="G850" s="28"/>
    </row>
    <row r="851" spans="1:7" x14ac:dyDescent="0.2">
      <c r="A851" s="26"/>
      <c r="G851" s="28"/>
    </row>
    <row r="852" spans="1:7" x14ac:dyDescent="0.2">
      <c r="A852" s="26"/>
      <c r="G852" s="28"/>
    </row>
    <row r="853" spans="1:7" x14ac:dyDescent="0.2">
      <c r="A853" s="26"/>
      <c r="G853" s="28"/>
    </row>
    <row r="854" spans="1:7" x14ac:dyDescent="0.2">
      <c r="A854" s="26"/>
      <c r="G854" s="28"/>
    </row>
    <row r="855" spans="1:7" x14ac:dyDescent="0.2">
      <c r="A855" s="26"/>
      <c r="G855" s="28"/>
    </row>
    <row r="856" spans="1:7" x14ac:dyDescent="0.2">
      <c r="A856" s="26"/>
      <c r="G856" s="28"/>
    </row>
    <row r="857" spans="1:7" x14ac:dyDescent="0.2">
      <c r="A857" s="26"/>
      <c r="G857" s="28"/>
    </row>
    <row r="858" spans="1:7" x14ac:dyDescent="0.2">
      <c r="A858" s="26"/>
      <c r="G858" s="28"/>
    </row>
    <row r="859" spans="1:7" x14ac:dyDescent="0.2">
      <c r="A859" s="26"/>
      <c r="G859" s="28"/>
    </row>
    <row r="860" spans="1:7" x14ac:dyDescent="0.2">
      <c r="A860" s="26"/>
      <c r="G860" s="28"/>
    </row>
    <row r="861" spans="1:7" x14ac:dyDescent="0.2">
      <c r="A861" s="26"/>
      <c r="G861" s="28"/>
    </row>
    <row r="862" spans="1:7" x14ac:dyDescent="0.2">
      <c r="A862" s="26"/>
      <c r="G862" s="28"/>
    </row>
    <row r="863" spans="1:7" x14ac:dyDescent="0.2">
      <c r="A863" s="26"/>
      <c r="G863" s="28"/>
    </row>
    <row r="864" spans="1:7" x14ac:dyDescent="0.2">
      <c r="A864" s="26"/>
      <c r="G864" s="28"/>
    </row>
    <row r="865" spans="1:7" x14ac:dyDescent="0.2">
      <c r="A865" s="26"/>
      <c r="G865" s="28"/>
    </row>
    <row r="866" spans="1:7" x14ac:dyDescent="0.2">
      <c r="A866" s="26"/>
      <c r="G866" s="28"/>
    </row>
    <row r="867" spans="1:7" x14ac:dyDescent="0.2">
      <c r="A867" s="26"/>
      <c r="G867" s="28"/>
    </row>
    <row r="868" spans="1:7" x14ac:dyDescent="0.2">
      <c r="A868" s="26"/>
      <c r="G868" s="28"/>
    </row>
    <row r="869" spans="1:7" x14ac:dyDescent="0.2">
      <c r="A869" s="26"/>
      <c r="G869" s="28"/>
    </row>
    <row r="870" spans="1:7" x14ac:dyDescent="0.2">
      <c r="A870" s="26"/>
      <c r="G870" s="28"/>
    </row>
    <row r="871" spans="1:7" x14ac:dyDescent="0.2">
      <c r="A871" s="26"/>
      <c r="G871" s="28"/>
    </row>
    <row r="872" spans="1:7" x14ac:dyDescent="0.2">
      <c r="A872" s="26"/>
      <c r="G872" s="28"/>
    </row>
    <row r="873" spans="1:7" x14ac:dyDescent="0.2">
      <c r="A873" s="26"/>
      <c r="G873" s="28"/>
    </row>
    <row r="874" spans="1:7" x14ac:dyDescent="0.2">
      <c r="A874" s="26"/>
      <c r="G874" s="28"/>
    </row>
    <row r="875" spans="1:7" x14ac:dyDescent="0.2">
      <c r="A875" s="26"/>
      <c r="G875" s="28"/>
    </row>
    <row r="876" spans="1:7" x14ac:dyDescent="0.2">
      <c r="A876" s="26"/>
      <c r="G876" s="28"/>
    </row>
    <row r="877" spans="1:7" x14ac:dyDescent="0.2">
      <c r="A877" s="26"/>
      <c r="G877" s="28"/>
    </row>
    <row r="878" spans="1:7" x14ac:dyDescent="0.2">
      <c r="A878" s="26"/>
      <c r="G878" s="28"/>
    </row>
    <row r="879" spans="1:7" x14ac:dyDescent="0.2">
      <c r="A879" s="26"/>
      <c r="G879" s="28"/>
    </row>
    <row r="880" spans="1:7" x14ac:dyDescent="0.2">
      <c r="A880" s="26"/>
      <c r="G880" s="28"/>
    </row>
    <row r="881" spans="1:7" x14ac:dyDescent="0.2">
      <c r="A881" s="26"/>
      <c r="G881" s="28"/>
    </row>
    <row r="882" spans="1:7" x14ac:dyDescent="0.2">
      <c r="A882" s="26"/>
      <c r="G882" s="28"/>
    </row>
    <row r="883" spans="1:7" x14ac:dyDescent="0.2">
      <c r="A883" s="26"/>
      <c r="G883" s="28"/>
    </row>
    <row r="884" spans="1:7" x14ac:dyDescent="0.2">
      <c r="A884" s="26"/>
      <c r="G884" s="28"/>
    </row>
    <row r="885" spans="1:7" x14ac:dyDescent="0.2">
      <c r="A885" s="26"/>
      <c r="G885" s="28"/>
    </row>
    <row r="886" spans="1:7" x14ac:dyDescent="0.2">
      <c r="A886" s="26"/>
      <c r="G886" s="28"/>
    </row>
    <row r="887" spans="1:7" x14ac:dyDescent="0.2">
      <c r="A887" s="26"/>
      <c r="G887" s="28"/>
    </row>
    <row r="888" spans="1:7" x14ac:dyDescent="0.2">
      <c r="A888" s="26"/>
      <c r="G888" s="28"/>
    </row>
    <row r="889" spans="1:7" x14ac:dyDescent="0.2">
      <c r="A889" s="26"/>
      <c r="G889" s="28"/>
    </row>
    <row r="890" spans="1:7" x14ac:dyDescent="0.2">
      <c r="A890" s="26"/>
      <c r="G890" s="28"/>
    </row>
    <row r="891" spans="1:7" x14ac:dyDescent="0.2">
      <c r="A891" s="26"/>
      <c r="G891" s="28"/>
    </row>
    <row r="892" spans="1:7" x14ac:dyDescent="0.2">
      <c r="A892" s="26"/>
      <c r="G892" s="28"/>
    </row>
    <row r="893" spans="1:7" x14ac:dyDescent="0.2">
      <c r="A893" s="26"/>
      <c r="G893" s="28"/>
    </row>
    <row r="894" spans="1:7" x14ac:dyDescent="0.2">
      <c r="A894" s="26"/>
      <c r="G894" s="28"/>
    </row>
    <row r="895" spans="1:7" x14ac:dyDescent="0.2">
      <c r="A895" s="26"/>
      <c r="G895" s="28"/>
    </row>
    <row r="896" spans="1:7" x14ac:dyDescent="0.2">
      <c r="A896" s="26"/>
      <c r="G896" s="28"/>
    </row>
    <row r="897" spans="1:7" x14ac:dyDescent="0.2">
      <c r="A897" s="26"/>
      <c r="G897" s="28"/>
    </row>
    <row r="898" spans="1:7" x14ac:dyDescent="0.2">
      <c r="A898" s="26"/>
      <c r="G898" s="28"/>
    </row>
    <row r="899" spans="1:7" x14ac:dyDescent="0.2">
      <c r="A899" s="26"/>
      <c r="G899" s="28"/>
    </row>
    <row r="900" spans="1:7" x14ac:dyDescent="0.2">
      <c r="A900" s="26"/>
      <c r="G900" s="28"/>
    </row>
    <row r="901" spans="1:7" x14ac:dyDescent="0.2">
      <c r="A901" s="26"/>
      <c r="G901" s="28"/>
    </row>
    <row r="902" spans="1:7" x14ac:dyDescent="0.2">
      <c r="A902" s="26"/>
      <c r="G902" s="28"/>
    </row>
    <row r="903" spans="1:7" x14ac:dyDescent="0.2">
      <c r="A903" s="26"/>
      <c r="G903" s="28"/>
    </row>
    <row r="904" spans="1:7" x14ac:dyDescent="0.2">
      <c r="A904" s="26"/>
      <c r="G904" s="28"/>
    </row>
    <row r="905" spans="1:7" x14ac:dyDescent="0.2">
      <c r="A905" s="26"/>
      <c r="G905" s="28"/>
    </row>
    <row r="906" spans="1:7" x14ac:dyDescent="0.2">
      <c r="A906" s="26"/>
      <c r="G906" s="28"/>
    </row>
    <row r="907" spans="1:7" x14ac:dyDescent="0.2">
      <c r="A907" s="26"/>
      <c r="G907" s="28"/>
    </row>
    <row r="908" spans="1:7" x14ac:dyDescent="0.2">
      <c r="A908" s="26"/>
      <c r="G908" s="28"/>
    </row>
    <row r="909" spans="1:7" x14ac:dyDescent="0.2">
      <c r="A909" s="26"/>
      <c r="G909" s="28"/>
    </row>
    <row r="910" spans="1:7" x14ac:dyDescent="0.2">
      <c r="A910" s="26"/>
      <c r="G910" s="28"/>
    </row>
    <row r="911" spans="1:7" x14ac:dyDescent="0.2">
      <c r="A911" s="26"/>
      <c r="G911" s="28"/>
    </row>
    <row r="912" spans="1:7" x14ac:dyDescent="0.2">
      <c r="A912" s="26"/>
      <c r="G912" s="28"/>
    </row>
    <row r="913" spans="1:7" x14ac:dyDescent="0.2">
      <c r="A913" s="26"/>
      <c r="G913" s="28"/>
    </row>
    <row r="914" spans="1:7" x14ac:dyDescent="0.2">
      <c r="A914" s="26"/>
      <c r="G914" s="28"/>
    </row>
    <row r="915" spans="1:7" x14ac:dyDescent="0.2">
      <c r="A915" s="26"/>
      <c r="G915" s="28"/>
    </row>
    <row r="916" spans="1:7" x14ac:dyDescent="0.2">
      <c r="A916" s="26"/>
      <c r="G916" s="28"/>
    </row>
    <row r="917" spans="1:7" x14ac:dyDescent="0.2">
      <c r="A917" s="26"/>
      <c r="G917" s="28"/>
    </row>
    <row r="918" spans="1:7" x14ac:dyDescent="0.2">
      <c r="A918" s="26"/>
      <c r="G918" s="28"/>
    </row>
    <row r="919" spans="1:7" x14ac:dyDescent="0.2">
      <c r="A919" s="26"/>
      <c r="G919" s="28"/>
    </row>
    <row r="920" spans="1:7" x14ac:dyDescent="0.2">
      <c r="A920" s="26"/>
      <c r="G920" s="28"/>
    </row>
    <row r="921" spans="1:7" x14ac:dyDescent="0.2">
      <c r="A921" s="26"/>
      <c r="G921" s="28"/>
    </row>
    <row r="922" spans="1:7" x14ac:dyDescent="0.2">
      <c r="A922" s="26"/>
      <c r="G922" s="28"/>
    </row>
    <row r="923" spans="1:7" x14ac:dyDescent="0.2">
      <c r="A923" s="26"/>
      <c r="G923" s="28"/>
    </row>
    <row r="924" spans="1:7" x14ac:dyDescent="0.2">
      <c r="A924" s="26"/>
      <c r="G924" s="28"/>
    </row>
    <row r="925" spans="1:7" x14ac:dyDescent="0.2">
      <c r="A925" s="26"/>
      <c r="G925" s="28"/>
    </row>
    <row r="926" spans="1:7" x14ac:dyDescent="0.2">
      <c r="A926" s="26"/>
      <c r="G926" s="28"/>
    </row>
    <row r="927" spans="1:7" x14ac:dyDescent="0.2">
      <c r="A927" s="26"/>
      <c r="G927" s="28"/>
    </row>
    <row r="928" spans="1:7" x14ac:dyDescent="0.2">
      <c r="A928" s="26"/>
      <c r="G928" s="28"/>
    </row>
    <row r="929" spans="1:7" x14ac:dyDescent="0.2">
      <c r="A929" s="26"/>
      <c r="G929" s="28"/>
    </row>
    <row r="930" spans="1:7" x14ac:dyDescent="0.2">
      <c r="A930" s="26"/>
      <c r="G930" s="28"/>
    </row>
    <row r="931" spans="1:7" x14ac:dyDescent="0.2">
      <c r="A931" s="26"/>
      <c r="G931" s="28"/>
    </row>
    <row r="932" spans="1:7" x14ac:dyDescent="0.2">
      <c r="A932" s="26"/>
      <c r="G932" s="28"/>
    </row>
    <row r="933" spans="1:7" x14ac:dyDescent="0.2">
      <c r="A933" s="26"/>
      <c r="G933" s="28"/>
    </row>
    <row r="934" spans="1:7" x14ac:dyDescent="0.2">
      <c r="A934" s="26"/>
      <c r="G934" s="28"/>
    </row>
    <row r="935" spans="1:7" x14ac:dyDescent="0.2">
      <c r="A935" s="26"/>
      <c r="G935" s="28"/>
    </row>
    <row r="936" spans="1:7" x14ac:dyDescent="0.2">
      <c r="A936" s="26"/>
      <c r="G936" s="28"/>
    </row>
    <row r="937" spans="1:7" x14ac:dyDescent="0.2">
      <c r="A937" s="26"/>
      <c r="G937" s="28"/>
    </row>
    <row r="938" spans="1:7" x14ac:dyDescent="0.2">
      <c r="A938" s="26"/>
      <c r="G938" s="28"/>
    </row>
    <row r="939" spans="1:7" x14ac:dyDescent="0.2">
      <c r="A939" s="26"/>
      <c r="G939" s="28"/>
    </row>
    <row r="940" spans="1:7" x14ac:dyDescent="0.2">
      <c r="A940" s="26"/>
      <c r="G940" s="28"/>
    </row>
    <row r="941" spans="1:7" x14ac:dyDescent="0.2">
      <c r="A941" s="26"/>
      <c r="G941" s="28"/>
    </row>
    <row r="942" spans="1:7" x14ac:dyDescent="0.2">
      <c r="A942" s="26"/>
      <c r="G942" s="28"/>
    </row>
    <row r="943" spans="1:7" x14ac:dyDescent="0.2">
      <c r="A943" s="26"/>
      <c r="G943" s="28"/>
    </row>
    <row r="944" spans="1:7" x14ac:dyDescent="0.2">
      <c r="A944" s="26"/>
      <c r="G944" s="28"/>
    </row>
    <row r="945" spans="1:7" x14ac:dyDescent="0.2">
      <c r="A945" s="26"/>
      <c r="G945" s="28"/>
    </row>
    <row r="946" spans="1:7" x14ac:dyDescent="0.2">
      <c r="A946" s="26"/>
      <c r="G946" s="28"/>
    </row>
    <row r="947" spans="1:7" x14ac:dyDescent="0.2">
      <c r="A947" s="26"/>
      <c r="G947" s="28"/>
    </row>
    <row r="948" spans="1:7" x14ac:dyDescent="0.2">
      <c r="A948" s="26"/>
      <c r="G948" s="28"/>
    </row>
    <row r="949" spans="1:7" x14ac:dyDescent="0.2">
      <c r="A949" s="26"/>
      <c r="G949" s="28"/>
    </row>
    <row r="950" spans="1:7" x14ac:dyDescent="0.2">
      <c r="A950" s="26"/>
      <c r="G950" s="28"/>
    </row>
    <row r="951" spans="1:7" x14ac:dyDescent="0.2">
      <c r="A951" s="26"/>
      <c r="G951" s="28"/>
    </row>
    <row r="952" spans="1:7" x14ac:dyDescent="0.2">
      <c r="A952" s="26"/>
      <c r="G952" s="28"/>
    </row>
    <row r="953" spans="1:7" x14ac:dyDescent="0.2">
      <c r="A953" s="26"/>
      <c r="G953" s="28"/>
    </row>
    <row r="954" spans="1:7" x14ac:dyDescent="0.2">
      <c r="A954" s="26"/>
      <c r="G954" s="28"/>
    </row>
    <row r="955" spans="1:7" x14ac:dyDescent="0.2">
      <c r="A955" s="26"/>
      <c r="G955" s="28"/>
    </row>
    <row r="956" spans="1:7" x14ac:dyDescent="0.2">
      <c r="A956" s="26"/>
      <c r="G956" s="28"/>
    </row>
    <row r="957" spans="1:7" x14ac:dyDescent="0.2">
      <c r="A957" s="26"/>
      <c r="G957" s="28"/>
    </row>
    <row r="958" spans="1:7" x14ac:dyDescent="0.2">
      <c r="A958" s="26"/>
      <c r="G958" s="28"/>
    </row>
    <row r="959" spans="1:7" x14ac:dyDescent="0.2">
      <c r="A959" s="26"/>
      <c r="G959" s="28"/>
    </row>
    <row r="960" spans="1:7" x14ac:dyDescent="0.2">
      <c r="A960" s="26"/>
      <c r="G960" s="28"/>
    </row>
    <row r="961" spans="1:7" x14ac:dyDescent="0.2">
      <c r="A961" s="26"/>
      <c r="G961" s="28"/>
    </row>
    <row r="962" spans="1:7" x14ac:dyDescent="0.2">
      <c r="A962" s="26"/>
      <c r="G962" s="28"/>
    </row>
    <row r="963" spans="1:7" x14ac:dyDescent="0.2">
      <c r="A963" s="26"/>
      <c r="G963" s="28"/>
    </row>
    <row r="964" spans="1:7" x14ac:dyDescent="0.2">
      <c r="A964" s="26"/>
      <c r="G964" s="28"/>
    </row>
    <row r="965" spans="1:7" x14ac:dyDescent="0.2">
      <c r="A965" s="26"/>
      <c r="G965" s="28"/>
    </row>
    <row r="966" spans="1:7" x14ac:dyDescent="0.2">
      <c r="A966" s="26"/>
      <c r="G966" s="28"/>
    </row>
    <row r="967" spans="1:7" x14ac:dyDescent="0.2">
      <c r="A967" s="26"/>
      <c r="G967" s="28"/>
    </row>
    <row r="968" spans="1:7" x14ac:dyDescent="0.2">
      <c r="A968" s="26"/>
      <c r="G968" s="28"/>
    </row>
    <row r="969" spans="1:7" x14ac:dyDescent="0.2">
      <c r="A969" s="26"/>
      <c r="G969" s="28"/>
    </row>
    <row r="970" spans="1:7" x14ac:dyDescent="0.2">
      <c r="A970" s="26"/>
      <c r="G970" s="28"/>
    </row>
    <row r="971" spans="1:7" x14ac:dyDescent="0.2">
      <c r="A971" s="26"/>
      <c r="G971" s="28"/>
    </row>
    <row r="972" spans="1:7" x14ac:dyDescent="0.2">
      <c r="A972" s="26"/>
      <c r="G972" s="28"/>
    </row>
    <row r="973" spans="1:7" x14ac:dyDescent="0.2">
      <c r="A973" s="26"/>
      <c r="G973" s="28"/>
    </row>
    <row r="974" spans="1:7" x14ac:dyDescent="0.2">
      <c r="A974" s="26"/>
      <c r="G974" s="28"/>
    </row>
    <row r="975" spans="1:7" x14ac:dyDescent="0.2">
      <c r="A975" s="26"/>
      <c r="G975" s="28"/>
    </row>
    <row r="976" spans="1:7" x14ac:dyDescent="0.2">
      <c r="A976" s="26"/>
      <c r="G976" s="28"/>
    </row>
    <row r="977" spans="1:7" x14ac:dyDescent="0.2">
      <c r="A977" s="26"/>
      <c r="G977" s="28"/>
    </row>
    <row r="978" spans="1:7" x14ac:dyDescent="0.2">
      <c r="A978" s="26"/>
      <c r="G978" s="28"/>
    </row>
    <row r="979" spans="1:7" x14ac:dyDescent="0.2">
      <c r="A979" s="26"/>
      <c r="G979" s="28"/>
    </row>
    <row r="980" spans="1:7" x14ac:dyDescent="0.2">
      <c r="A980" s="26"/>
      <c r="G980" s="28"/>
    </row>
    <row r="981" spans="1:7" x14ac:dyDescent="0.2">
      <c r="A981" s="26"/>
      <c r="G981" s="28"/>
    </row>
    <row r="982" spans="1:7" x14ac:dyDescent="0.2">
      <c r="A982" s="26"/>
      <c r="G982" s="28"/>
    </row>
    <row r="983" spans="1:7" x14ac:dyDescent="0.2">
      <c r="A983" s="26"/>
      <c r="G983" s="28"/>
    </row>
    <row r="984" spans="1:7" x14ac:dyDescent="0.2">
      <c r="A984" s="26"/>
      <c r="G984" s="28"/>
    </row>
    <row r="985" spans="1:7" x14ac:dyDescent="0.2">
      <c r="A985" s="26"/>
      <c r="G985" s="28"/>
    </row>
    <row r="986" spans="1:7" x14ac:dyDescent="0.2">
      <c r="A986" s="26"/>
      <c r="G986" s="28"/>
    </row>
    <row r="987" spans="1:7" x14ac:dyDescent="0.2">
      <c r="A987" s="26"/>
      <c r="G987" s="28"/>
    </row>
    <row r="988" spans="1:7" x14ac:dyDescent="0.2">
      <c r="A988" s="26"/>
      <c r="G988" s="28"/>
    </row>
    <row r="989" spans="1:7" x14ac:dyDescent="0.2">
      <c r="A989" s="26"/>
      <c r="G989" s="28"/>
    </row>
    <row r="990" spans="1:7" x14ac:dyDescent="0.2">
      <c r="A990" s="26"/>
      <c r="G990" s="28"/>
    </row>
    <row r="991" spans="1:7" x14ac:dyDescent="0.2">
      <c r="A991" s="26"/>
      <c r="G991" s="28"/>
    </row>
    <row r="992" spans="1:7" x14ac:dyDescent="0.2">
      <c r="A992" s="26"/>
      <c r="G992" s="28"/>
    </row>
    <row r="993" spans="1:7" x14ac:dyDescent="0.2">
      <c r="A993" s="26"/>
      <c r="G993" s="28"/>
    </row>
    <row r="994" spans="1:7" x14ac:dyDescent="0.2">
      <c r="A994" s="26"/>
      <c r="G994" s="28"/>
    </row>
    <row r="995" spans="1:7" x14ac:dyDescent="0.2">
      <c r="A995" s="26"/>
      <c r="G995" s="28"/>
    </row>
    <row r="996" spans="1:7" x14ac:dyDescent="0.2">
      <c r="A996" s="26"/>
      <c r="G996" s="28"/>
    </row>
    <row r="997" spans="1:7" x14ac:dyDescent="0.2">
      <c r="A997" s="26"/>
      <c r="G997" s="28"/>
    </row>
    <row r="998" spans="1:7" x14ac:dyDescent="0.2">
      <c r="A998" s="26"/>
      <c r="G998" s="28"/>
    </row>
    <row r="999" spans="1:7" x14ac:dyDescent="0.2">
      <c r="A999" s="26"/>
      <c r="G999" s="28"/>
    </row>
    <row r="1000" spans="1:7" x14ac:dyDescent="0.2">
      <c r="A1000" s="26"/>
      <c r="G100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1" max="1" width="19.28515625" customWidth="1"/>
    <col min="5" max="5" width="17.85546875" customWidth="1"/>
  </cols>
  <sheetData>
    <row r="1" spans="1:9" x14ac:dyDescent="0.2">
      <c r="F1" s="29">
        <v>2016</v>
      </c>
      <c r="G1" s="29">
        <v>2017</v>
      </c>
      <c r="H1" s="29">
        <v>2018</v>
      </c>
      <c r="I1" s="29">
        <v>2019</v>
      </c>
    </row>
    <row r="2" spans="1:9" x14ac:dyDescent="0.2">
      <c r="A2" s="30" t="s">
        <v>111</v>
      </c>
      <c r="B2" s="28">
        <f ca="1">B3*B4+B5</f>
        <v>7.7758040727066102E-2</v>
      </c>
      <c r="C2" s="29" t="s">
        <v>112</v>
      </c>
      <c r="E2" s="29" t="s">
        <v>113</v>
      </c>
      <c r="F2" s="28">
        <f>Financials!B20/Financials!B19</f>
        <v>0.28504914640455253</v>
      </c>
      <c r="G2" s="28">
        <f>Financials!C20/Financials!C19</f>
        <v>0.18735362997658081</v>
      </c>
      <c r="H2" s="28">
        <f>Financials!D20/Financials!D19</f>
        <v>0.26280253453827779</v>
      </c>
      <c r="I2" s="28">
        <f>Financials!E20/Financials!E19</f>
        <v>0.30064624894633324</v>
      </c>
    </row>
    <row r="3" spans="1:9" x14ac:dyDescent="0.2">
      <c r="A3" s="29" t="s">
        <v>114</v>
      </c>
      <c r="B3" s="31">
        <v>5.8000000000000003E-2</v>
      </c>
      <c r="E3" s="29" t="s">
        <v>115</v>
      </c>
    </row>
    <row r="4" spans="1:9" x14ac:dyDescent="0.2">
      <c r="A4" s="29" t="s">
        <v>116</v>
      </c>
      <c r="B4" s="32">
        <f ca="1">COVAR(BMW!G3:G209,DAX!G3:G209)/VAR(DAX!G3:G209)</f>
        <v>1.2027248401218293</v>
      </c>
      <c r="E4" s="29" t="s">
        <v>117</v>
      </c>
      <c r="G4" s="28">
        <f>Financials!C109/Financials!B109-1</f>
        <v>-0.34072810011376564</v>
      </c>
      <c r="H4" s="28">
        <f>Financials!D109/Financials!C109-1</f>
        <v>0.67385677308024161</v>
      </c>
      <c r="I4" s="28">
        <f>Financials!E109/Financials!D109-1</f>
        <v>-0.45515463917525778</v>
      </c>
    </row>
    <row r="5" spans="1:9" x14ac:dyDescent="0.2">
      <c r="A5" s="29" t="s">
        <v>118</v>
      </c>
      <c r="B5" s="31">
        <v>8.0000000000000002E-3</v>
      </c>
    </row>
    <row r="6" spans="1:9" x14ac:dyDescent="0.2">
      <c r="F6" s="29">
        <v>2020</v>
      </c>
      <c r="G6" s="29">
        <v>2021</v>
      </c>
      <c r="H6" s="29">
        <v>2022</v>
      </c>
      <c r="I6" s="29">
        <v>2023</v>
      </c>
    </row>
    <row r="7" spans="1:9" x14ac:dyDescent="0.2">
      <c r="A7" s="30" t="s">
        <v>119</v>
      </c>
      <c r="B7" s="28">
        <f>B8*(1-B9)</f>
        <v>8.3737193433792729E-3</v>
      </c>
      <c r="C7" s="29" t="s">
        <v>129</v>
      </c>
      <c r="E7" s="29" t="s">
        <v>120</v>
      </c>
      <c r="F7" s="33">
        <f>AVERAGE(Financials!D109:E109)*(AVERAGE(G4:I4)+1.1)</f>
        <v>1587.3980298787137</v>
      </c>
      <c r="G7" s="33">
        <f t="shared" ref="G7:I7" si="0">F7*1.1</f>
        <v>1746.1378328665853</v>
      </c>
      <c r="H7" s="33">
        <f t="shared" si="0"/>
        <v>1920.751616153244</v>
      </c>
      <c r="I7" s="33">
        <f t="shared" si="0"/>
        <v>2112.8267777685687</v>
      </c>
    </row>
    <row r="8" spans="1:9" x14ac:dyDescent="0.2">
      <c r="A8" s="29" t="s">
        <v>121</v>
      </c>
      <c r="B8" s="28">
        <f>0.63%+0.5%</f>
        <v>1.1300000000000001E-2</v>
      </c>
    </row>
    <row r="9" spans="1:9" x14ac:dyDescent="0.2">
      <c r="A9" s="29" t="s">
        <v>122</v>
      </c>
      <c r="B9" s="28">
        <f>AVERAGE(F2:I2)</f>
        <v>0.25896288996643613</v>
      </c>
    </row>
    <row r="11" spans="1:9" x14ac:dyDescent="0.2">
      <c r="A11" s="30" t="s">
        <v>123</v>
      </c>
      <c r="B11" s="28">
        <f ca="1">B12*B2+B13*B7</f>
        <v>2.642434110051127E-2</v>
      </c>
      <c r="C11" s="29" t="s">
        <v>124</v>
      </c>
    </row>
    <row r="12" spans="1:9" x14ac:dyDescent="0.2">
      <c r="A12" s="29" t="s">
        <v>125</v>
      </c>
      <c r="B12" s="28">
        <f>Financials!E73/Financials!E49</f>
        <v>0.260154187533438</v>
      </c>
    </row>
    <row r="13" spans="1:9" x14ac:dyDescent="0.2">
      <c r="A13" s="29" t="s">
        <v>126</v>
      </c>
      <c r="B13" s="28">
        <f>Financials!E66/Financials!E49</f>
        <v>0.739845812466562</v>
      </c>
    </row>
    <row r="15" spans="1:9" x14ac:dyDescent="0.2">
      <c r="A15" s="30" t="s">
        <v>127</v>
      </c>
      <c r="B15" s="34">
        <f t="array" aca="1" ref="B15" ca="1">NPV(B11,F7:I7)</f>
        <v>6883.6297757482025</v>
      </c>
      <c r="C15" s="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Financials</vt:lpstr>
      <vt:lpstr>BMW</vt:lpstr>
      <vt:lpstr>DAX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tml</cp:lastModifiedBy>
  <dcterms:modified xsi:type="dcterms:W3CDTF">2022-04-19T20:40:53Z</dcterms:modified>
</cp:coreProperties>
</file>