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<sst xmlns="http://schemas.openxmlformats.org/spreadsheetml/2006/main" count="28" uniqueCount="28">
  <si>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t>Company</t>
  </si>
  <si>
    <t>Ticker</t>
  </si>
  <si>
    <t>Price</t>
  </si>
  <si>
    <t>Market cap</t>
  </si>
  <si>
    <t>EV</t>
  </si>
  <si>
    <t>Sales</t>
  </si>
  <si>
    <t>EBITDA</t>
  </si>
  <si>
    <t>EBIT</t>
  </si>
  <si>
    <t>Earnings</t>
  </si>
  <si>
    <t>EV/Sales</t>
  </si>
  <si>
    <t>EV/EBITDA</t>
  </si>
  <si>
    <t>EV/EBIT</t>
  </si>
  <si>
    <t>P/E</t>
  </si>
  <si>
    <t>Yamana Gold</t>
  </si>
  <si>
    <t>AUY</t>
  </si>
  <si>
    <t>B2Gold</t>
  </si>
  <si>
    <t>BTG</t>
  </si>
  <si>
    <t>Kingross Gold</t>
  </si>
  <si>
    <t>KGC</t>
  </si>
  <si>
    <t>AngloGold Ashanti</t>
  </si>
  <si>
    <t>AU</t>
  </si>
  <si>
    <t>Eldorado Gold</t>
  </si>
  <si>
    <t>EGO</t>
  </si>
  <si>
    <t>Barrick Gold</t>
  </si>
  <si>
    <t>GOLD</t>
  </si>
  <si>
    <t>Average</t>
  </si>
  <si>
    <t>Difference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</si>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</sst>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6AA84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" xfId="0" applyFont="1" applyNumberFormat="1"/>
    <xf borderId="0" fillId="0" fontId="2" numFmtId="1" xfId="0" applyFont="1" applyNumberFormat="1"/>
    <xf borderId="0" fillId="0" fontId="2" numFmtId="1" xfId="0" applyAlignment="1" applyFont="1" applyNumberFormat="1">
      <alignment readingOrder="0"/>
    </xf>
    <xf borderId="0" fillId="0" fontId="2" numFmtId="164" xfId="0" applyFont="1" applyNumberFormat="1"/>
    <xf borderId="0" fillId="0" fontId="1" numFmtId="1" xfId="0" applyFont="1" applyNumberFormat="1"/>
    <xf borderId="0" fillId="0" fontId="1" numFmtId="2" xfId="0" applyFont="1" applyNumberFormat="1"/>
    <xf borderId="0" fillId="0" fontId="1" numFmtId="164" xfId="0" applyFont="1" applyNumberFormat="1"/>
    <xf borderId="0" fillId="0" fontId="2" numFmtId="0" xfId="0" applyFon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  <col customWidth="1" min="4" max="4" width="16.63"/>
    <col customWidth="1" min="5" max="5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>
        <f>IFERROR(__xludf.DUMMYFUNCTION("GOOGLEFINANCE(B2,""price"")"),5.91)</f>
        <v>5.91</v>
      </c>
      <c r="D2" s="4">
        <f>IFERROR(__xludf.DUMMYFUNCTION("GOOGLEFINANCE(B2,""marketcap"")/1000"),5903943.87)</f>
        <v>5903943.87</v>
      </c>
      <c r="E2" s="5">
        <f>D2+247800</f>
        <v>6151743.87</v>
      </c>
      <c r="F2" s="2">
        <v>1815400.0</v>
      </c>
      <c r="G2" s="2">
        <v>894800.0</v>
      </c>
      <c r="H2" s="2">
        <v>446900.0</v>
      </c>
      <c r="I2" s="2">
        <v>147500.0</v>
      </c>
      <c r="J2" s="3">
        <f t="shared" ref="J2:J7" si="1">E2/F2</f>
        <v>3.388643753</v>
      </c>
      <c r="K2" s="3">
        <f t="shared" ref="K2:K7" si="2">E2/G2</f>
        <v>6.874993149</v>
      </c>
      <c r="L2" s="6">
        <f t="shared" ref="L2:L7" si="3">E2/H2</f>
        <v>13.76537004</v>
      </c>
      <c r="M2" s="3">
        <f t="shared" ref="M2:M7" si="4">D2/I2</f>
        <v>40.0267381</v>
      </c>
    </row>
    <row r="3">
      <c r="A3" s="2" t="s">
        <v>15</v>
      </c>
      <c r="B3" s="2" t="s">
        <v>16</v>
      </c>
      <c r="C3" s="3">
        <f>IFERROR(__xludf.DUMMYFUNCTION("GOOGLEFINANCE(B3,""price"")"),4.49)</f>
        <v>4.49</v>
      </c>
      <c r="D3" s="4">
        <f>IFERROR(__xludf.DUMMYFUNCTION("GOOGLEFINANCE(B3,""marketcap"")/1000"),6360665.962)</f>
        <v>6360665.962</v>
      </c>
      <c r="E3" s="4">
        <f>D3+0</f>
        <v>6360665.962</v>
      </c>
      <c r="F3" s="2">
        <v>1762264.0</v>
      </c>
      <c r="G3" s="2">
        <v>1116917.0</v>
      </c>
      <c r="H3" s="2">
        <v>738025.0</v>
      </c>
      <c r="I3" s="2">
        <v>420065.0</v>
      </c>
      <c r="J3" s="3">
        <f t="shared" si="1"/>
        <v>3.609371787</v>
      </c>
      <c r="K3" s="3">
        <f t="shared" si="2"/>
        <v>5.694842107</v>
      </c>
      <c r="L3" s="6">
        <f t="shared" si="3"/>
        <v>8.618496612</v>
      </c>
      <c r="M3" s="3">
        <f t="shared" si="4"/>
        <v>15.14209935</v>
      </c>
    </row>
    <row r="4">
      <c r="A4" s="2" t="s">
        <v>17</v>
      </c>
      <c r="B4" s="2" t="s">
        <v>18</v>
      </c>
      <c r="C4" s="3">
        <f>IFERROR(__xludf.DUMMYFUNCTION("GOOGLEFINANCE(B4,""price"")"),5.49)</f>
        <v>5.49</v>
      </c>
      <c r="D4" s="4">
        <f>IFERROR(__xludf.DUMMYFUNCTION("GOOGLEFINANCE(B4,""marketcap"")/1000"),7457450.989)</f>
        <v>7457450.989</v>
      </c>
      <c r="E4" s="4">
        <f>D4+1098400</f>
        <v>8555850.989</v>
      </c>
      <c r="F4" s="2">
        <v>3729400.0</v>
      </c>
      <c r="G4" s="2">
        <v>1381800.0</v>
      </c>
      <c r="H4" s="2">
        <v>540900.0</v>
      </c>
      <c r="I4" s="2">
        <v>221200.0</v>
      </c>
      <c r="J4" s="3">
        <f t="shared" si="1"/>
        <v>2.294162865</v>
      </c>
      <c r="K4" s="3">
        <f t="shared" si="2"/>
        <v>6.19181574</v>
      </c>
      <c r="L4" s="6">
        <f t="shared" si="3"/>
        <v>15.81780549</v>
      </c>
      <c r="M4" s="3">
        <f t="shared" si="4"/>
        <v>33.71361207</v>
      </c>
    </row>
    <row r="5">
      <c r="A5" s="2" t="s">
        <v>19</v>
      </c>
      <c r="B5" s="2" t="s">
        <v>20</v>
      </c>
      <c r="C5" s="3">
        <f>IFERROR(__xludf.DUMMYFUNCTION("GOOGLEFINANCE(B5,""price"")"),21.17)</f>
        <v>21.17</v>
      </c>
      <c r="D5" s="4">
        <f>IFERROR(__xludf.DUMMYFUNCTION("GOOGLEFINANCE(B5,""marketcap"")/1000"),9169891.383)</f>
        <v>9169891.383</v>
      </c>
      <c r="E5" s="4">
        <f>D5+755000</f>
        <v>9924891.383</v>
      </c>
      <c r="F5" s="2">
        <v>4029000.0</v>
      </c>
      <c r="G5" s="2">
        <v>1545000.0</v>
      </c>
      <c r="H5" s="2">
        <v>1068000.0</v>
      </c>
      <c r="I5" s="2">
        <v>646000.0</v>
      </c>
      <c r="J5" s="3">
        <f t="shared" si="1"/>
        <v>2.463363461</v>
      </c>
      <c r="K5" s="3">
        <f t="shared" si="2"/>
        <v>6.423877918</v>
      </c>
      <c r="L5" s="6">
        <f t="shared" si="3"/>
        <v>9.29296946</v>
      </c>
      <c r="M5" s="3">
        <f t="shared" si="4"/>
        <v>14.1948783</v>
      </c>
    </row>
    <row r="6">
      <c r="A6" s="2" t="s">
        <v>21</v>
      </c>
      <c r="B6" s="2" t="s">
        <v>22</v>
      </c>
      <c r="C6" s="3">
        <f>IFERROR(__xludf.DUMMYFUNCTION("GOOGLEFINANCE(B6,""price"")"),11.17)</f>
        <v>11.17</v>
      </c>
      <c r="D6" s="4">
        <f>IFERROR(__xludf.DUMMYFUNCTION("GOOGLEFINANCE(B6,""marketcap"")/1000"),2130860.702)</f>
        <v>2130860.702</v>
      </c>
      <c r="E6" s="4">
        <f>D6+16541</f>
        <v>2147401.702</v>
      </c>
      <c r="F6" s="2">
        <v>940914.0</v>
      </c>
      <c r="G6" s="2">
        <v>421635.0</v>
      </c>
      <c r="H6" s="2">
        <v>218778.0</v>
      </c>
      <c r="I6" s="2">
        <v>-136020.0</v>
      </c>
      <c r="J6" s="3">
        <f t="shared" si="1"/>
        <v>2.282250771</v>
      </c>
      <c r="K6" s="3">
        <f t="shared" si="2"/>
        <v>5.093034739</v>
      </c>
      <c r="L6" s="6">
        <f t="shared" si="3"/>
        <v>9.815437119</v>
      </c>
      <c r="M6" s="3">
        <f t="shared" si="4"/>
        <v>-15.6657896</v>
      </c>
    </row>
    <row r="7">
      <c r="A7" s="1" t="s">
        <v>23</v>
      </c>
      <c r="B7" s="1" t="s">
        <v>24</v>
      </c>
      <c r="C7" s="3">
        <f>IFERROR(__xludf.DUMMYFUNCTION("GOOGLEFINANCE(B7,""price"")"),23.73)</f>
        <v>23.73</v>
      </c>
      <c r="D7" s="4">
        <f>IFERROR(__xludf.DUMMYFUNCTION("GOOGLEFINANCE(B7,""marketcap"")/1000"),4.1532292658E7)</f>
        <v>41532292.66</v>
      </c>
      <c r="E7" s="7">
        <f>D7+125000</f>
        <v>41657292.66</v>
      </c>
      <c r="F7" s="1">
        <v>1.1985E7</v>
      </c>
      <c r="G7" s="1">
        <v>7128000.0</v>
      </c>
      <c r="H7" s="1">
        <v>5026000.0</v>
      </c>
      <c r="I7" s="1">
        <v>2022000.0</v>
      </c>
      <c r="J7" s="8">
        <f t="shared" si="1"/>
        <v>3.475785787</v>
      </c>
      <c r="K7" s="8">
        <f t="shared" si="2"/>
        <v>5.84417686</v>
      </c>
      <c r="L7" s="9">
        <f t="shared" si="3"/>
        <v>8.288359064</v>
      </c>
      <c r="M7" s="8">
        <f t="shared" si="4"/>
        <v>20.54020408</v>
      </c>
    </row>
    <row r="9">
      <c r="D9" s="1" t="s">
        <v>25</v>
      </c>
      <c r="J9" s="3">
        <f t="shared" ref="J9:M9" si="5">average(J2:J6)</f>
        <v>2.807558527</v>
      </c>
      <c r="K9" s="3">
        <f t="shared" si="5"/>
        <v>6.055712731</v>
      </c>
      <c r="L9" s="6">
        <f t="shared" si="5"/>
        <v>11.46201574</v>
      </c>
      <c r="M9" s="3">
        <f t="shared" si="5"/>
        <v>17.48230764</v>
      </c>
    </row>
    <row r="10">
      <c r="D10" s="1" t="s">
        <v>26</v>
      </c>
      <c r="J10" s="3">
        <f t="shared" ref="J10:M10" si="6">J7/J9</f>
        <v>1.238010091</v>
      </c>
      <c r="K10" s="3">
        <f t="shared" si="6"/>
        <v>0.9650683776</v>
      </c>
      <c r="L10" s="3">
        <f t="shared" si="6"/>
        <v>0.7231153097</v>
      </c>
      <c r="M10" s="3">
        <f t="shared" si="6"/>
        <v>1.174913776</v>
      </c>
    </row>
    <row r="11">
      <c r="J11" s="3">
        <f t="shared" ref="J11:M11" si="7">$C$7/J10</f>
        <v>19.16785669</v>
      </c>
      <c r="K11" s="3">
        <f t="shared" si="7"/>
        <v>24.58893126</v>
      </c>
      <c r="L11" s="3">
        <f t="shared" si="7"/>
        <v>32.81634296</v>
      </c>
      <c r="M11" s="3">
        <f t="shared" si="7"/>
        <v>20.1972268</v>
      </c>
    </row>
    <row r="13">
      <c r="M13" s="8">
        <f>average(J11:M11)</f>
        <v>24.19258943</v>
      </c>
      <c r="N13" s="10">
        <f>IFERROR(__xludf.DUMMYFUNCTION("M13*GOOGLEFINANCE(B7,""shares"")"),4.304722915136934E10)</f>
        <v>43047229151</v>
      </c>
    </row>
    <row r="14">
      <c r="M14" s="11">
        <f>M13/C7-1</f>
        <v>0.01949386542</v>
      </c>
      <c r="N14" s="2" t="s">
        <v>27</v>
      </c>
    </row>
  </sheetData>
  <drawing r:id="rId1"/>
</worksheet>
</file>