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APL" sheetId="2" r:id="rId5"/>
    <sheet state="visible" name="MSFT" sheetId="3" r:id="rId6"/>
    <sheet state="visible" name="GOOG" sheetId="4" r:id="rId7"/>
    <sheet state="visible" name="SPY" sheetId="5" r:id="rId8"/>
    <sheet state="visible" name="Portfolio" sheetId="6" r:id="rId9"/>
    <sheet state="visible" name="Analysis" sheetId="7" r:id="rId10"/>
  </sheets>
  <definedNames/>
  <calcPr/>
</workbook>
</file>

<file path=xl/sharedStrings.xml><?xml version="1.0" encoding="utf-8"?>
<sst xmlns="http://schemas.openxmlformats.org/spreadsheetml/2006/main" count="19" uniqueCount="17">
  <si>
    <t>"1000$"</t>
  </si>
  <si>
    <t>Return</t>
  </si>
  <si>
    <t>FB</t>
  </si>
  <si>
    <t>AAPL</t>
  </si>
  <si>
    <t>MSFT</t>
  </si>
  <si>
    <t>GOOG</t>
  </si>
  <si>
    <t>SPY</t>
  </si>
  <si>
    <t>Portfolio A</t>
  </si>
  <si>
    <t>безрисковая доходность (10-year treasure)</t>
  </si>
  <si>
    <t>Ann Return</t>
  </si>
  <si>
    <t>StDev</t>
  </si>
  <si>
    <t>Ann StDev</t>
  </si>
  <si>
    <t>Ann Sharpe</t>
  </si>
  <si>
    <t>Var</t>
  </si>
  <si>
    <t>Covar</t>
  </si>
  <si>
    <t>Beta</t>
  </si>
  <si>
    <t>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</si>
</sst>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0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0" xfId="0" applyFont="1" applyNumberFormat="1"/>
    <xf borderId="0" fillId="2" fontId="2" numFmtId="164" xfId="0" applyFill="1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SPY!$H$1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SPY!$A$2:$A$1000</c:f>
            </c:strRef>
          </c:cat>
          <c:val>
            <c:numRef>
              <c:f>SPY!$H$2:$H$1000</c:f>
              <c:numCache/>
            </c:numRef>
          </c:val>
          <c:smooth val="0"/>
        </c:ser>
        <c:axId val="642990502"/>
        <c:axId val="1788541443"/>
      </c:lineChart>
      <c:catAx>
        <c:axId val="64299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541443"/>
      </c:catAx>
      <c:valAx>
        <c:axId val="1788541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990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"1000$" относительно параметра "Date"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Portfolio!$C$2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Portfolio!$A$2:$A$367</c:f>
            </c:strRef>
          </c:cat>
          <c:val>
            <c:numRef>
              <c:f>Portfolio!$C$3:$C$367</c:f>
              <c:numCache/>
            </c:numRef>
          </c:val>
          <c:smooth val="0"/>
        </c:ser>
        <c:axId val="651760650"/>
        <c:axId val="1040400088"/>
      </c:lineChart>
      <c:catAx>
        <c:axId val="651760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400088"/>
      </c:catAx>
      <c:valAx>
        <c:axId val="1040400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"1000$"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760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0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0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IFERROR(__xludf.DUMMYFUNCTION("GOOGLEFINANCE(""NASDAQ:FB"",""all"",DATE(2014,1,1),DATE(2021,1,1),""weekly"")"),"Date")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  <c r="G1" s="3"/>
    </row>
    <row r="2">
      <c r="A2" s="1">
        <f>IFERROR(__xludf.DUMMYFUNCTION("""COMPUTED_VALUE"""),41642.666666666664)</f>
        <v>41642.66667</v>
      </c>
      <c r="B2" s="2">
        <f>IFERROR(__xludf.DUMMYFUNCTION("""COMPUTED_VALUE"""),54.9)</f>
        <v>54.9</v>
      </c>
      <c r="C2" s="2">
        <f>IFERROR(__xludf.DUMMYFUNCTION("""COMPUTED_VALUE"""),55.65)</f>
        <v>55.65</v>
      </c>
      <c r="D2" s="2">
        <f>IFERROR(__xludf.DUMMYFUNCTION("""COMPUTED_VALUE"""),53.43)</f>
        <v>53.43</v>
      </c>
      <c r="E2" s="2">
        <f>IFERROR(__xludf.DUMMYFUNCTION("""COMPUTED_VALUE"""),54.56)</f>
        <v>54.56</v>
      </c>
      <c r="F2" s="2">
        <f>IFERROR(__xludf.DUMMYFUNCTION("""COMPUTED_VALUE"""),1.93004776E8)</f>
        <v>193004776</v>
      </c>
      <c r="G2" s="3"/>
    </row>
    <row r="3">
      <c r="A3" s="1">
        <f>IFERROR(__xludf.DUMMYFUNCTION("""COMPUTED_VALUE"""),41649.666666666664)</f>
        <v>41649.66667</v>
      </c>
      <c r="B3" s="2">
        <f>IFERROR(__xludf.DUMMYFUNCTION("""COMPUTED_VALUE"""),54.39)</f>
        <v>54.39</v>
      </c>
      <c r="C3" s="2">
        <f>IFERROR(__xludf.DUMMYFUNCTION("""COMPUTED_VALUE"""),58.96)</f>
        <v>58.96</v>
      </c>
      <c r="D3" s="2">
        <f>IFERROR(__xludf.DUMMYFUNCTION("""COMPUTED_VALUE"""),54.05)</f>
        <v>54.05</v>
      </c>
      <c r="E3" s="2">
        <f>IFERROR(__xludf.DUMMYFUNCTION("""COMPUTED_VALUE"""),57.94)</f>
        <v>57.94</v>
      </c>
      <c r="F3" s="2">
        <f>IFERROR(__xludf.DUMMYFUNCTION("""COMPUTED_VALUE"""),3.37982624E8)</f>
        <v>337982624</v>
      </c>
      <c r="G3" s="3">
        <f t="shared" ref="G3:G367" si="1">E3/E2-1</f>
        <v>0.06195014663</v>
      </c>
    </row>
    <row r="4">
      <c r="A4" s="1">
        <f>IFERROR(__xludf.DUMMYFUNCTION("""COMPUTED_VALUE"""),41656.666666666664)</f>
        <v>41656.66667</v>
      </c>
      <c r="B4" s="2">
        <f>IFERROR(__xludf.DUMMYFUNCTION("""COMPUTED_VALUE"""),57.89)</f>
        <v>57.89</v>
      </c>
      <c r="C4" s="2">
        <f>IFERROR(__xludf.DUMMYFUNCTION("""COMPUTED_VALUE"""),58.57)</f>
        <v>58.57</v>
      </c>
      <c r="D4" s="2">
        <f>IFERROR(__xludf.DUMMYFUNCTION("""COMPUTED_VALUE"""),55.38)</f>
        <v>55.38</v>
      </c>
      <c r="E4" s="2">
        <f>IFERROR(__xludf.DUMMYFUNCTION("""COMPUTED_VALUE"""),56.3)</f>
        <v>56.3</v>
      </c>
      <c r="F4" s="2">
        <f>IFERROR(__xludf.DUMMYFUNCTION("""COMPUTED_VALUE"""),2.09911105E8)</f>
        <v>209911105</v>
      </c>
      <c r="G4" s="3">
        <f t="shared" si="1"/>
        <v>-0.02830514325</v>
      </c>
    </row>
    <row r="5">
      <c r="A5" s="1">
        <f>IFERROR(__xludf.DUMMYFUNCTION("""COMPUTED_VALUE"""),41663.666666666664)</f>
        <v>41663.66667</v>
      </c>
      <c r="B5" s="2">
        <f>IFERROR(__xludf.DUMMYFUNCTION("""COMPUTED_VALUE"""),56.6)</f>
        <v>56.6</v>
      </c>
      <c r="C5" s="2">
        <f>IFERROR(__xludf.DUMMYFUNCTION("""COMPUTED_VALUE"""),59.31)</f>
        <v>59.31</v>
      </c>
      <c r="D5" s="2">
        <f>IFERROR(__xludf.DUMMYFUNCTION("""COMPUTED_VALUE"""),54.4)</f>
        <v>54.4</v>
      </c>
      <c r="E5" s="2">
        <f>IFERROR(__xludf.DUMMYFUNCTION("""COMPUTED_VALUE"""),54.45)</f>
        <v>54.45</v>
      </c>
      <c r="F5" s="2">
        <f>IFERROR(__xludf.DUMMYFUNCTION("""COMPUTED_VALUE"""),2.13771768E8)</f>
        <v>213771768</v>
      </c>
      <c r="G5" s="3">
        <f t="shared" si="1"/>
        <v>-0.03285968028</v>
      </c>
    </row>
    <row r="6">
      <c r="A6" s="1">
        <f>IFERROR(__xludf.DUMMYFUNCTION("""COMPUTED_VALUE"""),41670.666666666664)</f>
        <v>41670.66667</v>
      </c>
      <c r="B6" s="2">
        <f>IFERROR(__xludf.DUMMYFUNCTION("""COMPUTED_VALUE"""),54.69)</f>
        <v>54.69</v>
      </c>
      <c r="C6" s="2">
        <f>IFERROR(__xludf.DUMMYFUNCTION("""COMPUTED_VALUE"""),63.37)</f>
        <v>63.37</v>
      </c>
      <c r="D6" s="2">
        <f>IFERROR(__xludf.DUMMYFUNCTION("""COMPUTED_VALUE"""),51.85)</f>
        <v>51.85</v>
      </c>
      <c r="E6" s="2">
        <f>IFERROR(__xludf.DUMMYFUNCTION("""COMPUTED_VALUE"""),62.57)</f>
        <v>62.57</v>
      </c>
      <c r="F6" s="2">
        <f>IFERROR(__xludf.DUMMYFUNCTION("""COMPUTED_VALUE"""),4.58966258E8)</f>
        <v>458966258</v>
      </c>
      <c r="G6" s="3">
        <f t="shared" si="1"/>
        <v>0.14912764</v>
      </c>
    </row>
    <row r="7">
      <c r="A7" s="1">
        <f>IFERROR(__xludf.DUMMYFUNCTION("""COMPUTED_VALUE"""),41677.666666666664)</f>
        <v>41677.66667</v>
      </c>
      <c r="B7" s="2">
        <f>IFERROR(__xludf.DUMMYFUNCTION("""COMPUTED_VALUE"""),63.17)</f>
        <v>63.17</v>
      </c>
      <c r="C7" s="2">
        <f>IFERROR(__xludf.DUMMYFUNCTION("""COMPUTED_VALUE"""),64.57)</f>
        <v>64.57</v>
      </c>
      <c r="D7" s="2">
        <f>IFERROR(__xludf.DUMMYFUNCTION("""COMPUTED_VALUE"""),60.7)</f>
        <v>60.7</v>
      </c>
      <c r="E7" s="2">
        <f>IFERROR(__xludf.DUMMYFUNCTION("""COMPUTED_VALUE"""),64.32)</f>
        <v>64.32</v>
      </c>
      <c r="F7" s="2">
        <f>IFERROR(__xludf.DUMMYFUNCTION("""COMPUTED_VALUE"""),2.77192811E8)</f>
        <v>277192811</v>
      </c>
      <c r="G7" s="3">
        <f t="shared" si="1"/>
        <v>0.02796867508</v>
      </c>
    </row>
    <row r="8">
      <c r="A8" s="1">
        <f>IFERROR(__xludf.DUMMYFUNCTION("""COMPUTED_VALUE"""),41684.666666666664)</f>
        <v>41684.66667</v>
      </c>
      <c r="B8" s="2">
        <f>IFERROR(__xludf.DUMMYFUNCTION("""COMPUTED_VALUE"""),64.28)</f>
        <v>64.28</v>
      </c>
      <c r="C8" s="2">
        <f>IFERROR(__xludf.DUMMYFUNCTION("""COMPUTED_VALUE"""),67.58)</f>
        <v>67.58</v>
      </c>
      <c r="D8" s="2">
        <f>IFERROR(__xludf.DUMMYFUNCTION("""COMPUTED_VALUE"""),63.35)</f>
        <v>63.35</v>
      </c>
      <c r="E8" s="2">
        <f>IFERROR(__xludf.DUMMYFUNCTION("""COMPUTED_VALUE"""),67.09)</f>
        <v>67.09</v>
      </c>
      <c r="F8" s="2">
        <f>IFERROR(__xludf.DUMMYFUNCTION("""COMPUTED_VALUE"""),2.35693074E8)</f>
        <v>235693074</v>
      </c>
      <c r="G8" s="3">
        <f t="shared" si="1"/>
        <v>0.0430659204</v>
      </c>
    </row>
    <row r="9">
      <c r="A9" s="1">
        <f>IFERROR(__xludf.DUMMYFUNCTION("""COMPUTED_VALUE"""),41691.666666666664)</f>
        <v>41691.66667</v>
      </c>
      <c r="B9" s="2">
        <f>IFERROR(__xludf.DUMMYFUNCTION("""COMPUTED_VALUE"""),66.92)</f>
        <v>66.92</v>
      </c>
      <c r="C9" s="2">
        <f>IFERROR(__xludf.DUMMYFUNCTION("""COMPUTED_VALUE"""),70.11)</f>
        <v>70.11</v>
      </c>
      <c r="D9" s="2">
        <f>IFERROR(__xludf.DUMMYFUNCTION("""COMPUTED_VALUE"""),65.73)</f>
        <v>65.73</v>
      </c>
      <c r="E9" s="2">
        <f>IFERROR(__xludf.DUMMYFUNCTION("""COMPUTED_VALUE"""),68.59)</f>
        <v>68.59</v>
      </c>
      <c r="F9" s="2">
        <f>IFERROR(__xludf.DUMMYFUNCTION("""COMPUTED_VALUE"""),3.10156568E8)</f>
        <v>310156568</v>
      </c>
      <c r="G9" s="3">
        <f t="shared" si="1"/>
        <v>0.02235802653</v>
      </c>
    </row>
    <row r="10">
      <c r="A10" s="1">
        <f>IFERROR(__xludf.DUMMYFUNCTION("""COMPUTED_VALUE"""),41698.666666666664)</f>
        <v>41698.66667</v>
      </c>
      <c r="B10" s="2">
        <f>IFERROR(__xludf.DUMMYFUNCTION("""COMPUTED_VALUE"""),68.75)</f>
        <v>68.75</v>
      </c>
      <c r="C10" s="2">
        <f>IFERROR(__xludf.DUMMYFUNCTION("""COMPUTED_VALUE"""),71.44)</f>
        <v>71.44</v>
      </c>
      <c r="D10" s="2">
        <f>IFERROR(__xludf.DUMMYFUNCTION("""COMPUTED_VALUE"""),67.38)</f>
        <v>67.38</v>
      </c>
      <c r="E10" s="2">
        <f>IFERROR(__xludf.DUMMYFUNCTION("""COMPUTED_VALUE"""),68.46)</f>
        <v>68.46</v>
      </c>
      <c r="F10" s="2">
        <f>IFERROR(__xludf.DUMMYFUNCTION("""COMPUTED_VALUE"""),2.93138094E8)</f>
        <v>293138094</v>
      </c>
      <c r="G10" s="3">
        <f t="shared" si="1"/>
        <v>-0.001895320017</v>
      </c>
    </row>
    <row r="11">
      <c r="A11" s="1">
        <f>IFERROR(__xludf.DUMMYFUNCTION("""COMPUTED_VALUE"""),41705.666666666664)</f>
        <v>41705.66667</v>
      </c>
      <c r="B11" s="2">
        <f>IFERROR(__xludf.DUMMYFUNCTION("""COMPUTED_VALUE"""),66.88)</f>
        <v>66.88</v>
      </c>
      <c r="C11" s="2">
        <f>IFERROR(__xludf.DUMMYFUNCTION("""COMPUTED_VALUE"""),71.97)</f>
        <v>71.97</v>
      </c>
      <c r="D11" s="2">
        <f>IFERROR(__xludf.DUMMYFUNCTION("""COMPUTED_VALUE"""),66.51)</f>
        <v>66.51</v>
      </c>
      <c r="E11" s="2">
        <f>IFERROR(__xludf.DUMMYFUNCTION("""COMPUTED_VALUE"""),69.8)</f>
        <v>69.8</v>
      </c>
      <c r="F11" s="2">
        <f>IFERROR(__xludf.DUMMYFUNCTION("""COMPUTED_VALUE"""),2.58826175E8)</f>
        <v>258826175</v>
      </c>
      <c r="G11" s="3">
        <f t="shared" si="1"/>
        <v>0.01957347356</v>
      </c>
    </row>
    <row r="12">
      <c r="A12" s="1">
        <f>IFERROR(__xludf.DUMMYFUNCTION("""COMPUTED_VALUE"""),41712.666666666664)</f>
        <v>41712.66667</v>
      </c>
      <c r="B12" s="2">
        <f>IFERROR(__xludf.DUMMYFUNCTION("""COMPUTED_VALUE"""),70.75)</f>
        <v>70.75</v>
      </c>
      <c r="C12" s="2">
        <f>IFERROR(__xludf.DUMMYFUNCTION("""COMPUTED_VALUE"""),72.59)</f>
        <v>72.59</v>
      </c>
      <c r="D12" s="2">
        <f>IFERROR(__xludf.DUMMYFUNCTION("""COMPUTED_VALUE"""),67.46)</f>
        <v>67.46</v>
      </c>
      <c r="E12" s="2">
        <f>IFERROR(__xludf.DUMMYFUNCTION("""COMPUTED_VALUE"""),67.72)</f>
        <v>67.72</v>
      </c>
      <c r="F12" s="2">
        <f>IFERROR(__xludf.DUMMYFUNCTION("""COMPUTED_VALUE"""),2.71283396E8)</f>
        <v>271283396</v>
      </c>
      <c r="G12" s="3">
        <f t="shared" si="1"/>
        <v>-0.02979942693</v>
      </c>
    </row>
    <row r="13">
      <c r="A13" s="1">
        <f>IFERROR(__xludf.DUMMYFUNCTION("""COMPUTED_VALUE"""),41719.666666666664)</f>
        <v>41719.66667</v>
      </c>
      <c r="B13" s="2">
        <f>IFERROR(__xludf.DUMMYFUNCTION("""COMPUTED_VALUE"""),68.14)</f>
        <v>68.14</v>
      </c>
      <c r="C13" s="2">
        <f>IFERROR(__xludf.DUMMYFUNCTION("""COMPUTED_VALUE"""),69.6)</f>
        <v>69.6</v>
      </c>
      <c r="D13" s="2">
        <f>IFERROR(__xludf.DUMMYFUNCTION("""COMPUTED_VALUE"""),66.18)</f>
        <v>66.18</v>
      </c>
      <c r="E13" s="2">
        <f>IFERROR(__xludf.DUMMYFUNCTION("""COMPUTED_VALUE"""),67.24)</f>
        <v>67.24</v>
      </c>
      <c r="F13" s="2">
        <f>IFERROR(__xludf.DUMMYFUNCTION("""COMPUTED_VALUE"""),2.41484211E8)</f>
        <v>241484211</v>
      </c>
      <c r="G13" s="3">
        <f t="shared" si="1"/>
        <v>-0.007088009451</v>
      </c>
    </row>
    <row r="14">
      <c r="A14" s="1">
        <f>IFERROR(__xludf.DUMMYFUNCTION("""COMPUTED_VALUE"""),41726.666666666664)</f>
        <v>41726.66667</v>
      </c>
      <c r="B14" s="2">
        <f>IFERROR(__xludf.DUMMYFUNCTION("""COMPUTED_VALUE"""),67.17)</f>
        <v>67.17</v>
      </c>
      <c r="C14" s="2">
        <f>IFERROR(__xludf.DUMMYFUNCTION("""COMPUTED_VALUE"""),67.36)</f>
        <v>67.36</v>
      </c>
      <c r="D14" s="2">
        <f>IFERROR(__xludf.DUMMYFUNCTION("""COMPUTED_VALUE"""),57.98)</f>
        <v>57.98</v>
      </c>
      <c r="E14" s="2">
        <f>IFERROR(__xludf.DUMMYFUNCTION("""COMPUTED_VALUE"""),60.01)</f>
        <v>60.01</v>
      </c>
      <c r="F14" s="2">
        <f>IFERROR(__xludf.DUMMYFUNCTION("""COMPUTED_VALUE"""),4.31872368E8)</f>
        <v>431872368</v>
      </c>
      <c r="G14" s="3">
        <f t="shared" si="1"/>
        <v>-0.1075252826</v>
      </c>
    </row>
    <row r="15">
      <c r="A15" s="1">
        <f>IFERROR(__xludf.DUMMYFUNCTION("""COMPUTED_VALUE"""),41733.666666666664)</f>
        <v>41733.66667</v>
      </c>
      <c r="B15" s="2">
        <f>IFERROR(__xludf.DUMMYFUNCTION("""COMPUTED_VALUE"""),60.78)</f>
        <v>60.78</v>
      </c>
      <c r="C15" s="2">
        <f>IFERROR(__xludf.DUMMYFUNCTION("""COMPUTED_VALUE"""),63.91)</f>
        <v>63.91</v>
      </c>
      <c r="D15" s="2">
        <f>IFERROR(__xludf.DUMMYFUNCTION("""COMPUTED_VALUE"""),56.32)</f>
        <v>56.32</v>
      </c>
      <c r="E15" s="2">
        <f>IFERROR(__xludf.DUMMYFUNCTION("""COMPUTED_VALUE"""),56.75)</f>
        <v>56.75</v>
      </c>
      <c r="F15" s="2">
        <f>IFERROR(__xludf.DUMMYFUNCTION("""COMPUTED_VALUE"""),3.87904132E8)</f>
        <v>387904132</v>
      </c>
      <c r="G15" s="3">
        <f t="shared" si="1"/>
        <v>-0.05432427929</v>
      </c>
    </row>
    <row r="16">
      <c r="A16" s="1">
        <f>IFERROR(__xludf.DUMMYFUNCTION("""COMPUTED_VALUE"""),41740.666666666664)</f>
        <v>41740.66667</v>
      </c>
      <c r="B16" s="2">
        <f>IFERROR(__xludf.DUMMYFUNCTION("""COMPUTED_VALUE"""),55.87)</f>
        <v>55.87</v>
      </c>
      <c r="C16" s="2">
        <f>IFERROR(__xludf.DUMMYFUNCTION("""COMPUTED_VALUE"""),63.18)</f>
        <v>63.18</v>
      </c>
      <c r="D16" s="2">
        <f>IFERROR(__xludf.DUMMYFUNCTION("""COMPUTED_VALUE"""),55.44)</f>
        <v>55.44</v>
      </c>
      <c r="E16" s="2">
        <f>IFERROR(__xludf.DUMMYFUNCTION("""COMPUTED_VALUE"""),58.53)</f>
        <v>58.53</v>
      </c>
      <c r="F16" s="2">
        <f>IFERROR(__xludf.DUMMYFUNCTION("""COMPUTED_VALUE"""),4.93978387E8)</f>
        <v>493978387</v>
      </c>
      <c r="G16" s="3">
        <f t="shared" si="1"/>
        <v>0.03136563877</v>
      </c>
    </row>
    <row r="17">
      <c r="A17" s="1">
        <f>IFERROR(__xludf.DUMMYFUNCTION("""COMPUTED_VALUE"""),41746.666666666664)</f>
        <v>41746.66667</v>
      </c>
      <c r="B17" s="2">
        <f>IFERROR(__xludf.DUMMYFUNCTION("""COMPUTED_VALUE"""),60.15)</f>
        <v>60.15</v>
      </c>
      <c r="C17" s="2">
        <f>IFERROR(__xludf.DUMMYFUNCTION("""COMPUTED_VALUE"""),60.58)</f>
        <v>60.58</v>
      </c>
      <c r="D17" s="2">
        <f>IFERROR(__xludf.DUMMYFUNCTION("""COMPUTED_VALUE"""),55.88)</f>
        <v>55.88</v>
      </c>
      <c r="E17" s="2">
        <f>IFERROR(__xludf.DUMMYFUNCTION("""COMPUTED_VALUE"""),58.94)</f>
        <v>58.94</v>
      </c>
      <c r="F17" s="2">
        <f>IFERROR(__xludf.DUMMYFUNCTION("""COMPUTED_VALUE"""),3.47761176E8)</f>
        <v>347761176</v>
      </c>
      <c r="G17" s="3">
        <f t="shared" si="1"/>
        <v>0.007004954724</v>
      </c>
    </row>
    <row r="18">
      <c r="A18" s="1">
        <f>IFERROR(__xludf.DUMMYFUNCTION("""COMPUTED_VALUE"""),41754.666666666664)</f>
        <v>41754.66667</v>
      </c>
      <c r="B18" s="2">
        <f>IFERROR(__xludf.DUMMYFUNCTION("""COMPUTED_VALUE"""),59.47)</f>
        <v>59.47</v>
      </c>
      <c r="C18" s="2">
        <f>IFERROR(__xludf.DUMMYFUNCTION("""COMPUTED_VALUE"""),63.65)</f>
        <v>63.65</v>
      </c>
      <c r="D18" s="2">
        <f>IFERROR(__xludf.DUMMYFUNCTION("""COMPUTED_VALUE"""),57.57)</f>
        <v>57.57</v>
      </c>
      <c r="E18" s="2">
        <f>IFERROR(__xludf.DUMMYFUNCTION("""COMPUTED_VALUE"""),57.71)</f>
        <v>57.71</v>
      </c>
      <c r="F18" s="2">
        <f>IFERROR(__xludf.DUMMYFUNCTION("""COMPUTED_VALUE"""),4.48830555E8)</f>
        <v>448830555</v>
      </c>
      <c r="G18" s="3">
        <f t="shared" si="1"/>
        <v>-0.02086868001</v>
      </c>
    </row>
    <row r="19">
      <c r="A19" s="1">
        <f>IFERROR(__xludf.DUMMYFUNCTION("""COMPUTED_VALUE"""),41761.666666666664)</f>
        <v>41761.66667</v>
      </c>
      <c r="B19" s="2">
        <f>IFERROR(__xludf.DUMMYFUNCTION("""COMPUTED_VALUE"""),58.09)</f>
        <v>58.09</v>
      </c>
      <c r="C19" s="2">
        <f>IFERROR(__xludf.DUMMYFUNCTION("""COMPUTED_VALUE"""),62.28)</f>
        <v>62.28</v>
      </c>
      <c r="D19" s="2">
        <f>IFERROR(__xludf.DUMMYFUNCTION("""COMPUTED_VALUE"""),54.66)</f>
        <v>54.66</v>
      </c>
      <c r="E19" s="2">
        <f>IFERROR(__xludf.DUMMYFUNCTION("""COMPUTED_VALUE"""),60.46)</f>
        <v>60.46</v>
      </c>
      <c r="F19" s="2">
        <f>IFERROR(__xludf.DUMMYFUNCTION("""COMPUTED_VALUE"""),3.96025765E8)</f>
        <v>396025765</v>
      </c>
      <c r="G19" s="3">
        <f t="shared" si="1"/>
        <v>0.04765205337</v>
      </c>
    </row>
    <row r="20">
      <c r="A20" s="1">
        <f>IFERROR(__xludf.DUMMYFUNCTION("""COMPUTED_VALUE"""),41768.666666666664)</f>
        <v>41768.66667</v>
      </c>
      <c r="B20" s="2">
        <f>IFERROR(__xludf.DUMMYFUNCTION("""COMPUTED_VALUE"""),59.71)</f>
        <v>59.71</v>
      </c>
      <c r="C20" s="2">
        <f>IFERROR(__xludf.DUMMYFUNCTION("""COMPUTED_VALUE"""),61.35)</f>
        <v>61.35</v>
      </c>
      <c r="D20" s="2">
        <f>IFERROR(__xludf.DUMMYFUNCTION("""COMPUTED_VALUE"""),56.26)</f>
        <v>56.26</v>
      </c>
      <c r="E20" s="2">
        <f>IFERROR(__xludf.DUMMYFUNCTION("""COMPUTED_VALUE"""),57.24)</f>
        <v>57.24</v>
      </c>
      <c r="F20" s="2">
        <f>IFERROR(__xludf.DUMMYFUNCTION("""COMPUTED_VALUE"""),2.94380378E8)</f>
        <v>294380378</v>
      </c>
      <c r="G20" s="3">
        <f t="shared" si="1"/>
        <v>-0.05325835263</v>
      </c>
    </row>
    <row r="21">
      <c r="A21" s="1">
        <f>IFERROR(__xludf.DUMMYFUNCTION("""COMPUTED_VALUE"""),41775.666666666664)</f>
        <v>41775.66667</v>
      </c>
      <c r="B21" s="2">
        <f>IFERROR(__xludf.DUMMYFUNCTION("""COMPUTED_VALUE"""),58.07)</f>
        <v>58.07</v>
      </c>
      <c r="C21" s="2">
        <f>IFERROR(__xludf.DUMMYFUNCTION("""COMPUTED_VALUE"""),60.89)</f>
        <v>60.89</v>
      </c>
      <c r="D21" s="2">
        <f>IFERROR(__xludf.DUMMYFUNCTION("""COMPUTED_VALUE"""),57.31)</f>
        <v>57.31</v>
      </c>
      <c r="E21" s="2">
        <f>IFERROR(__xludf.DUMMYFUNCTION("""COMPUTED_VALUE"""),58.02)</f>
        <v>58.02</v>
      </c>
      <c r="F21" s="2">
        <f>IFERROR(__xludf.DUMMYFUNCTION("""COMPUTED_VALUE"""),2.49276561E8)</f>
        <v>249276561</v>
      </c>
      <c r="G21" s="3">
        <f t="shared" si="1"/>
        <v>0.01362683438</v>
      </c>
    </row>
    <row r="22">
      <c r="A22" s="1">
        <f>IFERROR(__xludf.DUMMYFUNCTION("""COMPUTED_VALUE"""),41782.666666666664)</f>
        <v>41782.66667</v>
      </c>
      <c r="B22" s="2">
        <f>IFERROR(__xludf.DUMMYFUNCTION("""COMPUTED_VALUE"""),57.84)</f>
        <v>57.84</v>
      </c>
      <c r="C22" s="2">
        <f>IFERROR(__xludf.DUMMYFUNCTION("""COMPUTED_VALUE"""),61.48)</f>
        <v>61.48</v>
      </c>
      <c r="D22" s="2">
        <f>IFERROR(__xludf.DUMMYFUNCTION("""COMPUTED_VALUE"""),57.57)</f>
        <v>57.57</v>
      </c>
      <c r="E22" s="2">
        <f>IFERROR(__xludf.DUMMYFUNCTION("""COMPUTED_VALUE"""),61.35)</f>
        <v>61.35</v>
      </c>
      <c r="F22" s="2">
        <f>IFERROR(__xludf.DUMMYFUNCTION("""COMPUTED_VALUE"""),2.48451008E8)</f>
        <v>248451008</v>
      </c>
      <c r="G22" s="3">
        <f t="shared" si="1"/>
        <v>0.05739400207</v>
      </c>
    </row>
    <row r="23">
      <c r="A23" s="1">
        <f>IFERROR(__xludf.DUMMYFUNCTION("""COMPUTED_VALUE"""),41789.666666666664)</f>
        <v>41789.66667</v>
      </c>
      <c r="B23" s="2">
        <f>IFERROR(__xludf.DUMMYFUNCTION("""COMPUTED_VALUE"""),61.57)</f>
        <v>61.57</v>
      </c>
      <c r="C23" s="2">
        <f>IFERROR(__xludf.DUMMYFUNCTION("""COMPUTED_VALUE"""),64.3)</f>
        <v>64.3</v>
      </c>
      <c r="D23" s="2">
        <f>IFERROR(__xludf.DUMMYFUNCTION("""COMPUTED_VALUE"""),61.57)</f>
        <v>61.57</v>
      </c>
      <c r="E23" s="2">
        <f>IFERROR(__xludf.DUMMYFUNCTION("""COMPUTED_VALUE"""),63.3)</f>
        <v>63.3</v>
      </c>
      <c r="F23" s="2">
        <f>IFERROR(__xludf.DUMMYFUNCTION("""COMPUTED_VALUE"""),1.91459998E8)</f>
        <v>191459998</v>
      </c>
      <c r="G23" s="3">
        <f t="shared" si="1"/>
        <v>0.03178484108</v>
      </c>
    </row>
    <row r="24">
      <c r="A24" s="1">
        <f>IFERROR(__xludf.DUMMYFUNCTION("""COMPUTED_VALUE"""),41796.666666666664)</f>
        <v>41796.66667</v>
      </c>
      <c r="B24" s="2">
        <f>IFERROR(__xludf.DUMMYFUNCTION("""COMPUTED_VALUE"""),63.22)</f>
        <v>63.22</v>
      </c>
      <c r="C24" s="2">
        <f>IFERROR(__xludf.DUMMYFUNCTION("""COMPUTED_VALUE"""),64.36)</f>
        <v>64.36</v>
      </c>
      <c r="D24" s="2">
        <f>IFERROR(__xludf.DUMMYFUNCTION("""COMPUTED_VALUE"""),62.05)</f>
        <v>62.05</v>
      </c>
      <c r="E24" s="2">
        <f>IFERROR(__xludf.DUMMYFUNCTION("""COMPUTED_VALUE"""),62.5)</f>
        <v>62.5</v>
      </c>
      <c r="F24" s="2">
        <f>IFERROR(__xludf.DUMMYFUNCTION("""COMPUTED_VALUE"""),1.94520699E8)</f>
        <v>194520699</v>
      </c>
      <c r="G24" s="3">
        <f t="shared" si="1"/>
        <v>-0.01263823065</v>
      </c>
    </row>
    <row r="25">
      <c r="A25" s="1">
        <f>IFERROR(__xludf.DUMMYFUNCTION("""COMPUTED_VALUE"""),41803.666666666664)</f>
        <v>41803.66667</v>
      </c>
      <c r="B25" s="2">
        <f>IFERROR(__xludf.DUMMYFUNCTION("""COMPUTED_VALUE"""),62.39)</f>
        <v>62.39</v>
      </c>
      <c r="C25" s="2">
        <f>IFERROR(__xludf.DUMMYFUNCTION("""COMPUTED_VALUE"""),66.47)</f>
        <v>66.47</v>
      </c>
      <c r="D25" s="2">
        <f>IFERROR(__xludf.DUMMYFUNCTION("""COMPUTED_VALUE"""),61.79)</f>
        <v>61.79</v>
      </c>
      <c r="E25" s="2">
        <f>IFERROR(__xludf.DUMMYFUNCTION("""COMPUTED_VALUE"""),64.5)</f>
        <v>64.5</v>
      </c>
      <c r="F25" s="2">
        <f>IFERROR(__xludf.DUMMYFUNCTION("""COMPUTED_VALUE"""),2.36346217E8)</f>
        <v>236346217</v>
      </c>
      <c r="G25" s="3">
        <f t="shared" si="1"/>
        <v>0.032</v>
      </c>
    </row>
    <row r="26">
      <c r="A26" s="1">
        <f>IFERROR(__xludf.DUMMYFUNCTION("""COMPUTED_VALUE"""),41810.666666666664)</f>
        <v>41810.66667</v>
      </c>
      <c r="B26" s="2">
        <f>IFERROR(__xludf.DUMMYFUNCTION("""COMPUTED_VALUE"""),64.17)</f>
        <v>64.17</v>
      </c>
      <c r="C26" s="2">
        <f>IFERROR(__xludf.DUMMYFUNCTION("""COMPUTED_VALUE"""),65.75)</f>
        <v>65.75</v>
      </c>
      <c r="D26" s="2">
        <f>IFERROR(__xludf.DUMMYFUNCTION("""COMPUTED_VALUE"""),63.35)</f>
        <v>63.35</v>
      </c>
      <c r="E26" s="2">
        <f>IFERROR(__xludf.DUMMYFUNCTION("""COMPUTED_VALUE"""),64.5)</f>
        <v>64.5</v>
      </c>
      <c r="F26" s="2">
        <f>IFERROR(__xludf.DUMMYFUNCTION("""COMPUTED_VALUE"""),1.75042036E8)</f>
        <v>175042036</v>
      </c>
      <c r="G26" s="3">
        <f t="shared" si="1"/>
        <v>0</v>
      </c>
    </row>
    <row r="27">
      <c r="A27" s="1">
        <f>IFERROR(__xludf.DUMMYFUNCTION("""COMPUTED_VALUE"""),41817.666666666664)</f>
        <v>41817.66667</v>
      </c>
      <c r="B27" s="2">
        <f>IFERROR(__xludf.DUMMYFUNCTION("""COMPUTED_VALUE"""),64.3)</f>
        <v>64.3</v>
      </c>
      <c r="C27" s="2">
        <f>IFERROR(__xludf.DUMMYFUNCTION("""COMPUTED_VALUE"""),68.0)</f>
        <v>68</v>
      </c>
      <c r="D27" s="2">
        <f>IFERROR(__xludf.DUMMYFUNCTION("""COMPUTED_VALUE"""),64.22)</f>
        <v>64.22</v>
      </c>
      <c r="E27" s="2">
        <f>IFERROR(__xludf.DUMMYFUNCTION("""COMPUTED_VALUE"""),67.6)</f>
        <v>67.6</v>
      </c>
      <c r="F27" s="2">
        <f>IFERROR(__xludf.DUMMYFUNCTION("""COMPUTED_VALUE"""),2.30377808E8)</f>
        <v>230377808</v>
      </c>
      <c r="G27" s="3">
        <f t="shared" si="1"/>
        <v>0.0480620155</v>
      </c>
    </row>
    <row r="28">
      <c r="A28" s="1">
        <f>IFERROR(__xludf.DUMMYFUNCTION("""COMPUTED_VALUE"""),41823.666666666664)</f>
        <v>41823.66667</v>
      </c>
      <c r="B28" s="2">
        <f>IFERROR(__xludf.DUMMYFUNCTION("""COMPUTED_VALUE"""),67.45)</f>
        <v>67.45</v>
      </c>
      <c r="C28" s="2">
        <f>IFERROR(__xludf.DUMMYFUNCTION("""COMPUTED_VALUE"""),68.44)</f>
        <v>68.44</v>
      </c>
      <c r="D28" s="2">
        <f>IFERROR(__xludf.DUMMYFUNCTION("""COMPUTED_VALUE"""),65.76)</f>
        <v>65.76</v>
      </c>
      <c r="E28" s="2">
        <f>IFERROR(__xludf.DUMMYFUNCTION("""COMPUTED_VALUE"""),66.29)</f>
        <v>66.29</v>
      </c>
      <c r="F28" s="2">
        <f>IFERROR(__xludf.DUMMYFUNCTION("""COMPUTED_VALUE"""),1.2754335E8)</f>
        <v>127543350</v>
      </c>
      <c r="G28" s="3">
        <f t="shared" si="1"/>
        <v>-0.01937869822</v>
      </c>
    </row>
    <row r="29">
      <c r="A29" s="1">
        <f>IFERROR(__xludf.DUMMYFUNCTION("""COMPUTED_VALUE"""),41831.666666666664)</f>
        <v>41831.66667</v>
      </c>
      <c r="B29" s="2">
        <f>IFERROR(__xludf.DUMMYFUNCTION("""COMPUTED_VALUE"""),66.28)</f>
        <v>66.28</v>
      </c>
      <c r="C29" s="2">
        <f>IFERROR(__xludf.DUMMYFUNCTION("""COMPUTED_VALUE"""),66.59)</f>
        <v>66.59</v>
      </c>
      <c r="D29" s="2">
        <f>IFERROR(__xludf.DUMMYFUNCTION("""COMPUTED_VALUE"""),62.21)</f>
        <v>62.21</v>
      </c>
      <c r="E29" s="2">
        <f>IFERROR(__xludf.DUMMYFUNCTION("""COMPUTED_VALUE"""),66.34)</f>
        <v>66.34</v>
      </c>
      <c r="F29" s="2">
        <f>IFERROR(__xludf.DUMMYFUNCTION("""COMPUTED_VALUE"""),2.32736654E8)</f>
        <v>232736654</v>
      </c>
      <c r="G29" s="3">
        <f t="shared" si="1"/>
        <v>0.0007542615779</v>
      </c>
    </row>
    <row r="30">
      <c r="A30" s="1">
        <f>IFERROR(__xludf.DUMMYFUNCTION("""COMPUTED_VALUE"""),41838.666666666664)</f>
        <v>41838.66667</v>
      </c>
      <c r="B30" s="2">
        <f>IFERROR(__xludf.DUMMYFUNCTION("""COMPUTED_VALUE"""),67.12)</f>
        <v>67.12</v>
      </c>
      <c r="C30" s="2">
        <f>IFERROR(__xludf.DUMMYFUNCTION("""COMPUTED_VALUE"""),68.46)</f>
        <v>68.46</v>
      </c>
      <c r="D30" s="2">
        <f>IFERROR(__xludf.DUMMYFUNCTION("""COMPUTED_VALUE"""),66.04)</f>
        <v>66.04</v>
      </c>
      <c r="E30" s="2">
        <f>IFERROR(__xludf.DUMMYFUNCTION("""COMPUTED_VALUE"""),68.42)</f>
        <v>68.42</v>
      </c>
      <c r="F30" s="2">
        <f>IFERROR(__xludf.DUMMYFUNCTION("""COMPUTED_VALUE"""),1.93067538E8)</f>
        <v>193067538</v>
      </c>
      <c r="G30" s="3">
        <f t="shared" si="1"/>
        <v>0.0313536328</v>
      </c>
    </row>
    <row r="31">
      <c r="A31" s="1">
        <f>IFERROR(__xludf.DUMMYFUNCTION("""COMPUTED_VALUE"""),41845.666666666664)</f>
        <v>41845.66667</v>
      </c>
      <c r="B31" s="2">
        <f>IFERROR(__xludf.DUMMYFUNCTION("""COMPUTED_VALUE"""),68.84)</f>
        <v>68.84</v>
      </c>
      <c r="C31" s="2">
        <f>IFERROR(__xludf.DUMMYFUNCTION("""COMPUTED_VALUE"""),76.74)</f>
        <v>76.74</v>
      </c>
      <c r="D31" s="2">
        <f>IFERROR(__xludf.DUMMYFUNCTION("""COMPUTED_VALUE"""),68.5)</f>
        <v>68.5</v>
      </c>
      <c r="E31" s="2">
        <f>IFERROR(__xludf.DUMMYFUNCTION("""COMPUTED_VALUE"""),75.19)</f>
        <v>75.19</v>
      </c>
      <c r="F31" s="2">
        <f>IFERROR(__xludf.DUMMYFUNCTION("""COMPUTED_VALUE"""),3.38456901E8)</f>
        <v>338456901</v>
      </c>
      <c r="G31" s="3">
        <f t="shared" si="1"/>
        <v>0.09894767612</v>
      </c>
    </row>
    <row r="32">
      <c r="A32" s="1">
        <f>IFERROR(__xludf.DUMMYFUNCTION("""COMPUTED_VALUE"""),41852.666666666664)</f>
        <v>41852.66667</v>
      </c>
      <c r="B32" s="2">
        <f>IFERROR(__xludf.DUMMYFUNCTION("""COMPUTED_VALUE"""),75.19)</f>
        <v>75.19</v>
      </c>
      <c r="C32" s="2">
        <f>IFERROR(__xludf.DUMMYFUNCTION("""COMPUTED_VALUE"""),75.5)</f>
        <v>75.5</v>
      </c>
      <c r="D32" s="2">
        <f>IFERROR(__xludf.DUMMYFUNCTION("""COMPUTED_VALUE"""),71.55)</f>
        <v>71.55</v>
      </c>
      <c r="E32" s="2">
        <f>IFERROR(__xludf.DUMMYFUNCTION("""COMPUTED_VALUE"""),72.36)</f>
        <v>72.36</v>
      </c>
      <c r="F32" s="2">
        <f>IFERROR(__xludf.DUMMYFUNCTION("""COMPUTED_VALUE"""),2.07429823E8)</f>
        <v>207429823</v>
      </c>
      <c r="G32" s="3">
        <f t="shared" si="1"/>
        <v>-0.03763798377</v>
      </c>
    </row>
    <row r="33">
      <c r="A33" s="1">
        <f>IFERROR(__xludf.DUMMYFUNCTION("""COMPUTED_VALUE"""),41859.666666666664)</f>
        <v>41859.66667</v>
      </c>
      <c r="B33" s="2">
        <f>IFERROR(__xludf.DUMMYFUNCTION("""COMPUTED_VALUE"""),72.42)</f>
        <v>72.42</v>
      </c>
      <c r="C33" s="2">
        <f>IFERROR(__xludf.DUMMYFUNCTION("""COMPUTED_VALUE"""),74.0)</f>
        <v>74</v>
      </c>
      <c r="D33" s="2">
        <f>IFERROR(__xludf.DUMMYFUNCTION("""COMPUTED_VALUE"""),71.79)</f>
        <v>71.79</v>
      </c>
      <c r="E33" s="2">
        <f>IFERROR(__xludf.DUMMYFUNCTION("""COMPUTED_VALUE"""),73.06)</f>
        <v>73.06</v>
      </c>
      <c r="F33" s="2">
        <f>IFERROR(__xludf.DUMMYFUNCTION("""COMPUTED_VALUE"""),1.62091374E8)</f>
        <v>162091374</v>
      </c>
      <c r="G33" s="3">
        <f t="shared" si="1"/>
        <v>0.009673852957</v>
      </c>
    </row>
    <row r="34">
      <c r="A34" s="1">
        <f>IFERROR(__xludf.DUMMYFUNCTION("""COMPUTED_VALUE"""),41866.666666666664)</f>
        <v>41866.66667</v>
      </c>
      <c r="B34" s="2">
        <f>IFERROR(__xludf.DUMMYFUNCTION("""COMPUTED_VALUE"""),73.46)</f>
        <v>73.46</v>
      </c>
      <c r="C34" s="2">
        <f>IFERROR(__xludf.DUMMYFUNCTION("""COMPUTED_VALUE"""),74.65)</f>
        <v>74.65</v>
      </c>
      <c r="D34" s="2">
        <f>IFERROR(__xludf.DUMMYFUNCTION("""COMPUTED_VALUE"""),72.22)</f>
        <v>72.22</v>
      </c>
      <c r="E34" s="2">
        <f>IFERROR(__xludf.DUMMYFUNCTION("""COMPUTED_VALUE"""),73.63)</f>
        <v>73.63</v>
      </c>
      <c r="F34" s="2">
        <f>IFERROR(__xludf.DUMMYFUNCTION("""COMPUTED_VALUE"""),1.42392002E8)</f>
        <v>142392002</v>
      </c>
      <c r="G34" s="3">
        <f t="shared" si="1"/>
        <v>0.007801806734</v>
      </c>
    </row>
    <row r="35">
      <c r="A35" s="1">
        <f>IFERROR(__xludf.DUMMYFUNCTION("""COMPUTED_VALUE"""),41873.666666666664)</f>
        <v>41873.66667</v>
      </c>
      <c r="B35" s="2">
        <f>IFERROR(__xludf.DUMMYFUNCTION("""COMPUTED_VALUE"""),74.0)</f>
        <v>74</v>
      </c>
      <c r="C35" s="2">
        <f>IFERROR(__xludf.DUMMYFUNCTION("""COMPUTED_VALUE"""),75.58)</f>
        <v>75.58</v>
      </c>
      <c r="D35" s="2">
        <f>IFERROR(__xludf.DUMMYFUNCTION("""COMPUTED_VALUE"""),73.57)</f>
        <v>73.57</v>
      </c>
      <c r="E35" s="2">
        <f>IFERROR(__xludf.DUMMYFUNCTION("""COMPUTED_VALUE"""),74.57)</f>
        <v>74.57</v>
      </c>
      <c r="F35" s="2">
        <f>IFERROR(__xludf.DUMMYFUNCTION("""COMPUTED_VALUE"""),1.14568348E8)</f>
        <v>114568348</v>
      </c>
      <c r="G35" s="3">
        <f t="shared" si="1"/>
        <v>0.01276653538</v>
      </c>
    </row>
    <row r="36">
      <c r="A36" s="1">
        <f>IFERROR(__xludf.DUMMYFUNCTION("""COMPUTED_VALUE"""),41880.666666666664)</f>
        <v>41880.66667</v>
      </c>
      <c r="B36" s="2">
        <f>IFERROR(__xludf.DUMMYFUNCTION("""COMPUTED_VALUE"""),74.97)</f>
        <v>74.97</v>
      </c>
      <c r="C36" s="2">
        <f>IFERROR(__xludf.DUMMYFUNCTION("""COMPUTED_VALUE"""),75.99)</f>
        <v>75.99</v>
      </c>
      <c r="D36" s="2">
        <f>IFERROR(__xludf.DUMMYFUNCTION("""COMPUTED_VALUE"""),73.73)</f>
        <v>73.73</v>
      </c>
      <c r="E36" s="2">
        <f>IFERROR(__xludf.DUMMYFUNCTION("""COMPUTED_VALUE"""),74.82)</f>
        <v>74.82</v>
      </c>
      <c r="F36" s="2">
        <f>IFERROR(__xludf.DUMMYFUNCTION("""COMPUTED_VALUE"""),1.28237731E8)</f>
        <v>128237731</v>
      </c>
      <c r="G36" s="3">
        <f t="shared" si="1"/>
        <v>0.003352554647</v>
      </c>
    </row>
    <row r="37">
      <c r="A37" s="1">
        <f>IFERROR(__xludf.DUMMYFUNCTION("""COMPUTED_VALUE"""),41887.666666666664)</f>
        <v>41887.66667</v>
      </c>
      <c r="B37" s="2">
        <f>IFERROR(__xludf.DUMMYFUNCTION("""COMPUTED_VALUE"""),75.01)</f>
        <v>75.01</v>
      </c>
      <c r="C37" s="2">
        <f>IFERROR(__xludf.DUMMYFUNCTION("""COMPUTED_VALUE"""),77.48)</f>
        <v>77.48</v>
      </c>
      <c r="D37" s="2">
        <f>IFERROR(__xludf.DUMMYFUNCTION("""COMPUTED_VALUE"""),74.82)</f>
        <v>74.82</v>
      </c>
      <c r="E37" s="2">
        <f>IFERROR(__xludf.DUMMYFUNCTION("""COMPUTED_VALUE"""),77.26)</f>
        <v>77.26</v>
      </c>
      <c r="F37" s="2">
        <f>IFERROR(__xludf.DUMMYFUNCTION("""COMPUTED_VALUE"""),1.23520838E8)</f>
        <v>123520838</v>
      </c>
      <c r="G37" s="3">
        <f t="shared" si="1"/>
        <v>0.03261160118</v>
      </c>
    </row>
    <row r="38">
      <c r="A38" s="1">
        <f>IFERROR(__xludf.DUMMYFUNCTION("""COMPUTED_VALUE"""),41894.666666666664)</f>
        <v>41894.66667</v>
      </c>
      <c r="B38" s="2">
        <f>IFERROR(__xludf.DUMMYFUNCTION("""COMPUTED_VALUE"""),77.27)</f>
        <v>77.27</v>
      </c>
      <c r="C38" s="2">
        <f>IFERROR(__xludf.DUMMYFUNCTION("""COMPUTED_VALUE"""),78.36)</f>
        <v>78.36</v>
      </c>
      <c r="D38" s="2">
        <f>IFERROR(__xludf.DUMMYFUNCTION("""COMPUTED_VALUE"""),76.2)</f>
        <v>76.2</v>
      </c>
      <c r="E38" s="2">
        <f>IFERROR(__xludf.DUMMYFUNCTION("""COMPUTED_VALUE"""),77.48)</f>
        <v>77.48</v>
      </c>
      <c r="F38" s="2">
        <f>IFERROR(__xludf.DUMMYFUNCTION("""COMPUTED_VALUE"""),1.45965645E8)</f>
        <v>145965645</v>
      </c>
      <c r="G38" s="3">
        <f t="shared" si="1"/>
        <v>0.002847527828</v>
      </c>
    </row>
    <row r="39">
      <c r="A39" s="1">
        <f>IFERROR(__xludf.DUMMYFUNCTION("""COMPUTED_VALUE"""),41901.666666666664)</f>
        <v>41901.66667</v>
      </c>
      <c r="B39" s="2">
        <f>IFERROR(__xludf.DUMMYFUNCTION("""COMPUTED_VALUE"""),77.15)</f>
        <v>77.15</v>
      </c>
      <c r="C39" s="2">
        <f>IFERROR(__xludf.DUMMYFUNCTION("""COMPUTED_VALUE"""),78.3)</f>
        <v>78.3</v>
      </c>
      <c r="D39" s="2">
        <f>IFERROR(__xludf.DUMMYFUNCTION("""COMPUTED_VALUE"""),73.07)</f>
        <v>73.07</v>
      </c>
      <c r="E39" s="2">
        <f>IFERROR(__xludf.DUMMYFUNCTION("""COMPUTED_VALUE"""),77.91)</f>
        <v>77.91</v>
      </c>
      <c r="F39" s="2">
        <f>IFERROR(__xludf.DUMMYFUNCTION("""COMPUTED_VALUE"""),2.15817226E8)</f>
        <v>215817226</v>
      </c>
      <c r="G39" s="3">
        <f t="shared" si="1"/>
        <v>0.005549819308</v>
      </c>
    </row>
    <row r="40">
      <c r="A40" s="1">
        <f>IFERROR(__xludf.DUMMYFUNCTION("""COMPUTED_VALUE"""),41908.666666666664)</f>
        <v>41908.66667</v>
      </c>
      <c r="B40" s="2">
        <f>IFERROR(__xludf.DUMMYFUNCTION("""COMPUTED_VALUE"""),77.0)</f>
        <v>77</v>
      </c>
      <c r="C40" s="2">
        <f>IFERROR(__xludf.DUMMYFUNCTION("""COMPUTED_VALUE"""),78.94)</f>
        <v>78.94</v>
      </c>
      <c r="D40" s="2">
        <f>IFERROR(__xludf.DUMMYFUNCTION("""COMPUTED_VALUE"""),75.95)</f>
        <v>75.95</v>
      </c>
      <c r="E40" s="2">
        <f>IFERROR(__xludf.DUMMYFUNCTION("""COMPUTED_VALUE"""),78.79)</f>
        <v>78.79</v>
      </c>
      <c r="F40" s="2">
        <f>IFERROR(__xludf.DUMMYFUNCTION("""COMPUTED_VALUE"""),1.6585936E8)</f>
        <v>165859360</v>
      </c>
      <c r="G40" s="3">
        <f t="shared" si="1"/>
        <v>0.01129508407</v>
      </c>
    </row>
    <row r="41">
      <c r="A41" s="1">
        <f>IFERROR(__xludf.DUMMYFUNCTION("""COMPUTED_VALUE"""),41915.666666666664)</f>
        <v>41915.66667</v>
      </c>
      <c r="B41" s="2">
        <f>IFERROR(__xludf.DUMMYFUNCTION("""COMPUTED_VALUE"""),78.12)</f>
        <v>78.12</v>
      </c>
      <c r="C41" s="2">
        <f>IFERROR(__xludf.DUMMYFUNCTION("""COMPUTED_VALUE"""),79.71)</f>
        <v>79.71</v>
      </c>
      <c r="D41" s="2">
        <f>IFERROR(__xludf.DUMMYFUNCTION("""COMPUTED_VALUE"""),75.64)</f>
        <v>75.64</v>
      </c>
      <c r="E41" s="2">
        <f>IFERROR(__xludf.DUMMYFUNCTION("""COMPUTED_VALUE"""),77.44)</f>
        <v>77.44</v>
      </c>
      <c r="F41" s="2">
        <f>IFERROR(__xludf.DUMMYFUNCTION("""COMPUTED_VALUE"""),1.84848021E8)</f>
        <v>184848021</v>
      </c>
      <c r="G41" s="3">
        <f t="shared" si="1"/>
        <v>-0.01713415408</v>
      </c>
    </row>
    <row r="42">
      <c r="A42" s="1">
        <f>IFERROR(__xludf.DUMMYFUNCTION("""COMPUTED_VALUE"""),41922.666666666664)</f>
        <v>41922.66667</v>
      </c>
      <c r="B42" s="2">
        <f>IFERROR(__xludf.DUMMYFUNCTION("""COMPUTED_VALUE"""),77.19)</f>
        <v>77.19</v>
      </c>
      <c r="C42" s="2">
        <f>IFERROR(__xludf.DUMMYFUNCTION("""COMPUTED_VALUE"""),77.95)</f>
        <v>77.95</v>
      </c>
      <c r="D42" s="2">
        <f>IFERROR(__xludf.DUMMYFUNCTION("""COMPUTED_VALUE"""),72.76)</f>
        <v>72.76</v>
      </c>
      <c r="E42" s="2">
        <f>IFERROR(__xludf.DUMMYFUNCTION("""COMPUTED_VALUE"""),72.91)</f>
        <v>72.91</v>
      </c>
      <c r="F42" s="2">
        <f>IFERROR(__xludf.DUMMYFUNCTION("""COMPUTED_VALUE"""),1.68655529E8)</f>
        <v>168655529</v>
      </c>
      <c r="G42" s="3">
        <f t="shared" si="1"/>
        <v>-0.05849690083</v>
      </c>
    </row>
    <row r="43">
      <c r="A43" s="1">
        <f>IFERROR(__xludf.DUMMYFUNCTION("""COMPUTED_VALUE"""),41929.666666666664)</f>
        <v>41929.66667</v>
      </c>
      <c r="B43" s="2">
        <f>IFERROR(__xludf.DUMMYFUNCTION("""COMPUTED_VALUE"""),73.23)</f>
        <v>73.23</v>
      </c>
      <c r="C43" s="2">
        <f>IFERROR(__xludf.DUMMYFUNCTION("""COMPUTED_VALUE"""),76.0)</f>
        <v>76</v>
      </c>
      <c r="D43" s="2">
        <f>IFERROR(__xludf.DUMMYFUNCTION("""COMPUTED_VALUE"""),70.32)</f>
        <v>70.32</v>
      </c>
      <c r="E43" s="2">
        <f>IFERROR(__xludf.DUMMYFUNCTION("""COMPUTED_VALUE"""),75.95)</f>
        <v>75.95</v>
      </c>
      <c r="F43" s="2">
        <f>IFERROR(__xludf.DUMMYFUNCTION("""COMPUTED_VALUE"""),2.8563634E8)</f>
        <v>285636340</v>
      </c>
      <c r="G43" s="3">
        <f t="shared" si="1"/>
        <v>0.04169524071</v>
      </c>
    </row>
    <row r="44">
      <c r="A44" s="1">
        <f>IFERROR(__xludf.DUMMYFUNCTION("""COMPUTED_VALUE"""),41936.666666666664)</f>
        <v>41936.66667</v>
      </c>
      <c r="B44" s="2">
        <f>IFERROR(__xludf.DUMMYFUNCTION("""COMPUTED_VALUE"""),75.61)</f>
        <v>75.61</v>
      </c>
      <c r="C44" s="2">
        <f>IFERROR(__xludf.DUMMYFUNCTION("""COMPUTED_VALUE"""),80.82)</f>
        <v>80.82</v>
      </c>
      <c r="D44" s="2">
        <f>IFERROR(__xludf.DUMMYFUNCTION("""COMPUTED_VALUE"""),75.38)</f>
        <v>75.38</v>
      </c>
      <c r="E44" s="2">
        <f>IFERROR(__xludf.DUMMYFUNCTION("""COMPUTED_VALUE"""),80.67)</f>
        <v>80.67</v>
      </c>
      <c r="F44" s="2">
        <f>IFERROR(__xludf.DUMMYFUNCTION("""COMPUTED_VALUE"""),1.76119376E8)</f>
        <v>176119376</v>
      </c>
      <c r="G44" s="3">
        <f t="shared" si="1"/>
        <v>0.06214614878</v>
      </c>
    </row>
    <row r="45">
      <c r="A45" s="1">
        <f>IFERROR(__xludf.DUMMYFUNCTION("""COMPUTED_VALUE"""),41943.666666666664)</f>
        <v>41943.66667</v>
      </c>
      <c r="B45" s="2">
        <f>IFERROR(__xludf.DUMMYFUNCTION("""COMPUTED_VALUE"""),80.74)</f>
        <v>80.74</v>
      </c>
      <c r="C45" s="2">
        <f>IFERROR(__xludf.DUMMYFUNCTION("""COMPUTED_VALUE"""),81.16)</f>
        <v>81.16</v>
      </c>
      <c r="D45" s="2">
        <f>IFERROR(__xludf.DUMMYFUNCTION("""COMPUTED_VALUE"""),72.9)</f>
        <v>72.9</v>
      </c>
      <c r="E45" s="2">
        <f>IFERROR(__xludf.DUMMYFUNCTION("""COMPUTED_VALUE"""),74.99)</f>
        <v>74.99</v>
      </c>
      <c r="F45" s="2">
        <f>IFERROR(__xludf.DUMMYFUNCTION("""COMPUTED_VALUE"""),3.38314088E8)</f>
        <v>338314088</v>
      </c>
      <c r="G45" s="3">
        <f t="shared" si="1"/>
        <v>-0.07041031362</v>
      </c>
    </row>
    <row r="46">
      <c r="A46" s="1">
        <f>IFERROR(__xludf.DUMMYFUNCTION("""COMPUTED_VALUE"""),41950.666666666664)</f>
        <v>41950.66667</v>
      </c>
      <c r="B46" s="2">
        <f>IFERROR(__xludf.DUMMYFUNCTION("""COMPUTED_VALUE"""),75.47)</f>
        <v>75.47</v>
      </c>
      <c r="C46" s="2">
        <f>IFERROR(__xludf.DUMMYFUNCTION("""COMPUTED_VALUE"""),76.8)</f>
        <v>76.8</v>
      </c>
      <c r="D46" s="2">
        <f>IFERROR(__xludf.DUMMYFUNCTION("""COMPUTED_VALUE"""),73.65)</f>
        <v>73.65</v>
      </c>
      <c r="E46" s="2">
        <f>IFERROR(__xludf.DUMMYFUNCTION("""COMPUTED_VALUE"""),75.6)</f>
        <v>75.6</v>
      </c>
      <c r="F46" s="2">
        <f>IFERROR(__xludf.DUMMYFUNCTION("""COMPUTED_VALUE"""),1.58123964E8)</f>
        <v>158123964</v>
      </c>
      <c r="G46" s="3">
        <f t="shared" si="1"/>
        <v>0.008134417922</v>
      </c>
    </row>
    <row r="47">
      <c r="A47" s="1">
        <f>IFERROR(__xludf.DUMMYFUNCTION("""COMPUTED_VALUE"""),41957.66666666667)</f>
        <v>41957.66667</v>
      </c>
      <c r="B47" s="2">
        <f>IFERROR(__xludf.DUMMYFUNCTION("""COMPUTED_VALUE"""),75.36)</f>
        <v>75.36</v>
      </c>
      <c r="C47" s="2">
        <f>IFERROR(__xludf.DUMMYFUNCTION("""COMPUTED_VALUE"""),75.48)</f>
        <v>75.48</v>
      </c>
      <c r="D47" s="2">
        <f>IFERROR(__xludf.DUMMYFUNCTION("""COMPUTED_VALUE"""),73.54)</f>
        <v>73.54</v>
      </c>
      <c r="E47" s="2">
        <f>IFERROR(__xludf.DUMMYFUNCTION("""COMPUTED_VALUE"""),74.88)</f>
        <v>74.88</v>
      </c>
      <c r="F47" s="2">
        <f>IFERROR(__xludf.DUMMYFUNCTION("""COMPUTED_VALUE"""),1.12772187E8)</f>
        <v>112772187</v>
      </c>
      <c r="G47" s="3">
        <f t="shared" si="1"/>
        <v>-0.009523809524</v>
      </c>
    </row>
    <row r="48">
      <c r="A48" s="1">
        <f>IFERROR(__xludf.DUMMYFUNCTION("""COMPUTED_VALUE"""),41964.66666666667)</f>
        <v>41964.66667</v>
      </c>
      <c r="B48" s="2">
        <f>IFERROR(__xludf.DUMMYFUNCTION("""COMPUTED_VALUE"""),74.88)</f>
        <v>74.88</v>
      </c>
      <c r="C48" s="2">
        <f>IFERROR(__xludf.DUMMYFUNCTION("""COMPUTED_VALUE"""),75.66)</f>
        <v>75.66</v>
      </c>
      <c r="D48" s="2">
        <f>IFERROR(__xludf.DUMMYFUNCTION("""COMPUTED_VALUE"""),72.51)</f>
        <v>72.51</v>
      </c>
      <c r="E48" s="2">
        <f>IFERROR(__xludf.DUMMYFUNCTION("""COMPUTED_VALUE"""),73.75)</f>
        <v>73.75</v>
      </c>
      <c r="F48" s="2">
        <f>IFERROR(__xludf.DUMMYFUNCTION("""COMPUTED_VALUE"""),1.17054241E8)</f>
        <v>117054241</v>
      </c>
      <c r="G48" s="3">
        <f t="shared" si="1"/>
        <v>-0.01509081197</v>
      </c>
    </row>
    <row r="49">
      <c r="A49" s="1">
        <f>IFERROR(__xludf.DUMMYFUNCTION("""COMPUTED_VALUE"""),41971.66666666667)</f>
        <v>41971.66667</v>
      </c>
      <c r="B49" s="2">
        <f>IFERROR(__xludf.DUMMYFUNCTION("""COMPUTED_VALUE"""),73.54)</f>
        <v>73.54</v>
      </c>
      <c r="C49" s="2">
        <f>IFERROR(__xludf.DUMMYFUNCTION("""COMPUTED_VALUE"""),78.27)</f>
        <v>78.27</v>
      </c>
      <c r="D49" s="2">
        <f>IFERROR(__xludf.DUMMYFUNCTION("""COMPUTED_VALUE"""),73.35)</f>
        <v>73.35</v>
      </c>
      <c r="E49" s="2">
        <f>IFERROR(__xludf.DUMMYFUNCTION("""COMPUTED_VALUE"""),77.7)</f>
        <v>77.7</v>
      </c>
      <c r="F49" s="2">
        <f>IFERROR(__xludf.DUMMYFUNCTION("""COMPUTED_VALUE"""),1.03067661E8)</f>
        <v>103067661</v>
      </c>
      <c r="G49" s="3">
        <f t="shared" si="1"/>
        <v>0.05355932203</v>
      </c>
    </row>
    <row r="50">
      <c r="A50" s="1">
        <f>IFERROR(__xludf.DUMMYFUNCTION("""COMPUTED_VALUE"""),41978.66666666667)</f>
        <v>41978.66667</v>
      </c>
      <c r="B50" s="2">
        <f>IFERROR(__xludf.DUMMYFUNCTION("""COMPUTED_VALUE"""),77.26)</f>
        <v>77.26</v>
      </c>
      <c r="C50" s="2">
        <f>IFERROR(__xludf.DUMMYFUNCTION("""COMPUTED_VALUE"""),77.31)</f>
        <v>77.31</v>
      </c>
      <c r="D50" s="2">
        <f>IFERROR(__xludf.DUMMYFUNCTION("""COMPUTED_VALUE"""),74.4)</f>
        <v>74.4</v>
      </c>
      <c r="E50" s="2">
        <f>IFERROR(__xludf.DUMMYFUNCTION("""COMPUTED_VALUE"""),76.36)</f>
        <v>76.36</v>
      </c>
      <c r="F50" s="2">
        <f>IFERROR(__xludf.DUMMYFUNCTION("""COMPUTED_VALUE"""),1.03950573E8)</f>
        <v>103950573</v>
      </c>
      <c r="G50" s="3">
        <f t="shared" si="1"/>
        <v>-0.01724581725</v>
      </c>
    </row>
    <row r="51">
      <c r="A51" s="1">
        <f>IFERROR(__xludf.DUMMYFUNCTION("""COMPUTED_VALUE"""),41985.66666666667)</f>
        <v>41985.66667</v>
      </c>
      <c r="B51" s="2">
        <f>IFERROR(__xludf.DUMMYFUNCTION("""COMPUTED_VALUE"""),76.18)</f>
        <v>76.18</v>
      </c>
      <c r="C51" s="2">
        <f>IFERROR(__xludf.DUMMYFUNCTION("""COMPUTED_VALUE"""),78.88)</f>
        <v>78.88</v>
      </c>
      <c r="D51" s="2">
        <f>IFERROR(__xludf.DUMMYFUNCTION("""COMPUTED_VALUE"""),74.78)</f>
        <v>74.78</v>
      </c>
      <c r="E51" s="2">
        <f>IFERROR(__xludf.DUMMYFUNCTION("""COMPUTED_VALUE"""),77.83)</f>
        <v>77.83</v>
      </c>
      <c r="F51" s="2">
        <f>IFERROR(__xludf.DUMMYFUNCTION("""COMPUTED_VALUE"""),1.44887247E8)</f>
        <v>144887247</v>
      </c>
      <c r="G51" s="3">
        <f t="shared" si="1"/>
        <v>0.01925091671</v>
      </c>
    </row>
    <row r="52">
      <c r="A52" s="1">
        <f>IFERROR(__xludf.DUMMYFUNCTION("""COMPUTED_VALUE"""),41992.66666666667)</f>
        <v>41992.66667</v>
      </c>
      <c r="B52" s="2">
        <f>IFERROR(__xludf.DUMMYFUNCTION("""COMPUTED_VALUE"""),78.46)</f>
        <v>78.46</v>
      </c>
      <c r="C52" s="2">
        <f>IFERROR(__xludf.DUMMYFUNCTION("""COMPUTED_VALUE"""),80.0)</f>
        <v>80</v>
      </c>
      <c r="D52" s="2">
        <f>IFERROR(__xludf.DUMMYFUNCTION("""COMPUTED_VALUE"""),74.59)</f>
        <v>74.59</v>
      </c>
      <c r="E52" s="2">
        <f>IFERROR(__xludf.DUMMYFUNCTION("""COMPUTED_VALUE"""),79.88)</f>
        <v>79.88</v>
      </c>
      <c r="F52" s="2">
        <f>IFERROR(__xludf.DUMMYFUNCTION("""COMPUTED_VALUE"""),1.67712102E8)</f>
        <v>167712102</v>
      </c>
      <c r="G52" s="3">
        <f t="shared" si="1"/>
        <v>0.02633945779</v>
      </c>
    </row>
    <row r="53">
      <c r="A53" s="1">
        <f>IFERROR(__xludf.DUMMYFUNCTION("""COMPUTED_VALUE"""),41999.66666666667)</f>
        <v>41999.66667</v>
      </c>
      <c r="B53" s="2">
        <f>IFERROR(__xludf.DUMMYFUNCTION("""COMPUTED_VALUE"""),80.08)</f>
        <v>80.08</v>
      </c>
      <c r="C53" s="2">
        <f>IFERROR(__xludf.DUMMYFUNCTION("""COMPUTED_VALUE"""),82.17)</f>
        <v>82.17</v>
      </c>
      <c r="D53" s="2">
        <f>IFERROR(__xludf.DUMMYFUNCTION("""COMPUTED_VALUE"""),80.0)</f>
        <v>80</v>
      </c>
      <c r="E53" s="2">
        <f>IFERROR(__xludf.DUMMYFUNCTION("""COMPUTED_VALUE"""),80.78)</f>
        <v>80.78</v>
      </c>
      <c r="F53" s="2">
        <f>IFERROR(__xludf.DUMMYFUNCTION("""COMPUTED_VALUE"""),6.9594459E7)</f>
        <v>69594459</v>
      </c>
      <c r="G53" s="3">
        <f t="shared" si="1"/>
        <v>0.01126690035</v>
      </c>
    </row>
    <row r="54">
      <c r="A54" s="1">
        <f>IFERROR(__xludf.DUMMYFUNCTION("""COMPUTED_VALUE"""),42006.66666666667)</f>
        <v>42006.66667</v>
      </c>
      <c r="B54" s="2">
        <f>IFERROR(__xludf.DUMMYFUNCTION("""COMPUTED_VALUE"""),80.49)</f>
        <v>80.49</v>
      </c>
      <c r="C54" s="2">
        <f>IFERROR(__xludf.DUMMYFUNCTION("""COMPUTED_VALUE"""),80.96)</f>
        <v>80.96</v>
      </c>
      <c r="D54" s="2">
        <f>IFERROR(__xludf.DUMMYFUNCTION("""COMPUTED_VALUE"""),77.7)</f>
        <v>77.7</v>
      </c>
      <c r="E54" s="2">
        <f>IFERROR(__xludf.DUMMYFUNCTION("""COMPUTED_VALUE"""),78.45)</f>
        <v>78.45</v>
      </c>
      <c r="F54" s="2">
        <f>IFERROR(__xludf.DUMMYFUNCTION("""COMPUTED_VALUE"""),6.6723343E7)</f>
        <v>66723343</v>
      </c>
      <c r="G54" s="3">
        <f t="shared" si="1"/>
        <v>-0.02884377321</v>
      </c>
    </row>
    <row r="55">
      <c r="A55" s="1">
        <f>IFERROR(__xludf.DUMMYFUNCTION("""COMPUTED_VALUE"""),42013.66666666667)</f>
        <v>42013.66667</v>
      </c>
      <c r="B55" s="2">
        <f>IFERROR(__xludf.DUMMYFUNCTION("""COMPUTED_VALUE"""),77.98)</f>
        <v>77.98</v>
      </c>
      <c r="C55" s="2">
        <f>IFERROR(__xludf.DUMMYFUNCTION("""COMPUTED_VALUE"""),79.25)</f>
        <v>79.25</v>
      </c>
      <c r="D55" s="2">
        <f>IFERROR(__xludf.DUMMYFUNCTION("""COMPUTED_VALUE"""),75.36)</f>
        <v>75.36</v>
      </c>
      <c r="E55" s="2">
        <f>IFERROR(__xludf.DUMMYFUNCTION("""COMPUTED_VALUE"""),77.74)</f>
        <v>77.74</v>
      </c>
      <c r="F55" s="2">
        <f>IFERROR(__xludf.DUMMYFUNCTION("""COMPUTED_VALUE"""),1.21014772E8)</f>
        <v>121014772</v>
      </c>
      <c r="G55" s="3">
        <f t="shared" si="1"/>
        <v>-0.009050350542</v>
      </c>
    </row>
    <row r="56">
      <c r="A56" s="1">
        <f>IFERROR(__xludf.DUMMYFUNCTION("""COMPUTED_VALUE"""),42020.66666666667)</f>
        <v>42020.66667</v>
      </c>
      <c r="B56" s="2">
        <f>IFERROR(__xludf.DUMMYFUNCTION("""COMPUTED_VALUE"""),77.84)</f>
        <v>77.84</v>
      </c>
      <c r="C56" s="2">
        <f>IFERROR(__xludf.DUMMYFUNCTION("""COMPUTED_VALUE"""),78.08)</f>
        <v>78.08</v>
      </c>
      <c r="D56" s="2">
        <f>IFERROR(__xludf.DUMMYFUNCTION("""COMPUTED_VALUE"""),73.54)</f>
        <v>73.54</v>
      </c>
      <c r="E56" s="2">
        <f>IFERROR(__xludf.DUMMYFUNCTION("""COMPUTED_VALUE"""),75.18)</f>
        <v>75.18</v>
      </c>
      <c r="F56" s="2">
        <f>IFERROR(__xludf.DUMMYFUNCTION("""COMPUTED_VALUE"""),1.26213822E8)</f>
        <v>126213822</v>
      </c>
      <c r="G56" s="3">
        <f t="shared" si="1"/>
        <v>-0.03293028042</v>
      </c>
    </row>
    <row r="57">
      <c r="A57" s="1">
        <f>IFERROR(__xludf.DUMMYFUNCTION("""COMPUTED_VALUE"""),42027.66666666667)</f>
        <v>42027.66667</v>
      </c>
      <c r="B57" s="2">
        <f>IFERROR(__xludf.DUMMYFUNCTION("""COMPUTED_VALUE"""),75.72)</f>
        <v>75.72</v>
      </c>
      <c r="C57" s="2">
        <f>IFERROR(__xludf.DUMMYFUNCTION("""COMPUTED_VALUE"""),78.19)</f>
        <v>78.19</v>
      </c>
      <c r="D57" s="2">
        <f>IFERROR(__xludf.DUMMYFUNCTION("""COMPUTED_VALUE"""),74.82)</f>
        <v>74.82</v>
      </c>
      <c r="E57" s="2">
        <f>IFERROR(__xludf.DUMMYFUNCTION("""COMPUTED_VALUE"""),77.83)</f>
        <v>77.83</v>
      </c>
      <c r="F57" s="2">
        <f>IFERROR(__xludf.DUMMYFUNCTION("""COMPUTED_VALUE"""),8.4184312E7)</f>
        <v>84184312</v>
      </c>
      <c r="G57" s="3">
        <f t="shared" si="1"/>
        <v>0.03524873637</v>
      </c>
    </row>
    <row r="58">
      <c r="A58" s="1">
        <f>IFERROR(__xludf.DUMMYFUNCTION("""COMPUTED_VALUE"""),42034.66666666667)</f>
        <v>42034.66667</v>
      </c>
      <c r="B58" s="2">
        <f>IFERROR(__xludf.DUMMYFUNCTION("""COMPUTED_VALUE"""),77.98)</f>
        <v>77.98</v>
      </c>
      <c r="C58" s="2">
        <f>IFERROR(__xludf.DUMMYFUNCTION("""COMPUTED_VALUE"""),78.47)</f>
        <v>78.47</v>
      </c>
      <c r="D58" s="2">
        <f>IFERROR(__xludf.DUMMYFUNCTION("""COMPUTED_VALUE"""),74.21)</f>
        <v>74.21</v>
      </c>
      <c r="E58" s="2">
        <f>IFERROR(__xludf.DUMMYFUNCTION("""COMPUTED_VALUE"""),75.91)</f>
        <v>75.91</v>
      </c>
      <c r="F58" s="2">
        <f>IFERROR(__xludf.DUMMYFUNCTION("""COMPUTED_VALUE"""),1.96620178E8)</f>
        <v>196620178</v>
      </c>
      <c r="G58" s="3">
        <f t="shared" si="1"/>
        <v>-0.02466915071</v>
      </c>
    </row>
    <row r="59">
      <c r="A59" s="1">
        <f>IFERROR(__xludf.DUMMYFUNCTION("""COMPUTED_VALUE"""),42041.66666666667)</f>
        <v>42041.66667</v>
      </c>
      <c r="B59" s="2">
        <f>IFERROR(__xludf.DUMMYFUNCTION("""COMPUTED_VALUE"""),76.11)</f>
        <v>76.11</v>
      </c>
      <c r="C59" s="2">
        <f>IFERROR(__xludf.DUMMYFUNCTION("""COMPUTED_VALUE"""),76.35)</f>
        <v>76.35</v>
      </c>
      <c r="D59" s="2">
        <f>IFERROR(__xludf.DUMMYFUNCTION("""COMPUTED_VALUE"""),73.75)</f>
        <v>73.75</v>
      </c>
      <c r="E59" s="2">
        <f>IFERROR(__xludf.DUMMYFUNCTION("""COMPUTED_VALUE"""),74.47)</f>
        <v>74.47</v>
      </c>
      <c r="F59" s="2">
        <f>IFERROR(__xludf.DUMMYFUNCTION("""COMPUTED_VALUE"""),1.25463907E8)</f>
        <v>125463907</v>
      </c>
      <c r="G59" s="3">
        <f t="shared" si="1"/>
        <v>-0.0189698327</v>
      </c>
    </row>
    <row r="60">
      <c r="A60" s="1">
        <f>IFERROR(__xludf.DUMMYFUNCTION("""COMPUTED_VALUE"""),42048.66666666667)</f>
        <v>42048.66667</v>
      </c>
      <c r="B60" s="2">
        <f>IFERROR(__xludf.DUMMYFUNCTION("""COMPUTED_VALUE"""),74.05)</f>
        <v>74.05</v>
      </c>
      <c r="C60" s="2">
        <f>IFERROR(__xludf.DUMMYFUNCTION("""COMPUTED_VALUE"""),76.87)</f>
        <v>76.87</v>
      </c>
      <c r="D60" s="2">
        <f>IFERROR(__xludf.DUMMYFUNCTION("""COMPUTED_VALUE"""),73.45)</f>
        <v>73.45</v>
      </c>
      <c r="E60" s="2">
        <f>IFERROR(__xludf.DUMMYFUNCTION("""COMPUTED_VALUE"""),75.74)</f>
        <v>75.74</v>
      </c>
      <c r="F60" s="2">
        <f>IFERROR(__xludf.DUMMYFUNCTION("""COMPUTED_VALUE"""),8.8739929E7)</f>
        <v>88739929</v>
      </c>
      <c r="G60" s="3">
        <f t="shared" si="1"/>
        <v>0.01705384719</v>
      </c>
    </row>
    <row r="61">
      <c r="A61" s="1">
        <f>IFERROR(__xludf.DUMMYFUNCTION("""COMPUTED_VALUE"""),42055.66666666667)</f>
        <v>42055.66667</v>
      </c>
      <c r="B61" s="2">
        <f>IFERROR(__xludf.DUMMYFUNCTION("""COMPUTED_VALUE"""),76.03)</f>
        <v>76.03</v>
      </c>
      <c r="C61" s="2">
        <f>IFERROR(__xludf.DUMMYFUNCTION("""COMPUTED_VALUE"""),80.34)</f>
        <v>80.34</v>
      </c>
      <c r="D61" s="2">
        <f>IFERROR(__xludf.DUMMYFUNCTION("""COMPUTED_VALUE"""),75.08)</f>
        <v>75.08</v>
      </c>
      <c r="E61" s="2">
        <f>IFERROR(__xludf.DUMMYFUNCTION("""COMPUTED_VALUE"""),79.9)</f>
        <v>79.9</v>
      </c>
      <c r="F61" s="2">
        <f>IFERROR(__xludf.DUMMYFUNCTION("""COMPUTED_VALUE"""),1.30463696E8)</f>
        <v>130463696</v>
      </c>
      <c r="G61" s="3">
        <f t="shared" si="1"/>
        <v>0.05492474254</v>
      </c>
    </row>
    <row r="62">
      <c r="A62" s="1">
        <f>IFERROR(__xludf.DUMMYFUNCTION("""COMPUTED_VALUE"""),42062.66666666667)</f>
        <v>42062.66667</v>
      </c>
      <c r="B62" s="2">
        <f>IFERROR(__xludf.DUMMYFUNCTION("""COMPUTED_VALUE"""),79.96)</f>
        <v>79.96</v>
      </c>
      <c r="C62" s="2">
        <f>IFERROR(__xludf.DUMMYFUNCTION("""COMPUTED_VALUE"""),81.37)</f>
        <v>81.37</v>
      </c>
      <c r="D62" s="2">
        <f>IFERROR(__xludf.DUMMYFUNCTION("""COMPUTED_VALUE"""),78.1)</f>
        <v>78.1</v>
      </c>
      <c r="E62" s="2">
        <f>IFERROR(__xludf.DUMMYFUNCTION("""COMPUTED_VALUE"""),78.97)</f>
        <v>78.97</v>
      </c>
      <c r="F62" s="2">
        <f>IFERROR(__xludf.DUMMYFUNCTION("""COMPUTED_VALUE"""),1.30481077E8)</f>
        <v>130481077</v>
      </c>
      <c r="G62" s="3">
        <f t="shared" si="1"/>
        <v>-0.01163954944</v>
      </c>
    </row>
    <row r="63">
      <c r="A63" s="1">
        <f>IFERROR(__xludf.DUMMYFUNCTION("""COMPUTED_VALUE"""),42069.66666666667)</f>
        <v>42069.66667</v>
      </c>
      <c r="B63" s="2">
        <f>IFERROR(__xludf.DUMMYFUNCTION("""COMPUTED_VALUE"""),79.07)</f>
        <v>79.07</v>
      </c>
      <c r="C63" s="2">
        <f>IFERROR(__xludf.DUMMYFUNCTION("""COMPUTED_VALUE"""),81.99)</f>
        <v>81.99</v>
      </c>
      <c r="D63" s="2">
        <f>IFERROR(__xludf.DUMMYFUNCTION("""COMPUTED_VALUE"""),78.52)</f>
        <v>78.52</v>
      </c>
      <c r="E63" s="2">
        <f>IFERROR(__xludf.DUMMYFUNCTION("""COMPUTED_VALUE"""),80.01)</f>
        <v>80.01</v>
      </c>
      <c r="F63" s="2">
        <f>IFERROR(__xludf.DUMMYFUNCTION("""COMPUTED_VALUE"""),1.2073851E8)</f>
        <v>120738510</v>
      </c>
      <c r="G63" s="3">
        <f t="shared" si="1"/>
        <v>0.01316955806</v>
      </c>
    </row>
    <row r="64">
      <c r="A64" s="1">
        <f>IFERROR(__xludf.DUMMYFUNCTION("""COMPUTED_VALUE"""),42076.66666666667)</f>
        <v>42076.66667</v>
      </c>
      <c r="B64" s="2">
        <f>IFERROR(__xludf.DUMMYFUNCTION("""COMPUTED_VALUE"""),79.68)</f>
        <v>79.68</v>
      </c>
      <c r="C64" s="2">
        <f>IFERROR(__xludf.DUMMYFUNCTION("""COMPUTED_VALUE"""),79.91)</f>
        <v>79.91</v>
      </c>
      <c r="D64" s="2">
        <f>IFERROR(__xludf.DUMMYFUNCTION("""COMPUTED_VALUE"""),77.26)</f>
        <v>77.26</v>
      </c>
      <c r="E64" s="2">
        <f>IFERROR(__xludf.DUMMYFUNCTION("""COMPUTED_VALUE"""),78.05)</f>
        <v>78.05</v>
      </c>
      <c r="F64" s="2">
        <f>IFERROR(__xludf.DUMMYFUNCTION("""COMPUTED_VALUE"""),9.6858473E7)</f>
        <v>96858473</v>
      </c>
      <c r="G64" s="3">
        <f t="shared" si="1"/>
        <v>-0.02449693788</v>
      </c>
    </row>
    <row r="65">
      <c r="A65" s="1">
        <f>IFERROR(__xludf.DUMMYFUNCTION("""COMPUTED_VALUE"""),42083.66666666667)</f>
        <v>42083.66667</v>
      </c>
      <c r="B65" s="2">
        <f>IFERROR(__xludf.DUMMYFUNCTION("""COMPUTED_VALUE"""),77.96)</f>
        <v>77.96</v>
      </c>
      <c r="C65" s="2">
        <f>IFERROR(__xludf.DUMMYFUNCTION("""COMPUTED_VALUE"""),84.6)</f>
        <v>84.6</v>
      </c>
      <c r="D65" s="2">
        <f>IFERROR(__xludf.DUMMYFUNCTION("""COMPUTED_VALUE"""),77.36)</f>
        <v>77.36</v>
      </c>
      <c r="E65" s="2">
        <f>IFERROR(__xludf.DUMMYFUNCTION("""COMPUTED_VALUE"""),83.8)</f>
        <v>83.8</v>
      </c>
      <c r="F65" s="2">
        <f>IFERROR(__xludf.DUMMYFUNCTION("""COMPUTED_VALUE"""),1.64953667E8)</f>
        <v>164953667</v>
      </c>
      <c r="G65" s="3">
        <f t="shared" si="1"/>
        <v>0.07367072389</v>
      </c>
    </row>
    <row r="66">
      <c r="A66" s="1">
        <f>IFERROR(__xludf.DUMMYFUNCTION("""COMPUTED_VALUE"""),42090.66666666667)</f>
        <v>42090.66667</v>
      </c>
      <c r="B66" s="2">
        <f>IFERROR(__xludf.DUMMYFUNCTION("""COMPUTED_VALUE"""),83.92)</f>
        <v>83.92</v>
      </c>
      <c r="C66" s="2">
        <f>IFERROR(__xludf.DUMMYFUNCTION("""COMPUTED_VALUE"""),86.07)</f>
        <v>86.07</v>
      </c>
      <c r="D66" s="2">
        <f>IFERROR(__xludf.DUMMYFUNCTION("""COMPUTED_VALUE"""),82.14)</f>
        <v>82.14</v>
      </c>
      <c r="E66" s="2">
        <f>IFERROR(__xludf.DUMMYFUNCTION("""COMPUTED_VALUE"""),83.3)</f>
        <v>83.3</v>
      </c>
      <c r="F66" s="2">
        <f>IFERROR(__xludf.DUMMYFUNCTION("""COMPUTED_VALUE"""),1.48537384E8)</f>
        <v>148537384</v>
      </c>
      <c r="G66" s="3">
        <f t="shared" si="1"/>
        <v>-0.005966587112</v>
      </c>
    </row>
    <row r="67">
      <c r="A67" s="1">
        <f>IFERROR(__xludf.DUMMYFUNCTION("""COMPUTED_VALUE"""),42096.66666666667)</f>
        <v>42096.66667</v>
      </c>
      <c r="B67" s="2">
        <f>IFERROR(__xludf.DUMMYFUNCTION("""COMPUTED_VALUE"""),83.95)</f>
        <v>83.95</v>
      </c>
      <c r="C67" s="2">
        <f>IFERROR(__xludf.DUMMYFUNCTION("""COMPUTED_VALUE"""),84.34)</f>
        <v>84.34</v>
      </c>
      <c r="D67" s="2">
        <f>IFERROR(__xludf.DUMMYFUNCTION("""COMPUTED_VALUE"""),80.87)</f>
        <v>80.87</v>
      </c>
      <c r="E67" s="2">
        <f>IFERROR(__xludf.DUMMYFUNCTION("""COMPUTED_VALUE"""),81.56)</f>
        <v>81.56</v>
      </c>
      <c r="F67" s="2">
        <f>IFERROR(__xludf.DUMMYFUNCTION("""COMPUTED_VALUE"""),8.5984183E7)</f>
        <v>85984183</v>
      </c>
      <c r="G67" s="3">
        <f t="shared" si="1"/>
        <v>-0.02088835534</v>
      </c>
    </row>
    <row r="68">
      <c r="A68" s="1">
        <f>IFERROR(__xludf.DUMMYFUNCTION("""COMPUTED_VALUE"""),42104.66666666667)</f>
        <v>42104.66667</v>
      </c>
      <c r="B68" s="2">
        <f>IFERROR(__xludf.DUMMYFUNCTION("""COMPUTED_VALUE"""),80.8)</f>
        <v>80.8</v>
      </c>
      <c r="C68" s="2">
        <f>IFERROR(__xludf.DUMMYFUNCTION("""COMPUTED_VALUE"""),83.42)</f>
        <v>83.42</v>
      </c>
      <c r="D68" s="2">
        <f>IFERROR(__xludf.DUMMYFUNCTION("""COMPUTED_VALUE"""),80.8)</f>
        <v>80.8</v>
      </c>
      <c r="E68" s="2">
        <f>IFERROR(__xludf.DUMMYFUNCTION("""COMPUTED_VALUE"""),82.04)</f>
        <v>82.04</v>
      </c>
      <c r="F68" s="2">
        <f>IFERROR(__xludf.DUMMYFUNCTION("""COMPUTED_VALUE"""),8.3953727E7)</f>
        <v>83953727</v>
      </c>
      <c r="G68" s="3">
        <f t="shared" si="1"/>
        <v>0.005885237862</v>
      </c>
    </row>
    <row r="69">
      <c r="A69" s="1">
        <f>IFERROR(__xludf.DUMMYFUNCTION("""COMPUTED_VALUE"""),42111.66666666667)</f>
        <v>42111.66667</v>
      </c>
      <c r="B69" s="2">
        <f>IFERROR(__xludf.DUMMYFUNCTION("""COMPUTED_VALUE"""),81.93)</f>
        <v>81.93</v>
      </c>
      <c r="C69" s="2">
        <f>IFERROR(__xludf.DUMMYFUNCTION("""COMPUTED_VALUE"""),83.94)</f>
        <v>83.94</v>
      </c>
      <c r="D69" s="2">
        <f>IFERROR(__xludf.DUMMYFUNCTION("""COMPUTED_VALUE"""),80.37)</f>
        <v>80.37</v>
      </c>
      <c r="E69" s="2">
        <f>IFERROR(__xludf.DUMMYFUNCTION("""COMPUTED_VALUE"""),80.78)</f>
        <v>80.78</v>
      </c>
      <c r="F69" s="2">
        <f>IFERROR(__xludf.DUMMYFUNCTION("""COMPUTED_VALUE"""),1.0689288E8)</f>
        <v>106892880</v>
      </c>
      <c r="G69" s="3">
        <f t="shared" si="1"/>
        <v>-0.01535836177</v>
      </c>
    </row>
    <row r="70">
      <c r="A70" s="1">
        <f>IFERROR(__xludf.DUMMYFUNCTION("""COMPUTED_VALUE"""),42118.66666666667)</f>
        <v>42118.66667</v>
      </c>
      <c r="B70" s="2">
        <f>IFERROR(__xludf.DUMMYFUNCTION("""COMPUTED_VALUE"""),81.54)</f>
        <v>81.54</v>
      </c>
      <c r="C70" s="2">
        <f>IFERROR(__xludf.DUMMYFUNCTION("""COMPUTED_VALUE"""),85.59)</f>
        <v>85.59</v>
      </c>
      <c r="D70" s="2">
        <f>IFERROR(__xludf.DUMMYFUNCTION("""COMPUTED_VALUE"""),81.24)</f>
        <v>81.24</v>
      </c>
      <c r="E70" s="2">
        <f>IFERROR(__xludf.DUMMYFUNCTION("""COMPUTED_VALUE"""),81.53)</f>
        <v>81.53</v>
      </c>
      <c r="F70" s="2">
        <f>IFERROR(__xludf.DUMMYFUNCTION("""COMPUTED_VALUE"""),2.04905012E8)</f>
        <v>204905012</v>
      </c>
      <c r="G70" s="3">
        <f t="shared" si="1"/>
        <v>0.009284476356</v>
      </c>
    </row>
    <row r="71">
      <c r="A71" s="1">
        <f>IFERROR(__xludf.DUMMYFUNCTION("""COMPUTED_VALUE"""),42125.66666666667)</f>
        <v>42125.66667</v>
      </c>
      <c r="B71" s="2">
        <f>IFERROR(__xludf.DUMMYFUNCTION("""COMPUTED_VALUE"""),81.87)</f>
        <v>81.87</v>
      </c>
      <c r="C71" s="2">
        <f>IFERROR(__xludf.DUMMYFUNCTION("""COMPUTED_VALUE"""),82.93)</f>
        <v>82.93</v>
      </c>
      <c r="D71" s="2">
        <f>IFERROR(__xludf.DUMMYFUNCTION("""COMPUTED_VALUE"""),78.11)</f>
        <v>78.11</v>
      </c>
      <c r="E71" s="2">
        <f>IFERROR(__xludf.DUMMYFUNCTION("""COMPUTED_VALUE"""),78.99)</f>
        <v>78.99</v>
      </c>
      <c r="F71" s="2">
        <f>IFERROR(__xludf.DUMMYFUNCTION("""COMPUTED_VALUE"""),1.28786997E8)</f>
        <v>128786997</v>
      </c>
      <c r="G71" s="3">
        <f t="shared" si="1"/>
        <v>-0.03115417638</v>
      </c>
    </row>
    <row r="72">
      <c r="A72" s="1">
        <f>IFERROR(__xludf.DUMMYFUNCTION("""COMPUTED_VALUE"""),42132.66666666667)</f>
        <v>42132.66667</v>
      </c>
      <c r="B72" s="2">
        <f>IFERROR(__xludf.DUMMYFUNCTION("""COMPUTED_VALUE"""),79.33)</f>
        <v>79.33</v>
      </c>
      <c r="C72" s="2">
        <f>IFERROR(__xludf.DUMMYFUNCTION("""COMPUTED_VALUE"""),79.69)</f>
        <v>79.69</v>
      </c>
      <c r="D72" s="2">
        <f>IFERROR(__xludf.DUMMYFUNCTION("""COMPUTED_VALUE"""),77.05)</f>
        <v>77.05</v>
      </c>
      <c r="E72" s="2">
        <f>IFERROR(__xludf.DUMMYFUNCTION("""COMPUTED_VALUE"""),78.51)</f>
        <v>78.51</v>
      </c>
      <c r="F72" s="2">
        <f>IFERROR(__xludf.DUMMYFUNCTION("""COMPUTED_VALUE"""),1.05359358E8)</f>
        <v>105359358</v>
      </c>
      <c r="G72" s="3">
        <f t="shared" si="1"/>
        <v>-0.006076718572</v>
      </c>
    </row>
    <row r="73">
      <c r="A73" s="1">
        <f>IFERROR(__xludf.DUMMYFUNCTION("""COMPUTED_VALUE"""),42139.66666666667)</f>
        <v>42139.66667</v>
      </c>
      <c r="B73" s="2">
        <f>IFERROR(__xludf.DUMMYFUNCTION("""COMPUTED_VALUE"""),78.48)</f>
        <v>78.48</v>
      </c>
      <c r="C73" s="2">
        <f>IFERROR(__xludf.DUMMYFUNCTION("""COMPUTED_VALUE"""),81.85)</f>
        <v>81.85</v>
      </c>
      <c r="D73" s="2">
        <f>IFERROR(__xludf.DUMMYFUNCTION("""COMPUTED_VALUE"""),76.79)</f>
        <v>76.79</v>
      </c>
      <c r="E73" s="2">
        <f>IFERROR(__xludf.DUMMYFUNCTION("""COMPUTED_VALUE"""),80.42)</f>
        <v>80.42</v>
      </c>
      <c r="F73" s="2">
        <f>IFERROR(__xludf.DUMMYFUNCTION("""COMPUTED_VALUE"""),1.38179553E8)</f>
        <v>138179553</v>
      </c>
      <c r="G73" s="3">
        <f t="shared" si="1"/>
        <v>0.02432811107</v>
      </c>
    </row>
    <row r="74">
      <c r="A74" s="1">
        <f>IFERROR(__xludf.DUMMYFUNCTION("""COMPUTED_VALUE"""),42146.66666666667)</f>
        <v>42146.66667</v>
      </c>
      <c r="B74" s="2">
        <f>IFERROR(__xludf.DUMMYFUNCTION("""COMPUTED_VALUE"""),80.33)</f>
        <v>80.33</v>
      </c>
      <c r="C74" s="2">
        <f>IFERROR(__xludf.DUMMYFUNCTION("""COMPUTED_VALUE"""),81.69)</f>
        <v>81.69</v>
      </c>
      <c r="D74" s="2">
        <f>IFERROR(__xludf.DUMMYFUNCTION("""COMPUTED_VALUE"""),79.46)</f>
        <v>79.46</v>
      </c>
      <c r="E74" s="2">
        <f>IFERROR(__xludf.DUMMYFUNCTION("""COMPUTED_VALUE"""),80.54)</f>
        <v>80.54</v>
      </c>
      <c r="F74" s="2">
        <f>IFERROR(__xludf.DUMMYFUNCTION("""COMPUTED_VALUE"""),9.5596648E7)</f>
        <v>95596648</v>
      </c>
      <c r="G74" s="3">
        <f t="shared" si="1"/>
        <v>0.001492166128</v>
      </c>
    </row>
    <row r="75">
      <c r="A75" s="1">
        <f>IFERROR(__xludf.DUMMYFUNCTION("""COMPUTED_VALUE"""),42153.66666666667)</f>
        <v>42153.66667</v>
      </c>
      <c r="B75" s="2">
        <f>IFERROR(__xludf.DUMMYFUNCTION("""COMPUTED_VALUE"""),80.43)</f>
        <v>80.43</v>
      </c>
      <c r="C75" s="2">
        <f>IFERROR(__xludf.DUMMYFUNCTION("""COMPUTED_VALUE"""),81.07)</f>
        <v>81.07</v>
      </c>
      <c r="D75" s="2">
        <f>IFERROR(__xludf.DUMMYFUNCTION("""COMPUTED_VALUE"""),78.88)</f>
        <v>78.88</v>
      </c>
      <c r="E75" s="2">
        <f>IFERROR(__xludf.DUMMYFUNCTION("""COMPUTED_VALUE"""),79.19)</f>
        <v>79.19</v>
      </c>
      <c r="F75" s="2">
        <f>IFERROR(__xludf.DUMMYFUNCTION("""COMPUTED_VALUE"""),5.8598792E7)</f>
        <v>58598792</v>
      </c>
      <c r="G75" s="3">
        <f t="shared" si="1"/>
        <v>-0.01676185746</v>
      </c>
    </row>
    <row r="76">
      <c r="A76" s="1">
        <f>IFERROR(__xludf.DUMMYFUNCTION("""COMPUTED_VALUE"""),42160.66666666667)</f>
        <v>42160.66667</v>
      </c>
      <c r="B76" s="2">
        <f>IFERROR(__xludf.DUMMYFUNCTION("""COMPUTED_VALUE"""),79.3)</f>
        <v>79.3</v>
      </c>
      <c r="C76" s="2">
        <f>IFERROR(__xludf.DUMMYFUNCTION("""COMPUTED_VALUE"""),82.95)</f>
        <v>82.95</v>
      </c>
      <c r="D76" s="2">
        <f>IFERROR(__xludf.DUMMYFUNCTION("""COMPUTED_VALUE"""),78.66)</f>
        <v>78.66</v>
      </c>
      <c r="E76" s="2">
        <f>IFERROR(__xludf.DUMMYFUNCTION("""COMPUTED_VALUE"""),82.14)</f>
        <v>82.14</v>
      </c>
      <c r="F76" s="2">
        <f>IFERROR(__xludf.DUMMYFUNCTION("""COMPUTED_VALUE"""),1.05824275E8)</f>
        <v>105824275</v>
      </c>
      <c r="G76" s="3">
        <f t="shared" si="1"/>
        <v>0.03725217831</v>
      </c>
    </row>
    <row r="77">
      <c r="A77" s="1">
        <f>IFERROR(__xludf.DUMMYFUNCTION("""COMPUTED_VALUE"""),42167.66666666667)</f>
        <v>42167.66667</v>
      </c>
      <c r="B77" s="2">
        <f>IFERROR(__xludf.DUMMYFUNCTION("""COMPUTED_VALUE"""),81.85)</f>
        <v>81.85</v>
      </c>
      <c r="C77" s="2">
        <f>IFERROR(__xludf.DUMMYFUNCTION("""COMPUTED_VALUE"""),82.9)</f>
        <v>82.9</v>
      </c>
      <c r="D77" s="2">
        <f>IFERROR(__xludf.DUMMYFUNCTION("""COMPUTED_VALUE"""),79.32)</f>
        <v>79.32</v>
      </c>
      <c r="E77" s="2">
        <f>IFERROR(__xludf.DUMMYFUNCTION("""COMPUTED_VALUE"""),81.53)</f>
        <v>81.53</v>
      </c>
      <c r="F77" s="2">
        <f>IFERROR(__xludf.DUMMYFUNCTION("""COMPUTED_VALUE"""),8.501891E7)</f>
        <v>85018910</v>
      </c>
      <c r="G77" s="3">
        <f t="shared" si="1"/>
        <v>-0.007426345264</v>
      </c>
    </row>
    <row r="78">
      <c r="A78" s="1">
        <f>IFERROR(__xludf.DUMMYFUNCTION("""COMPUTED_VALUE"""),42174.66666666667)</f>
        <v>42174.66667</v>
      </c>
      <c r="B78" s="2">
        <f>IFERROR(__xludf.DUMMYFUNCTION("""COMPUTED_VALUE"""),80.55)</f>
        <v>80.55</v>
      </c>
      <c r="C78" s="2">
        <f>IFERROR(__xludf.DUMMYFUNCTION("""COMPUTED_VALUE"""),83.19)</f>
        <v>83.19</v>
      </c>
      <c r="D78" s="2">
        <f>IFERROR(__xludf.DUMMYFUNCTION("""COMPUTED_VALUE"""),80.07)</f>
        <v>80.07</v>
      </c>
      <c r="E78" s="2">
        <f>IFERROR(__xludf.DUMMYFUNCTION("""COMPUTED_VALUE"""),82.51)</f>
        <v>82.51</v>
      </c>
      <c r="F78" s="2">
        <f>IFERROR(__xludf.DUMMYFUNCTION("""COMPUTED_VALUE"""),1.00984807E8)</f>
        <v>100984807</v>
      </c>
      <c r="G78" s="3">
        <f t="shared" si="1"/>
        <v>0.01202011529</v>
      </c>
    </row>
    <row r="79">
      <c r="A79" s="1">
        <f>IFERROR(__xludf.DUMMYFUNCTION("""COMPUTED_VALUE"""),42181.66666666667)</f>
        <v>42181.66667</v>
      </c>
      <c r="B79" s="2">
        <f>IFERROR(__xludf.DUMMYFUNCTION("""COMPUTED_VALUE"""),83.41)</f>
        <v>83.41</v>
      </c>
      <c r="C79" s="2">
        <f>IFERROR(__xludf.DUMMYFUNCTION("""COMPUTED_VALUE"""),89.4)</f>
        <v>89.4</v>
      </c>
      <c r="D79" s="2">
        <f>IFERROR(__xludf.DUMMYFUNCTION("""COMPUTED_VALUE"""),83.31)</f>
        <v>83.31</v>
      </c>
      <c r="E79" s="2">
        <f>IFERROR(__xludf.DUMMYFUNCTION("""COMPUTED_VALUE"""),88.01)</f>
        <v>88.01</v>
      </c>
      <c r="F79" s="2">
        <f>IFERROR(__xludf.DUMMYFUNCTION("""COMPUTED_VALUE"""),1.86937773E8)</f>
        <v>186937773</v>
      </c>
      <c r="G79" s="3">
        <f t="shared" si="1"/>
        <v>0.06665858684</v>
      </c>
    </row>
    <row r="80">
      <c r="A80" s="1">
        <f>IFERROR(__xludf.DUMMYFUNCTION("""COMPUTED_VALUE"""),42187.66666666667)</f>
        <v>42187.66667</v>
      </c>
      <c r="B80" s="2">
        <f>IFERROR(__xludf.DUMMYFUNCTION("""COMPUTED_VALUE"""),86.61)</f>
        <v>86.61</v>
      </c>
      <c r="C80" s="2">
        <f>IFERROR(__xludf.DUMMYFUNCTION("""COMPUTED_VALUE"""),87.95)</f>
        <v>87.95</v>
      </c>
      <c r="D80" s="2">
        <f>IFERROR(__xludf.DUMMYFUNCTION("""COMPUTED_VALUE"""),85.57)</f>
        <v>85.57</v>
      </c>
      <c r="E80" s="2">
        <f>IFERROR(__xludf.DUMMYFUNCTION("""COMPUTED_VALUE"""),87.29)</f>
        <v>87.29</v>
      </c>
      <c r="F80" s="2">
        <f>IFERROR(__xludf.DUMMYFUNCTION("""COMPUTED_VALUE"""),1.01359881E8)</f>
        <v>101359881</v>
      </c>
      <c r="G80" s="3">
        <f t="shared" si="1"/>
        <v>-0.008180888535</v>
      </c>
    </row>
    <row r="81">
      <c r="A81" s="1">
        <f>IFERROR(__xludf.DUMMYFUNCTION("""COMPUTED_VALUE"""),42195.66666666667)</f>
        <v>42195.66667</v>
      </c>
      <c r="B81" s="2">
        <f>IFERROR(__xludf.DUMMYFUNCTION("""COMPUTED_VALUE"""),86.49)</f>
        <v>86.49</v>
      </c>
      <c r="C81" s="2">
        <f>IFERROR(__xludf.DUMMYFUNCTION("""COMPUTED_VALUE"""),88.22)</f>
        <v>88.22</v>
      </c>
      <c r="D81" s="2">
        <f>IFERROR(__xludf.DUMMYFUNCTION("""COMPUTED_VALUE"""),85.23)</f>
        <v>85.23</v>
      </c>
      <c r="E81" s="2">
        <f>IFERROR(__xludf.DUMMYFUNCTION("""COMPUTED_VALUE"""),87.95)</f>
        <v>87.95</v>
      </c>
      <c r="F81" s="2">
        <f>IFERROR(__xludf.DUMMYFUNCTION("""COMPUTED_VALUE"""),1.28648451E8)</f>
        <v>128648451</v>
      </c>
      <c r="G81" s="3">
        <f t="shared" si="1"/>
        <v>0.007561003551</v>
      </c>
    </row>
    <row r="82">
      <c r="A82" s="1">
        <f>IFERROR(__xludf.DUMMYFUNCTION("""COMPUTED_VALUE"""),42202.66666666667)</f>
        <v>42202.66667</v>
      </c>
      <c r="B82" s="2">
        <f>IFERROR(__xludf.DUMMYFUNCTION("""COMPUTED_VALUE"""),88.66)</f>
        <v>88.66</v>
      </c>
      <c r="C82" s="2">
        <f>IFERROR(__xludf.DUMMYFUNCTION("""COMPUTED_VALUE"""),95.39)</f>
        <v>95.39</v>
      </c>
      <c r="D82" s="2">
        <f>IFERROR(__xludf.DUMMYFUNCTION("""COMPUTED_VALUE"""),88.42)</f>
        <v>88.42</v>
      </c>
      <c r="E82" s="2">
        <f>IFERROR(__xludf.DUMMYFUNCTION("""COMPUTED_VALUE"""),94.97)</f>
        <v>94.97</v>
      </c>
      <c r="F82" s="2">
        <f>IFERROR(__xludf.DUMMYFUNCTION("""COMPUTED_VALUE"""),1.63296841E8)</f>
        <v>163296841</v>
      </c>
      <c r="G82" s="3">
        <f t="shared" si="1"/>
        <v>0.07981807845</v>
      </c>
    </row>
    <row r="83">
      <c r="A83" s="1">
        <f>IFERROR(__xludf.DUMMYFUNCTION("""COMPUTED_VALUE"""),42209.66666666667)</f>
        <v>42209.66667</v>
      </c>
      <c r="B83" s="2">
        <f>IFERROR(__xludf.DUMMYFUNCTION("""COMPUTED_VALUE"""),95.85)</f>
        <v>95.85</v>
      </c>
      <c r="C83" s="2">
        <f>IFERROR(__xludf.DUMMYFUNCTION("""COMPUTED_VALUE"""),99.24)</f>
        <v>99.24</v>
      </c>
      <c r="D83" s="2">
        <f>IFERROR(__xludf.DUMMYFUNCTION("""COMPUTED_VALUE"""),94.81)</f>
        <v>94.81</v>
      </c>
      <c r="E83" s="2">
        <f>IFERROR(__xludf.DUMMYFUNCTION("""COMPUTED_VALUE"""),96.95)</f>
        <v>96.95</v>
      </c>
      <c r="F83" s="2">
        <f>IFERROR(__xludf.DUMMYFUNCTION("""COMPUTED_VALUE"""),1.85477154E8)</f>
        <v>185477154</v>
      </c>
      <c r="G83" s="3">
        <f t="shared" si="1"/>
        <v>0.02084868906</v>
      </c>
    </row>
    <row r="84">
      <c r="A84" s="1">
        <f>IFERROR(__xludf.DUMMYFUNCTION("""COMPUTED_VALUE"""),42216.66666666667)</f>
        <v>42216.66667</v>
      </c>
      <c r="B84" s="2">
        <f>IFERROR(__xludf.DUMMYFUNCTION("""COMPUTED_VALUE"""),96.58)</f>
        <v>96.58</v>
      </c>
      <c r="C84" s="2">
        <f>IFERROR(__xludf.DUMMYFUNCTION("""COMPUTED_VALUE"""),97.28)</f>
        <v>97.28</v>
      </c>
      <c r="D84" s="2">
        <f>IFERROR(__xludf.DUMMYFUNCTION("""COMPUTED_VALUE"""),91.8)</f>
        <v>91.8</v>
      </c>
      <c r="E84" s="2">
        <f>IFERROR(__xludf.DUMMYFUNCTION("""COMPUTED_VALUE"""),94.01)</f>
        <v>94.01</v>
      </c>
      <c r="F84" s="2">
        <f>IFERROR(__xludf.DUMMYFUNCTION("""COMPUTED_VALUE"""),2.71190062E8)</f>
        <v>271190062</v>
      </c>
      <c r="G84" s="3">
        <f t="shared" si="1"/>
        <v>-0.03032490975</v>
      </c>
    </row>
    <row r="85">
      <c r="A85" s="1">
        <f>IFERROR(__xludf.DUMMYFUNCTION("""COMPUTED_VALUE"""),42223.66666666667)</f>
        <v>42223.66667</v>
      </c>
      <c r="B85" s="2">
        <f>IFERROR(__xludf.DUMMYFUNCTION("""COMPUTED_VALUE"""),93.53)</f>
        <v>93.53</v>
      </c>
      <c r="C85" s="2">
        <f>IFERROR(__xludf.DUMMYFUNCTION("""COMPUTED_VALUE"""),98.74)</f>
        <v>98.74</v>
      </c>
      <c r="D85" s="2">
        <f>IFERROR(__xludf.DUMMYFUNCTION("""COMPUTED_VALUE"""),92.8)</f>
        <v>92.8</v>
      </c>
      <c r="E85" s="2">
        <f>IFERROR(__xludf.DUMMYFUNCTION("""COMPUTED_VALUE"""),94.3)</f>
        <v>94.3</v>
      </c>
      <c r="F85" s="2">
        <f>IFERROR(__xludf.DUMMYFUNCTION("""COMPUTED_VALUE"""),1.4476279E8)</f>
        <v>144762790</v>
      </c>
      <c r="G85" s="3">
        <f t="shared" si="1"/>
        <v>0.003084778215</v>
      </c>
    </row>
    <row r="86">
      <c r="A86" s="1">
        <f>IFERROR(__xludf.DUMMYFUNCTION("""COMPUTED_VALUE"""),42230.66666666667)</f>
        <v>42230.66667</v>
      </c>
      <c r="B86" s="2">
        <f>IFERROR(__xludf.DUMMYFUNCTION("""COMPUTED_VALUE"""),95.68)</f>
        <v>95.68</v>
      </c>
      <c r="C86" s="2">
        <f>IFERROR(__xludf.DUMMYFUNCTION("""COMPUTED_VALUE"""),95.9)</f>
        <v>95.9</v>
      </c>
      <c r="D86" s="2">
        <f>IFERROR(__xludf.DUMMYFUNCTION("""COMPUTED_VALUE"""),91.19)</f>
        <v>91.19</v>
      </c>
      <c r="E86" s="2">
        <f>IFERROR(__xludf.DUMMYFUNCTION("""COMPUTED_VALUE"""),94.42)</f>
        <v>94.42</v>
      </c>
      <c r="F86" s="2">
        <f>IFERROR(__xludf.DUMMYFUNCTION("""COMPUTED_VALUE"""),1.04616983E8)</f>
        <v>104616983</v>
      </c>
      <c r="G86" s="3">
        <f t="shared" si="1"/>
        <v>0.001272534464</v>
      </c>
    </row>
    <row r="87">
      <c r="A87" s="1">
        <f>IFERROR(__xludf.DUMMYFUNCTION("""COMPUTED_VALUE"""),42237.66666666667)</f>
        <v>42237.66667</v>
      </c>
      <c r="B87" s="2">
        <f>IFERROR(__xludf.DUMMYFUNCTION("""COMPUTED_VALUE"""),94.42)</f>
        <v>94.42</v>
      </c>
      <c r="C87" s="2">
        <f>IFERROR(__xludf.DUMMYFUNCTION("""COMPUTED_VALUE"""),96.1)</f>
        <v>96.1</v>
      </c>
      <c r="D87" s="2">
        <f>IFERROR(__xludf.DUMMYFUNCTION("""COMPUTED_VALUE"""),85.61)</f>
        <v>85.61</v>
      </c>
      <c r="E87" s="2">
        <f>IFERROR(__xludf.DUMMYFUNCTION("""COMPUTED_VALUE"""),86.06)</f>
        <v>86.06</v>
      </c>
      <c r="F87" s="2">
        <f>IFERROR(__xludf.DUMMYFUNCTION("""COMPUTED_VALUE"""),1.71220554E8)</f>
        <v>171220554</v>
      </c>
      <c r="G87" s="3">
        <f t="shared" si="1"/>
        <v>-0.08854056344</v>
      </c>
    </row>
    <row r="88">
      <c r="A88" s="1">
        <f>IFERROR(__xludf.DUMMYFUNCTION("""COMPUTED_VALUE"""),42244.66666666667)</f>
        <v>42244.66667</v>
      </c>
      <c r="B88" s="2">
        <f>IFERROR(__xludf.DUMMYFUNCTION("""COMPUTED_VALUE"""),77.03)</f>
        <v>77.03</v>
      </c>
      <c r="C88" s="2">
        <f>IFERROR(__xludf.DUMMYFUNCTION("""COMPUTED_VALUE"""),91.48)</f>
        <v>91.48</v>
      </c>
      <c r="D88" s="2">
        <f>IFERROR(__xludf.DUMMYFUNCTION("""COMPUTED_VALUE"""),72.0)</f>
        <v>72</v>
      </c>
      <c r="E88" s="2">
        <f>IFERROR(__xludf.DUMMYFUNCTION("""COMPUTED_VALUE"""),91.01)</f>
        <v>91.01</v>
      </c>
      <c r="F88" s="2">
        <f>IFERROR(__xludf.DUMMYFUNCTION("""COMPUTED_VALUE"""),2.56503519E8)</f>
        <v>256503519</v>
      </c>
      <c r="G88" s="3">
        <f t="shared" si="1"/>
        <v>0.05751801069</v>
      </c>
    </row>
    <row r="89">
      <c r="A89" s="1">
        <f>IFERROR(__xludf.DUMMYFUNCTION("""COMPUTED_VALUE"""),42251.66666666667)</f>
        <v>42251.66667</v>
      </c>
      <c r="B89" s="2">
        <f>IFERROR(__xludf.DUMMYFUNCTION("""COMPUTED_VALUE"""),90.6)</f>
        <v>90.6</v>
      </c>
      <c r="C89" s="2">
        <f>IFERROR(__xludf.DUMMYFUNCTION("""COMPUTED_VALUE"""),91.05)</f>
        <v>91.05</v>
      </c>
      <c r="D89" s="2">
        <f>IFERROR(__xludf.DUMMYFUNCTION("""COMPUTED_VALUE"""),86.5)</f>
        <v>86.5</v>
      </c>
      <c r="E89" s="2">
        <f>IFERROR(__xludf.DUMMYFUNCTION("""COMPUTED_VALUE"""),88.26)</f>
        <v>88.26</v>
      </c>
      <c r="F89" s="2">
        <f>IFERROR(__xludf.DUMMYFUNCTION("""COMPUTED_VALUE"""),1.50515428E8)</f>
        <v>150515428</v>
      </c>
      <c r="G89" s="3">
        <f t="shared" si="1"/>
        <v>-0.03021645973</v>
      </c>
    </row>
    <row r="90">
      <c r="A90" s="1">
        <f>IFERROR(__xludf.DUMMYFUNCTION("""COMPUTED_VALUE"""),42258.66666666667)</f>
        <v>42258.66667</v>
      </c>
      <c r="B90" s="2">
        <f>IFERROR(__xludf.DUMMYFUNCTION("""COMPUTED_VALUE"""),89.69)</f>
        <v>89.69</v>
      </c>
      <c r="C90" s="2">
        <f>IFERROR(__xludf.DUMMYFUNCTION("""COMPUTED_VALUE"""),92.08)</f>
        <v>92.08</v>
      </c>
      <c r="D90" s="2">
        <f>IFERROR(__xludf.DUMMYFUNCTION("""COMPUTED_VALUE"""),88.83)</f>
        <v>88.83</v>
      </c>
      <c r="E90" s="2">
        <f>IFERROR(__xludf.DUMMYFUNCTION("""COMPUTED_VALUE"""),92.05)</f>
        <v>92.05</v>
      </c>
      <c r="F90" s="2">
        <f>IFERROR(__xludf.DUMMYFUNCTION("""COMPUTED_VALUE"""),1.07186113E8)</f>
        <v>107186113</v>
      </c>
      <c r="G90" s="3">
        <f t="shared" si="1"/>
        <v>0.04294130977</v>
      </c>
    </row>
    <row r="91">
      <c r="A91" s="1">
        <f>IFERROR(__xludf.DUMMYFUNCTION("""COMPUTED_VALUE"""),42265.66666666667)</f>
        <v>42265.66667</v>
      </c>
      <c r="B91" s="2">
        <f>IFERROR(__xludf.DUMMYFUNCTION("""COMPUTED_VALUE"""),92.31)</f>
        <v>92.31</v>
      </c>
      <c r="C91" s="2">
        <f>IFERROR(__xludf.DUMMYFUNCTION("""COMPUTED_VALUE"""),95.51)</f>
        <v>95.51</v>
      </c>
      <c r="D91" s="2">
        <f>IFERROR(__xludf.DUMMYFUNCTION("""COMPUTED_VALUE"""),91.6)</f>
        <v>91.6</v>
      </c>
      <c r="E91" s="2">
        <f>IFERROR(__xludf.DUMMYFUNCTION("""COMPUTED_VALUE"""),94.4)</f>
        <v>94.4</v>
      </c>
      <c r="F91" s="2">
        <f>IFERROR(__xludf.DUMMYFUNCTION("""COMPUTED_VALUE"""),1.45450202E8)</f>
        <v>145450202</v>
      </c>
      <c r="G91" s="3">
        <f t="shared" si="1"/>
        <v>0.02552960348</v>
      </c>
    </row>
    <row r="92">
      <c r="A92" s="1">
        <f>IFERROR(__xludf.DUMMYFUNCTION("""COMPUTED_VALUE"""),42272.66666666667)</f>
        <v>42272.66667</v>
      </c>
      <c r="B92" s="2">
        <f>IFERROR(__xludf.DUMMYFUNCTION("""COMPUTED_VALUE"""),94.62)</f>
        <v>94.62</v>
      </c>
      <c r="C92" s="2">
        <f>IFERROR(__xludf.DUMMYFUNCTION("""COMPUTED_VALUE"""),96.49)</f>
        <v>96.49</v>
      </c>
      <c r="D92" s="2">
        <f>IFERROR(__xludf.DUMMYFUNCTION("""COMPUTED_VALUE"""),91.92)</f>
        <v>91.92</v>
      </c>
      <c r="E92" s="2">
        <f>IFERROR(__xludf.DUMMYFUNCTION("""COMPUTED_VALUE"""),92.77)</f>
        <v>92.77</v>
      </c>
      <c r="F92" s="2">
        <f>IFERROR(__xludf.DUMMYFUNCTION("""COMPUTED_VALUE"""),1.45447879E8)</f>
        <v>145447879</v>
      </c>
      <c r="G92" s="3">
        <f t="shared" si="1"/>
        <v>-0.01726694915</v>
      </c>
    </row>
    <row r="93">
      <c r="A93" s="1">
        <f>IFERROR(__xludf.DUMMYFUNCTION("""COMPUTED_VALUE"""),42279.66666666667)</f>
        <v>42279.66667</v>
      </c>
      <c r="B93" s="2">
        <f>IFERROR(__xludf.DUMMYFUNCTION("""COMPUTED_VALUE"""),92.08)</f>
        <v>92.08</v>
      </c>
      <c r="C93" s="2">
        <f>IFERROR(__xludf.DUMMYFUNCTION("""COMPUTED_VALUE"""),92.29)</f>
        <v>92.29</v>
      </c>
      <c r="D93" s="2">
        <f>IFERROR(__xludf.DUMMYFUNCTION("""COMPUTED_VALUE"""),85.72)</f>
        <v>85.72</v>
      </c>
      <c r="E93" s="2">
        <f>IFERROR(__xludf.DUMMYFUNCTION("""COMPUTED_VALUE"""),92.07)</f>
        <v>92.07</v>
      </c>
      <c r="F93" s="2">
        <f>IFERROR(__xludf.DUMMYFUNCTION("""COMPUTED_VALUE"""),1.86816158E8)</f>
        <v>186816158</v>
      </c>
      <c r="G93" s="3">
        <f t="shared" si="1"/>
        <v>-0.00754554274</v>
      </c>
    </row>
    <row r="94">
      <c r="A94" s="1">
        <f>IFERROR(__xludf.DUMMYFUNCTION("""COMPUTED_VALUE"""),42286.66666666667)</f>
        <v>42286.66667</v>
      </c>
      <c r="B94" s="2">
        <f>IFERROR(__xludf.DUMMYFUNCTION("""COMPUTED_VALUE"""),92.94)</f>
        <v>92.94</v>
      </c>
      <c r="C94" s="2">
        <f>IFERROR(__xludf.DUMMYFUNCTION("""COMPUTED_VALUE"""),94.27)</f>
        <v>94.27</v>
      </c>
      <c r="D94" s="2">
        <f>IFERROR(__xludf.DUMMYFUNCTION("""COMPUTED_VALUE"""),90.47)</f>
        <v>90.47</v>
      </c>
      <c r="E94" s="2">
        <f>IFERROR(__xludf.DUMMYFUNCTION("""COMPUTED_VALUE"""),93.24)</f>
        <v>93.24</v>
      </c>
      <c r="F94" s="2">
        <f>IFERROR(__xludf.DUMMYFUNCTION("""COMPUTED_VALUE"""),1.21213503E8)</f>
        <v>121213503</v>
      </c>
      <c r="G94" s="3">
        <f t="shared" si="1"/>
        <v>0.01270772239</v>
      </c>
    </row>
    <row r="95">
      <c r="A95" s="1">
        <f>IFERROR(__xludf.DUMMYFUNCTION("""COMPUTED_VALUE"""),42293.66666666667)</f>
        <v>42293.66667</v>
      </c>
      <c r="B95" s="2">
        <f>IFERROR(__xludf.DUMMYFUNCTION("""COMPUTED_VALUE"""),93.32)</f>
        <v>93.32</v>
      </c>
      <c r="C95" s="2">
        <f>IFERROR(__xludf.DUMMYFUNCTION("""COMPUTED_VALUE"""),97.59)</f>
        <v>97.59</v>
      </c>
      <c r="D95" s="2">
        <f>IFERROR(__xludf.DUMMYFUNCTION("""COMPUTED_VALUE"""),92.67)</f>
        <v>92.67</v>
      </c>
      <c r="E95" s="2">
        <f>IFERROR(__xludf.DUMMYFUNCTION("""COMPUTED_VALUE"""),97.54)</f>
        <v>97.54</v>
      </c>
      <c r="F95" s="2">
        <f>IFERROR(__xludf.DUMMYFUNCTION("""COMPUTED_VALUE"""),1.10153632E8)</f>
        <v>110153632</v>
      </c>
      <c r="G95" s="3">
        <f t="shared" si="1"/>
        <v>0.04611754612</v>
      </c>
    </row>
    <row r="96">
      <c r="A96" s="1">
        <f>IFERROR(__xludf.DUMMYFUNCTION("""COMPUTED_VALUE"""),42300.66666666667)</f>
        <v>42300.66667</v>
      </c>
      <c r="B96" s="2">
        <f>IFERROR(__xludf.DUMMYFUNCTION("""COMPUTED_VALUE"""),97.18)</f>
        <v>97.18</v>
      </c>
      <c r="C96" s="2">
        <f>IFERROR(__xludf.DUMMYFUNCTION("""COMPUTED_VALUE"""),102.85)</f>
        <v>102.85</v>
      </c>
      <c r="D96" s="2">
        <f>IFERROR(__xludf.DUMMYFUNCTION("""COMPUTED_VALUE"""),96.47)</f>
        <v>96.47</v>
      </c>
      <c r="E96" s="2">
        <f>IFERROR(__xludf.DUMMYFUNCTION("""COMPUTED_VALUE"""),102.19)</f>
        <v>102.19</v>
      </c>
      <c r="F96" s="2">
        <f>IFERROR(__xludf.DUMMYFUNCTION("""COMPUTED_VALUE"""),1.45817167E8)</f>
        <v>145817167</v>
      </c>
      <c r="G96" s="3">
        <f t="shared" si="1"/>
        <v>0.04767274964</v>
      </c>
    </row>
    <row r="97">
      <c r="A97" s="1">
        <f>IFERROR(__xludf.DUMMYFUNCTION("""COMPUTED_VALUE"""),42307.66666666667)</f>
        <v>42307.66667</v>
      </c>
      <c r="B97" s="2">
        <f>IFERROR(__xludf.DUMMYFUNCTION("""COMPUTED_VALUE"""),102.2)</f>
        <v>102.2</v>
      </c>
      <c r="C97" s="2">
        <f>IFERROR(__xludf.DUMMYFUNCTION("""COMPUTED_VALUE"""),105.12)</f>
        <v>105.12</v>
      </c>
      <c r="D97" s="2">
        <f>IFERROR(__xludf.DUMMYFUNCTION("""COMPUTED_VALUE"""),101.55)</f>
        <v>101.55</v>
      </c>
      <c r="E97" s="2">
        <f>IFERROR(__xludf.DUMMYFUNCTION("""COMPUTED_VALUE"""),101.97)</f>
        <v>101.97</v>
      </c>
      <c r="F97" s="2">
        <f>IFERROR(__xludf.DUMMYFUNCTION("""COMPUTED_VALUE"""),1.27641994E8)</f>
        <v>127641994</v>
      </c>
      <c r="G97" s="3">
        <f t="shared" si="1"/>
        <v>-0.00215285253</v>
      </c>
    </row>
    <row r="98">
      <c r="A98" s="1">
        <f>IFERROR(__xludf.DUMMYFUNCTION("""COMPUTED_VALUE"""),42314.66666666667)</f>
        <v>42314.66667</v>
      </c>
      <c r="B98" s="2">
        <f>IFERROR(__xludf.DUMMYFUNCTION("""COMPUTED_VALUE"""),102.46)</f>
        <v>102.46</v>
      </c>
      <c r="C98" s="2">
        <f>IFERROR(__xludf.DUMMYFUNCTION("""COMPUTED_VALUE"""),110.65)</f>
        <v>110.65</v>
      </c>
      <c r="D98" s="2">
        <f>IFERROR(__xludf.DUMMYFUNCTION("""COMPUTED_VALUE"""),101.18)</f>
        <v>101.18</v>
      </c>
      <c r="E98" s="2">
        <f>IFERROR(__xludf.DUMMYFUNCTION("""COMPUTED_VALUE"""),107.1)</f>
        <v>107.1</v>
      </c>
      <c r="F98" s="2">
        <f>IFERROR(__xludf.DUMMYFUNCTION("""COMPUTED_VALUE"""),1.87032796E8)</f>
        <v>187032796</v>
      </c>
      <c r="G98" s="3">
        <f t="shared" si="1"/>
        <v>0.05030891439</v>
      </c>
    </row>
    <row r="99">
      <c r="A99" s="1">
        <f>IFERROR(__xludf.DUMMYFUNCTION("""COMPUTED_VALUE"""),42321.66666666667)</f>
        <v>42321.66667</v>
      </c>
      <c r="B99" s="2">
        <f>IFERROR(__xludf.DUMMYFUNCTION("""COMPUTED_VALUE"""),107.0)</f>
        <v>107</v>
      </c>
      <c r="C99" s="2">
        <f>IFERROR(__xludf.DUMMYFUNCTION("""COMPUTED_VALUE"""),109.87)</f>
        <v>109.87</v>
      </c>
      <c r="D99" s="2">
        <f>IFERROR(__xludf.DUMMYFUNCTION("""COMPUTED_VALUE"""),103.83)</f>
        <v>103.83</v>
      </c>
      <c r="E99" s="2">
        <f>IFERROR(__xludf.DUMMYFUNCTION("""COMPUTED_VALUE"""),103.95)</f>
        <v>103.95</v>
      </c>
      <c r="F99" s="2">
        <f>IFERROR(__xludf.DUMMYFUNCTION("""COMPUTED_VALUE"""),1.27675397E8)</f>
        <v>127675397</v>
      </c>
      <c r="G99" s="3">
        <f t="shared" si="1"/>
        <v>-0.02941176471</v>
      </c>
    </row>
    <row r="100">
      <c r="A100" s="1">
        <f>IFERROR(__xludf.DUMMYFUNCTION("""COMPUTED_VALUE"""),42328.66666666667)</f>
        <v>42328.66667</v>
      </c>
      <c r="B100" s="2">
        <f>IFERROR(__xludf.DUMMYFUNCTION("""COMPUTED_VALUE"""),103.32)</f>
        <v>103.32</v>
      </c>
      <c r="C100" s="2">
        <f>IFERROR(__xludf.DUMMYFUNCTION("""COMPUTED_VALUE"""),107.88)</f>
        <v>107.88</v>
      </c>
      <c r="D100" s="2">
        <f>IFERROR(__xludf.DUMMYFUNCTION("""COMPUTED_VALUE"""),100.47)</f>
        <v>100.47</v>
      </c>
      <c r="E100" s="2">
        <f>IFERROR(__xludf.DUMMYFUNCTION("""COMPUTED_VALUE"""),107.32)</f>
        <v>107.32</v>
      </c>
      <c r="F100" s="2">
        <f>IFERROR(__xludf.DUMMYFUNCTION("""COMPUTED_VALUE"""),1.4760317E8)</f>
        <v>147603170</v>
      </c>
      <c r="G100" s="3">
        <f t="shared" si="1"/>
        <v>0.03241943242</v>
      </c>
    </row>
    <row r="101">
      <c r="A101" s="1">
        <f>IFERROR(__xludf.DUMMYFUNCTION("""COMPUTED_VALUE"""),42335.66666666667)</f>
        <v>42335.66667</v>
      </c>
      <c r="B101" s="2">
        <f>IFERROR(__xludf.DUMMYFUNCTION("""COMPUTED_VALUE"""),107.19)</f>
        <v>107.19</v>
      </c>
      <c r="C101" s="2">
        <f>IFERROR(__xludf.DUMMYFUNCTION("""COMPUTED_VALUE"""),107.47)</f>
        <v>107.47</v>
      </c>
      <c r="D101" s="2">
        <f>IFERROR(__xludf.DUMMYFUNCTION("""COMPUTED_VALUE"""),104.39)</f>
        <v>104.39</v>
      </c>
      <c r="E101" s="2">
        <f>IFERROR(__xludf.DUMMYFUNCTION("""COMPUTED_VALUE"""),105.45)</f>
        <v>105.45</v>
      </c>
      <c r="F101" s="2">
        <f>IFERROR(__xludf.DUMMYFUNCTION("""COMPUTED_VALUE"""),6.4538364E7)</f>
        <v>64538364</v>
      </c>
      <c r="G101" s="3">
        <f t="shared" si="1"/>
        <v>-0.01742452479</v>
      </c>
    </row>
    <row r="102">
      <c r="A102" s="1">
        <f>IFERROR(__xludf.DUMMYFUNCTION("""COMPUTED_VALUE"""),42342.66666666667)</f>
        <v>42342.66667</v>
      </c>
      <c r="B102" s="2">
        <f>IFERROR(__xludf.DUMMYFUNCTION("""COMPUTED_VALUE"""),105.84)</f>
        <v>105.84</v>
      </c>
      <c r="C102" s="2">
        <f>IFERROR(__xludf.DUMMYFUNCTION("""COMPUTED_VALUE"""),107.92)</f>
        <v>107.92</v>
      </c>
      <c r="D102" s="2">
        <f>IFERROR(__xludf.DUMMYFUNCTION("""COMPUTED_VALUE"""),103.35)</f>
        <v>103.35</v>
      </c>
      <c r="E102" s="2">
        <f>IFERROR(__xludf.DUMMYFUNCTION("""COMPUTED_VALUE"""),106.18)</f>
        <v>106.18</v>
      </c>
      <c r="F102" s="2">
        <f>IFERROR(__xludf.DUMMYFUNCTION("""COMPUTED_VALUE"""),1.12055316E8)</f>
        <v>112055316</v>
      </c>
      <c r="G102" s="3">
        <f t="shared" si="1"/>
        <v>0.006922712186</v>
      </c>
    </row>
    <row r="103">
      <c r="A103" s="1">
        <f>IFERROR(__xludf.DUMMYFUNCTION("""COMPUTED_VALUE"""),42349.66666666667)</f>
        <v>42349.66667</v>
      </c>
      <c r="B103" s="2">
        <f>IFERROR(__xludf.DUMMYFUNCTION("""COMPUTED_VALUE"""),106.48)</f>
        <v>106.48</v>
      </c>
      <c r="C103" s="2">
        <f>IFERROR(__xludf.DUMMYFUNCTION("""COMPUTED_VALUE"""),106.91)</f>
        <v>106.91</v>
      </c>
      <c r="D103" s="2">
        <f>IFERROR(__xludf.DUMMYFUNCTION("""COMPUTED_VALUE"""),101.91)</f>
        <v>101.91</v>
      </c>
      <c r="E103" s="2">
        <f>IFERROR(__xludf.DUMMYFUNCTION("""COMPUTED_VALUE"""),102.12)</f>
        <v>102.12</v>
      </c>
      <c r="F103" s="2">
        <f>IFERROR(__xludf.DUMMYFUNCTION("""COMPUTED_VALUE"""),1.03275988E8)</f>
        <v>103275988</v>
      </c>
      <c r="G103" s="3">
        <f t="shared" si="1"/>
        <v>-0.03823695611</v>
      </c>
    </row>
    <row r="104">
      <c r="A104" s="1">
        <f>IFERROR(__xludf.DUMMYFUNCTION("""COMPUTED_VALUE"""),42356.66666666667)</f>
        <v>42356.66667</v>
      </c>
      <c r="B104" s="2">
        <f>IFERROR(__xludf.DUMMYFUNCTION("""COMPUTED_VALUE"""),102.29)</f>
        <v>102.29</v>
      </c>
      <c r="C104" s="2">
        <f>IFERROR(__xludf.DUMMYFUNCTION("""COMPUTED_VALUE"""),107.75)</f>
        <v>107.75</v>
      </c>
      <c r="D104" s="2">
        <f>IFERROR(__xludf.DUMMYFUNCTION("""COMPUTED_VALUE"""),101.46)</f>
        <v>101.46</v>
      </c>
      <c r="E104" s="2">
        <f>IFERROR(__xludf.DUMMYFUNCTION("""COMPUTED_VALUE"""),104.04)</f>
        <v>104.04</v>
      </c>
      <c r="F104" s="2">
        <f>IFERROR(__xludf.DUMMYFUNCTION("""COMPUTED_VALUE"""),1.26928259E8)</f>
        <v>126928259</v>
      </c>
      <c r="G104" s="3">
        <f t="shared" si="1"/>
        <v>0.01880141011</v>
      </c>
    </row>
    <row r="105">
      <c r="A105" s="1">
        <f>IFERROR(__xludf.DUMMYFUNCTION("""COMPUTED_VALUE"""),42362.66666666667)</f>
        <v>42362.66667</v>
      </c>
      <c r="B105" s="2">
        <f>IFERROR(__xludf.DUMMYFUNCTION("""COMPUTED_VALUE"""),104.91)</f>
        <v>104.91</v>
      </c>
      <c r="C105" s="2">
        <f>IFERROR(__xludf.DUMMYFUNCTION("""COMPUTED_VALUE"""),106.11)</f>
        <v>106.11</v>
      </c>
      <c r="D105" s="2">
        <f>IFERROR(__xludf.DUMMYFUNCTION("""COMPUTED_VALUE"""),103.6)</f>
        <v>103.6</v>
      </c>
      <c r="E105" s="2">
        <f>IFERROR(__xludf.DUMMYFUNCTION("""COMPUTED_VALUE"""),105.02)</f>
        <v>105.02</v>
      </c>
      <c r="F105" s="2">
        <f>IFERROR(__xludf.DUMMYFUNCTION("""COMPUTED_VALUE"""),5.6847715E7)</f>
        <v>56847715</v>
      </c>
      <c r="G105" s="3">
        <f t="shared" si="1"/>
        <v>0.009419454056</v>
      </c>
    </row>
    <row r="106">
      <c r="A106" s="1">
        <f>IFERROR(__xludf.DUMMYFUNCTION("""COMPUTED_VALUE"""),42369.66666666667)</f>
        <v>42369.66667</v>
      </c>
      <c r="B106" s="2">
        <f>IFERROR(__xludf.DUMMYFUNCTION("""COMPUTED_VALUE"""),105.02)</f>
        <v>105.02</v>
      </c>
      <c r="C106" s="2">
        <f>IFERROR(__xludf.DUMMYFUNCTION("""COMPUTED_VALUE"""),107.74)</f>
        <v>107.74</v>
      </c>
      <c r="D106" s="2">
        <f>IFERROR(__xludf.DUMMYFUNCTION("""COMPUTED_VALUE"""),104.53)</f>
        <v>104.53</v>
      </c>
      <c r="E106" s="2">
        <f>IFERROR(__xludf.DUMMYFUNCTION("""COMPUTED_VALUE"""),104.66)</f>
        <v>104.66</v>
      </c>
      <c r="F106" s="2">
        <f>IFERROR(__xludf.DUMMYFUNCTION("""COMPUTED_VALUE"""),6.1755705E7)</f>
        <v>61755705</v>
      </c>
      <c r="G106" s="3">
        <f t="shared" si="1"/>
        <v>-0.003427918492</v>
      </c>
    </row>
    <row r="107">
      <c r="A107" s="1">
        <f>IFERROR(__xludf.DUMMYFUNCTION("""COMPUTED_VALUE"""),42377.66666666667)</f>
        <v>42377.66667</v>
      </c>
      <c r="B107" s="2">
        <f>IFERROR(__xludf.DUMMYFUNCTION("""COMPUTED_VALUE"""),101.95)</f>
        <v>101.95</v>
      </c>
      <c r="C107" s="2">
        <f>IFERROR(__xludf.DUMMYFUNCTION("""COMPUTED_VALUE"""),103.77)</f>
        <v>103.77</v>
      </c>
      <c r="D107" s="2">
        <f>IFERROR(__xludf.DUMMYFUNCTION("""COMPUTED_VALUE"""),97.03)</f>
        <v>97.03</v>
      </c>
      <c r="E107" s="2">
        <f>IFERROR(__xludf.DUMMYFUNCTION("""COMPUTED_VALUE"""),97.33)</f>
        <v>97.33</v>
      </c>
      <c r="F107" s="2">
        <f>IFERROR(__xludf.DUMMYFUNCTION("""COMPUTED_VALUE"""),1.66842028E8)</f>
        <v>166842028</v>
      </c>
      <c r="G107" s="3">
        <f t="shared" si="1"/>
        <v>-0.07003630805</v>
      </c>
    </row>
    <row r="108">
      <c r="A108" s="1">
        <f>IFERROR(__xludf.DUMMYFUNCTION("""COMPUTED_VALUE"""),42384.66666666667)</f>
        <v>42384.66667</v>
      </c>
      <c r="B108" s="2">
        <f>IFERROR(__xludf.DUMMYFUNCTION("""COMPUTED_VALUE"""),97.91)</f>
        <v>97.91</v>
      </c>
      <c r="C108" s="2">
        <f>IFERROR(__xludf.DUMMYFUNCTION("""COMPUTED_VALUE"""),100.58)</f>
        <v>100.58</v>
      </c>
      <c r="D108" s="2">
        <f>IFERROR(__xludf.DUMMYFUNCTION("""COMPUTED_VALUE"""),92.45)</f>
        <v>92.45</v>
      </c>
      <c r="E108" s="2">
        <f>IFERROR(__xludf.DUMMYFUNCTION("""COMPUTED_VALUE"""),94.97)</f>
        <v>94.97</v>
      </c>
      <c r="F108" s="2">
        <f>IFERROR(__xludf.DUMMYFUNCTION("""COMPUTED_VALUE"""),1.86529732E8)</f>
        <v>186529732</v>
      </c>
      <c r="G108" s="3">
        <f t="shared" si="1"/>
        <v>-0.02424740573</v>
      </c>
    </row>
    <row r="109">
      <c r="A109" s="1">
        <f>IFERROR(__xludf.DUMMYFUNCTION("""COMPUTED_VALUE"""),42391.66666666667)</f>
        <v>42391.66667</v>
      </c>
      <c r="B109" s="2">
        <f>IFERROR(__xludf.DUMMYFUNCTION("""COMPUTED_VALUE"""),96.53)</f>
        <v>96.53</v>
      </c>
      <c r="C109" s="2">
        <f>IFERROR(__xludf.DUMMYFUNCTION("""COMPUTED_VALUE"""),98.07)</f>
        <v>98.07</v>
      </c>
      <c r="D109" s="2">
        <f>IFERROR(__xludf.DUMMYFUNCTION("""COMPUTED_VALUE"""),89.37)</f>
        <v>89.37</v>
      </c>
      <c r="E109" s="2">
        <f>IFERROR(__xludf.DUMMYFUNCTION("""COMPUTED_VALUE"""),97.94)</f>
        <v>97.94</v>
      </c>
      <c r="F109" s="2">
        <f>IFERROR(__xludf.DUMMYFUNCTION("""COMPUTED_VALUE"""),1.51064011E8)</f>
        <v>151064011</v>
      </c>
      <c r="G109" s="3">
        <f t="shared" si="1"/>
        <v>0.03127303359</v>
      </c>
    </row>
    <row r="110">
      <c r="A110" s="1">
        <f>IFERROR(__xludf.DUMMYFUNCTION("""COMPUTED_VALUE"""),42398.66666666667)</f>
        <v>42398.66667</v>
      </c>
      <c r="B110" s="2">
        <f>IFERROR(__xludf.DUMMYFUNCTION("""COMPUTED_VALUE"""),98.72)</f>
        <v>98.72</v>
      </c>
      <c r="C110" s="2">
        <f>IFERROR(__xludf.DUMMYFUNCTION("""COMPUTED_VALUE"""),112.84)</f>
        <v>112.84</v>
      </c>
      <c r="D110" s="2">
        <f>IFERROR(__xludf.DUMMYFUNCTION("""COMPUTED_VALUE"""),94.23)</f>
        <v>94.23</v>
      </c>
      <c r="E110" s="2">
        <f>IFERROR(__xludf.DUMMYFUNCTION("""COMPUTED_VALUE"""),112.21)</f>
        <v>112.21</v>
      </c>
      <c r="F110" s="2">
        <f>IFERROR(__xludf.DUMMYFUNCTION("""COMPUTED_VALUE"""),2.88273329E8)</f>
        <v>288273329</v>
      </c>
      <c r="G110" s="3">
        <f t="shared" si="1"/>
        <v>0.1457014499</v>
      </c>
    </row>
    <row r="111">
      <c r="A111" s="1">
        <f>IFERROR(__xludf.DUMMYFUNCTION("""COMPUTED_VALUE"""),42405.66666666667)</f>
        <v>42405.66667</v>
      </c>
      <c r="B111" s="2">
        <f>IFERROR(__xludf.DUMMYFUNCTION("""COMPUTED_VALUE"""),112.27)</f>
        <v>112.27</v>
      </c>
      <c r="C111" s="2">
        <f>IFERROR(__xludf.DUMMYFUNCTION("""COMPUTED_VALUE"""),117.59)</f>
        <v>117.59</v>
      </c>
      <c r="D111" s="2">
        <f>IFERROR(__xludf.DUMMYFUNCTION("""COMPUTED_VALUE"""),103.18)</f>
        <v>103.18</v>
      </c>
      <c r="E111" s="2">
        <f>IFERROR(__xludf.DUMMYFUNCTION("""COMPUTED_VALUE"""),104.07)</f>
        <v>104.07</v>
      </c>
      <c r="F111" s="2">
        <f>IFERROR(__xludf.DUMMYFUNCTION("""COMPUTED_VALUE"""),2.78615561E8)</f>
        <v>278615561</v>
      </c>
      <c r="G111" s="3">
        <f t="shared" si="1"/>
        <v>-0.07254255414</v>
      </c>
    </row>
    <row r="112">
      <c r="A112" s="1">
        <f>IFERROR(__xludf.DUMMYFUNCTION("""COMPUTED_VALUE"""),42412.66666666667)</f>
        <v>42412.66667</v>
      </c>
      <c r="B112" s="2">
        <f>IFERROR(__xludf.DUMMYFUNCTION("""COMPUTED_VALUE"""),100.41)</f>
        <v>100.41</v>
      </c>
      <c r="C112" s="2">
        <f>IFERROR(__xludf.DUMMYFUNCTION("""COMPUTED_VALUE"""),105.11)</f>
        <v>105.11</v>
      </c>
      <c r="D112" s="2">
        <f>IFERROR(__xludf.DUMMYFUNCTION("""COMPUTED_VALUE"""),96.82)</f>
        <v>96.82</v>
      </c>
      <c r="E112" s="2">
        <f>IFERROR(__xludf.DUMMYFUNCTION("""COMPUTED_VALUE"""),102.01)</f>
        <v>102.01</v>
      </c>
      <c r="F112" s="2">
        <f>IFERROR(__xludf.DUMMYFUNCTION("""COMPUTED_VALUE"""),2.58965528E8)</f>
        <v>258965528</v>
      </c>
      <c r="G112" s="3">
        <f t="shared" si="1"/>
        <v>-0.01979436917</v>
      </c>
    </row>
    <row r="113">
      <c r="A113" s="1">
        <f>IFERROR(__xludf.DUMMYFUNCTION("""COMPUTED_VALUE"""),42419.66666666667)</f>
        <v>42419.66667</v>
      </c>
      <c r="B113" s="2">
        <f>IFERROR(__xludf.DUMMYFUNCTION("""COMPUTED_VALUE"""),103.8)</f>
        <v>103.8</v>
      </c>
      <c r="C113" s="2">
        <f>IFERROR(__xludf.DUMMYFUNCTION("""COMPUTED_VALUE"""),106.0)</f>
        <v>106</v>
      </c>
      <c r="D113" s="2">
        <f>IFERROR(__xludf.DUMMYFUNCTION("""COMPUTED_VALUE"""),100.24)</f>
        <v>100.24</v>
      </c>
      <c r="E113" s="2">
        <f>IFERROR(__xludf.DUMMYFUNCTION("""COMPUTED_VALUE"""),104.57)</f>
        <v>104.57</v>
      </c>
      <c r="F113" s="2">
        <f>IFERROR(__xludf.DUMMYFUNCTION("""COMPUTED_VALUE"""),1.51758617E8)</f>
        <v>151758617</v>
      </c>
      <c r="G113" s="3">
        <f t="shared" si="1"/>
        <v>0.02509557886</v>
      </c>
    </row>
    <row r="114">
      <c r="A114" s="1">
        <f>IFERROR(__xludf.DUMMYFUNCTION("""COMPUTED_VALUE"""),42426.66666666667)</f>
        <v>42426.66667</v>
      </c>
      <c r="B114" s="2">
        <f>IFERROR(__xludf.DUMMYFUNCTION("""COMPUTED_VALUE"""),105.49)</f>
        <v>105.49</v>
      </c>
      <c r="C114" s="2">
        <f>IFERROR(__xludf.DUMMYFUNCTION("""COMPUTED_VALUE"""),109.45)</f>
        <v>109.45</v>
      </c>
      <c r="D114" s="2">
        <f>IFERROR(__xludf.DUMMYFUNCTION("""COMPUTED_VALUE"""),102.74)</f>
        <v>102.74</v>
      </c>
      <c r="E114" s="2">
        <f>IFERROR(__xludf.DUMMYFUNCTION("""COMPUTED_VALUE"""),107.92)</f>
        <v>107.92</v>
      </c>
      <c r="F114" s="2">
        <f>IFERROR(__xludf.DUMMYFUNCTION("""COMPUTED_VALUE"""),1.52033937E8)</f>
        <v>152033937</v>
      </c>
      <c r="G114" s="3">
        <f t="shared" si="1"/>
        <v>0.03203595678</v>
      </c>
    </row>
    <row r="115">
      <c r="A115" s="1">
        <f>IFERROR(__xludf.DUMMYFUNCTION("""COMPUTED_VALUE"""),42433.66666666667)</f>
        <v>42433.66667</v>
      </c>
      <c r="B115" s="2">
        <f>IFERROR(__xludf.DUMMYFUNCTION("""COMPUTED_VALUE"""),107.6)</f>
        <v>107.6</v>
      </c>
      <c r="C115" s="2">
        <f>IFERROR(__xludf.DUMMYFUNCTION("""COMPUTED_VALUE"""),110.55)</f>
        <v>110.55</v>
      </c>
      <c r="D115" s="2">
        <f>IFERROR(__xludf.DUMMYFUNCTION("""COMPUTED_VALUE"""),106.75)</f>
        <v>106.75</v>
      </c>
      <c r="E115" s="2">
        <f>IFERROR(__xludf.DUMMYFUNCTION("""COMPUTED_VALUE"""),108.39)</f>
        <v>108.39</v>
      </c>
      <c r="F115" s="2">
        <f>IFERROR(__xludf.DUMMYFUNCTION("""COMPUTED_VALUE"""),1.31558421E8)</f>
        <v>131558421</v>
      </c>
      <c r="G115" s="3">
        <f t="shared" si="1"/>
        <v>0.004355077835</v>
      </c>
    </row>
    <row r="116">
      <c r="A116" s="1">
        <f>IFERROR(__xludf.DUMMYFUNCTION("""COMPUTED_VALUE"""),42440.66666666667)</f>
        <v>42440.66667</v>
      </c>
      <c r="B116" s="2">
        <f>IFERROR(__xludf.DUMMYFUNCTION("""COMPUTED_VALUE"""),108.07)</f>
        <v>108.07</v>
      </c>
      <c r="C116" s="2">
        <f>IFERROR(__xludf.DUMMYFUNCTION("""COMPUTED_VALUE"""),109.42)</f>
        <v>109.42</v>
      </c>
      <c r="D116" s="2">
        <f>IFERROR(__xludf.DUMMYFUNCTION("""COMPUTED_VALUE"""),104.4)</f>
        <v>104.4</v>
      </c>
      <c r="E116" s="2">
        <f>IFERROR(__xludf.DUMMYFUNCTION("""COMPUTED_VALUE"""),109.41)</f>
        <v>109.41</v>
      </c>
      <c r="F116" s="2">
        <f>IFERROR(__xludf.DUMMYFUNCTION("""COMPUTED_VALUE"""),1.2319616E8)</f>
        <v>123196160</v>
      </c>
      <c r="G116" s="3">
        <f t="shared" si="1"/>
        <v>0.00941046222</v>
      </c>
    </row>
    <row r="117">
      <c r="A117" s="1">
        <f>IFERROR(__xludf.DUMMYFUNCTION("""COMPUTED_VALUE"""),42447.66666666667)</f>
        <v>42447.66667</v>
      </c>
      <c r="B117" s="2">
        <f>IFERROR(__xludf.DUMMYFUNCTION("""COMPUTED_VALUE"""),109.28)</f>
        <v>109.28</v>
      </c>
      <c r="C117" s="2">
        <f>IFERROR(__xludf.DUMMYFUNCTION("""COMPUTED_VALUE"""),112.69)</f>
        <v>112.69</v>
      </c>
      <c r="D117" s="2">
        <f>IFERROR(__xludf.DUMMYFUNCTION("""COMPUTED_VALUE"""),108.77)</f>
        <v>108.77</v>
      </c>
      <c r="E117" s="2">
        <f>IFERROR(__xludf.DUMMYFUNCTION("""COMPUTED_VALUE"""),111.45)</f>
        <v>111.45</v>
      </c>
      <c r="F117" s="2">
        <f>IFERROR(__xludf.DUMMYFUNCTION("""COMPUTED_VALUE"""),1.03883631E8)</f>
        <v>103883631</v>
      </c>
      <c r="G117" s="3">
        <f t="shared" si="1"/>
        <v>0.01864546202</v>
      </c>
    </row>
    <row r="118">
      <c r="A118" s="1">
        <f>IFERROR(__xludf.DUMMYFUNCTION("""COMPUTED_VALUE"""),42453.66666666667)</f>
        <v>42453.66667</v>
      </c>
      <c r="B118" s="2">
        <f>IFERROR(__xludf.DUMMYFUNCTION("""COMPUTED_VALUE"""),111.66)</f>
        <v>111.66</v>
      </c>
      <c r="C118" s="2">
        <f>IFERROR(__xludf.DUMMYFUNCTION("""COMPUTED_VALUE"""),113.19)</f>
        <v>113.19</v>
      </c>
      <c r="D118" s="2">
        <f>IFERROR(__xludf.DUMMYFUNCTION("""COMPUTED_VALUE"""),111.03)</f>
        <v>111.03</v>
      </c>
      <c r="E118" s="2">
        <f>IFERROR(__xludf.DUMMYFUNCTION("""COMPUTED_VALUE"""),113.05)</f>
        <v>113.05</v>
      </c>
      <c r="F118" s="2">
        <f>IFERROR(__xludf.DUMMYFUNCTION("""COMPUTED_VALUE"""),7.3850143E7)</f>
        <v>73850143</v>
      </c>
      <c r="G118" s="3">
        <f t="shared" si="1"/>
        <v>0.01435621355</v>
      </c>
    </row>
    <row r="119">
      <c r="A119" s="1">
        <f>IFERROR(__xludf.DUMMYFUNCTION("""COMPUTED_VALUE"""),42461.66666666667)</f>
        <v>42461.66667</v>
      </c>
      <c r="B119" s="2">
        <f>IFERROR(__xludf.DUMMYFUNCTION("""COMPUTED_VALUE"""),113.32)</f>
        <v>113.32</v>
      </c>
      <c r="C119" s="2">
        <f>IFERROR(__xludf.DUMMYFUNCTION("""COMPUTED_VALUE"""),116.99)</f>
        <v>116.99</v>
      </c>
      <c r="D119" s="2">
        <f>IFERROR(__xludf.DUMMYFUNCTION("""COMPUTED_VALUE"""),112.95)</f>
        <v>112.95</v>
      </c>
      <c r="E119" s="2">
        <f>IFERROR(__xludf.DUMMYFUNCTION("""COMPUTED_VALUE"""),116.06)</f>
        <v>116.06</v>
      </c>
      <c r="F119" s="2">
        <f>IFERROR(__xludf.DUMMYFUNCTION("""COMPUTED_VALUE"""),1.30380305E8)</f>
        <v>130380305</v>
      </c>
      <c r="G119" s="3">
        <f t="shared" si="1"/>
        <v>0.026625387</v>
      </c>
    </row>
    <row r="120">
      <c r="A120" s="1">
        <f>IFERROR(__xludf.DUMMYFUNCTION("""COMPUTED_VALUE"""),42468.66666666667)</f>
        <v>42468.66667</v>
      </c>
      <c r="B120" s="2">
        <f>IFERROR(__xludf.DUMMYFUNCTION("""COMPUTED_VALUE"""),114.07)</f>
        <v>114.07</v>
      </c>
      <c r="C120" s="2">
        <f>IFERROR(__xludf.DUMMYFUNCTION("""COMPUTED_VALUE"""),114.89)</f>
        <v>114.89</v>
      </c>
      <c r="D120" s="2">
        <f>IFERROR(__xludf.DUMMYFUNCTION("""COMPUTED_VALUE"""),109.9)</f>
        <v>109.9</v>
      </c>
      <c r="E120" s="2">
        <f>IFERROR(__xludf.DUMMYFUNCTION("""COMPUTED_VALUE"""),110.63)</f>
        <v>110.63</v>
      </c>
      <c r="F120" s="2">
        <f>IFERROR(__xludf.DUMMYFUNCTION("""COMPUTED_VALUE"""),1.61477263E8)</f>
        <v>161477263</v>
      </c>
      <c r="G120" s="3">
        <f t="shared" si="1"/>
        <v>-0.0467861451</v>
      </c>
    </row>
    <row r="121">
      <c r="A121" s="1">
        <f>IFERROR(__xludf.DUMMYFUNCTION("""COMPUTED_VALUE"""),42475.66666666667)</f>
        <v>42475.66667</v>
      </c>
      <c r="B121" s="2">
        <f>IFERROR(__xludf.DUMMYFUNCTION("""COMPUTED_VALUE"""),110.7)</f>
        <v>110.7</v>
      </c>
      <c r="C121" s="2">
        <f>IFERROR(__xludf.DUMMYFUNCTION("""COMPUTED_VALUE"""),112.65)</f>
        <v>112.65</v>
      </c>
      <c r="D121" s="2">
        <f>IFERROR(__xludf.DUMMYFUNCTION("""COMPUTED_VALUE"""),106.52)</f>
        <v>106.52</v>
      </c>
      <c r="E121" s="2">
        <f>IFERROR(__xludf.DUMMYFUNCTION("""COMPUTED_VALUE"""),109.64)</f>
        <v>109.64</v>
      </c>
      <c r="F121" s="2">
        <f>IFERROR(__xludf.DUMMYFUNCTION("""COMPUTED_VALUE"""),2.03633903E8)</f>
        <v>203633903</v>
      </c>
      <c r="G121" s="3">
        <f t="shared" si="1"/>
        <v>-0.008948748079</v>
      </c>
    </row>
    <row r="122">
      <c r="A122" s="1">
        <f>IFERROR(__xludf.DUMMYFUNCTION("""COMPUTED_VALUE"""),42482.66666666667)</f>
        <v>42482.66667</v>
      </c>
      <c r="B122" s="2">
        <f>IFERROR(__xludf.DUMMYFUNCTION("""COMPUTED_VALUE"""),109.74)</f>
        <v>109.74</v>
      </c>
      <c r="C122" s="2">
        <f>IFERROR(__xludf.DUMMYFUNCTION("""COMPUTED_VALUE"""),114.04)</f>
        <v>114.04</v>
      </c>
      <c r="D122" s="2">
        <f>IFERROR(__xludf.DUMMYFUNCTION("""COMPUTED_VALUE"""),109.01)</f>
        <v>109.01</v>
      </c>
      <c r="E122" s="2">
        <f>IFERROR(__xludf.DUMMYFUNCTION("""COMPUTED_VALUE"""),110.56)</f>
        <v>110.56</v>
      </c>
      <c r="F122" s="2">
        <f>IFERROR(__xludf.DUMMYFUNCTION("""COMPUTED_VALUE"""),1.31738986E8)</f>
        <v>131738986</v>
      </c>
      <c r="G122" s="3">
        <f t="shared" si="1"/>
        <v>0.008391098139</v>
      </c>
    </row>
    <row r="123">
      <c r="A123" s="1">
        <f>IFERROR(__xludf.DUMMYFUNCTION("""COMPUTED_VALUE"""),42489.66666666667)</f>
        <v>42489.66667</v>
      </c>
      <c r="B123" s="2">
        <f>IFERROR(__xludf.DUMMYFUNCTION("""COMPUTED_VALUE"""),109.87)</f>
        <v>109.87</v>
      </c>
      <c r="C123" s="2">
        <f>IFERROR(__xludf.DUMMYFUNCTION("""COMPUTED_VALUE"""),120.79)</f>
        <v>120.79</v>
      </c>
      <c r="D123" s="2">
        <f>IFERROR(__xludf.DUMMYFUNCTION("""COMPUTED_VALUE"""),106.31)</f>
        <v>106.31</v>
      </c>
      <c r="E123" s="2">
        <f>IFERROR(__xludf.DUMMYFUNCTION("""COMPUTED_VALUE"""),117.58)</f>
        <v>117.58</v>
      </c>
      <c r="F123" s="2">
        <f>IFERROR(__xludf.DUMMYFUNCTION("""COMPUTED_VALUE"""),2.2000321E8)</f>
        <v>220003210</v>
      </c>
      <c r="G123" s="3">
        <f t="shared" si="1"/>
        <v>0.06349493488</v>
      </c>
    </row>
    <row r="124">
      <c r="A124" s="1">
        <f>IFERROR(__xludf.DUMMYFUNCTION("""COMPUTED_VALUE"""),42496.66666666667)</f>
        <v>42496.66667</v>
      </c>
      <c r="B124" s="2">
        <f>IFERROR(__xludf.DUMMYFUNCTION("""COMPUTED_VALUE"""),117.83)</f>
        <v>117.83</v>
      </c>
      <c r="C124" s="2">
        <f>IFERROR(__xludf.DUMMYFUNCTION("""COMPUTED_VALUE"""),119.64)</f>
        <v>119.64</v>
      </c>
      <c r="D124" s="2">
        <f>IFERROR(__xludf.DUMMYFUNCTION("""COMPUTED_VALUE"""),116.57)</f>
        <v>116.57</v>
      </c>
      <c r="E124" s="2">
        <f>IFERROR(__xludf.DUMMYFUNCTION("""COMPUTED_VALUE"""),119.49)</f>
        <v>119.49</v>
      </c>
      <c r="F124" s="2">
        <f>IFERROR(__xludf.DUMMYFUNCTION("""COMPUTED_VALUE"""),1.24113388E8)</f>
        <v>124113388</v>
      </c>
      <c r="G124" s="3">
        <f t="shared" si="1"/>
        <v>0.01624425923</v>
      </c>
    </row>
    <row r="125">
      <c r="A125" s="1">
        <f>IFERROR(__xludf.DUMMYFUNCTION("""COMPUTED_VALUE"""),42503.66666666667)</f>
        <v>42503.66667</v>
      </c>
      <c r="B125" s="2">
        <f>IFERROR(__xludf.DUMMYFUNCTION("""COMPUTED_VALUE"""),119.54)</f>
        <v>119.54</v>
      </c>
      <c r="C125" s="2">
        <f>IFERROR(__xludf.DUMMYFUNCTION("""COMPUTED_VALUE"""),121.08)</f>
        <v>121.08</v>
      </c>
      <c r="D125" s="2">
        <f>IFERROR(__xludf.DUMMYFUNCTION("""COMPUTED_VALUE"""),114.8)</f>
        <v>114.8</v>
      </c>
      <c r="E125" s="2">
        <f>IFERROR(__xludf.DUMMYFUNCTION("""COMPUTED_VALUE"""),119.81)</f>
        <v>119.81</v>
      </c>
      <c r="F125" s="2">
        <f>IFERROR(__xludf.DUMMYFUNCTION("""COMPUTED_VALUE"""),1.06556252E8)</f>
        <v>106556252</v>
      </c>
      <c r="G125" s="3">
        <f t="shared" si="1"/>
        <v>0.002678048372</v>
      </c>
    </row>
    <row r="126">
      <c r="A126" s="1">
        <f>IFERROR(__xludf.DUMMYFUNCTION("""COMPUTED_VALUE"""),42510.66666666667)</f>
        <v>42510.66667</v>
      </c>
      <c r="B126" s="2">
        <f>IFERROR(__xludf.DUMMYFUNCTION("""COMPUTED_VALUE"""),119.38)</f>
        <v>119.38</v>
      </c>
      <c r="C126" s="2">
        <f>IFERROR(__xludf.DUMMYFUNCTION("""COMPUTED_VALUE"""),119.61)</f>
        <v>119.61</v>
      </c>
      <c r="D126" s="2">
        <f>IFERROR(__xludf.DUMMYFUNCTION("""COMPUTED_VALUE"""),115.88)</f>
        <v>115.88</v>
      </c>
      <c r="E126" s="2">
        <f>IFERROR(__xludf.DUMMYFUNCTION("""COMPUTED_VALUE"""),117.35)</f>
        <v>117.35</v>
      </c>
      <c r="F126" s="2">
        <f>IFERROR(__xludf.DUMMYFUNCTION("""COMPUTED_VALUE"""),1.13707721E8)</f>
        <v>113707721</v>
      </c>
      <c r="G126" s="3">
        <f t="shared" si="1"/>
        <v>-0.02053250981</v>
      </c>
    </row>
    <row r="127">
      <c r="A127" s="1">
        <f>IFERROR(__xludf.DUMMYFUNCTION("""COMPUTED_VALUE"""),42517.66666666667)</f>
        <v>42517.66667</v>
      </c>
      <c r="B127" s="2">
        <f>IFERROR(__xludf.DUMMYFUNCTION("""COMPUTED_VALUE"""),117.42)</f>
        <v>117.42</v>
      </c>
      <c r="C127" s="2">
        <f>IFERROR(__xludf.DUMMYFUNCTION("""COMPUTED_VALUE"""),119.85)</f>
        <v>119.85</v>
      </c>
      <c r="D127" s="2">
        <f>IFERROR(__xludf.DUMMYFUNCTION("""COMPUTED_VALUE"""),115.94)</f>
        <v>115.94</v>
      </c>
      <c r="E127" s="2">
        <f>IFERROR(__xludf.DUMMYFUNCTION("""COMPUTED_VALUE"""),119.38)</f>
        <v>119.38</v>
      </c>
      <c r="F127" s="2">
        <f>IFERROR(__xludf.DUMMYFUNCTION("""COMPUTED_VALUE"""),9.2635028E7)</f>
        <v>92635028</v>
      </c>
      <c r="G127" s="3">
        <f t="shared" si="1"/>
        <v>0.01729867916</v>
      </c>
    </row>
    <row r="128">
      <c r="A128" s="1">
        <f>IFERROR(__xludf.DUMMYFUNCTION("""COMPUTED_VALUE"""),42524.66666666667)</f>
        <v>42524.66667</v>
      </c>
      <c r="B128" s="2">
        <f>IFERROR(__xludf.DUMMYFUNCTION("""COMPUTED_VALUE"""),119.46)</f>
        <v>119.46</v>
      </c>
      <c r="C128" s="2">
        <f>IFERROR(__xludf.DUMMYFUNCTION("""COMPUTED_VALUE"""),120.1)</f>
        <v>120.1</v>
      </c>
      <c r="D128" s="2">
        <f>IFERROR(__xludf.DUMMYFUNCTION("""COMPUTED_VALUE"""),117.82)</f>
        <v>117.82</v>
      </c>
      <c r="E128" s="2">
        <f>IFERROR(__xludf.DUMMYFUNCTION("""COMPUTED_VALUE"""),118.47)</f>
        <v>118.47</v>
      </c>
      <c r="F128" s="2">
        <f>IFERROR(__xludf.DUMMYFUNCTION("""COMPUTED_VALUE"""),6.5940515E7)</f>
        <v>65940515</v>
      </c>
      <c r="G128" s="3">
        <f t="shared" si="1"/>
        <v>-0.007622717373</v>
      </c>
    </row>
    <row r="129">
      <c r="A129" s="1">
        <f>IFERROR(__xludf.DUMMYFUNCTION("""COMPUTED_VALUE"""),42531.66666666667)</f>
        <v>42531.66667</v>
      </c>
      <c r="B129" s="2">
        <f>IFERROR(__xludf.DUMMYFUNCTION("""COMPUTED_VALUE"""),118.62)</f>
        <v>118.62</v>
      </c>
      <c r="C129" s="2">
        <f>IFERROR(__xludf.DUMMYFUNCTION("""COMPUTED_VALUE"""),119.43)</f>
        <v>119.43</v>
      </c>
      <c r="D129" s="2">
        <f>IFERROR(__xludf.DUMMYFUNCTION("""COMPUTED_VALUE"""),116.26)</f>
        <v>116.26</v>
      </c>
      <c r="E129" s="2">
        <f>IFERROR(__xludf.DUMMYFUNCTION("""COMPUTED_VALUE"""),116.62)</f>
        <v>116.62</v>
      </c>
      <c r="F129" s="2">
        <f>IFERROR(__xludf.DUMMYFUNCTION("""COMPUTED_VALUE"""),7.6723361E7)</f>
        <v>76723361</v>
      </c>
      <c r="G129" s="3">
        <f t="shared" si="1"/>
        <v>-0.0156157677</v>
      </c>
    </row>
    <row r="130">
      <c r="A130" s="1">
        <f>IFERROR(__xludf.DUMMYFUNCTION("""COMPUTED_VALUE"""),42538.66666666667)</f>
        <v>42538.66667</v>
      </c>
      <c r="B130" s="2">
        <f>IFERROR(__xludf.DUMMYFUNCTION("""COMPUTED_VALUE"""),115.0)</f>
        <v>115</v>
      </c>
      <c r="C130" s="2">
        <f>IFERROR(__xludf.DUMMYFUNCTION("""COMPUTED_VALUE"""),115.48)</f>
        <v>115.48</v>
      </c>
      <c r="D130" s="2">
        <f>IFERROR(__xludf.DUMMYFUNCTION("""COMPUTED_VALUE"""),112.56)</f>
        <v>112.56</v>
      </c>
      <c r="E130" s="2">
        <f>IFERROR(__xludf.DUMMYFUNCTION("""COMPUTED_VALUE"""),113.02)</f>
        <v>113.02</v>
      </c>
      <c r="F130" s="2">
        <f>IFERROR(__xludf.DUMMYFUNCTION("""COMPUTED_VALUE"""),1.13036713E8)</f>
        <v>113036713</v>
      </c>
      <c r="G130" s="3">
        <f t="shared" si="1"/>
        <v>-0.03086949065</v>
      </c>
    </row>
    <row r="131">
      <c r="A131" s="1">
        <f>IFERROR(__xludf.DUMMYFUNCTION("""COMPUTED_VALUE"""),42545.66666666667)</f>
        <v>42545.66667</v>
      </c>
      <c r="B131" s="2">
        <f>IFERROR(__xludf.DUMMYFUNCTION("""COMPUTED_VALUE"""),113.77)</f>
        <v>113.77</v>
      </c>
      <c r="C131" s="2">
        <f>IFERROR(__xludf.DUMMYFUNCTION("""COMPUTED_VALUE"""),115.21)</f>
        <v>115.21</v>
      </c>
      <c r="D131" s="2">
        <f>IFERROR(__xludf.DUMMYFUNCTION("""COMPUTED_VALUE"""),111.0)</f>
        <v>111</v>
      </c>
      <c r="E131" s="2">
        <f>IFERROR(__xludf.DUMMYFUNCTION("""COMPUTED_VALUE"""),112.08)</f>
        <v>112.08</v>
      </c>
      <c r="F131" s="2">
        <f>IFERROR(__xludf.DUMMYFUNCTION("""COMPUTED_VALUE"""),1.11618013E8)</f>
        <v>111618013</v>
      </c>
      <c r="G131" s="3">
        <f t="shared" si="1"/>
        <v>-0.008317112016</v>
      </c>
    </row>
    <row r="132">
      <c r="A132" s="1">
        <f>IFERROR(__xludf.DUMMYFUNCTION("""COMPUTED_VALUE"""),42552.66666666667)</f>
        <v>42552.66667</v>
      </c>
      <c r="B132" s="2">
        <f>IFERROR(__xludf.DUMMYFUNCTION("""COMPUTED_VALUE"""),111.57)</f>
        <v>111.57</v>
      </c>
      <c r="C132" s="2">
        <f>IFERROR(__xludf.DUMMYFUNCTION("""COMPUTED_VALUE"""),115.18)</f>
        <v>115.18</v>
      </c>
      <c r="D132" s="2">
        <f>IFERROR(__xludf.DUMMYFUNCTION("""COMPUTED_VALUE"""),108.23)</f>
        <v>108.23</v>
      </c>
      <c r="E132" s="2">
        <f>IFERROR(__xludf.DUMMYFUNCTION("""COMPUTED_VALUE"""),114.19)</f>
        <v>114.19</v>
      </c>
      <c r="F132" s="2">
        <f>IFERROR(__xludf.DUMMYFUNCTION("""COMPUTED_VALUE"""),1.2236446E8)</f>
        <v>122364460</v>
      </c>
      <c r="G132" s="3">
        <f t="shared" si="1"/>
        <v>0.01882583869</v>
      </c>
    </row>
    <row r="133">
      <c r="A133" s="1">
        <f>IFERROR(__xludf.DUMMYFUNCTION("""COMPUTED_VALUE"""),42559.66666666667)</f>
        <v>42559.66667</v>
      </c>
      <c r="B133" s="2">
        <f>IFERROR(__xludf.DUMMYFUNCTION("""COMPUTED_VALUE"""),113.94)</f>
        <v>113.94</v>
      </c>
      <c r="C133" s="2">
        <f>IFERROR(__xludf.DUMMYFUNCTION("""COMPUTED_VALUE"""),117.5)</f>
        <v>117.5</v>
      </c>
      <c r="D133" s="2">
        <f>IFERROR(__xludf.DUMMYFUNCTION("""COMPUTED_VALUE"""),112.97)</f>
        <v>112.97</v>
      </c>
      <c r="E133" s="2">
        <f>IFERROR(__xludf.DUMMYFUNCTION("""COMPUTED_VALUE"""),117.24)</f>
        <v>117.24</v>
      </c>
      <c r="F133" s="2">
        <f>IFERROR(__xludf.DUMMYFUNCTION("""COMPUTED_VALUE"""),7.3317421E7)</f>
        <v>73317421</v>
      </c>
      <c r="G133" s="3">
        <f t="shared" si="1"/>
        <v>0.02670986952</v>
      </c>
    </row>
    <row r="134">
      <c r="A134" s="1">
        <f>IFERROR(__xludf.DUMMYFUNCTION("""COMPUTED_VALUE"""),42566.66666666667)</f>
        <v>42566.66667</v>
      </c>
      <c r="B134" s="2">
        <f>IFERROR(__xludf.DUMMYFUNCTION("""COMPUTED_VALUE"""),117.71)</f>
        <v>117.71</v>
      </c>
      <c r="C134" s="2">
        <f>IFERROR(__xludf.DUMMYFUNCTION("""COMPUTED_VALUE"""),118.72)</f>
        <v>118.72</v>
      </c>
      <c r="D134" s="2">
        <f>IFERROR(__xludf.DUMMYFUNCTION("""COMPUTED_VALUE"""),116.58)</f>
        <v>116.58</v>
      </c>
      <c r="E134" s="2">
        <f>IFERROR(__xludf.DUMMYFUNCTION("""COMPUTED_VALUE"""),116.86)</f>
        <v>116.86</v>
      </c>
      <c r="F134" s="2">
        <f>IFERROR(__xludf.DUMMYFUNCTION("""COMPUTED_VALUE"""),8.0362632E7)</f>
        <v>80362632</v>
      </c>
      <c r="G134" s="3">
        <f t="shared" si="1"/>
        <v>-0.003241214603</v>
      </c>
    </row>
    <row r="135">
      <c r="A135" s="1">
        <f>IFERROR(__xludf.DUMMYFUNCTION("""COMPUTED_VALUE"""),42573.66666666667)</f>
        <v>42573.66667</v>
      </c>
      <c r="B135" s="2">
        <f>IFERROR(__xludf.DUMMYFUNCTION("""COMPUTED_VALUE"""),117.32)</f>
        <v>117.32</v>
      </c>
      <c r="C135" s="2">
        <f>IFERROR(__xludf.DUMMYFUNCTION("""COMPUTED_VALUE"""),122.2)</f>
        <v>122.2</v>
      </c>
      <c r="D135" s="2">
        <f>IFERROR(__xludf.DUMMYFUNCTION("""COMPUTED_VALUE"""),116.89)</f>
        <v>116.89</v>
      </c>
      <c r="E135" s="2">
        <f>IFERROR(__xludf.DUMMYFUNCTION("""COMPUTED_VALUE"""),121.0)</f>
        <v>121</v>
      </c>
      <c r="F135" s="2">
        <f>IFERROR(__xludf.DUMMYFUNCTION("""COMPUTED_VALUE"""),9.8680184E7)</f>
        <v>98680184</v>
      </c>
      <c r="G135" s="3">
        <f t="shared" si="1"/>
        <v>0.03542700667</v>
      </c>
    </row>
    <row r="136">
      <c r="A136" s="1">
        <f>IFERROR(__xludf.DUMMYFUNCTION("""COMPUTED_VALUE"""),42580.66666666667)</f>
        <v>42580.66667</v>
      </c>
      <c r="B136" s="2">
        <f>IFERROR(__xludf.DUMMYFUNCTION("""COMPUTED_VALUE"""),121.39)</f>
        <v>121.39</v>
      </c>
      <c r="C136" s="2">
        <f>IFERROR(__xludf.DUMMYFUNCTION("""COMPUTED_VALUE"""),128.33)</f>
        <v>128.33</v>
      </c>
      <c r="D136" s="2">
        <f>IFERROR(__xludf.DUMMYFUNCTION("""COMPUTED_VALUE"""),117.78)</f>
        <v>117.78</v>
      </c>
      <c r="E136" s="2">
        <f>IFERROR(__xludf.DUMMYFUNCTION("""COMPUTED_VALUE"""),123.94)</f>
        <v>123.94</v>
      </c>
      <c r="F136" s="2">
        <f>IFERROR(__xludf.DUMMYFUNCTION("""COMPUTED_VALUE"""),2.02768213E8)</f>
        <v>202768213</v>
      </c>
      <c r="G136" s="3">
        <f t="shared" si="1"/>
        <v>0.02429752066</v>
      </c>
    </row>
    <row r="137">
      <c r="A137" s="1">
        <f>IFERROR(__xludf.DUMMYFUNCTION("""COMPUTED_VALUE"""),42587.66666666667)</f>
        <v>42587.66667</v>
      </c>
      <c r="B137" s="2">
        <f>IFERROR(__xludf.DUMMYFUNCTION("""COMPUTED_VALUE"""),123.85)</f>
        <v>123.85</v>
      </c>
      <c r="C137" s="2">
        <f>IFERROR(__xludf.DUMMYFUNCTION("""COMPUTED_VALUE"""),125.84)</f>
        <v>125.84</v>
      </c>
      <c r="D137" s="2">
        <f>IFERROR(__xludf.DUMMYFUNCTION("""COMPUTED_VALUE"""),122.07)</f>
        <v>122.07</v>
      </c>
      <c r="E137" s="2">
        <f>IFERROR(__xludf.DUMMYFUNCTION("""COMPUTED_VALUE"""),125.15)</f>
        <v>125.15</v>
      </c>
      <c r="F137" s="2">
        <f>IFERROR(__xludf.DUMMYFUNCTION("""COMPUTED_VALUE"""),1.08750605E8)</f>
        <v>108750605</v>
      </c>
      <c r="G137" s="3">
        <f t="shared" si="1"/>
        <v>0.009762788446</v>
      </c>
    </row>
    <row r="138">
      <c r="A138" s="1">
        <f>IFERROR(__xludf.DUMMYFUNCTION("""COMPUTED_VALUE"""),42594.66666666667)</f>
        <v>42594.66667</v>
      </c>
      <c r="B138" s="2">
        <f>IFERROR(__xludf.DUMMYFUNCTION("""COMPUTED_VALUE"""),125.25)</f>
        <v>125.25</v>
      </c>
      <c r="C138" s="2">
        <f>IFERROR(__xludf.DUMMYFUNCTION("""COMPUTED_VALUE"""),126.09)</f>
        <v>126.09</v>
      </c>
      <c r="D138" s="2">
        <f>IFERROR(__xludf.DUMMYFUNCTION("""COMPUTED_VALUE"""),124.18)</f>
        <v>124.18</v>
      </c>
      <c r="E138" s="2">
        <f>IFERROR(__xludf.DUMMYFUNCTION("""COMPUTED_VALUE"""),124.88)</f>
        <v>124.88</v>
      </c>
      <c r="F138" s="2">
        <f>IFERROR(__xludf.DUMMYFUNCTION("""COMPUTED_VALUE"""),6.9413518E7)</f>
        <v>69413518</v>
      </c>
      <c r="G138" s="3">
        <f t="shared" si="1"/>
        <v>-0.002157411107</v>
      </c>
    </row>
    <row r="139">
      <c r="A139" s="1">
        <f>IFERROR(__xludf.DUMMYFUNCTION("""COMPUTED_VALUE"""),42601.66666666667)</f>
        <v>42601.66667</v>
      </c>
      <c r="B139" s="2">
        <f>IFERROR(__xludf.DUMMYFUNCTION("""COMPUTED_VALUE"""),124.91)</f>
        <v>124.91</v>
      </c>
      <c r="C139" s="2">
        <f>IFERROR(__xludf.DUMMYFUNCTION("""COMPUTED_VALUE"""),124.92)</f>
        <v>124.92</v>
      </c>
      <c r="D139" s="2">
        <f>IFERROR(__xludf.DUMMYFUNCTION("""COMPUTED_VALUE"""),122.78)</f>
        <v>122.78</v>
      </c>
      <c r="E139" s="2">
        <f>IFERROR(__xludf.DUMMYFUNCTION("""COMPUTED_VALUE"""),123.56)</f>
        <v>123.56</v>
      </c>
      <c r="F139" s="2">
        <f>IFERROR(__xludf.DUMMYFUNCTION("""COMPUTED_VALUE"""),7.14008E7)</f>
        <v>71400800</v>
      </c>
      <c r="G139" s="3">
        <f t="shared" si="1"/>
        <v>-0.01057014734</v>
      </c>
    </row>
    <row r="140">
      <c r="A140" s="1">
        <f>IFERROR(__xludf.DUMMYFUNCTION("""COMPUTED_VALUE"""),42608.66666666667)</f>
        <v>42608.66667</v>
      </c>
      <c r="B140" s="2">
        <f>IFERROR(__xludf.DUMMYFUNCTION("""COMPUTED_VALUE"""),123.33)</f>
        <v>123.33</v>
      </c>
      <c r="C140" s="2">
        <f>IFERROR(__xludf.DUMMYFUNCTION("""COMPUTED_VALUE"""),125.19)</f>
        <v>125.19</v>
      </c>
      <c r="D140" s="2">
        <f>IFERROR(__xludf.DUMMYFUNCTION("""COMPUTED_VALUE"""),123.09)</f>
        <v>123.09</v>
      </c>
      <c r="E140" s="2">
        <f>IFERROR(__xludf.DUMMYFUNCTION("""COMPUTED_VALUE"""),124.96)</f>
        <v>124.96</v>
      </c>
      <c r="F140" s="2">
        <f>IFERROR(__xludf.DUMMYFUNCTION("""COMPUTED_VALUE"""),6.8175168E7)</f>
        <v>68175168</v>
      </c>
      <c r="G140" s="3">
        <f t="shared" si="1"/>
        <v>0.01133052768</v>
      </c>
    </row>
    <row r="141">
      <c r="A141" s="1">
        <f>IFERROR(__xludf.DUMMYFUNCTION("""COMPUTED_VALUE"""),42615.66666666667)</f>
        <v>42615.66667</v>
      </c>
      <c r="B141" s="2">
        <f>IFERROR(__xludf.DUMMYFUNCTION("""COMPUTED_VALUE"""),124.35)</f>
        <v>124.35</v>
      </c>
      <c r="C141" s="2">
        <f>IFERROR(__xludf.DUMMYFUNCTION("""COMPUTED_VALUE"""),126.86)</f>
        <v>126.86</v>
      </c>
      <c r="D141" s="2">
        <f>IFERROR(__xludf.DUMMYFUNCTION("""COMPUTED_VALUE"""),124.35)</f>
        <v>124.35</v>
      </c>
      <c r="E141" s="2">
        <f>IFERROR(__xludf.DUMMYFUNCTION("""COMPUTED_VALUE"""),126.51)</f>
        <v>126.51</v>
      </c>
      <c r="F141" s="2">
        <f>IFERROR(__xludf.DUMMYFUNCTION("""COMPUTED_VALUE"""),7.358572E7)</f>
        <v>73585720</v>
      </c>
      <c r="G141" s="3">
        <f t="shared" si="1"/>
        <v>0.01240396927</v>
      </c>
    </row>
    <row r="142">
      <c r="A142" s="1">
        <f>IFERROR(__xludf.DUMMYFUNCTION("""COMPUTED_VALUE"""),42622.66666666667)</f>
        <v>42622.66667</v>
      </c>
      <c r="B142" s="2">
        <f>IFERROR(__xludf.DUMMYFUNCTION("""COMPUTED_VALUE"""),126.67)</f>
        <v>126.67</v>
      </c>
      <c r="C142" s="2">
        <f>IFERROR(__xludf.DUMMYFUNCTION("""COMPUTED_VALUE"""),131.98)</f>
        <v>131.98</v>
      </c>
      <c r="D142" s="2">
        <f>IFERROR(__xludf.DUMMYFUNCTION("""COMPUTED_VALUE"""),126.47)</f>
        <v>126.47</v>
      </c>
      <c r="E142" s="2">
        <f>IFERROR(__xludf.DUMMYFUNCTION("""COMPUTED_VALUE"""),127.1)</f>
        <v>127.1</v>
      </c>
      <c r="F142" s="2">
        <f>IFERROR(__xludf.DUMMYFUNCTION("""COMPUTED_VALUE"""),9.7046477E7)</f>
        <v>97046477</v>
      </c>
      <c r="G142" s="3">
        <f t="shared" si="1"/>
        <v>0.004663662952</v>
      </c>
    </row>
    <row r="143">
      <c r="A143" s="1">
        <f>IFERROR(__xludf.DUMMYFUNCTION("""COMPUTED_VALUE"""),42629.66666666667)</f>
        <v>42629.66667</v>
      </c>
      <c r="B143" s="2">
        <f>IFERROR(__xludf.DUMMYFUNCTION("""COMPUTED_VALUE"""),125.96)</f>
        <v>125.96</v>
      </c>
      <c r="C143" s="2">
        <f>IFERROR(__xludf.DUMMYFUNCTION("""COMPUTED_VALUE"""),129.18)</f>
        <v>129.18</v>
      </c>
      <c r="D143" s="2">
        <f>IFERROR(__xludf.DUMMYFUNCTION("""COMPUTED_VALUE"""),125.75)</f>
        <v>125.75</v>
      </c>
      <c r="E143" s="2">
        <f>IFERROR(__xludf.DUMMYFUNCTION("""COMPUTED_VALUE"""),129.07)</f>
        <v>129.07</v>
      </c>
      <c r="F143" s="2">
        <f>IFERROR(__xludf.DUMMYFUNCTION("""COMPUTED_VALUE"""),9.4220304E7)</f>
        <v>94220304</v>
      </c>
      <c r="G143" s="3">
        <f t="shared" si="1"/>
        <v>0.01549960661</v>
      </c>
    </row>
    <row r="144">
      <c r="A144" s="1">
        <f>IFERROR(__xludf.DUMMYFUNCTION("""COMPUTED_VALUE"""),42636.66666666667)</f>
        <v>42636.66667</v>
      </c>
      <c r="B144" s="2">
        <f>IFERROR(__xludf.DUMMYFUNCTION("""COMPUTED_VALUE"""),129.91)</f>
        <v>129.91</v>
      </c>
      <c r="C144" s="2">
        <f>IFERROR(__xludf.DUMMYFUNCTION("""COMPUTED_VALUE"""),130.73)</f>
        <v>130.73</v>
      </c>
      <c r="D144" s="2">
        <f>IFERROR(__xludf.DUMMYFUNCTION("""COMPUTED_VALUE"""),127.3)</f>
        <v>127.3</v>
      </c>
      <c r="E144" s="2">
        <f>IFERROR(__xludf.DUMMYFUNCTION("""COMPUTED_VALUE"""),127.96)</f>
        <v>127.96</v>
      </c>
      <c r="F144" s="2">
        <f>IFERROR(__xludf.DUMMYFUNCTION("""COMPUTED_VALUE"""),8.3975511E7)</f>
        <v>83975511</v>
      </c>
      <c r="G144" s="3">
        <f t="shared" si="1"/>
        <v>-0.008599984505</v>
      </c>
    </row>
    <row r="145">
      <c r="A145" s="1">
        <f>IFERROR(__xludf.DUMMYFUNCTION("""COMPUTED_VALUE"""),42643.66666666667)</f>
        <v>42643.66667</v>
      </c>
      <c r="B145" s="2">
        <f>IFERROR(__xludf.DUMMYFUNCTION("""COMPUTED_VALUE"""),127.37)</f>
        <v>127.37</v>
      </c>
      <c r="C145" s="2">
        <f>IFERROR(__xludf.DUMMYFUNCTION("""COMPUTED_VALUE"""),129.47)</f>
        <v>129.47</v>
      </c>
      <c r="D145" s="2">
        <f>IFERROR(__xludf.DUMMYFUNCTION("""COMPUTED_VALUE"""),126.8)</f>
        <v>126.8</v>
      </c>
      <c r="E145" s="2">
        <f>IFERROR(__xludf.DUMMYFUNCTION("""COMPUTED_VALUE"""),128.27)</f>
        <v>128.27</v>
      </c>
      <c r="F145" s="2">
        <f>IFERROR(__xludf.DUMMYFUNCTION("""COMPUTED_VALUE"""),7.5684873E7)</f>
        <v>75684873</v>
      </c>
      <c r="G145" s="3">
        <f t="shared" si="1"/>
        <v>0.002422632073</v>
      </c>
    </row>
    <row r="146">
      <c r="A146" s="1">
        <f>IFERROR(__xludf.DUMMYFUNCTION("""COMPUTED_VALUE"""),42650.66666666667)</f>
        <v>42650.66667</v>
      </c>
      <c r="B146" s="2">
        <f>IFERROR(__xludf.DUMMYFUNCTION("""COMPUTED_VALUE"""),128.38)</f>
        <v>128.38</v>
      </c>
      <c r="C146" s="2">
        <f>IFERROR(__xludf.DUMMYFUNCTION("""COMPUTED_VALUE"""),129.28)</f>
        <v>129.28</v>
      </c>
      <c r="D146" s="2">
        <f>IFERROR(__xludf.DUMMYFUNCTION("""COMPUTED_VALUE"""),127.55)</f>
        <v>127.55</v>
      </c>
      <c r="E146" s="2">
        <f>IFERROR(__xludf.DUMMYFUNCTION("""COMPUTED_VALUE"""),128.99)</f>
        <v>128.99</v>
      </c>
      <c r="F146" s="2">
        <f>IFERROR(__xludf.DUMMYFUNCTION("""COMPUTED_VALUE"""),6.4338393E7)</f>
        <v>64338393</v>
      </c>
      <c r="G146" s="3">
        <f t="shared" si="1"/>
        <v>0.005613159741</v>
      </c>
    </row>
    <row r="147">
      <c r="A147" s="1">
        <f>IFERROR(__xludf.DUMMYFUNCTION("""COMPUTED_VALUE"""),42657.66666666667)</f>
        <v>42657.66667</v>
      </c>
      <c r="B147" s="2">
        <f>IFERROR(__xludf.DUMMYFUNCTION("""COMPUTED_VALUE"""),129.68)</f>
        <v>129.68</v>
      </c>
      <c r="C147" s="2">
        <f>IFERROR(__xludf.DUMMYFUNCTION("""COMPUTED_VALUE"""),130.7)</f>
        <v>130.7</v>
      </c>
      <c r="D147" s="2">
        <f>IFERROR(__xludf.DUMMYFUNCTION("""COMPUTED_VALUE"""),126.75)</f>
        <v>126.75</v>
      </c>
      <c r="E147" s="2">
        <f>IFERROR(__xludf.DUMMYFUNCTION("""COMPUTED_VALUE"""),127.88)</f>
        <v>127.88</v>
      </c>
      <c r="F147" s="2">
        <f>IFERROR(__xludf.DUMMYFUNCTION("""COMPUTED_VALUE"""),7.4234237E7)</f>
        <v>74234237</v>
      </c>
      <c r="G147" s="3">
        <f t="shared" si="1"/>
        <v>-0.008605318242</v>
      </c>
    </row>
    <row r="148">
      <c r="A148" s="1">
        <f>IFERROR(__xludf.DUMMYFUNCTION("""COMPUTED_VALUE"""),42664.66666666667)</f>
        <v>42664.66667</v>
      </c>
      <c r="B148" s="2">
        <f>IFERROR(__xludf.DUMMYFUNCTION("""COMPUTED_VALUE"""),128.2)</f>
        <v>128.2</v>
      </c>
      <c r="C148" s="2">
        <f>IFERROR(__xludf.DUMMYFUNCTION("""COMPUTED_VALUE"""),132.13)</f>
        <v>132.13</v>
      </c>
      <c r="D148" s="2">
        <f>IFERROR(__xludf.DUMMYFUNCTION("""COMPUTED_VALUE"""),127.32)</f>
        <v>127.32</v>
      </c>
      <c r="E148" s="2">
        <f>IFERROR(__xludf.DUMMYFUNCTION("""COMPUTED_VALUE"""),132.07)</f>
        <v>132.07</v>
      </c>
      <c r="F148" s="2">
        <f>IFERROR(__xludf.DUMMYFUNCTION("""COMPUTED_VALUE"""),7.3864266E7)</f>
        <v>73864266</v>
      </c>
      <c r="G148" s="3">
        <f t="shared" si="1"/>
        <v>0.03276509227</v>
      </c>
    </row>
    <row r="149">
      <c r="A149" s="1">
        <f>IFERROR(__xludf.DUMMYFUNCTION("""COMPUTED_VALUE"""),42671.66666666667)</f>
        <v>42671.66667</v>
      </c>
      <c r="B149" s="2">
        <f>IFERROR(__xludf.DUMMYFUNCTION("""COMPUTED_VALUE"""),132.72)</f>
        <v>132.72</v>
      </c>
      <c r="C149" s="2">
        <f>IFERROR(__xludf.DUMMYFUNCTION("""COMPUTED_VALUE"""),133.5)</f>
        <v>133.5</v>
      </c>
      <c r="D149" s="2">
        <f>IFERROR(__xludf.DUMMYFUNCTION("""COMPUTED_VALUE"""),129.27)</f>
        <v>129.27</v>
      </c>
      <c r="E149" s="2">
        <f>IFERROR(__xludf.DUMMYFUNCTION("""COMPUTED_VALUE"""),131.29)</f>
        <v>131.29</v>
      </c>
      <c r="F149" s="2">
        <f>IFERROR(__xludf.DUMMYFUNCTION("""COMPUTED_VALUE"""),8.5178685E7)</f>
        <v>85178685</v>
      </c>
      <c r="G149" s="3">
        <f t="shared" si="1"/>
        <v>-0.005905958961</v>
      </c>
    </row>
    <row r="150">
      <c r="A150" s="1">
        <f>IFERROR(__xludf.DUMMYFUNCTION("""COMPUTED_VALUE"""),42678.66666666667)</f>
        <v>42678.66667</v>
      </c>
      <c r="B150" s="2">
        <f>IFERROR(__xludf.DUMMYFUNCTION("""COMPUTED_VALUE"""),132.01)</f>
        <v>132.01</v>
      </c>
      <c r="C150" s="2">
        <f>IFERROR(__xludf.DUMMYFUNCTION("""COMPUTED_VALUE"""),132.12)</f>
        <v>132.12</v>
      </c>
      <c r="D150" s="2">
        <f>IFERROR(__xludf.DUMMYFUNCTION("""COMPUTED_VALUE"""),119.25)</f>
        <v>119.25</v>
      </c>
      <c r="E150" s="2">
        <f>IFERROR(__xludf.DUMMYFUNCTION("""COMPUTED_VALUE"""),120.75)</f>
        <v>120.75</v>
      </c>
      <c r="F150" s="2">
        <f>IFERROR(__xludf.DUMMYFUNCTION("""COMPUTED_VALUE"""),1.82248711E8)</f>
        <v>182248711</v>
      </c>
      <c r="G150" s="3">
        <f t="shared" si="1"/>
        <v>-0.08028029553</v>
      </c>
    </row>
    <row r="151">
      <c r="A151" s="1">
        <f>IFERROR(__xludf.DUMMYFUNCTION("""COMPUTED_VALUE"""),42685.66666666667)</f>
        <v>42685.66667</v>
      </c>
      <c r="B151" s="2">
        <f>IFERROR(__xludf.DUMMYFUNCTION("""COMPUTED_VALUE"""),122.83)</f>
        <v>122.83</v>
      </c>
      <c r="C151" s="2">
        <f>IFERROR(__xludf.DUMMYFUNCTION("""COMPUTED_VALUE"""),124.61)</f>
        <v>124.61</v>
      </c>
      <c r="D151" s="2">
        <f>IFERROR(__xludf.DUMMYFUNCTION("""COMPUTED_VALUE"""),115.27)</f>
        <v>115.27</v>
      </c>
      <c r="E151" s="2">
        <f>IFERROR(__xludf.DUMMYFUNCTION("""COMPUTED_VALUE"""),119.02)</f>
        <v>119.02</v>
      </c>
      <c r="F151" s="2">
        <f>IFERROR(__xludf.DUMMYFUNCTION("""COMPUTED_VALUE"""),1.75072509E8)</f>
        <v>175072509</v>
      </c>
      <c r="G151" s="3">
        <f t="shared" si="1"/>
        <v>-0.01432712215</v>
      </c>
    </row>
    <row r="152">
      <c r="A152" s="1">
        <f>IFERROR(__xludf.DUMMYFUNCTION("""COMPUTED_VALUE"""),42692.66666666667)</f>
        <v>42692.66667</v>
      </c>
      <c r="B152" s="2">
        <f>IFERROR(__xludf.DUMMYFUNCTION("""COMPUTED_VALUE"""),119.13)</f>
        <v>119.13</v>
      </c>
      <c r="C152" s="2">
        <f>IFERROR(__xludf.DUMMYFUNCTION("""COMPUTED_VALUE"""),119.13)</f>
        <v>119.13</v>
      </c>
      <c r="D152" s="2">
        <f>IFERROR(__xludf.DUMMYFUNCTION("""COMPUTED_VALUE"""),113.55)</f>
        <v>113.55</v>
      </c>
      <c r="E152" s="2">
        <f>IFERROR(__xludf.DUMMYFUNCTION("""COMPUTED_VALUE"""),117.02)</f>
        <v>117.02</v>
      </c>
      <c r="F152" s="2">
        <f>IFERROR(__xludf.DUMMYFUNCTION("""COMPUTED_VALUE"""),1.59933425E8)</f>
        <v>159933425</v>
      </c>
      <c r="G152" s="3">
        <f t="shared" si="1"/>
        <v>-0.0168038985</v>
      </c>
    </row>
    <row r="153">
      <c r="A153" s="1">
        <f>IFERROR(__xludf.DUMMYFUNCTION("""COMPUTED_VALUE"""),42699.66666666667)</f>
        <v>42699.66667</v>
      </c>
      <c r="B153" s="2">
        <f>IFERROR(__xludf.DUMMYFUNCTION("""COMPUTED_VALUE"""),118.2)</f>
        <v>118.2</v>
      </c>
      <c r="C153" s="2">
        <f>IFERROR(__xludf.DUMMYFUNCTION("""COMPUTED_VALUE"""),122.98)</f>
        <v>122.98</v>
      </c>
      <c r="D153" s="2">
        <f>IFERROR(__xludf.DUMMYFUNCTION("""COMPUTED_VALUE"""),117.8)</f>
        <v>117.8</v>
      </c>
      <c r="E153" s="2">
        <f>IFERROR(__xludf.DUMMYFUNCTION("""COMPUTED_VALUE"""),120.38)</f>
        <v>120.38</v>
      </c>
      <c r="F153" s="2">
        <f>IFERROR(__xludf.DUMMYFUNCTION("""COMPUTED_VALUE"""),8.583527E7)</f>
        <v>85835270</v>
      </c>
      <c r="G153" s="3">
        <f t="shared" si="1"/>
        <v>0.02871304051</v>
      </c>
    </row>
    <row r="154">
      <c r="A154" s="1">
        <f>IFERROR(__xludf.DUMMYFUNCTION("""COMPUTED_VALUE"""),42706.66666666667)</f>
        <v>42706.66667</v>
      </c>
      <c r="B154" s="2">
        <f>IFERROR(__xludf.DUMMYFUNCTION("""COMPUTED_VALUE"""),120.12)</f>
        <v>120.12</v>
      </c>
      <c r="C154" s="2">
        <f>IFERROR(__xludf.DUMMYFUNCTION("""COMPUTED_VALUE"""),122.1)</f>
        <v>122.1</v>
      </c>
      <c r="D154" s="2">
        <f>IFERROR(__xludf.DUMMYFUNCTION("""COMPUTED_VALUE"""),114.0)</f>
        <v>114</v>
      </c>
      <c r="E154" s="2">
        <f>IFERROR(__xludf.DUMMYFUNCTION("""COMPUTED_VALUE"""),115.4)</f>
        <v>115.4</v>
      </c>
      <c r="F154" s="2">
        <f>IFERROR(__xludf.DUMMYFUNCTION("""COMPUTED_VALUE"""),1.3552855E8)</f>
        <v>135528550</v>
      </c>
      <c r="G154" s="3">
        <f t="shared" si="1"/>
        <v>-0.04136899817</v>
      </c>
    </row>
    <row r="155">
      <c r="A155" s="1">
        <f>IFERROR(__xludf.DUMMYFUNCTION("""COMPUTED_VALUE"""),42713.66666666667)</f>
        <v>42713.66667</v>
      </c>
      <c r="B155" s="2">
        <f>IFERROR(__xludf.DUMMYFUNCTION("""COMPUTED_VALUE"""),115.95)</f>
        <v>115.95</v>
      </c>
      <c r="C155" s="2">
        <f>IFERROR(__xludf.DUMMYFUNCTION("""COMPUTED_VALUE"""),119.94)</f>
        <v>119.94</v>
      </c>
      <c r="D155" s="2">
        <f>IFERROR(__xludf.DUMMYFUNCTION("""COMPUTED_VALUE"""),115.07)</f>
        <v>115.07</v>
      </c>
      <c r="E155" s="2">
        <f>IFERROR(__xludf.DUMMYFUNCTION("""COMPUTED_VALUE"""),119.68)</f>
        <v>119.68</v>
      </c>
      <c r="F155" s="2">
        <f>IFERROR(__xludf.DUMMYFUNCTION("""COMPUTED_VALUE"""),1.0115388E8)</f>
        <v>101153880</v>
      </c>
      <c r="G155" s="3">
        <f t="shared" si="1"/>
        <v>0.03708838821</v>
      </c>
    </row>
    <row r="156">
      <c r="A156" s="1">
        <f>IFERROR(__xludf.DUMMYFUNCTION("""COMPUTED_VALUE"""),42720.66666666667)</f>
        <v>42720.66667</v>
      </c>
      <c r="B156" s="2">
        <f>IFERROR(__xludf.DUMMYFUNCTION("""COMPUTED_VALUE"""),119.22)</f>
        <v>119.22</v>
      </c>
      <c r="C156" s="2">
        <f>IFERROR(__xludf.DUMMYFUNCTION("""COMPUTED_VALUE"""),122.5)</f>
        <v>122.5</v>
      </c>
      <c r="D156" s="2">
        <f>IFERROR(__xludf.DUMMYFUNCTION("""COMPUTED_VALUE"""),117.61)</f>
        <v>117.61</v>
      </c>
      <c r="E156" s="2">
        <f>IFERROR(__xludf.DUMMYFUNCTION("""COMPUTED_VALUE"""),119.87)</f>
        <v>119.87</v>
      </c>
      <c r="F156" s="2">
        <f>IFERROR(__xludf.DUMMYFUNCTION("""COMPUTED_VALUE"""),1.18950517E8)</f>
        <v>118950517</v>
      </c>
      <c r="G156" s="3">
        <f t="shared" si="1"/>
        <v>0.001587566845</v>
      </c>
    </row>
    <row r="157">
      <c r="A157" s="1">
        <f>IFERROR(__xludf.DUMMYFUNCTION("""COMPUTED_VALUE"""),42727.66666666667)</f>
        <v>42727.66667</v>
      </c>
      <c r="B157" s="2">
        <f>IFERROR(__xludf.DUMMYFUNCTION("""COMPUTED_VALUE"""),119.85)</f>
        <v>119.85</v>
      </c>
      <c r="C157" s="2">
        <f>IFERROR(__xludf.DUMMYFUNCTION("""COMPUTED_VALUE"""),120.36)</f>
        <v>120.36</v>
      </c>
      <c r="D157" s="2">
        <f>IFERROR(__xludf.DUMMYFUNCTION("""COMPUTED_VALUE"""),116.3)</f>
        <v>116.3</v>
      </c>
      <c r="E157" s="2">
        <f>IFERROR(__xludf.DUMMYFUNCTION("""COMPUTED_VALUE"""),117.27)</f>
        <v>117.27</v>
      </c>
      <c r="F157" s="2">
        <f>IFERROR(__xludf.DUMMYFUNCTION("""COMPUTED_VALUE"""),6.7518766E7)</f>
        <v>67518766</v>
      </c>
      <c r="G157" s="3">
        <f t="shared" si="1"/>
        <v>-0.02169016434</v>
      </c>
    </row>
    <row r="158">
      <c r="A158" s="1">
        <f>IFERROR(__xludf.DUMMYFUNCTION("""COMPUTED_VALUE"""),42734.66666666667)</f>
        <v>42734.66667</v>
      </c>
      <c r="B158" s="2">
        <f>IFERROR(__xludf.DUMMYFUNCTION("""COMPUTED_VALUE"""),116.96)</f>
        <v>116.96</v>
      </c>
      <c r="C158" s="2">
        <f>IFERROR(__xludf.DUMMYFUNCTION("""COMPUTED_VALUE"""),118.68)</f>
        <v>118.68</v>
      </c>
      <c r="D158" s="2">
        <f>IFERROR(__xludf.DUMMYFUNCTION("""COMPUTED_VALUE"""),114.77)</f>
        <v>114.77</v>
      </c>
      <c r="E158" s="2">
        <f>IFERROR(__xludf.DUMMYFUNCTION("""COMPUTED_VALUE"""),115.05)</f>
        <v>115.05</v>
      </c>
      <c r="F158" s="2">
        <f>IFERROR(__xludf.DUMMYFUNCTION("""COMPUTED_VALUE"""),5.2757837E7)</f>
        <v>52757837</v>
      </c>
      <c r="G158" s="3">
        <f t="shared" si="1"/>
        <v>-0.01893067281</v>
      </c>
    </row>
    <row r="159">
      <c r="A159" s="1">
        <f>IFERROR(__xludf.DUMMYFUNCTION("""COMPUTED_VALUE"""),42741.66666666667)</f>
        <v>42741.66667</v>
      </c>
      <c r="B159" s="2">
        <f>IFERROR(__xludf.DUMMYFUNCTION("""COMPUTED_VALUE"""),116.03)</f>
        <v>116.03</v>
      </c>
      <c r="C159" s="2">
        <f>IFERROR(__xludf.DUMMYFUNCTION("""COMPUTED_VALUE"""),123.88)</f>
        <v>123.88</v>
      </c>
      <c r="D159" s="2">
        <f>IFERROR(__xludf.DUMMYFUNCTION("""COMPUTED_VALUE"""),115.51)</f>
        <v>115.51</v>
      </c>
      <c r="E159" s="2">
        <f>IFERROR(__xludf.DUMMYFUNCTION("""COMPUTED_VALUE"""),123.41)</f>
        <v>123.41</v>
      </c>
      <c r="F159" s="2">
        <f>IFERROR(__xludf.DUMMYFUNCTION("""COMPUTED_VALUE"""),8.8332257E7)</f>
        <v>88332257</v>
      </c>
      <c r="G159" s="3">
        <f t="shared" si="1"/>
        <v>0.0726640591</v>
      </c>
    </row>
    <row r="160">
      <c r="A160" s="1">
        <f>IFERROR(__xludf.DUMMYFUNCTION("""COMPUTED_VALUE"""),42748.66666666667)</f>
        <v>42748.66667</v>
      </c>
      <c r="B160" s="2">
        <f>IFERROR(__xludf.DUMMYFUNCTION("""COMPUTED_VALUE"""),123.55)</f>
        <v>123.55</v>
      </c>
      <c r="C160" s="2">
        <f>IFERROR(__xludf.DUMMYFUNCTION("""COMPUTED_VALUE"""),129.27)</f>
        <v>129.27</v>
      </c>
      <c r="D160" s="2">
        <f>IFERROR(__xludf.DUMMYFUNCTION("""COMPUTED_VALUE"""),123.04)</f>
        <v>123.04</v>
      </c>
      <c r="E160" s="2">
        <f>IFERROR(__xludf.DUMMYFUNCTION("""COMPUTED_VALUE"""),128.34)</f>
        <v>128.34</v>
      </c>
      <c r="F160" s="2">
        <f>IFERROR(__xludf.DUMMYFUNCTION("""COMPUTED_VALUE"""),1.02099712E8)</f>
        <v>102099712</v>
      </c>
      <c r="G160" s="3">
        <f t="shared" si="1"/>
        <v>0.03994814035</v>
      </c>
    </row>
    <row r="161">
      <c r="A161" s="1">
        <f>IFERROR(__xludf.DUMMYFUNCTION("""COMPUTED_VALUE"""),42755.66666666667)</f>
        <v>42755.66667</v>
      </c>
      <c r="B161" s="2">
        <f>IFERROR(__xludf.DUMMYFUNCTION("""COMPUTED_VALUE"""),128.04)</f>
        <v>128.04</v>
      </c>
      <c r="C161" s="2">
        <f>IFERROR(__xludf.DUMMYFUNCTION("""COMPUTED_VALUE"""),128.48)</f>
        <v>128.48</v>
      </c>
      <c r="D161" s="2">
        <f>IFERROR(__xludf.DUMMYFUNCTION("""COMPUTED_VALUE"""),126.78)</f>
        <v>126.78</v>
      </c>
      <c r="E161" s="2">
        <f>IFERROR(__xludf.DUMMYFUNCTION("""COMPUTED_VALUE"""),127.04)</f>
        <v>127.04</v>
      </c>
      <c r="F161" s="2">
        <f>IFERROR(__xludf.DUMMYFUNCTION("""COMPUTED_VALUE"""),5.9733E7)</f>
        <v>59733000</v>
      </c>
      <c r="G161" s="3">
        <f t="shared" si="1"/>
        <v>-0.01012934393</v>
      </c>
    </row>
    <row r="162">
      <c r="A162" s="1">
        <f>IFERROR(__xludf.DUMMYFUNCTION("""COMPUTED_VALUE"""),42762.66666666667)</f>
        <v>42762.66667</v>
      </c>
      <c r="B162" s="2">
        <f>IFERROR(__xludf.DUMMYFUNCTION("""COMPUTED_VALUE"""),127.31)</f>
        <v>127.31</v>
      </c>
      <c r="C162" s="2">
        <f>IFERROR(__xludf.DUMMYFUNCTION("""COMPUTED_VALUE"""),133.14)</f>
        <v>133.14</v>
      </c>
      <c r="D162" s="2">
        <f>IFERROR(__xludf.DUMMYFUNCTION("""COMPUTED_VALUE"""),126.95)</f>
        <v>126.95</v>
      </c>
      <c r="E162" s="2">
        <f>IFERROR(__xludf.DUMMYFUNCTION("""COMPUTED_VALUE"""),132.18)</f>
        <v>132.18</v>
      </c>
      <c r="F162" s="2">
        <f>IFERROR(__xludf.DUMMYFUNCTION("""COMPUTED_VALUE"""),9.0093256E7)</f>
        <v>90093256</v>
      </c>
      <c r="G162" s="3">
        <f t="shared" si="1"/>
        <v>0.04045969773</v>
      </c>
    </row>
    <row r="163">
      <c r="A163" s="1">
        <f>IFERROR(__xludf.DUMMYFUNCTION("""COMPUTED_VALUE"""),42769.66666666667)</f>
        <v>42769.66667</v>
      </c>
      <c r="B163" s="2">
        <f>IFERROR(__xludf.DUMMYFUNCTION("""COMPUTED_VALUE"""),131.58)</f>
        <v>131.58</v>
      </c>
      <c r="C163" s="2">
        <f>IFERROR(__xludf.DUMMYFUNCTION("""COMPUTED_VALUE"""),135.49)</f>
        <v>135.49</v>
      </c>
      <c r="D163" s="2">
        <f>IFERROR(__xludf.DUMMYFUNCTION("""COMPUTED_VALUE"""),129.52)</f>
        <v>129.52</v>
      </c>
      <c r="E163" s="2">
        <f>IFERROR(__xludf.DUMMYFUNCTION("""COMPUTED_VALUE"""),130.98)</f>
        <v>130.98</v>
      </c>
      <c r="F163" s="2">
        <f>IFERROR(__xludf.DUMMYFUNCTION("""COMPUTED_VALUE"""),1.68057691E8)</f>
        <v>168057691</v>
      </c>
      <c r="G163" s="3">
        <f t="shared" si="1"/>
        <v>-0.009078529278</v>
      </c>
    </row>
    <row r="164">
      <c r="A164" s="1">
        <f>IFERROR(__xludf.DUMMYFUNCTION("""COMPUTED_VALUE"""),42776.66666666667)</f>
        <v>42776.66667</v>
      </c>
      <c r="B164" s="2">
        <f>IFERROR(__xludf.DUMMYFUNCTION("""COMPUTED_VALUE"""),130.98)</f>
        <v>130.98</v>
      </c>
      <c r="C164" s="2">
        <f>IFERROR(__xludf.DUMMYFUNCTION("""COMPUTED_VALUE"""),134.94)</f>
        <v>134.94</v>
      </c>
      <c r="D164" s="2">
        <f>IFERROR(__xludf.DUMMYFUNCTION("""COMPUTED_VALUE"""),130.3)</f>
        <v>130.3</v>
      </c>
      <c r="E164" s="2">
        <f>IFERROR(__xludf.DUMMYFUNCTION("""COMPUTED_VALUE"""),134.19)</f>
        <v>134.19</v>
      </c>
      <c r="F164" s="2">
        <f>IFERROR(__xludf.DUMMYFUNCTION("""COMPUTED_VALUE"""),8.5578047E7)</f>
        <v>85578047</v>
      </c>
      <c r="G164" s="3">
        <f t="shared" si="1"/>
        <v>0.02450755841</v>
      </c>
    </row>
    <row r="165">
      <c r="A165" s="1">
        <f>IFERROR(__xludf.DUMMYFUNCTION("""COMPUTED_VALUE"""),42783.66666666667)</f>
        <v>42783.66667</v>
      </c>
      <c r="B165" s="2">
        <f>IFERROR(__xludf.DUMMYFUNCTION("""COMPUTED_VALUE"""),134.7)</f>
        <v>134.7</v>
      </c>
      <c r="C165" s="2">
        <f>IFERROR(__xludf.DUMMYFUNCTION("""COMPUTED_VALUE"""),134.7)</f>
        <v>134.7</v>
      </c>
      <c r="D165" s="2">
        <f>IFERROR(__xludf.DUMMYFUNCTION("""COMPUTED_VALUE"""),132.55)</f>
        <v>132.55</v>
      </c>
      <c r="E165" s="2">
        <f>IFERROR(__xludf.DUMMYFUNCTION("""COMPUTED_VALUE"""),133.53)</f>
        <v>133.53</v>
      </c>
      <c r="F165" s="2">
        <f>IFERROR(__xludf.DUMMYFUNCTION("""COMPUTED_VALUE"""),6.6225214E7)</f>
        <v>66225214</v>
      </c>
      <c r="G165" s="3">
        <f t="shared" si="1"/>
        <v>-0.004918399285</v>
      </c>
    </row>
    <row r="166">
      <c r="A166" s="1">
        <f>IFERROR(__xludf.DUMMYFUNCTION("""COMPUTED_VALUE"""),42790.66666666667)</f>
        <v>42790.66667</v>
      </c>
      <c r="B166" s="2">
        <f>IFERROR(__xludf.DUMMYFUNCTION("""COMPUTED_VALUE"""),133.5)</f>
        <v>133.5</v>
      </c>
      <c r="C166" s="2">
        <f>IFERROR(__xludf.DUMMYFUNCTION("""COMPUTED_VALUE"""),136.79)</f>
        <v>136.79</v>
      </c>
      <c r="D166" s="2">
        <f>IFERROR(__xludf.DUMMYFUNCTION("""COMPUTED_VALUE"""),132.9)</f>
        <v>132.9</v>
      </c>
      <c r="E166" s="2">
        <f>IFERROR(__xludf.DUMMYFUNCTION("""COMPUTED_VALUE"""),135.44)</f>
        <v>135.44</v>
      </c>
      <c r="F166" s="2">
        <f>IFERROR(__xludf.DUMMYFUNCTION("""COMPUTED_VALUE"""),7.3167492E7)</f>
        <v>73167492</v>
      </c>
      <c r="G166" s="3">
        <f t="shared" si="1"/>
        <v>0.01430390174</v>
      </c>
    </row>
    <row r="167">
      <c r="A167" s="1">
        <f>IFERROR(__xludf.DUMMYFUNCTION("""COMPUTED_VALUE"""),42797.66666666667)</f>
        <v>42797.66667</v>
      </c>
      <c r="B167" s="2">
        <f>IFERROR(__xludf.DUMMYFUNCTION("""COMPUTED_VALUE"""),135.26)</f>
        <v>135.26</v>
      </c>
      <c r="C167" s="2">
        <f>IFERROR(__xludf.DUMMYFUNCTION("""COMPUTED_VALUE"""),137.82)</f>
        <v>137.82</v>
      </c>
      <c r="D167" s="2">
        <f>IFERROR(__xludf.DUMMYFUNCTION("""COMPUTED_VALUE"""),134.75)</f>
        <v>134.75</v>
      </c>
      <c r="E167" s="2">
        <f>IFERROR(__xludf.DUMMYFUNCTION("""COMPUTED_VALUE"""),137.17)</f>
        <v>137.17</v>
      </c>
      <c r="F167" s="2">
        <f>IFERROR(__xludf.DUMMYFUNCTION("""COMPUTED_VALUE"""),7.0131137E7)</f>
        <v>70131137</v>
      </c>
      <c r="G167" s="3">
        <f t="shared" si="1"/>
        <v>0.0127731837</v>
      </c>
    </row>
    <row r="168">
      <c r="A168" s="1">
        <f>IFERROR(__xludf.DUMMYFUNCTION("""COMPUTED_VALUE"""),42804.66666666667)</f>
        <v>42804.66667</v>
      </c>
      <c r="B168" s="2">
        <f>IFERROR(__xludf.DUMMYFUNCTION("""COMPUTED_VALUE"""),136.88)</f>
        <v>136.88</v>
      </c>
      <c r="C168" s="2">
        <f>IFERROR(__xludf.DUMMYFUNCTION("""COMPUTED_VALUE"""),139.49)</f>
        <v>139.49</v>
      </c>
      <c r="D168" s="2">
        <f>IFERROR(__xludf.DUMMYFUNCTION("""COMPUTED_VALUE"""),136.51)</f>
        <v>136.51</v>
      </c>
      <c r="E168" s="2">
        <f>IFERROR(__xludf.DUMMYFUNCTION("""COMPUTED_VALUE"""),138.79)</f>
        <v>138.79</v>
      </c>
      <c r="F168" s="2">
        <f>IFERROR(__xludf.DUMMYFUNCTION("""COMPUTED_VALUE"""),6.8309197E7)</f>
        <v>68309197</v>
      </c>
      <c r="G168" s="3">
        <f t="shared" si="1"/>
        <v>0.01181016257</v>
      </c>
    </row>
    <row r="169">
      <c r="A169" s="1">
        <f>IFERROR(__xludf.DUMMYFUNCTION("""COMPUTED_VALUE"""),42811.66666666667)</f>
        <v>42811.66667</v>
      </c>
      <c r="B169" s="2">
        <f>IFERROR(__xludf.DUMMYFUNCTION("""COMPUTED_VALUE"""),139.14)</f>
        <v>139.14</v>
      </c>
      <c r="C169" s="2">
        <f>IFERROR(__xludf.DUMMYFUNCTION("""COMPUTED_VALUE"""),140.34)</f>
        <v>140.34</v>
      </c>
      <c r="D169" s="2">
        <f>IFERROR(__xludf.DUMMYFUNCTION("""COMPUTED_VALUE"""),138.49)</f>
        <v>138.49</v>
      </c>
      <c r="E169" s="2">
        <f>IFERROR(__xludf.DUMMYFUNCTION("""COMPUTED_VALUE"""),139.84)</f>
        <v>139.84</v>
      </c>
      <c r="F169" s="2">
        <f>IFERROR(__xludf.DUMMYFUNCTION("""COMPUTED_VALUE"""),7.7450054E7)</f>
        <v>77450054</v>
      </c>
      <c r="G169" s="3">
        <f t="shared" si="1"/>
        <v>0.007565386555</v>
      </c>
    </row>
    <row r="170">
      <c r="A170" s="1">
        <f>IFERROR(__xludf.DUMMYFUNCTION("""COMPUTED_VALUE"""),42818.66666666667)</f>
        <v>42818.66667</v>
      </c>
      <c r="B170" s="2">
        <f>IFERROR(__xludf.DUMMYFUNCTION("""COMPUTED_VALUE"""),139.71)</f>
        <v>139.71</v>
      </c>
      <c r="C170" s="2">
        <f>IFERROR(__xludf.DUMMYFUNCTION("""COMPUTED_VALUE"""),142.31)</f>
        <v>142.31</v>
      </c>
      <c r="D170" s="2">
        <f>IFERROR(__xludf.DUMMYFUNCTION("""COMPUTED_VALUE"""),137.6)</f>
        <v>137.6</v>
      </c>
      <c r="E170" s="2">
        <f>IFERROR(__xludf.DUMMYFUNCTION("""COMPUTED_VALUE"""),140.34)</f>
        <v>140.34</v>
      </c>
      <c r="F170" s="2">
        <f>IFERROR(__xludf.DUMMYFUNCTION("""COMPUTED_VALUE"""),8.8737188E7)</f>
        <v>88737188</v>
      </c>
      <c r="G170" s="3">
        <f t="shared" si="1"/>
        <v>0.003575514874</v>
      </c>
    </row>
    <row r="171">
      <c r="A171" s="1">
        <f>IFERROR(__xludf.DUMMYFUNCTION("""COMPUTED_VALUE"""),42825.66666666667)</f>
        <v>42825.66667</v>
      </c>
      <c r="B171" s="2">
        <f>IFERROR(__xludf.DUMMYFUNCTION("""COMPUTED_VALUE"""),139.05)</f>
        <v>139.05</v>
      </c>
      <c r="C171" s="2">
        <f>IFERROR(__xludf.DUMMYFUNCTION("""COMPUTED_VALUE"""),142.95)</f>
        <v>142.95</v>
      </c>
      <c r="D171" s="2">
        <f>IFERROR(__xludf.DUMMYFUNCTION("""COMPUTED_VALUE"""),138.77)</f>
        <v>138.77</v>
      </c>
      <c r="E171" s="2">
        <f>IFERROR(__xludf.DUMMYFUNCTION("""COMPUTED_VALUE"""),142.05)</f>
        <v>142.05</v>
      </c>
      <c r="F171" s="2">
        <f>IFERROR(__xludf.DUMMYFUNCTION("""COMPUTED_VALUE"""),6.7889816E7)</f>
        <v>67889816</v>
      </c>
      <c r="G171" s="3">
        <f t="shared" si="1"/>
        <v>0.01218469431</v>
      </c>
    </row>
    <row r="172">
      <c r="A172" s="1">
        <f>IFERROR(__xludf.DUMMYFUNCTION("""COMPUTED_VALUE"""),42832.66666666667)</f>
        <v>42832.66667</v>
      </c>
      <c r="B172" s="2">
        <f>IFERROR(__xludf.DUMMYFUNCTION("""COMPUTED_VALUE"""),141.93)</f>
        <v>141.93</v>
      </c>
      <c r="C172" s="2">
        <f>IFERROR(__xludf.DUMMYFUNCTION("""COMPUTED_VALUE"""),143.44)</f>
        <v>143.44</v>
      </c>
      <c r="D172" s="2">
        <f>IFERROR(__xludf.DUMMYFUNCTION("""COMPUTED_VALUE"""),140.24)</f>
        <v>140.24</v>
      </c>
      <c r="E172" s="2">
        <f>IFERROR(__xludf.DUMMYFUNCTION("""COMPUTED_VALUE"""),140.78)</f>
        <v>140.78</v>
      </c>
      <c r="F172" s="2">
        <f>IFERROR(__xludf.DUMMYFUNCTION("""COMPUTED_VALUE"""),7.0592385E7)</f>
        <v>70592385</v>
      </c>
      <c r="G172" s="3">
        <f t="shared" si="1"/>
        <v>-0.008940513904</v>
      </c>
    </row>
    <row r="173">
      <c r="A173" s="1">
        <f>IFERROR(__xludf.DUMMYFUNCTION("""COMPUTED_VALUE"""),42838.66666666667)</f>
        <v>42838.66667</v>
      </c>
      <c r="B173" s="2">
        <f>IFERROR(__xludf.DUMMYFUNCTION("""COMPUTED_VALUE"""),141.0)</f>
        <v>141</v>
      </c>
      <c r="C173" s="2">
        <f>IFERROR(__xludf.DUMMYFUNCTION("""COMPUTED_VALUE"""),141.43)</f>
        <v>141.43</v>
      </c>
      <c r="D173" s="2">
        <f>IFERROR(__xludf.DUMMYFUNCTION("""COMPUTED_VALUE"""),138.81)</f>
        <v>138.81</v>
      </c>
      <c r="E173" s="2">
        <f>IFERROR(__xludf.DUMMYFUNCTION("""COMPUTED_VALUE"""),139.39)</f>
        <v>139.39</v>
      </c>
      <c r="F173" s="2">
        <f>IFERROR(__xludf.DUMMYFUNCTION("""COMPUTED_VALUE"""),4.8255523E7)</f>
        <v>48255523</v>
      </c>
      <c r="G173" s="3">
        <f t="shared" si="1"/>
        <v>-0.009873561585</v>
      </c>
    </row>
    <row r="174">
      <c r="A174" s="1">
        <f>IFERROR(__xludf.DUMMYFUNCTION("""COMPUTED_VALUE"""),42846.66666666667)</f>
        <v>42846.66667</v>
      </c>
      <c r="B174" s="2">
        <f>IFERROR(__xludf.DUMMYFUNCTION("""COMPUTED_VALUE"""),139.76)</f>
        <v>139.76</v>
      </c>
      <c r="C174" s="2">
        <f>IFERROR(__xludf.DUMMYFUNCTION("""COMPUTED_VALUE"""),144.25)</f>
        <v>144.25</v>
      </c>
      <c r="D174" s="2">
        <f>IFERROR(__xludf.DUMMYFUNCTION("""COMPUTED_VALUE"""),139.75)</f>
        <v>139.75</v>
      </c>
      <c r="E174" s="2">
        <f>IFERROR(__xludf.DUMMYFUNCTION("""COMPUTED_VALUE"""),143.68)</f>
        <v>143.68</v>
      </c>
      <c r="F174" s="2">
        <f>IFERROR(__xludf.DUMMYFUNCTION("""COMPUTED_VALUE"""),7.0241246E7)</f>
        <v>70241246</v>
      </c>
      <c r="G174" s="3">
        <f t="shared" si="1"/>
        <v>0.03077695674</v>
      </c>
    </row>
    <row r="175">
      <c r="A175" s="1">
        <f>IFERROR(__xludf.DUMMYFUNCTION("""COMPUTED_VALUE"""),42853.66666666667)</f>
        <v>42853.66667</v>
      </c>
      <c r="B175" s="2">
        <f>IFERROR(__xludf.DUMMYFUNCTION("""COMPUTED_VALUE"""),144.96)</f>
        <v>144.96</v>
      </c>
      <c r="C175" s="2">
        <f>IFERROR(__xludf.DUMMYFUNCTION("""COMPUTED_VALUE"""),151.53)</f>
        <v>151.53</v>
      </c>
      <c r="D175" s="2">
        <f>IFERROR(__xludf.DUMMYFUNCTION("""COMPUTED_VALUE"""),144.34)</f>
        <v>144.34</v>
      </c>
      <c r="E175" s="2">
        <f>IFERROR(__xludf.DUMMYFUNCTION("""COMPUTED_VALUE"""),150.25)</f>
        <v>150.25</v>
      </c>
      <c r="F175" s="2">
        <f>IFERROR(__xludf.DUMMYFUNCTION("""COMPUTED_VALUE"""),8.6497017E7)</f>
        <v>86497017</v>
      </c>
      <c r="G175" s="3">
        <f t="shared" si="1"/>
        <v>0.0457266147</v>
      </c>
    </row>
    <row r="176">
      <c r="A176" s="1">
        <f>IFERROR(__xludf.DUMMYFUNCTION("""COMPUTED_VALUE"""),42860.66666666667)</f>
        <v>42860.66667</v>
      </c>
      <c r="B176" s="2">
        <f>IFERROR(__xludf.DUMMYFUNCTION("""COMPUTED_VALUE"""),151.74)</f>
        <v>151.74</v>
      </c>
      <c r="C176" s="2">
        <f>IFERROR(__xludf.DUMMYFUNCTION("""COMPUTED_VALUE"""),153.6)</f>
        <v>153.6</v>
      </c>
      <c r="D176" s="2">
        <f>IFERROR(__xludf.DUMMYFUNCTION("""COMPUTED_VALUE"""),148.72)</f>
        <v>148.72</v>
      </c>
      <c r="E176" s="2">
        <f>IFERROR(__xludf.DUMMYFUNCTION("""COMPUTED_VALUE"""),150.24)</f>
        <v>150.24</v>
      </c>
      <c r="F176" s="2">
        <f>IFERROR(__xludf.DUMMYFUNCTION("""COMPUTED_VALUE"""),1.30245167E8)</f>
        <v>130245167</v>
      </c>
      <c r="G176" s="3">
        <f t="shared" si="1"/>
        <v>-0.00006655574043</v>
      </c>
    </row>
    <row r="177">
      <c r="A177" s="1">
        <f>IFERROR(__xludf.DUMMYFUNCTION("""COMPUTED_VALUE"""),42867.66666666667)</f>
        <v>42867.66667</v>
      </c>
      <c r="B177" s="2">
        <f>IFERROR(__xludf.DUMMYFUNCTION("""COMPUTED_VALUE"""),150.71)</f>
        <v>150.71</v>
      </c>
      <c r="C177" s="2">
        <f>IFERROR(__xludf.DUMMYFUNCTION("""COMPUTED_VALUE"""),152.59)</f>
        <v>152.59</v>
      </c>
      <c r="D177" s="2">
        <f>IFERROR(__xludf.DUMMYFUNCTION("""COMPUTED_VALUE"""),148.86)</f>
        <v>148.86</v>
      </c>
      <c r="E177" s="2">
        <f>IFERROR(__xludf.DUMMYFUNCTION("""COMPUTED_VALUE"""),150.33)</f>
        <v>150.33</v>
      </c>
      <c r="F177" s="2">
        <f>IFERROR(__xludf.DUMMYFUNCTION("""COMPUTED_VALUE"""),6.680209E7)</f>
        <v>66802090</v>
      </c>
      <c r="G177" s="3">
        <f t="shared" si="1"/>
        <v>0.0005990415335</v>
      </c>
    </row>
    <row r="178">
      <c r="A178" s="1">
        <f>IFERROR(__xludf.DUMMYFUNCTION("""COMPUTED_VALUE"""),42874.66666666667)</f>
        <v>42874.66667</v>
      </c>
      <c r="B178" s="2">
        <f>IFERROR(__xludf.DUMMYFUNCTION("""COMPUTED_VALUE"""),150.17)</f>
        <v>150.17</v>
      </c>
      <c r="C178" s="2">
        <f>IFERROR(__xludf.DUMMYFUNCTION("""COMPUTED_VALUE"""),151.48)</f>
        <v>151.48</v>
      </c>
      <c r="D178" s="2">
        <f>IFERROR(__xludf.DUMMYFUNCTION("""COMPUTED_VALUE"""),144.42)</f>
        <v>144.42</v>
      </c>
      <c r="E178" s="2">
        <f>IFERROR(__xludf.DUMMYFUNCTION("""COMPUTED_VALUE"""),148.06)</f>
        <v>148.06</v>
      </c>
      <c r="F178" s="2">
        <f>IFERROR(__xludf.DUMMYFUNCTION("""COMPUTED_VALUE"""),9.7135002E7)</f>
        <v>97135002</v>
      </c>
      <c r="G178" s="3">
        <f t="shared" si="1"/>
        <v>-0.01510011308</v>
      </c>
    </row>
    <row r="179">
      <c r="A179" s="1">
        <f>IFERROR(__xludf.DUMMYFUNCTION("""COMPUTED_VALUE"""),42881.66666666667)</f>
        <v>42881.66667</v>
      </c>
      <c r="B179" s="2">
        <f>IFERROR(__xludf.DUMMYFUNCTION("""COMPUTED_VALUE"""),148.08)</f>
        <v>148.08</v>
      </c>
      <c r="C179" s="2">
        <f>IFERROR(__xludf.DUMMYFUNCTION("""COMPUTED_VALUE"""),152.59)</f>
        <v>152.59</v>
      </c>
      <c r="D179" s="2">
        <f>IFERROR(__xludf.DUMMYFUNCTION("""COMPUTED_VALUE"""),147.25)</f>
        <v>147.25</v>
      </c>
      <c r="E179" s="2">
        <f>IFERROR(__xludf.DUMMYFUNCTION("""COMPUTED_VALUE"""),152.13)</f>
        <v>152.13</v>
      </c>
      <c r="F179" s="2">
        <f>IFERROR(__xludf.DUMMYFUNCTION("""COMPUTED_VALUE"""),7.8232754E7)</f>
        <v>78232754</v>
      </c>
      <c r="G179" s="3">
        <f t="shared" si="1"/>
        <v>0.02748885587</v>
      </c>
    </row>
    <row r="180">
      <c r="A180" s="1">
        <f>IFERROR(__xludf.DUMMYFUNCTION("""COMPUTED_VALUE"""),42888.66666666667)</f>
        <v>42888.66667</v>
      </c>
      <c r="B180" s="2">
        <f>IFERROR(__xludf.DUMMYFUNCTION("""COMPUTED_VALUE"""),151.97)</f>
        <v>151.97</v>
      </c>
      <c r="C180" s="2">
        <f>IFERROR(__xludf.DUMMYFUNCTION("""COMPUTED_VALUE"""),153.63)</f>
        <v>153.63</v>
      </c>
      <c r="D180" s="2">
        <f>IFERROR(__xludf.DUMMYFUNCTION("""COMPUTED_VALUE"""),150.3)</f>
        <v>150.3</v>
      </c>
      <c r="E180" s="2">
        <f>IFERROR(__xludf.DUMMYFUNCTION("""COMPUTED_VALUE"""),153.61)</f>
        <v>153.61</v>
      </c>
      <c r="F180" s="2">
        <f>IFERROR(__xludf.DUMMYFUNCTION("""COMPUTED_VALUE"""),6.2634889E7)</f>
        <v>62634889</v>
      </c>
      <c r="G180" s="3">
        <f t="shared" si="1"/>
        <v>0.009728521659</v>
      </c>
    </row>
    <row r="181">
      <c r="A181" s="1">
        <f>IFERROR(__xludf.DUMMYFUNCTION("""COMPUTED_VALUE"""),42895.66666666667)</f>
        <v>42895.66667</v>
      </c>
      <c r="B181" s="2">
        <f>IFERROR(__xludf.DUMMYFUNCTION("""COMPUTED_VALUE"""),153.64)</f>
        <v>153.64</v>
      </c>
      <c r="C181" s="2">
        <f>IFERROR(__xludf.DUMMYFUNCTION("""COMPUTED_VALUE"""),155.59)</f>
        <v>155.59</v>
      </c>
      <c r="D181" s="2">
        <f>IFERROR(__xludf.DUMMYFUNCTION("""COMPUTED_VALUE"""),146.61)</f>
        <v>146.61</v>
      </c>
      <c r="E181" s="2">
        <f>IFERROR(__xludf.DUMMYFUNCTION("""COMPUTED_VALUE"""),149.6)</f>
        <v>149.6</v>
      </c>
      <c r="F181" s="2">
        <f>IFERROR(__xludf.DUMMYFUNCTION("""COMPUTED_VALUE"""),9.1421288E7)</f>
        <v>91421288</v>
      </c>
      <c r="G181" s="3">
        <f t="shared" si="1"/>
        <v>-0.02610507128</v>
      </c>
    </row>
    <row r="182">
      <c r="A182" s="1">
        <f>IFERROR(__xludf.DUMMYFUNCTION("""COMPUTED_VALUE"""),42902.66666666667)</f>
        <v>42902.66667</v>
      </c>
      <c r="B182" s="2">
        <f>IFERROR(__xludf.DUMMYFUNCTION("""COMPUTED_VALUE"""),148.17)</f>
        <v>148.17</v>
      </c>
      <c r="C182" s="2">
        <f>IFERROR(__xludf.DUMMYFUNCTION("""COMPUTED_VALUE"""),152.4)</f>
        <v>152.4</v>
      </c>
      <c r="D182" s="2">
        <f>IFERROR(__xludf.DUMMYFUNCTION("""COMPUTED_VALUE"""),144.56)</f>
        <v>144.56</v>
      </c>
      <c r="E182" s="2">
        <f>IFERROR(__xludf.DUMMYFUNCTION("""COMPUTED_VALUE"""),150.64)</f>
        <v>150.64</v>
      </c>
      <c r="F182" s="2">
        <f>IFERROR(__xludf.DUMMYFUNCTION("""COMPUTED_VALUE"""),1.16338858E8)</f>
        <v>116338858</v>
      </c>
      <c r="G182" s="3">
        <f t="shared" si="1"/>
        <v>0.006951871658</v>
      </c>
    </row>
    <row r="183">
      <c r="A183" s="1">
        <f>IFERROR(__xludf.DUMMYFUNCTION("""COMPUTED_VALUE"""),42909.66666666667)</f>
        <v>42909.66667</v>
      </c>
      <c r="B183" s="2">
        <f>IFERROR(__xludf.DUMMYFUNCTION("""COMPUTED_VALUE"""),151.71)</f>
        <v>151.71</v>
      </c>
      <c r="C183" s="2">
        <f>IFERROR(__xludf.DUMMYFUNCTION("""COMPUTED_VALUE"""),155.2)</f>
        <v>155.2</v>
      </c>
      <c r="D183" s="2">
        <f>IFERROR(__xludf.DUMMYFUNCTION("""COMPUTED_VALUE"""),151.71)</f>
        <v>151.71</v>
      </c>
      <c r="E183" s="2">
        <f>IFERROR(__xludf.DUMMYFUNCTION("""COMPUTED_VALUE"""),155.07)</f>
        <v>155.07</v>
      </c>
      <c r="F183" s="2">
        <f>IFERROR(__xludf.DUMMYFUNCTION("""COMPUTED_VALUE"""),7.9842661E7)</f>
        <v>79842661</v>
      </c>
      <c r="G183" s="3">
        <f t="shared" si="1"/>
        <v>0.0294078598</v>
      </c>
    </row>
    <row r="184">
      <c r="A184" s="1">
        <f>IFERROR(__xludf.DUMMYFUNCTION("""COMPUTED_VALUE"""),42916.66666666667)</f>
        <v>42916.66667</v>
      </c>
      <c r="B184" s="2">
        <f>IFERROR(__xludf.DUMMYFUNCTION("""COMPUTED_VALUE"""),156.25)</f>
        <v>156.25</v>
      </c>
      <c r="C184" s="2">
        <f>IFERROR(__xludf.DUMMYFUNCTION("""COMPUTED_VALUE"""),156.5)</f>
        <v>156.5</v>
      </c>
      <c r="D184" s="2">
        <f>IFERROR(__xludf.DUMMYFUNCTION("""COMPUTED_VALUE"""),148.92)</f>
        <v>148.92</v>
      </c>
      <c r="E184" s="2">
        <f>IFERROR(__xludf.DUMMYFUNCTION("""COMPUTED_VALUE"""),150.98)</f>
        <v>150.98</v>
      </c>
      <c r="F184" s="2">
        <f>IFERROR(__xludf.DUMMYFUNCTION("""COMPUTED_VALUE"""),9.5769025E7)</f>
        <v>95769025</v>
      </c>
      <c r="G184" s="3">
        <f t="shared" si="1"/>
        <v>-0.0263751854</v>
      </c>
    </row>
    <row r="185">
      <c r="A185" s="1">
        <f>IFERROR(__xludf.DUMMYFUNCTION("""COMPUTED_VALUE"""),42923.66666666667)</f>
        <v>42923.66667</v>
      </c>
      <c r="B185" s="2">
        <f>IFERROR(__xludf.DUMMYFUNCTION("""COMPUTED_VALUE"""),151.72)</f>
        <v>151.72</v>
      </c>
      <c r="C185" s="2">
        <f>IFERROR(__xludf.DUMMYFUNCTION("""COMPUTED_VALUE"""),152.15)</f>
        <v>152.15</v>
      </c>
      <c r="D185" s="2">
        <f>IFERROR(__xludf.DUMMYFUNCTION("""COMPUTED_VALUE"""),147.8)</f>
        <v>147.8</v>
      </c>
      <c r="E185" s="2">
        <f>IFERROR(__xludf.DUMMYFUNCTION("""COMPUTED_VALUE"""),151.44)</f>
        <v>151.44</v>
      </c>
      <c r="F185" s="2">
        <f>IFERROR(__xludf.DUMMYFUNCTION("""COMPUTED_VALUE"""),5.6764758E7)</f>
        <v>56764758</v>
      </c>
      <c r="G185" s="3">
        <f t="shared" si="1"/>
        <v>0.00304676116</v>
      </c>
    </row>
    <row r="186">
      <c r="A186" s="1">
        <f>IFERROR(__xludf.DUMMYFUNCTION("""COMPUTED_VALUE"""),42930.66666666667)</f>
        <v>42930.66667</v>
      </c>
      <c r="B186" s="2">
        <f>IFERROR(__xludf.DUMMYFUNCTION("""COMPUTED_VALUE"""),151.69)</f>
        <v>151.69</v>
      </c>
      <c r="C186" s="2">
        <f>IFERROR(__xludf.DUMMYFUNCTION("""COMPUTED_VALUE"""),160.32)</f>
        <v>160.32</v>
      </c>
      <c r="D186" s="2">
        <f>IFERROR(__xludf.DUMMYFUNCTION("""COMPUTED_VALUE"""),151.51)</f>
        <v>151.51</v>
      </c>
      <c r="E186" s="2">
        <f>IFERROR(__xludf.DUMMYFUNCTION("""COMPUTED_VALUE"""),159.97)</f>
        <v>159.97</v>
      </c>
      <c r="F186" s="2">
        <f>IFERROR(__xludf.DUMMYFUNCTION("""COMPUTED_VALUE"""),8.0086247E7)</f>
        <v>80086247</v>
      </c>
      <c r="G186" s="3">
        <f t="shared" si="1"/>
        <v>0.05632593767</v>
      </c>
    </row>
    <row r="187">
      <c r="A187" s="1">
        <f>IFERROR(__xludf.DUMMYFUNCTION("""COMPUTED_VALUE"""),42937.66666666667)</f>
        <v>42937.66667</v>
      </c>
      <c r="B187" s="2">
        <f>IFERROR(__xludf.DUMMYFUNCTION("""COMPUTED_VALUE"""),160.25)</f>
        <v>160.25</v>
      </c>
      <c r="C187" s="2">
        <f>IFERROR(__xludf.DUMMYFUNCTION("""COMPUTED_VALUE"""),165.7)</f>
        <v>165.7</v>
      </c>
      <c r="D187" s="2">
        <f>IFERROR(__xludf.DUMMYFUNCTION("""COMPUTED_VALUE"""),158.81)</f>
        <v>158.81</v>
      </c>
      <c r="E187" s="2">
        <f>IFERROR(__xludf.DUMMYFUNCTION("""COMPUTED_VALUE"""),164.43)</f>
        <v>164.43</v>
      </c>
      <c r="F187" s="2">
        <f>IFERROR(__xludf.DUMMYFUNCTION("""COMPUTED_VALUE"""),9.6122497E7)</f>
        <v>96122497</v>
      </c>
      <c r="G187" s="3">
        <f t="shared" si="1"/>
        <v>0.02788022754</v>
      </c>
    </row>
    <row r="188">
      <c r="A188" s="1">
        <f>IFERROR(__xludf.DUMMYFUNCTION("""COMPUTED_VALUE"""),42944.66666666667)</f>
        <v>42944.66667</v>
      </c>
      <c r="B188" s="2">
        <f>IFERROR(__xludf.DUMMYFUNCTION("""COMPUTED_VALUE"""),164.64)</f>
        <v>164.64</v>
      </c>
      <c r="C188" s="2">
        <f>IFERROR(__xludf.DUMMYFUNCTION("""COMPUTED_VALUE"""),175.49)</f>
        <v>175.49</v>
      </c>
      <c r="D188" s="2">
        <f>IFERROR(__xludf.DUMMYFUNCTION("""COMPUTED_VALUE"""),163.86)</f>
        <v>163.86</v>
      </c>
      <c r="E188" s="2">
        <f>IFERROR(__xludf.DUMMYFUNCTION("""COMPUTED_VALUE"""),172.45)</f>
        <v>172.45</v>
      </c>
      <c r="F188" s="2">
        <f>IFERROR(__xludf.DUMMYFUNCTION("""COMPUTED_VALUE"""),1.6145534E8)</f>
        <v>161455340</v>
      </c>
      <c r="G188" s="3">
        <f t="shared" si="1"/>
        <v>0.04877455452</v>
      </c>
    </row>
    <row r="189">
      <c r="A189" s="1">
        <f>IFERROR(__xludf.DUMMYFUNCTION("""COMPUTED_VALUE"""),42951.66666666667)</f>
        <v>42951.66667</v>
      </c>
      <c r="B189" s="2">
        <f>IFERROR(__xludf.DUMMYFUNCTION("""COMPUTED_VALUE"""),172.0)</f>
        <v>172</v>
      </c>
      <c r="C189" s="2">
        <f>IFERROR(__xludf.DUMMYFUNCTION("""COMPUTED_VALUE"""),172.72)</f>
        <v>172.72</v>
      </c>
      <c r="D189" s="2">
        <f>IFERROR(__xludf.DUMMYFUNCTION("""COMPUTED_VALUE"""),166.91)</f>
        <v>166.91</v>
      </c>
      <c r="E189" s="2">
        <f>IFERROR(__xludf.DUMMYFUNCTION("""COMPUTED_VALUE"""),169.62)</f>
        <v>169.62</v>
      </c>
      <c r="F189" s="2">
        <f>IFERROR(__xludf.DUMMYFUNCTION("""COMPUTED_VALUE"""),7.8869244E7)</f>
        <v>78869244</v>
      </c>
      <c r="G189" s="3">
        <f t="shared" si="1"/>
        <v>-0.01641055378</v>
      </c>
    </row>
    <row r="190">
      <c r="A190" s="1">
        <f>IFERROR(__xludf.DUMMYFUNCTION("""COMPUTED_VALUE"""),42958.66666666667)</f>
        <v>42958.66667</v>
      </c>
      <c r="B190" s="2">
        <f>IFERROR(__xludf.DUMMYFUNCTION("""COMPUTED_VALUE"""),169.95)</f>
        <v>169.95</v>
      </c>
      <c r="C190" s="2">
        <f>IFERROR(__xludf.DUMMYFUNCTION("""COMPUTED_VALUE"""),173.05)</f>
        <v>173.05</v>
      </c>
      <c r="D190" s="2">
        <f>IFERROR(__xludf.DUMMYFUNCTION("""COMPUTED_VALUE"""),166.85)</f>
        <v>166.85</v>
      </c>
      <c r="E190" s="2">
        <f>IFERROR(__xludf.DUMMYFUNCTION("""COMPUTED_VALUE"""),168.08)</f>
        <v>168.08</v>
      </c>
      <c r="F190" s="2">
        <f>IFERROR(__xludf.DUMMYFUNCTION("""COMPUTED_VALUE"""),7.2620251E7)</f>
        <v>72620251</v>
      </c>
      <c r="G190" s="3">
        <f t="shared" si="1"/>
        <v>-0.009079118029</v>
      </c>
    </row>
    <row r="191">
      <c r="A191" s="1">
        <f>IFERROR(__xludf.DUMMYFUNCTION("""COMPUTED_VALUE"""),42965.66666666667)</f>
        <v>42965.66667</v>
      </c>
      <c r="B191" s="2">
        <f>IFERROR(__xludf.DUMMYFUNCTION("""COMPUTED_VALUE"""),170.09)</f>
        <v>170.09</v>
      </c>
      <c r="C191" s="2">
        <f>IFERROR(__xludf.DUMMYFUNCTION("""COMPUTED_VALUE"""),171.5)</f>
        <v>171.5</v>
      </c>
      <c r="D191" s="2">
        <f>IFERROR(__xludf.DUMMYFUNCTION("""COMPUTED_VALUE"""),166.21)</f>
        <v>166.21</v>
      </c>
      <c r="E191" s="2">
        <f>IFERROR(__xludf.DUMMYFUNCTION("""COMPUTED_VALUE"""),167.41)</f>
        <v>167.41</v>
      </c>
      <c r="F191" s="2">
        <f>IFERROR(__xludf.DUMMYFUNCTION("""COMPUTED_VALUE"""),6.9772995E7)</f>
        <v>69772995</v>
      </c>
      <c r="G191" s="3">
        <f t="shared" si="1"/>
        <v>-0.003986197049</v>
      </c>
    </row>
    <row r="192">
      <c r="A192" s="1">
        <f>IFERROR(__xludf.DUMMYFUNCTION("""COMPUTED_VALUE"""),42972.66666666667)</f>
        <v>42972.66667</v>
      </c>
      <c r="B192" s="2">
        <f>IFERROR(__xludf.DUMMYFUNCTION("""COMPUTED_VALUE"""),167.16)</f>
        <v>167.16</v>
      </c>
      <c r="C192" s="2">
        <f>IFERROR(__xludf.DUMMYFUNCTION("""COMPUTED_VALUE"""),169.87)</f>
        <v>169.87</v>
      </c>
      <c r="D192" s="2">
        <f>IFERROR(__xludf.DUMMYFUNCTION("""COMPUTED_VALUE"""),165.82)</f>
        <v>165.82</v>
      </c>
      <c r="E192" s="2">
        <f>IFERROR(__xludf.DUMMYFUNCTION("""COMPUTED_VALUE"""),166.32)</f>
        <v>166.32</v>
      </c>
      <c r="F192" s="2">
        <f>IFERROR(__xludf.DUMMYFUNCTION("""COMPUTED_VALUE"""),5.9799833E7)</f>
        <v>59799833</v>
      </c>
      <c r="G192" s="3">
        <f t="shared" si="1"/>
        <v>-0.006510961113</v>
      </c>
    </row>
    <row r="193">
      <c r="A193" s="1">
        <f>IFERROR(__xludf.DUMMYFUNCTION("""COMPUTED_VALUE"""),42979.66666666667)</f>
        <v>42979.66667</v>
      </c>
      <c r="B193" s="2">
        <f>IFERROR(__xludf.DUMMYFUNCTION("""COMPUTED_VALUE"""),166.91)</f>
        <v>166.91</v>
      </c>
      <c r="C193" s="2">
        <f>IFERROR(__xludf.DUMMYFUNCTION("""COMPUTED_VALUE"""),172.92)</f>
        <v>172.92</v>
      </c>
      <c r="D193" s="2">
        <f>IFERROR(__xludf.DUMMYFUNCTION("""COMPUTED_VALUE"""),165.0)</f>
        <v>165</v>
      </c>
      <c r="E193" s="2">
        <f>IFERROR(__xludf.DUMMYFUNCTION("""COMPUTED_VALUE"""),172.02)</f>
        <v>172.02</v>
      </c>
      <c r="F193" s="2">
        <f>IFERROR(__xludf.DUMMYFUNCTION("""COMPUTED_VALUE"""),5.9717074E7)</f>
        <v>59717074</v>
      </c>
      <c r="G193" s="3">
        <f t="shared" si="1"/>
        <v>0.03427128427</v>
      </c>
    </row>
    <row r="194">
      <c r="A194" s="1">
        <f>IFERROR(__xludf.DUMMYFUNCTION("""COMPUTED_VALUE"""),42986.66666666667)</f>
        <v>42986.66667</v>
      </c>
      <c r="B194" s="2">
        <f>IFERROR(__xludf.DUMMYFUNCTION("""COMPUTED_VALUE"""),171.27)</f>
        <v>171.27</v>
      </c>
      <c r="C194" s="2">
        <f>IFERROR(__xludf.DUMMYFUNCTION("""COMPUTED_VALUE"""),173.49)</f>
        <v>173.49</v>
      </c>
      <c r="D194" s="2">
        <f>IFERROR(__xludf.DUMMYFUNCTION("""COMPUTED_VALUE"""),169.55)</f>
        <v>169.55</v>
      </c>
      <c r="E194" s="2">
        <f>IFERROR(__xludf.DUMMYFUNCTION("""COMPUTED_VALUE"""),170.95)</f>
        <v>170.95</v>
      </c>
      <c r="F194" s="2">
        <f>IFERROR(__xludf.DUMMYFUNCTION("""COMPUTED_VALUE"""),5.6175455E7)</f>
        <v>56175455</v>
      </c>
      <c r="G194" s="3">
        <f t="shared" si="1"/>
        <v>-0.006220206953</v>
      </c>
    </row>
    <row r="195">
      <c r="A195" s="1">
        <f>IFERROR(__xludf.DUMMYFUNCTION("""COMPUTED_VALUE"""),42993.66666666667)</f>
        <v>42993.66667</v>
      </c>
      <c r="B195" s="2">
        <f>IFERROR(__xludf.DUMMYFUNCTION("""COMPUTED_VALUE"""),172.4)</f>
        <v>172.4</v>
      </c>
      <c r="C195" s="2">
        <f>IFERROR(__xludf.DUMMYFUNCTION("""COMPUTED_VALUE"""),174.0)</f>
        <v>174</v>
      </c>
      <c r="D195" s="2">
        <f>IFERROR(__xludf.DUMMYFUNCTION("""COMPUTED_VALUE"""),170.26)</f>
        <v>170.26</v>
      </c>
      <c r="E195" s="2">
        <f>IFERROR(__xludf.DUMMYFUNCTION("""COMPUTED_VALUE"""),171.64)</f>
        <v>171.64</v>
      </c>
      <c r="F195" s="2">
        <f>IFERROR(__xludf.DUMMYFUNCTION("""COMPUTED_VALUE"""),6.3953856E7)</f>
        <v>63953856</v>
      </c>
      <c r="G195" s="3">
        <f t="shared" si="1"/>
        <v>0.004036267915</v>
      </c>
    </row>
    <row r="196">
      <c r="A196" s="1">
        <f>IFERROR(__xludf.DUMMYFUNCTION("""COMPUTED_VALUE"""),43000.66666666667)</f>
        <v>43000.66667</v>
      </c>
      <c r="B196" s="2">
        <f>IFERROR(__xludf.DUMMYFUNCTION("""COMPUTED_VALUE"""),171.99)</f>
        <v>171.99</v>
      </c>
      <c r="C196" s="2">
        <f>IFERROR(__xludf.DUMMYFUNCTION("""COMPUTED_VALUE"""),173.05)</f>
        <v>173.05</v>
      </c>
      <c r="D196" s="2">
        <f>IFERROR(__xludf.DUMMYFUNCTION("""COMPUTED_VALUE"""),169.22)</f>
        <v>169.22</v>
      </c>
      <c r="E196" s="2">
        <f>IFERROR(__xludf.DUMMYFUNCTION("""COMPUTED_VALUE"""),170.54)</f>
        <v>170.54</v>
      </c>
      <c r="F196" s="2">
        <f>IFERROR(__xludf.DUMMYFUNCTION("""COMPUTED_VALUE"""),6.1645283E7)</f>
        <v>61645283</v>
      </c>
      <c r="G196" s="3">
        <f t="shared" si="1"/>
        <v>-0.006408762526</v>
      </c>
    </row>
    <row r="197">
      <c r="A197" s="1">
        <f>IFERROR(__xludf.DUMMYFUNCTION("""COMPUTED_VALUE"""),43007.66666666667)</f>
        <v>43007.66667</v>
      </c>
      <c r="B197" s="2">
        <f>IFERROR(__xludf.DUMMYFUNCTION("""COMPUTED_VALUE"""),169.24)</f>
        <v>169.24</v>
      </c>
      <c r="C197" s="2">
        <f>IFERROR(__xludf.DUMMYFUNCTION("""COMPUTED_VALUE"""),171.66)</f>
        <v>171.66</v>
      </c>
      <c r="D197" s="2">
        <f>IFERROR(__xludf.DUMMYFUNCTION("""COMPUTED_VALUE"""),161.56)</f>
        <v>161.56</v>
      </c>
      <c r="E197" s="2">
        <f>IFERROR(__xludf.DUMMYFUNCTION("""COMPUTED_VALUE"""),170.87)</f>
        <v>170.87</v>
      </c>
      <c r="F197" s="2">
        <f>IFERROR(__xludf.DUMMYFUNCTION("""COMPUTED_VALUE"""),1.11376579E8)</f>
        <v>111376579</v>
      </c>
      <c r="G197" s="3">
        <f t="shared" si="1"/>
        <v>0.001935029905</v>
      </c>
    </row>
    <row r="198">
      <c r="A198" s="1">
        <f>IFERROR(__xludf.DUMMYFUNCTION("""COMPUTED_VALUE"""),43014.66666666667)</f>
        <v>43014.66667</v>
      </c>
      <c r="B198" s="2">
        <f>IFERROR(__xludf.DUMMYFUNCTION("""COMPUTED_VALUE"""),171.39)</f>
        <v>171.39</v>
      </c>
      <c r="C198" s="2">
        <f>IFERROR(__xludf.DUMMYFUNCTION("""COMPUTED_VALUE"""),172.37)</f>
        <v>172.37</v>
      </c>
      <c r="D198" s="2">
        <f>IFERROR(__xludf.DUMMYFUNCTION("""COMPUTED_VALUE"""),168.29)</f>
        <v>168.29</v>
      </c>
      <c r="E198" s="2">
        <f>IFERROR(__xludf.DUMMYFUNCTION("""COMPUTED_VALUE"""),172.23)</f>
        <v>172.23</v>
      </c>
      <c r="F198" s="2">
        <f>IFERROR(__xludf.DUMMYFUNCTION("""COMPUTED_VALUE"""),6.1415541E7)</f>
        <v>61415541</v>
      </c>
      <c r="G198" s="3">
        <f t="shared" si="1"/>
        <v>0.007959267279</v>
      </c>
    </row>
    <row r="199">
      <c r="A199" s="1">
        <f>IFERROR(__xludf.DUMMYFUNCTION("""COMPUTED_VALUE"""),43021.66666666667)</f>
        <v>43021.66667</v>
      </c>
      <c r="B199" s="2">
        <f>IFERROR(__xludf.DUMMYFUNCTION("""COMPUTED_VALUE"""),172.7)</f>
        <v>172.7</v>
      </c>
      <c r="C199" s="2">
        <f>IFERROR(__xludf.DUMMYFUNCTION("""COMPUTED_VALUE"""),174.88)</f>
        <v>174.88</v>
      </c>
      <c r="D199" s="2">
        <f>IFERROR(__xludf.DUMMYFUNCTION("""COMPUTED_VALUE"""),170.8)</f>
        <v>170.8</v>
      </c>
      <c r="E199" s="2">
        <f>IFERROR(__xludf.DUMMYFUNCTION("""COMPUTED_VALUE"""),173.74)</f>
        <v>173.74</v>
      </c>
      <c r="F199" s="2">
        <f>IFERROR(__xludf.DUMMYFUNCTION("""COMPUTED_VALUE"""),6.1204508E7)</f>
        <v>61204508</v>
      </c>
      <c r="G199" s="3">
        <f t="shared" si="1"/>
        <v>0.008767345991</v>
      </c>
    </row>
    <row r="200">
      <c r="A200" s="1">
        <f>IFERROR(__xludf.DUMMYFUNCTION("""COMPUTED_VALUE"""),43028.66666666667)</f>
        <v>43028.66667</v>
      </c>
      <c r="B200" s="2">
        <f>IFERROR(__xludf.DUMMYFUNCTION("""COMPUTED_VALUE"""),174.49)</f>
        <v>174.49</v>
      </c>
      <c r="C200" s="2">
        <f>IFERROR(__xludf.DUMMYFUNCTION("""COMPUTED_VALUE"""),176.74)</f>
        <v>176.74</v>
      </c>
      <c r="D200" s="2">
        <f>IFERROR(__xludf.DUMMYFUNCTION("""COMPUTED_VALUE"""),172.63)</f>
        <v>172.63</v>
      </c>
      <c r="E200" s="2">
        <f>IFERROR(__xludf.DUMMYFUNCTION("""COMPUTED_VALUE"""),174.98)</f>
        <v>174.98</v>
      </c>
      <c r="F200" s="2">
        <f>IFERROR(__xludf.DUMMYFUNCTION("""COMPUTED_VALUE"""),6.689177E7)</f>
        <v>66891770</v>
      </c>
      <c r="G200" s="3">
        <f t="shared" si="1"/>
        <v>0.007137101416</v>
      </c>
    </row>
    <row r="201">
      <c r="A201" s="1">
        <f>IFERROR(__xludf.DUMMYFUNCTION("""COMPUTED_VALUE"""),43035.66666666667)</f>
        <v>43035.66667</v>
      </c>
      <c r="B201" s="2">
        <f>IFERROR(__xludf.DUMMYFUNCTION("""COMPUTED_VALUE"""),175.2)</f>
        <v>175.2</v>
      </c>
      <c r="C201" s="2">
        <f>IFERROR(__xludf.DUMMYFUNCTION("""COMPUTED_VALUE"""),178.21)</f>
        <v>178.21</v>
      </c>
      <c r="D201" s="2">
        <f>IFERROR(__xludf.DUMMYFUNCTION("""COMPUTED_VALUE"""),168.89)</f>
        <v>168.89</v>
      </c>
      <c r="E201" s="2">
        <f>IFERROR(__xludf.DUMMYFUNCTION("""COMPUTED_VALUE"""),177.88)</f>
        <v>177.88</v>
      </c>
      <c r="F201" s="2">
        <f>IFERROR(__xludf.DUMMYFUNCTION("""COMPUTED_VALUE"""),8.410719E7)</f>
        <v>84107190</v>
      </c>
      <c r="G201" s="3">
        <f t="shared" si="1"/>
        <v>0.01657332267</v>
      </c>
    </row>
    <row r="202">
      <c r="A202" s="1">
        <f>IFERROR(__xludf.DUMMYFUNCTION("""COMPUTED_VALUE"""),43042.66666666667)</f>
        <v>43042.66667</v>
      </c>
      <c r="B202" s="2">
        <f>IFERROR(__xludf.DUMMYFUNCTION("""COMPUTED_VALUE"""),179.26)</f>
        <v>179.26</v>
      </c>
      <c r="C202" s="2">
        <f>IFERROR(__xludf.DUMMYFUNCTION("""COMPUTED_VALUE"""),182.9)</f>
        <v>182.9</v>
      </c>
      <c r="D202" s="2">
        <f>IFERROR(__xludf.DUMMYFUNCTION("""COMPUTED_VALUE"""),176.71)</f>
        <v>176.71</v>
      </c>
      <c r="E202" s="2">
        <f>IFERROR(__xludf.DUMMYFUNCTION("""COMPUTED_VALUE"""),178.92)</f>
        <v>178.92</v>
      </c>
      <c r="F202" s="2">
        <f>IFERROR(__xludf.DUMMYFUNCTION("""COMPUTED_VALUE"""),1.38797756E8)</f>
        <v>138797756</v>
      </c>
      <c r="G202" s="3">
        <f t="shared" si="1"/>
        <v>0.005846638183</v>
      </c>
    </row>
    <row r="203">
      <c r="A203" s="1">
        <f>IFERROR(__xludf.DUMMYFUNCTION("""COMPUTED_VALUE"""),43049.66666666667)</f>
        <v>43049.66667</v>
      </c>
      <c r="B203" s="2">
        <f>IFERROR(__xludf.DUMMYFUNCTION("""COMPUTED_VALUE"""),178.56)</f>
        <v>178.56</v>
      </c>
      <c r="C203" s="2">
        <f>IFERROR(__xludf.DUMMYFUNCTION("""COMPUTED_VALUE"""),180.75)</f>
        <v>180.75</v>
      </c>
      <c r="D203" s="2">
        <f>IFERROR(__xludf.DUMMYFUNCTION("""COMPUTED_VALUE"""),177.09)</f>
        <v>177.09</v>
      </c>
      <c r="E203" s="2">
        <f>IFERROR(__xludf.DUMMYFUNCTION("""COMPUTED_VALUE"""),178.46)</f>
        <v>178.46</v>
      </c>
      <c r="F203" s="2">
        <f>IFERROR(__xludf.DUMMYFUNCTION("""COMPUTED_VALUE"""),6.0415596E7)</f>
        <v>60415596</v>
      </c>
      <c r="G203" s="3">
        <f t="shared" si="1"/>
        <v>-0.002570981444</v>
      </c>
    </row>
    <row r="204">
      <c r="A204" s="1">
        <f>IFERROR(__xludf.DUMMYFUNCTION("""COMPUTED_VALUE"""),43056.66666666667)</f>
        <v>43056.66667</v>
      </c>
      <c r="B204" s="2">
        <f>IFERROR(__xludf.DUMMYFUNCTION("""COMPUTED_VALUE"""),177.5)</f>
        <v>177.5</v>
      </c>
      <c r="C204" s="2">
        <f>IFERROR(__xludf.DUMMYFUNCTION("""COMPUTED_VALUE"""),179.98)</f>
        <v>179.98</v>
      </c>
      <c r="D204" s="2">
        <f>IFERROR(__xludf.DUMMYFUNCTION("""COMPUTED_VALUE"""),176.4)</f>
        <v>176.4</v>
      </c>
      <c r="E204" s="2">
        <f>IFERROR(__xludf.DUMMYFUNCTION("""COMPUTED_VALUE"""),179.0)</f>
        <v>179</v>
      </c>
      <c r="F204" s="2">
        <f>IFERROR(__xludf.DUMMYFUNCTION("""COMPUTED_VALUE"""),5.7988544E7)</f>
        <v>57988544</v>
      </c>
      <c r="G204" s="3">
        <f t="shared" si="1"/>
        <v>0.003025888154</v>
      </c>
    </row>
    <row r="205">
      <c r="A205" s="1">
        <f>IFERROR(__xludf.DUMMYFUNCTION("""COMPUTED_VALUE"""),43063.54166666667)</f>
        <v>43063.54167</v>
      </c>
      <c r="B205" s="2">
        <f>IFERROR(__xludf.DUMMYFUNCTION("""COMPUTED_VALUE"""),178.87)</f>
        <v>178.87</v>
      </c>
      <c r="C205" s="2">
        <f>IFERROR(__xludf.DUMMYFUNCTION("""COMPUTED_VALUE"""),183.15)</f>
        <v>183.15</v>
      </c>
      <c r="D205" s="2">
        <f>IFERROR(__xludf.DUMMYFUNCTION("""COMPUTED_VALUE"""),178.1)</f>
        <v>178.1</v>
      </c>
      <c r="E205" s="2">
        <f>IFERROR(__xludf.DUMMYFUNCTION("""COMPUTED_VALUE"""),182.78)</f>
        <v>182.78</v>
      </c>
      <c r="F205" s="2">
        <f>IFERROR(__xludf.DUMMYFUNCTION("""COMPUTED_VALUE"""),4.4358993E7)</f>
        <v>44358993</v>
      </c>
      <c r="G205" s="3">
        <f t="shared" si="1"/>
        <v>0.02111731844</v>
      </c>
    </row>
    <row r="206">
      <c r="A206" s="1">
        <f>IFERROR(__xludf.DUMMYFUNCTION("""COMPUTED_VALUE"""),43070.66666666667)</f>
        <v>43070.66667</v>
      </c>
      <c r="B206" s="2">
        <f>IFERROR(__xludf.DUMMYFUNCTION("""COMPUTED_VALUE"""),182.56)</f>
        <v>182.56</v>
      </c>
      <c r="C206" s="2">
        <f>IFERROR(__xludf.DUMMYFUNCTION("""COMPUTED_VALUE"""),184.25)</f>
        <v>184.25</v>
      </c>
      <c r="D206" s="2">
        <f>IFERROR(__xludf.DUMMYFUNCTION("""COMPUTED_VALUE"""),172.34)</f>
        <v>172.34</v>
      </c>
      <c r="E206" s="2">
        <f>IFERROR(__xludf.DUMMYFUNCTION("""COMPUTED_VALUE"""),175.1)</f>
        <v>175.1</v>
      </c>
      <c r="F206" s="2">
        <f>IFERROR(__xludf.DUMMYFUNCTION("""COMPUTED_VALUE"""),1.14147798E8)</f>
        <v>114147798</v>
      </c>
      <c r="G206" s="3">
        <f t="shared" si="1"/>
        <v>-0.04201772623</v>
      </c>
    </row>
    <row r="207">
      <c r="A207" s="1">
        <f>IFERROR(__xludf.DUMMYFUNCTION("""COMPUTED_VALUE"""),43077.66666666667)</f>
        <v>43077.66667</v>
      </c>
      <c r="B207" s="2">
        <f>IFERROR(__xludf.DUMMYFUNCTION("""COMPUTED_VALUE"""),176.29)</f>
        <v>176.29</v>
      </c>
      <c r="C207" s="2">
        <f>IFERROR(__xludf.DUMMYFUNCTION("""COMPUTED_VALUE"""),182.28)</f>
        <v>182.28</v>
      </c>
      <c r="D207" s="2">
        <f>IFERROR(__xludf.DUMMYFUNCTION("""COMPUTED_VALUE"""),169.01)</f>
        <v>169.01</v>
      </c>
      <c r="E207" s="2">
        <f>IFERROR(__xludf.DUMMYFUNCTION("""COMPUTED_VALUE"""),179.0)</f>
        <v>179</v>
      </c>
      <c r="F207" s="2">
        <f>IFERROR(__xludf.DUMMYFUNCTION("""COMPUTED_VALUE"""),1.05188473E8)</f>
        <v>105188473</v>
      </c>
      <c r="G207" s="3">
        <f t="shared" si="1"/>
        <v>0.02227298686</v>
      </c>
    </row>
    <row r="208">
      <c r="A208" s="1">
        <f>IFERROR(__xludf.DUMMYFUNCTION("""COMPUTED_VALUE"""),43084.66666666667)</f>
        <v>43084.66667</v>
      </c>
      <c r="B208" s="2">
        <f>IFERROR(__xludf.DUMMYFUNCTION("""COMPUTED_VALUE"""),179.3)</f>
        <v>179.3</v>
      </c>
      <c r="C208" s="2">
        <f>IFERROR(__xludf.DUMMYFUNCTION("""COMPUTED_VALUE"""),180.49)</f>
        <v>180.49</v>
      </c>
      <c r="D208" s="2">
        <f>IFERROR(__xludf.DUMMYFUNCTION("""COMPUTED_VALUE"""),176.6)</f>
        <v>176.6</v>
      </c>
      <c r="E208" s="2">
        <f>IFERROR(__xludf.DUMMYFUNCTION("""COMPUTED_VALUE"""),180.18)</f>
        <v>180.18</v>
      </c>
      <c r="F208" s="2">
        <f>IFERROR(__xludf.DUMMYFUNCTION("""COMPUTED_VALUE"""),8.6692491E7)</f>
        <v>86692491</v>
      </c>
      <c r="G208" s="3">
        <f t="shared" si="1"/>
        <v>0.006592178771</v>
      </c>
    </row>
    <row r="209">
      <c r="A209" s="1">
        <f>IFERROR(__xludf.DUMMYFUNCTION("""COMPUTED_VALUE"""),43091.66666666667)</f>
        <v>43091.66667</v>
      </c>
      <c r="B209" s="2">
        <f>IFERROR(__xludf.DUMMYFUNCTION("""COMPUTED_VALUE"""),181.01)</f>
        <v>181.01</v>
      </c>
      <c r="C209" s="2">
        <f>IFERROR(__xludf.DUMMYFUNCTION("""COMPUTED_VALUE"""),181.3)</f>
        <v>181.3</v>
      </c>
      <c r="D209" s="2">
        <f>IFERROR(__xludf.DUMMYFUNCTION("""COMPUTED_VALUE"""),176.23)</f>
        <v>176.23</v>
      </c>
      <c r="E209" s="2">
        <f>IFERROR(__xludf.DUMMYFUNCTION("""COMPUTED_VALUE"""),177.2)</f>
        <v>177.2</v>
      </c>
      <c r="F209" s="2">
        <f>IFERROR(__xludf.DUMMYFUNCTION("""COMPUTED_VALUE"""),6.4156606E7)</f>
        <v>64156606</v>
      </c>
      <c r="G209" s="3">
        <f t="shared" si="1"/>
        <v>-0.01653901654</v>
      </c>
    </row>
    <row r="210">
      <c r="A210" s="1">
        <f>IFERROR(__xludf.DUMMYFUNCTION("""COMPUTED_VALUE"""),43098.66666666667)</f>
        <v>43098.66667</v>
      </c>
      <c r="B210" s="2">
        <f>IFERROR(__xludf.DUMMYFUNCTION("""COMPUTED_VALUE"""),176.63)</f>
        <v>176.63</v>
      </c>
      <c r="C210" s="2">
        <f>IFERROR(__xludf.DUMMYFUNCTION("""COMPUTED_VALUE"""),178.94)</f>
        <v>178.94</v>
      </c>
      <c r="D210" s="2">
        <f>IFERROR(__xludf.DUMMYFUNCTION("""COMPUTED_VALUE"""),174.67)</f>
        <v>174.67</v>
      </c>
      <c r="E210" s="2">
        <f>IFERROR(__xludf.DUMMYFUNCTION("""COMPUTED_VALUE"""),176.46)</f>
        <v>176.46</v>
      </c>
      <c r="F210" s="2">
        <f>IFERROR(__xludf.DUMMYFUNCTION("""COMPUTED_VALUE"""),4.0875573E7)</f>
        <v>40875573</v>
      </c>
      <c r="G210" s="3">
        <f t="shared" si="1"/>
        <v>-0.004176072235</v>
      </c>
    </row>
    <row r="211">
      <c r="A211" s="1">
        <f>IFERROR(__xludf.DUMMYFUNCTION("""COMPUTED_VALUE"""),43105.66666666667)</f>
        <v>43105.66667</v>
      </c>
      <c r="B211" s="2">
        <f>IFERROR(__xludf.DUMMYFUNCTION("""COMPUTED_VALUE"""),177.68)</f>
        <v>177.68</v>
      </c>
      <c r="C211" s="2">
        <f>IFERROR(__xludf.DUMMYFUNCTION("""COMPUTED_VALUE"""),186.9)</f>
        <v>186.9</v>
      </c>
      <c r="D211" s="2">
        <f>IFERROR(__xludf.DUMMYFUNCTION("""COMPUTED_VALUE"""),177.55)</f>
        <v>177.55</v>
      </c>
      <c r="E211" s="2">
        <f>IFERROR(__xludf.DUMMYFUNCTION("""COMPUTED_VALUE"""),186.85)</f>
        <v>186.85</v>
      </c>
      <c r="F211" s="2">
        <f>IFERROR(__xludf.DUMMYFUNCTION("""COMPUTED_VALUE"""),6.2493897E7)</f>
        <v>62493897</v>
      </c>
      <c r="G211" s="3">
        <f t="shared" si="1"/>
        <v>0.05888019948</v>
      </c>
    </row>
    <row r="212">
      <c r="A212" s="1">
        <f>IFERROR(__xludf.DUMMYFUNCTION("""COMPUTED_VALUE"""),43112.66666666667)</f>
        <v>43112.66667</v>
      </c>
      <c r="B212" s="2">
        <f>IFERROR(__xludf.DUMMYFUNCTION("""COMPUTED_VALUE"""),187.2)</f>
        <v>187.2</v>
      </c>
      <c r="C212" s="2">
        <f>IFERROR(__xludf.DUMMYFUNCTION("""COMPUTED_VALUE"""),188.9)</f>
        <v>188.9</v>
      </c>
      <c r="D212" s="2">
        <f>IFERROR(__xludf.DUMMYFUNCTION("""COMPUTED_VALUE"""),177.4)</f>
        <v>177.4</v>
      </c>
      <c r="E212" s="2">
        <f>IFERROR(__xludf.DUMMYFUNCTION("""COMPUTED_VALUE"""),179.37)</f>
        <v>179.37</v>
      </c>
      <c r="F212" s="2">
        <f>IFERROR(__xludf.DUMMYFUNCTION("""COMPUTED_VALUE"""),1.28057563E8)</f>
        <v>128057563</v>
      </c>
      <c r="G212" s="3">
        <f t="shared" si="1"/>
        <v>-0.04003211132</v>
      </c>
    </row>
    <row r="213">
      <c r="A213" s="1">
        <f>IFERROR(__xludf.DUMMYFUNCTION("""COMPUTED_VALUE"""),43119.66666666667)</f>
        <v>43119.66667</v>
      </c>
      <c r="B213" s="2">
        <f>IFERROR(__xludf.DUMMYFUNCTION("""COMPUTED_VALUE"""),181.5)</f>
        <v>181.5</v>
      </c>
      <c r="C213" s="2">
        <f>IFERROR(__xludf.DUMMYFUNCTION("""COMPUTED_VALUE"""),182.37)</f>
        <v>182.37</v>
      </c>
      <c r="D213" s="2">
        <f>IFERROR(__xludf.DUMMYFUNCTION("""COMPUTED_VALUE"""),175.8)</f>
        <v>175.8</v>
      </c>
      <c r="E213" s="2">
        <f>IFERROR(__xludf.DUMMYFUNCTION("""COMPUTED_VALUE"""),181.29)</f>
        <v>181.29</v>
      </c>
      <c r="F213" s="2">
        <f>IFERROR(__xludf.DUMMYFUNCTION("""COMPUTED_VALUE"""),1.14307659E8)</f>
        <v>114307659</v>
      </c>
      <c r="G213" s="3">
        <f t="shared" si="1"/>
        <v>0.01070413113</v>
      </c>
    </row>
    <row r="214">
      <c r="A214" s="1">
        <f>IFERROR(__xludf.DUMMYFUNCTION("""COMPUTED_VALUE"""),43126.66666666667)</f>
        <v>43126.66667</v>
      </c>
      <c r="B214" s="2">
        <f>IFERROR(__xludf.DUMMYFUNCTION("""COMPUTED_VALUE"""),180.8)</f>
        <v>180.8</v>
      </c>
      <c r="C214" s="2">
        <f>IFERROR(__xludf.DUMMYFUNCTION("""COMPUTED_VALUE"""),190.66)</f>
        <v>190.66</v>
      </c>
      <c r="D214" s="2">
        <f>IFERROR(__xludf.DUMMYFUNCTION("""COMPUTED_VALUE"""),180.41)</f>
        <v>180.41</v>
      </c>
      <c r="E214" s="2">
        <f>IFERROR(__xludf.DUMMYFUNCTION("""COMPUTED_VALUE"""),190.0)</f>
        <v>190</v>
      </c>
      <c r="F214" s="2">
        <f>IFERROR(__xludf.DUMMYFUNCTION("""COMPUTED_VALUE"""),1.06209745E8)</f>
        <v>106209745</v>
      </c>
      <c r="G214" s="3">
        <f t="shared" si="1"/>
        <v>0.04804456947</v>
      </c>
    </row>
    <row r="215">
      <c r="A215" s="1">
        <f>IFERROR(__xludf.DUMMYFUNCTION("""COMPUTED_VALUE"""),43133.66666666667)</f>
        <v>43133.66667</v>
      </c>
      <c r="B215" s="2">
        <f>IFERROR(__xludf.DUMMYFUNCTION("""COMPUTED_VALUE"""),188.75)</f>
        <v>188.75</v>
      </c>
      <c r="C215" s="2">
        <f>IFERROR(__xludf.DUMMYFUNCTION("""COMPUTED_VALUE"""),195.32)</f>
        <v>195.32</v>
      </c>
      <c r="D215" s="2">
        <f>IFERROR(__xludf.DUMMYFUNCTION("""COMPUTED_VALUE"""),181.84)</f>
        <v>181.84</v>
      </c>
      <c r="E215" s="2">
        <f>IFERROR(__xludf.DUMMYFUNCTION("""COMPUTED_VALUE"""),190.28)</f>
        <v>190.28</v>
      </c>
      <c r="F215" s="2">
        <f>IFERROR(__xludf.DUMMYFUNCTION("""COMPUTED_VALUE"""),1.65475649E8)</f>
        <v>165475649</v>
      </c>
      <c r="G215" s="3">
        <f t="shared" si="1"/>
        <v>0.001473684211</v>
      </c>
    </row>
    <row r="216">
      <c r="A216" s="1">
        <f>IFERROR(__xludf.DUMMYFUNCTION("""COMPUTED_VALUE"""),43140.66666666667)</f>
        <v>43140.66667</v>
      </c>
      <c r="B216" s="2">
        <f>IFERROR(__xludf.DUMMYFUNCTION("""COMPUTED_VALUE"""),186.93)</f>
        <v>186.93</v>
      </c>
      <c r="C216" s="2">
        <f>IFERROR(__xludf.DUMMYFUNCTION("""COMPUTED_VALUE"""),190.61)</f>
        <v>190.61</v>
      </c>
      <c r="D216" s="2">
        <f>IFERROR(__xludf.DUMMYFUNCTION("""COMPUTED_VALUE"""),167.18)</f>
        <v>167.18</v>
      </c>
      <c r="E216" s="2">
        <f>IFERROR(__xludf.DUMMYFUNCTION("""COMPUTED_VALUE"""),176.11)</f>
        <v>176.11</v>
      </c>
      <c r="F216" s="2">
        <f>IFERROR(__xludf.DUMMYFUNCTION("""COMPUTED_VALUE"""),1.76854544E8)</f>
        <v>176854544</v>
      </c>
      <c r="G216" s="3">
        <f t="shared" si="1"/>
        <v>-0.07446920328</v>
      </c>
    </row>
    <row r="217">
      <c r="A217" s="1">
        <f>IFERROR(__xludf.DUMMYFUNCTION("""COMPUTED_VALUE"""),43147.66666666667)</f>
        <v>43147.66667</v>
      </c>
      <c r="B217" s="2">
        <f>IFERROR(__xludf.DUMMYFUNCTION("""COMPUTED_VALUE"""),177.06)</f>
        <v>177.06</v>
      </c>
      <c r="C217" s="2">
        <f>IFERROR(__xludf.DUMMYFUNCTION("""COMPUTED_VALUE"""),180.5)</f>
        <v>180.5</v>
      </c>
      <c r="D217" s="2">
        <f>IFERROR(__xludf.DUMMYFUNCTION("""COMPUTED_VALUE"""),171.84)</f>
        <v>171.84</v>
      </c>
      <c r="E217" s="2">
        <f>IFERROR(__xludf.DUMMYFUNCTION("""COMPUTED_VALUE"""),177.36)</f>
        <v>177.36</v>
      </c>
      <c r="F217" s="2">
        <f>IFERROR(__xludf.DUMMYFUNCTION("""COMPUTED_VALUE"""),1.24768917E8)</f>
        <v>124768917</v>
      </c>
      <c r="G217" s="3">
        <f t="shared" si="1"/>
        <v>0.007097836579</v>
      </c>
    </row>
    <row r="218">
      <c r="A218" s="1">
        <f>IFERROR(__xludf.DUMMYFUNCTION("""COMPUTED_VALUE"""),43154.66666666667)</f>
        <v>43154.66667</v>
      </c>
      <c r="B218" s="2">
        <f>IFERROR(__xludf.DUMMYFUNCTION("""COMPUTED_VALUE"""),175.77)</f>
        <v>175.77</v>
      </c>
      <c r="C218" s="2">
        <f>IFERROR(__xludf.DUMMYFUNCTION("""COMPUTED_VALUE"""),183.39)</f>
        <v>183.39</v>
      </c>
      <c r="D218" s="2">
        <f>IFERROR(__xludf.DUMMYFUNCTION("""COMPUTED_VALUE"""),175.11)</f>
        <v>175.11</v>
      </c>
      <c r="E218" s="2">
        <f>IFERROR(__xludf.DUMMYFUNCTION("""COMPUTED_VALUE"""),183.29)</f>
        <v>183.29</v>
      </c>
      <c r="F218" s="2">
        <f>IFERROR(__xludf.DUMMYFUNCTION("""COMPUTED_VALUE"""),8.1877205E7)</f>
        <v>81877205</v>
      </c>
      <c r="G218" s="3">
        <f t="shared" si="1"/>
        <v>0.03343482183</v>
      </c>
    </row>
    <row r="219">
      <c r="A219" s="1">
        <f>IFERROR(__xludf.DUMMYFUNCTION("""COMPUTED_VALUE"""),43161.66666666667)</f>
        <v>43161.66667</v>
      </c>
      <c r="B219" s="2">
        <f>IFERROR(__xludf.DUMMYFUNCTION("""COMPUTED_VALUE"""),184.58)</f>
        <v>184.58</v>
      </c>
      <c r="C219" s="2">
        <f>IFERROR(__xludf.DUMMYFUNCTION("""COMPUTED_VALUE"""),185.66)</f>
        <v>185.66</v>
      </c>
      <c r="D219" s="2">
        <f>IFERROR(__xludf.DUMMYFUNCTION("""COMPUTED_VALUE"""),172.99)</f>
        <v>172.99</v>
      </c>
      <c r="E219" s="2">
        <f>IFERROR(__xludf.DUMMYFUNCTION("""COMPUTED_VALUE"""),176.62)</f>
        <v>176.62</v>
      </c>
      <c r="F219" s="2">
        <f>IFERROR(__xludf.DUMMYFUNCTION("""COMPUTED_VALUE"""),9.5460079E7)</f>
        <v>95460079</v>
      </c>
      <c r="G219" s="3">
        <f t="shared" si="1"/>
        <v>-0.03639041955</v>
      </c>
    </row>
    <row r="220">
      <c r="A220" s="1">
        <f>IFERROR(__xludf.DUMMYFUNCTION("""COMPUTED_VALUE"""),43168.66666666667)</f>
        <v>43168.66667</v>
      </c>
      <c r="B220" s="2">
        <f>IFERROR(__xludf.DUMMYFUNCTION("""COMPUTED_VALUE"""),176.2)</f>
        <v>176.2</v>
      </c>
      <c r="C220" s="2">
        <f>IFERROR(__xludf.DUMMYFUNCTION("""COMPUTED_VALUE"""),185.51)</f>
        <v>185.51</v>
      </c>
      <c r="D220" s="2">
        <f>IFERROR(__xludf.DUMMYFUNCTION("""COMPUTED_VALUE"""),175.89)</f>
        <v>175.89</v>
      </c>
      <c r="E220" s="2">
        <f>IFERROR(__xludf.DUMMYFUNCTION("""COMPUTED_VALUE"""),185.23)</f>
        <v>185.23</v>
      </c>
      <c r="F220" s="2">
        <f>IFERROR(__xludf.DUMMYFUNCTION("""COMPUTED_VALUE"""),8.6125595E7)</f>
        <v>86125595</v>
      </c>
      <c r="G220" s="3">
        <f t="shared" si="1"/>
        <v>0.04874872608</v>
      </c>
    </row>
    <row r="221">
      <c r="A221" s="1">
        <f>IFERROR(__xludf.DUMMYFUNCTION("""COMPUTED_VALUE"""),43175.66666666667)</f>
        <v>43175.66667</v>
      </c>
      <c r="B221" s="2">
        <f>IFERROR(__xludf.DUMMYFUNCTION("""COMPUTED_VALUE"""),185.23)</f>
        <v>185.23</v>
      </c>
      <c r="C221" s="2">
        <f>IFERROR(__xludf.DUMMYFUNCTION("""COMPUTED_VALUE"""),186.1)</f>
        <v>186.1</v>
      </c>
      <c r="D221" s="2">
        <f>IFERROR(__xludf.DUMMYFUNCTION("""COMPUTED_VALUE"""),181.11)</f>
        <v>181.11</v>
      </c>
      <c r="E221" s="2">
        <f>IFERROR(__xludf.DUMMYFUNCTION("""COMPUTED_VALUE"""),185.09)</f>
        <v>185.09</v>
      </c>
      <c r="F221" s="2">
        <f>IFERROR(__xludf.DUMMYFUNCTION("""COMPUTED_VALUE"""),9.0238907E7)</f>
        <v>90238907</v>
      </c>
      <c r="G221" s="3">
        <f t="shared" si="1"/>
        <v>-0.0007558170923</v>
      </c>
    </row>
    <row r="222">
      <c r="A222" s="1">
        <f>IFERROR(__xludf.DUMMYFUNCTION("""COMPUTED_VALUE"""),43182.66666666667)</f>
        <v>43182.66667</v>
      </c>
      <c r="B222" s="2">
        <f>IFERROR(__xludf.DUMMYFUNCTION("""COMPUTED_VALUE"""),177.01)</f>
        <v>177.01</v>
      </c>
      <c r="C222" s="2">
        <f>IFERROR(__xludf.DUMMYFUNCTION("""COMPUTED_VALUE"""),177.17)</f>
        <v>177.17</v>
      </c>
      <c r="D222" s="2">
        <f>IFERROR(__xludf.DUMMYFUNCTION("""COMPUTED_VALUE"""),159.02)</f>
        <v>159.02</v>
      </c>
      <c r="E222" s="2">
        <f>IFERROR(__xludf.DUMMYFUNCTION("""COMPUTED_VALUE"""),159.39)</f>
        <v>159.39</v>
      </c>
      <c r="F222" s="2">
        <f>IFERROR(__xludf.DUMMYFUNCTION("""COMPUTED_VALUE"""),4.51943347E8)</f>
        <v>451943347</v>
      </c>
      <c r="G222" s="3">
        <f t="shared" si="1"/>
        <v>-0.1388513696</v>
      </c>
    </row>
    <row r="223">
      <c r="A223" s="1">
        <f>IFERROR(__xludf.DUMMYFUNCTION("""COMPUTED_VALUE"""),43188.66666666667)</f>
        <v>43188.66667</v>
      </c>
      <c r="B223" s="2">
        <f>IFERROR(__xludf.DUMMYFUNCTION("""COMPUTED_VALUE"""),160.82)</f>
        <v>160.82</v>
      </c>
      <c r="C223" s="2">
        <f>IFERROR(__xludf.DUMMYFUNCTION("""COMPUTED_VALUE"""),162.85)</f>
        <v>162.85</v>
      </c>
      <c r="D223" s="2">
        <f>IFERROR(__xludf.DUMMYFUNCTION("""COMPUTED_VALUE"""),149.02)</f>
        <v>149.02</v>
      </c>
      <c r="E223" s="2">
        <f>IFERROR(__xludf.DUMMYFUNCTION("""COMPUTED_VALUE"""),159.79)</f>
        <v>159.79</v>
      </c>
      <c r="F223" s="2">
        <f>IFERROR(__xludf.DUMMYFUNCTION("""COMPUTED_VALUE"""),3.24697092E8)</f>
        <v>324697092</v>
      </c>
      <c r="G223" s="3">
        <f t="shared" si="1"/>
        <v>0.002509567727</v>
      </c>
    </row>
    <row r="224">
      <c r="A224" s="1">
        <f>IFERROR(__xludf.DUMMYFUNCTION("""COMPUTED_VALUE"""),43196.66666666667)</f>
        <v>43196.66667</v>
      </c>
      <c r="B224" s="2">
        <f>IFERROR(__xludf.DUMMYFUNCTION("""COMPUTED_VALUE"""),157.81)</f>
        <v>157.81</v>
      </c>
      <c r="C224" s="2">
        <f>IFERROR(__xludf.DUMMYFUNCTION("""COMPUTED_VALUE"""),161.57)</f>
        <v>161.57</v>
      </c>
      <c r="D224" s="2">
        <f>IFERROR(__xludf.DUMMYFUNCTION("""COMPUTED_VALUE"""),150.51)</f>
        <v>150.51</v>
      </c>
      <c r="E224" s="2">
        <f>IFERROR(__xludf.DUMMYFUNCTION("""COMPUTED_VALUE"""),157.2)</f>
        <v>157.2</v>
      </c>
      <c r="F224" s="2">
        <f>IFERROR(__xludf.DUMMYFUNCTION("""COMPUTED_VALUE"""),2.12319861E8)</f>
        <v>212319861</v>
      </c>
      <c r="G224" s="3">
        <f t="shared" si="1"/>
        <v>-0.01620877402</v>
      </c>
    </row>
    <row r="225">
      <c r="A225" s="1">
        <f>IFERROR(__xludf.DUMMYFUNCTION("""COMPUTED_VALUE"""),43203.66666666667)</f>
        <v>43203.66667</v>
      </c>
      <c r="B225" s="2">
        <f>IFERROR(__xludf.DUMMYFUNCTION("""COMPUTED_VALUE"""),157.82)</f>
        <v>157.82</v>
      </c>
      <c r="C225" s="2">
        <f>IFERROR(__xludf.DUMMYFUNCTION("""COMPUTED_VALUE"""),168.65)</f>
        <v>168.65</v>
      </c>
      <c r="D225" s="2">
        <f>IFERROR(__xludf.DUMMYFUNCTION("""COMPUTED_VALUE"""),156.04)</f>
        <v>156.04</v>
      </c>
      <c r="E225" s="2">
        <f>IFERROR(__xludf.DUMMYFUNCTION("""COMPUTED_VALUE"""),164.52)</f>
        <v>164.52</v>
      </c>
      <c r="F225" s="2">
        <f>IFERROR(__xludf.DUMMYFUNCTION("""COMPUTED_VALUE"""),2.08260418E8)</f>
        <v>208260418</v>
      </c>
      <c r="G225" s="3">
        <f t="shared" si="1"/>
        <v>0.0465648855</v>
      </c>
    </row>
    <row r="226">
      <c r="A226" s="1">
        <f>IFERROR(__xludf.DUMMYFUNCTION("""COMPUTED_VALUE"""),43210.66666666667)</f>
        <v>43210.66667</v>
      </c>
      <c r="B226" s="2">
        <f>IFERROR(__xludf.DUMMYFUNCTION("""COMPUTED_VALUE"""),165.72)</f>
        <v>165.72</v>
      </c>
      <c r="C226" s="2">
        <f>IFERROR(__xludf.DUMMYFUNCTION("""COMPUTED_VALUE"""),169.0)</f>
        <v>169</v>
      </c>
      <c r="D226" s="2">
        <f>IFERROR(__xludf.DUMMYFUNCTION("""COMPUTED_VALUE"""),163.39)</f>
        <v>163.39</v>
      </c>
      <c r="E226" s="2">
        <f>IFERROR(__xludf.DUMMYFUNCTION("""COMPUTED_VALUE"""),166.28)</f>
        <v>166.28</v>
      </c>
      <c r="F226" s="2">
        <f>IFERROR(__xludf.DUMMYFUNCTION("""COMPUTED_VALUE"""),1.03186431E8)</f>
        <v>103186431</v>
      </c>
      <c r="G226" s="3">
        <f t="shared" si="1"/>
        <v>0.0106977875</v>
      </c>
    </row>
    <row r="227">
      <c r="A227" s="1">
        <f>IFERROR(__xludf.DUMMYFUNCTION("""COMPUTED_VALUE"""),43217.66666666667)</f>
        <v>43217.66667</v>
      </c>
      <c r="B227" s="2">
        <f>IFERROR(__xludf.DUMMYFUNCTION("""COMPUTED_VALUE"""),167.27)</f>
        <v>167.27</v>
      </c>
      <c r="C227" s="2">
        <f>IFERROR(__xludf.DUMMYFUNCTION("""COMPUTED_VALUE"""),177.1)</f>
        <v>177.1</v>
      </c>
      <c r="D227" s="2">
        <f>IFERROR(__xludf.DUMMYFUNCTION("""COMPUTED_VALUE"""),156.19)</f>
        <v>156.19</v>
      </c>
      <c r="E227" s="2">
        <f>IFERROR(__xludf.DUMMYFUNCTION("""COMPUTED_VALUE"""),173.59)</f>
        <v>173.59</v>
      </c>
      <c r="F227" s="2">
        <f>IFERROR(__xludf.DUMMYFUNCTION("""COMPUTED_VALUE"""),2.066132E8)</f>
        <v>206613200</v>
      </c>
      <c r="G227" s="3">
        <f t="shared" si="1"/>
        <v>0.04396199182</v>
      </c>
    </row>
    <row r="228">
      <c r="A228" s="1">
        <f>IFERROR(__xludf.DUMMYFUNCTION("""COMPUTED_VALUE"""),43224.66666666667)</f>
        <v>43224.66667</v>
      </c>
      <c r="B228" s="2">
        <f>IFERROR(__xludf.DUMMYFUNCTION("""COMPUTED_VALUE"""),173.79)</f>
        <v>173.79</v>
      </c>
      <c r="C228" s="2">
        <f>IFERROR(__xludf.DUMMYFUNCTION("""COMPUTED_VALUE"""),178.08)</f>
        <v>178.08</v>
      </c>
      <c r="D228" s="2">
        <f>IFERROR(__xludf.DUMMYFUNCTION("""COMPUTED_VALUE"""),170.23)</f>
        <v>170.23</v>
      </c>
      <c r="E228" s="2">
        <f>IFERROR(__xludf.DUMMYFUNCTION("""COMPUTED_VALUE"""),176.61)</f>
        <v>176.61</v>
      </c>
      <c r="F228" s="2">
        <f>IFERROR(__xludf.DUMMYFUNCTION("""COMPUTED_VALUE"""),1.18904775E8)</f>
        <v>118904775</v>
      </c>
      <c r="G228" s="3">
        <f t="shared" si="1"/>
        <v>0.01739731551</v>
      </c>
    </row>
    <row r="229">
      <c r="A229" s="1">
        <f>IFERROR(__xludf.DUMMYFUNCTION("""COMPUTED_VALUE"""),43231.66666666667)</f>
        <v>43231.66667</v>
      </c>
      <c r="B229" s="2">
        <f>IFERROR(__xludf.DUMMYFUNCTION("""COMPUTED_VALUE"""),177.35)</f>
        <v>177.35</v>
      </c>
      <c r="C229" s="2">
        <f>IFERROR(__xludf.DUMMYFUNCTION("""COMPUTED_VALUE"""),188.32)</f>
        <v>188.32</v>
      </c>
      <c r="D229" s="2">
        <f>IFERROR(__xludf.DUMMYFUNCTION("""COMPUTED_VALUE"""),177.11)</f>
        <v>177.11</v>
      </c>
      <c r="E229" s="2">
        <f>IFERROR(__xludf.DUMMYFUNCTION("""COMPUTED_VALUE"""),186.99)</f>
        <v>186.99</v>
      </c>
      <c r="F229" s="2">
        <f>IFERROR(__xludf.DUMMYFUNCTION("""COMPUTED_VALUE"""),9.9836468E7)</f>
        <v>99836468</v>
      </c>
      <c r="G229" s="3">
        <f t="shared" si="1"/>
        <v>0.05877356888</v>
      </c>
    </row>
    <row r="230">
      <c r="A230" s="1">
        <f>IFERROR(__xludf.DUMMYFUNCTION("""COMPUTED_VALUE"""),43238.66666666667)</f>
        <v>43238.66667</v>
      </c>
      <c r="B230" s="2">
        <f>IFERROR(__xludf.DUMMYFUNCTION("""COMPUTED_VALUE"""),187.71)</f>
        <v>187.71</v>
      </c>
      <c r="C230" s="2">
        <f>IFERROR(__xludf.DUMMYFUNCTION("""COMPUTED_VALUE"""),187.86)</f>
        <v>187.86</v>
      </c>
      <c r="D230" s="2">
        <f>IFERROR(__xludf.DUMMYFUNCTION("""COMPUTED_VALUE"""),182.22)</f>
        <v>182.22</v>
      </c>
      <c r="E230" s="2">
        <f>IFERROR(__xludf.DUMMYFUNCTION("""COMPUTED_VALUE"""),182.68)</f>
        <v>182.68</v>
      </c>
      <c r="F230" s="2">
        <f>IFERROR(__xludf.DUMMYFUNCTION("""COMPUTED_VALUE"""),7.6022798E7)</f>
        <v>76022798</v>
      </c>
      <c r="G230" s="3">
        <f t="shared" si="1"/>
        <v>-0.02304936093</v>
      </c>
    </row>
    <row r="231">
      <c r="A231" s="1">
        <f>IFERROR(__xludf.DUMMYFUNCTION("""COMPUTED_VALUE"""),43245.66666666667)</f>
        <v>43245.66667</v>
      </c>
      <c r="B231" s="2">
        <f>IFERROR(__xludf.DUMMYFUNCTION("""COMPUTED_VALUE"""),183.77)</f>
        <v>183.77</v>
      </c>
      <c r="C231" s="2">
        <f>IFERROR(__xludf.DUMMYFUNCTION("""COMPUTED_VALUE"""),186.91)</f>
        <v>186.91</v>
      </c>
      <c r="D231" s="2">
        <f>IFERROR(__xludf.DUMMYFUNCTION("""COMPUTED_VALUE"""),182.18)</f>
        <v>182.18</v>
      </c>
      <c r="E231" s="2">
        <f>IFERROR(__xludf.DUMMYFUNCTION("""COMPUTED_VALUE"""),184.92)</f>
        <v>184.92</v>
      </c>
      <c r="F231" s="2">
        <f>IFERROR(__xludf.DUMMYFUNCTION("""COMPUTED_VALUE"""),6.6212186E7)</f>
        <v>66212186</v>
      </c>
      <c r="G231" s="3">
        <f t="shared" si="1"/>
        <v>0.01226187869</v>
      </c>
    </row>
    <row r="232">
      <c r="A232" s="1">
        <f>IFERROR(__xludf.DUMMYFUNCTION("""COMPUTED_VALUE"""),43252.66666666667)</f>
        <v>43252.66667</v>
      </c>
      <c r="B232" s="2">
        <f>IFERROR(__xludf.DUMMYFUNCTION("""COMPUTED_VALUE"""),184.34)</f>
        <v>184.34</v>
      </c>
      <c r="C232" s="2">
        <f>IFERROR(__xludf.DUMMYFUNCTION("""COMPUTED_VALUE"""),194.55)</f>
        <v>194.55</v>
      </c>
      <c r="D232" s="2">
        <f>IFERROR(__xludf.DUMMYFUNCTION("""COMPUTED_VALUE"""),183.71)</f>
        <v>183.71</v>
      </c>
      <c r="E232" s="2">
        <f>IFERROR(__xludf.DUMMYFUNCTION("""COMPUTED_VALUE"""),193.99)</f>
        <v>193.99</v>
      </c>
      <c r="F232" s="2">
        <f>IFERROR(__xludf.DUMMYFUNCTION("""COMPUTED_VALUE"""),7.8225679E7)</f>
        <v>78225679</v>
      </c>
      <c r="G232" s="3">
        <f t="shared" si="1"/>
        <v>0.04904823708</v>
      </c>
    </row>
    <row r="233">
      <c r="A233" s="1">
        <f>IFERROR(__xludf.DUMMYFUNCTION("""COMPUTED_VALUE"""),43259.66666666667)</f>
        <v>43259.66667</v>
      </c>
      <c r="B233" s="2">
        <f>IFERROR(__xludf.DUMMYFUNCTION("""COMPUTED_VALUE"""),191.84)</f>
        <v>191.84</v>
      </c>
      <c r="C233" s="2">
        <f>IFERROR(__xludf.DUMMYFUNCTION("""COMPUTED_VALUE"""),195.0)</f>
        <v>195</v>
      </c>
      <c r="D233" s="2">
        <f>IFERROR(__xludf.DUMMYFUNCTION("""COMPUTED_VALUE"""),186.43)</f>
        <v>186.43</v>
      </c>
      <c r="E233" s="2">
        <f>IFERROR(__xludf.DUMMYFUNCTION("""COMPUTED_VALUE"""),189.1)</f>
        <v>189.1</v>
      </c>
      <c r="F233" s="2">
        <f>IFERROR(__xludf.DUMMYFUNCTION("""COMPUTED_VALUE"""),9.1223272E7)</f>
        <v>91223272</v>
      </c>
      <c r="G233" s="3">
        <f t="shared" si="1"/>
        <v>-0.02520748492</v>
      </c>
    </row>
    <row r="234">
      <c r="A234" s="1">
        <f>IFERROR(__xludf.DUMMYFUNCTION("""COMPUTED_VALUE"""),43266.66666666667)</f>
        <v>43266.66667</v>
      </c>
      <c r="B234" s="2">
        <f>IFERROR(__xludf.DUMMYFUNCTION("""COMPUTED_VALUE"""),188.81)</f>
        <v>188.81</v>
      </c>
      <c r="C234" s="2">
        <f>IFERROR(__xludf.DUMMYFUNCTION("""COMPUTED_VALUE"""),197.28)</f>
        <v>197.28</v>
      </c>
      <c r="D234" s="2">
        <f>IFERROR(__xludf.DUMMYFUNCTION("""COMPUTED_VALUE"""),188.8)</f>
        <v>188.8</v>
      </c>
      <c r="E234" s="2">
        <f>IFERROR(__xludf.DUMMYFUNCTION("""COMPUTED_VALUE"""),195.85)</f>
        <v>195.85</v>
      </c>
      <c r="F234" s="2">
        <f>IFERROR(__xludf.DUMMYFUNCTION("""COMPUTED_VALUE"""),8.1327229E7)</f>
        <v>81327229</v>
      </c>
      <c r="G234" s="3">
        <f t="shared" si="1"/>
        <v>0.03569539926</v>
      </c>
    </row>
    <row r="235">
      <c r="A235" s="1">
        <f>IFERROR(__xludf.DUMMYFUNCTION("""COMPUTED_VALUE"""),43273.66666666667)</f>
        <v>43273.66667</v>
      </c>
      <c r="B235" s="2">
        <f>IFERROR(__xludf.DUMMYFUNCTION("""COMPUTED_VALUE"""),194.8)</f>
        <v>194.8</v>
      </c>
      <c r="C235" s="2">
        <f>IFERROR(__xludf.DUMMYFUNCTION("""COMPUTED_VALUE"""),203.55)</f>
        <v>203.55</v>
      </c>
      <c r="D235" s="2">
        <f>IFERROR(__xludf.DUMMYFUNCTION("""COMPUTED_VALUE"""),193.79)</f>
        <v>193.79</v>
      </c>
      <c r="E235" s="2">
        <f>IFERROR(__xludf.DUMMYFUNCTION("""COMPUTED_VALUE"""),201.74)</f>
        <v>201.74</v>
      </c>
      <c r="F235" s="2">
        <f>IFERROR(__xludf.DUMMYFUNCTION("""COMPUTED_VALUE"""),1.01516857E8)</f>
        <v>101516857</v>
      </c>
      <c r="G235" s="3">
        <f t="shared" si="1"/>
        <v>0.03007403625</v>
      </c>
    </row>
    <row r="236">
      <c r="A236" s="1">
        <f>IFERROR(__xludf.DUMMYFUNCTION("""COMPUTED_VALUE"""),43280.66666666667)</f>
        <v>43280.66667</v>
      </c>
      <c r="B236" s="2">
        <f>IFERROR(__xludf.DUMMYFUNCTION("""COMPUTED_VALUE"""),200.0)</f>
        <v>200</v>
      </c>
      <c r="C236" s="2">
        <f>IFERROR(__xludf.DUMMYFUNCTION("""COMPUTED_VALUE"""),200.75)</f>
        <v>200.75</v>
      </c>
      <c r="D236" s="2">
        <f>IFERROR(__xludf.DUMMYFUNCTION("""COMPUTED_VALUE"""),193.11)</f>
        <v>193.11</v>
      </c>
      <c r="E236" s="2">
        <f>IFERROR(__xludf.DUMMYFUNCTION("""COMPUTED_VALUE"""),194.32)</f>
        <v>194.32</v>
      </c>
      <c r="F236" s="2">
        <f>IFERROR(__xludf.DUMMYFUNCTION("""COMPUTED_VALUE"""),9.5891162E7)</f>
        <v>95891162</v>
      </c>
      <c r="G236" s="3">
        <f t="shared" si="1"/>
        <v>-0.03678001388</v>
      </c>
    </row>
    <row r="237">
      <c r="A237" s="1">
        <f>IFERROR(__xludf.DUMMYFUNCTION("""COMPUTED_VALUE"""),43287.66666666667)</f>
        <v>43287.66667</v>
      </c>
      <c r="B237" s="2">
        <f>IFERROR(__xludf.DUMMYFUNCTION("""COMPUTED_VALUE"""),193.37)</f>
        <v>193.37</v>
      </c>
      <c r="C237" s="2">
        <f>IFERROR(__xludf.DUMMYFUNCTION("""COMPUTED_VALUE"""),203.64)</f>
        <v>203.64</v>
      </c>
      <c r="D237" s="2">
        <f>IFERROR(__xludf.DUMMYFUNCTION("""COMPUTED_VALUE"""),192.22)</f>
        <v>192.22</v>
      </c>
      <c r="E237" s="2">
        <f>IFERROR(__xludf.DUMMYFUNCTION("""COMPUTED_VALUE"""),203.23)</f>
        <v>203.23</v>
      </c>
      <c r="F237" s="2">
        <f>IFERROR(__xludf.DUMMYFUNCTION("""COMPUTED_VALUE"""),6.6875416E7)</f>
        <v>66875416</v>
      </c>
      <c r="G237" s="3">
        <f t="shared" si="1"/>
        <v>0.04585220255</v>
      </c>
    </row>
    <row r="238">
      <c r="A238" s="1">
        <f>IFERROR(__xludf.DUMMYFUNCTION("""COMPUTED_VALUE"""),43294.66666666667)</f>
        <v>43294.66667</v>
      </c>
      <c r="B238" s="2">
        <f>IFERROR(__xludf.DUMMYFUNCTION("""COMPUTED_VALUE"""),204.93)</f>
        <v>204.93</v>
      </c>
      <c r="C238" s="2">
        <f>IFERROR(__xludf.DUMMYFUNCTION("""COMPUTED_VALUE"""),208.43)</f>
        <v>208.43</v>
      </c>
      <c r="D238" s="2">
        <f>IFERROR(__xludf.DUMMYFUNCTION("""COMPUTED_VALUE"""),201.75)</f>
        <v>201.75</v>
      </c>
      <c r="E238" s="2">
        <f>IFERROR(__xludf.DUMMYFUNCTION("""COMPUTED_VALUE"""),207.32)</f>
        <v>207.32</v>
      </c>
      <c r="F238" s="2">
        <f>IFERROR(__xludf.DUMMYFUNCTION("""COMPUTED_VALUE"""),7.1224988E7)</f>
        <v>71224988</v>
      </c>
      <c r="G238" s="3">
        <f t="shared" si="1"/>
        <v>0.02012498155</v>
      </c>
    </row>
    <row r="239">
      <c r="A239" s="1">
        <f>IFERROR(__xludf.DUMMYFUNCTION("""COMPUTED_VALUE"""),43301.66666666667)</f>
        <v>43301.66667</v>
      </c>
      <c r="B239" s="2">
        <f>IFERROR(__xludf.DUMMYFUNCTION("""COMPUTED_VALUE"""),207.5)</f>
        <v>207.5</v>
      </c>
      <c r="C239" s="2">
        <f>IFERROR(__xludf.DUMMYFUNCTION("""COMPUTED_VALUE"""),211.5)</f>
        <v>211.5</v>
      </c>
      <c r="D239" s="2">
        <f>IFERROR(__xludf.DUMMYFUNCTION("""COMPUTED_VALUE"""),204.84)</f>
        <v>204.84</v>
      </c>
      <c r="E239" s="2">
        <f>IFERROR(__xludf.DUMMYFUNCTION("""COMPUTED_VALUE"""),209.94)</f>
        <v>209.94</v>
      </c>
      <c r="F239" s="2">
        <f>IFERROR(__xludf.DUMMYFUNCTION("""COMPUTED_VALUE"""),6.9354945E7)</f>
        <v>69354945</v>
      </c>
      <c r="G239" s="3">
        <f t="shared" si="1"/>
        <v>0.01263746865</v>
      </c>
    </row>
    <row r="240">
      <c r="A240" s="1">
        <f>IFERROR(__xludf.DUMMYFUNCTION("""COMPUTED_VALUE"""),43308.66666666667)</f>
        <v>43308.66667</v>
      </c>
      <c r="B240" s="2">
        <f>IFERROR(__xludf.DUMMYFUNCTION("""COMPUTED_VALUE"""),210.58)</f>
        <v>210.58</v>
      </c>
      <c r="C240" s="2">
        <f>IFERROR(__xludf.DUMMYFUNCTION("""COMPUTED_VALUE"""),218.62)</f>
        <v>218.62</v>
      </c>
      <c r="D240" s="2">
        <f>IFERROR(__xludf.DUMMYFUNCTION("""COMPUTED_VALUE"""),173.0)</f>
        <v>173</v>
      </c>
      <c r="E240" s="2">
        <f>IFERROR(__xludf.DUMMYFUNCTION("""COMPUTED_VALUE"""),174.89)</f>
        <v>174.89</v>
      </c>
      <c r="F240" s="2">
        <f>IFERROR(__xludf.DUMMYFUNCTION("""COMPUTED_VALUE"""),3.39670652E8)</f>
        <v>339670652</v>
      </c>
      <c r="G240" s="3">
        <f t="shared" si="1"/>
        <v>-0.1669524626</v>
      </c>
    </row>
    <row r="241">
      <c r="A241" s="1">
        <f>IFERROR(__xludf.DUMMYFUNCTION("""COMPUTED_VALUE"""),43315.66666666667)</f>
        <v>43315.66667</v>
      </c>
      <c r="B241" s="2">
        <f>IFERROR(__xludf.DUMMYFUNCTION("""COMPUTED_VALUE"""),175.3)</f>
        <v>175.3</v>
      </c>
      <c r="C241" s="2">
        <f>IFERROR(__xludf.DUMMYFUNCTION("""COMPUTED_VALUE"""),178.85)</f>
        <v>178.85</v>
      </c>
      <c r="D241" s="2">
        <f>IFERROR(__xludf.DUMMYFUNCTION("""COMPUTED_VALUE"""),166.56)</f>
        <v>166.56</v>
      </c>
      <c r="E241" s="2">
        <f>IFERROR(__xludf.DUMMYFUNCTION("""COMPUTED_VALUE"""),177.78)</f>
        <v>177.78</v>
      </c>
      <c r="F241" s="2">
        <f>IFERROR(__xludf.DUMMYFUNCTION("""COMPUTED_VALUE"""),1.96842755E8)</f>
        <v>196842755</v>
      </c>
      <c r="G241" s="3">
        <f t="shared" si="1"/>
        <v>0.01652467265</v>
      </c>
    </row>
    <row r="242">
      <c r="A242" s="1">
        <f>IFERROR(__xludf.DUMMYFUNCTION("""COMPUTED_VALUE"""),43322.66666666667)</f>
        <v>43322.66667</v>
      </c>
      <c r="B242" s="2">
        <f>IFERROR(__xludf.DUMMYFUNCTION("""COMPUTED_VALUE"""),178.97)</f>
        <v>178.97</v>
      </c>
      <c r="C242" s="2">
        <f>IFERROR(__xludf.DUMMYFUNCTION("""COMPUTED_VALUE"""),188.3)</f>
        <v>188.3</v>
      </c>
      <c r="D242" s="2">
        <f>IFERROR(__xludf.DUMMYFUNCTION("""COMPUTED_VALUE"""),178.38)</f>
        <v>178.38</v>
      </c>
      <c r="E242" s="2">
        <f>IFERROR(__xludf.DUMMYFUNCTION("""COMPUTED_VALUE"""),180.26)</f>
        <v>180.26</v>
      </c>
      <c r="F242" s="2">
        <f>IFERROR(__xludf.DUMMYFUNCTION("""COMPUTED_VALUE"""),1.46552514E8)</f>
        <v>146552514</v>
      </c>
      <c r="G242" s="3">
        <f t="shared" si="1"/>
        <v>0.01394982563</v>
      </c>
    </row>
    <row r="243">
      <c r="A243" s="1">
        <f>IFERROR(__xludf.DUMMYFUNCTION("""COMPUTED_VALUE"""),43329.66666666667)</f>
        <v>43329.66667</v>
      </c>
      <c r="B243" s="2">
        <f>IFERROR(__xludf.DUMMYFUNCTION("""COMPUTED_VALUE"""),180.1)</f>
        <v>180.1</v>
      </c>
      <c r="C243" s="2">
        <f>IFERROR(__xludf.DUMMYFUNCTION("""COMPUTED_VALUE"""),182.61)</f>
        <v>182.61</v>
      </c>
      <c r="D243" s="2">
        <f>IFERROR(__xludf.DUMMYFUNCTION("""COMPUTED_VALUE"""),172.04)</f>
        <v>172.04</v>
      </c>
      <c r="E243" s="2">
        <f>IFERROR(__xludf.DUMMYFUNCTION("""COMPUTED_VALUE"""),173.8)</f>
        <v>173.8</v>
      </c>
      <c r="F243" s="2">
        <f>IFERROR(__xludf.DUMMYFUNCTION("""COMPUTED_VALUE"""),1.2579045E8)</f>
        <v>125790450</v>
      </c>
      <c r="G243" s="3">
        <f t="shared" si="1"/>
        <v>-0.03583712415</v>
      </c>
    </row>
    <row r="244">
      <c r="A244" s="1">
        <f>IFERROR(__xludf.DUMMYFUNCTION("""COMPUTED_VALUE"""),43336.66666666667)</f>
        <v>43336.66667</v>
      </c>
      <c r="B244" s="2">
        <f>IFERROR(__xludf.DUMMYFUNCTION("""COMPUTED_VALUE"""),174.04)</f>
        <v>174.04</v>
      </c>
      <c r="C244" s="2">
        <f>IFERROR(__xludf.DUMMYFUNCTION("""COMPUTED_VALUE"""),175.55)</f>
        <v>175.55</v>
      </c>
      <c r="D244" s="2">
        <f>IFERROR(__xludf.DUMMYFUNCTION("""COMPUTED_VALUE"""),170.91)</f>
        <v>170.91</v>
      </c>
      <c r="E244" s="2">
        <f>IFERROR(__xludf.DUMMYFUNCTION("""COMPUTED_VALUE"""),174.65)</f>
        <v>174.65</v>
      </c>
      <c r="F244" s="2">
        <f>IFERROR(__xludf.DUMMYFUNCTION("""COMPUTED_VALUE"""),9.0675726E7)</f>
        <v>90675726</v>
      </c>
      <c r="G244" s="3">
        <f t="shared" si="1"/>
        <v>0.004890678941</v>
      </c>
    </row>
    <row r="245">
      <c r="A245" s="1">
        <f>IFERROR(__xludf.DUMMYFUNCTION("""COMPUTED_VALUE"""),43343.66666666667)</f>
        <v>43343.66667</v>
      </c>
      <c r="B245" s="2">
        <f>IFERROR(__xludf.DUMMYFUNCTION("""COMPUTED_VALUE"""),175.99)</f>
        <v>175.99</v>
      </c>
      <c r="C245" s="2">
        <f>IFERROR(__xludf.DUMMYFUNCTION("""COMPUTED_VALUE"""),179.79)</f>
        <v>179.79</v>
      </c>
      <c r="D245" s="2">
        <f>IFERROR(__xludf.DUMMYFUNCTION("""COMPUTED_VALUE"""),174.75)</f>
        <v>174.75</v>
      </c>
      <c r="E245" s="2">
        <f>IFERROR(__xludf.DUMMYFUNCTION("""COMPUTED_VALUE"""),175.73)</f>
        <v>175.73</v>
      </c>
      <c r="F245" s="2">
        <f>IFERROR(__xludf.DUMMYFUNCTION("""COMPUTED_VALUE"""),9.4792602E7)</f>
        <v>94792602</v>
      </c>
      <c r="G245" s="3">
        <f t="shared" si="1"/>
        <v>0.006183796164</v>
      </c>
    </row>
    <row r="246">
      <c r="A246" s="1">
        <f>IFERROR(__xludf.DUMMYFUNCTION("""COMPUTED_VALUE"""),43350.66666666667)</f>
        <v>43350.66667</v>
      </c>
      <c r="B246" s="2">
        <f>IFERROR(__xludf.DUMMYFUNCTION("""COMPUTED_VALUE"""),173.5)</f>
        <v>173.5</v>
      </c>
      <c r="C246" s="2">
        <f>IFERROR(__xludf.DUMMYFUNCTION("""COMPUTED_VALUE"""),173.89)</f>
        <v>173.89</v>
      </c>
      <c r="D246" s="2">
        <f>IFERROR(__xludf.DUMMYFUNCTION("""COMPUTED_VALUE"""),160.0)</f>
        <v>160</v>
      </c>
      <c r="E246" s="2">
        <f>IFERROR(__xludf.DUMMYFUNCTION("""COMPUTED_VALUE"""),163.04)</f>
        <v>163.04</v>
      </c>
      <c r="F246" s="2">
        <f>IFERROR(__xludf.DUMMYFUNCTION("""COMPUTED_VALUE"""),1.26851149E8)</f>
        <v>126851149</v>
      </c>
      <c r="G246" s="3">
        <f t="shared" si="1"/>
        <v>-0.07221305412</v>
      </c>
    </row>
    <row r="247">
      <c r="A247" s="1">
        <f>IFERROR(__xludf.DUMMYFUNCTION("""COMPUTED_VALUE"""),43357.66666666667)</f>
        <v>43357.66667</v>
      </c>
      <c r="B247" s="2">
        <f>IFERROR(__xludf.DUMMYFUNCTION("""COMPUTED_VALUE"""),163.51)</f>
        <v>163.51</v>
      </c>
      <c r="C247" s="2">
        <f>IFERROR(__xludf.DUMMYFUNCTION("""COMPUTED_VALUE"""),167.19)</f>
        <v>167.19</v>
      </c>
      <c r="D247" s="2">
        <f>IFERROR(__xludf.DUMMYFUNCTION("""COMPUTED_VALUE"""),160.34)</f>
        <v>160.34</v>
      </c>
      <c r="E247" s="2">
        <f>IFERROR(__xludf.DUMMYFUNCTION("""COMPUTED_VALUE"""),162.32)</f>
        <v>162.32</v>
      </c>
      <c r="F247" s="2">
        <f>IFERROR(__xludf.DUMMYFUNCTION("""COMPUTED_VALUE"""),1.11957066E8)</f>
        <v>111957066</v>
      </c>
      <c r="G247" s="3">
        <f t="shared" si="1"/>
        <v>-0.00441609421</v>
      </c>
    </row>
    <row r="248">
      <c r="A248" s="1">
        <f>IFERROR(__xludf.DUMMYFUNCTION("""COMPUTED_VALUE"""),43364.66666666667)</f>
        <v>43364.66667</v>
      </c>
      <c r="B248" s="2">
        <f>IFERROR(__xludf.DUMMYFUNCTION("""COMPUTED_VALUE"""),161.92)</f>
        <v>161.92</v>
      </c>
      <c r="C248" s="2">
        <f>IFERROR(__xludf.DUMMYFUNCTION("""COMPUTED_VALUE"""),167.25)</f>
        <v>167.25</v>
      </c>
      <c r="D248" s="2">
        <f>IFERROR(__xludf.DUMMYFUNCTION("""COMPUTED_VALUE"""),158.87)</f>
        <v>158.87</v>
      </c>
      <c r="E248" s="2">
        <f>IFERROR(__xludf.DUMMYFUNCTION("""COMPUTED_VALUE"""),162.93)</f>
        <v>162.93</v>
      </c>
      <c r="F248" s="2">
        <f>IFERROR(__xludf.DUMMYFUNCTION("""COMPUTED_VALUE"""),1.28030391E8)</f>
        <v>128030391</v>
      </c>
      <c r="G248" s="3">
        <f t="shared" si="1"/>
        <v>0.003758008871</v>
      </c>
    </row>
    <row r="249">
      <c r="A249" s="1">
        <f>IFERROR(__xludf.DUMMYFUNCTION("""COMPUTED_VALUE"""),43371.66666666667)</f>
        <v>43371.66667</v>
      </c>
      <c r="B249" s="2">
        <f>IFERROR(__xludf.DUMMYFUNCTION("""COMPUTED_VALUE"""),161.03)</f>
        <v>161.03</v>
      </c>
      <c r="C249" s="2">
        <f>IFERROR(__xludf.DUMMYFUNCTION("""COMPUTED_VALUE"""),171.77)</f>
        <v>171.77</v>
      </c>
      <c r="D249" s="2">
        <f>IFERROR(__xludf.DUMMYFUNCTION("""COMPUTED_VALUE"""),160.88)</f>
        <v>160.88</v>
      </c>
      <c r="E249" s="2">
        <f>IFERROR(__xludf.DUMMYFUNCTION("""COMPUTED_VALUE"""),164.46)</f>
        <v>164.46</v>
      </c>
      <c r="F249" s="2">
        <f>IFERROR(__xludf.DUMMYFUNCTION("""COMPUTED_VALUE"""),1.33630306E8)</f>
        <v>133630306</v>
      </c>
      <c r="G249" s="3">
        <f t="shared" si="1"/>
        <v>0.009390535813</v>
      </c>
    </row>
    <row r="250">
      <c r="A250" s="1">
        <f>IFERROR(__xludf.DUMMYFUNCTION("""COMPUTED_VALUE"""),43378.66666666667)</f>
        <v>43378.66667</v>
      </c>
      <c r="B250" s="2">
        <f>IFERROR(__xludf.DUMMYFUNCTION("""COMPUTED_VALUE"""),163.03)</f>
        <v>163.03</v>
      </c>
      <c r="C250" s="2">
        <f>IFERROR(__xludf.DUMMYFUNCTION("""COMPUTED_VALUE"""),165.88)</f>
        <v>165.88</v>
      </c>
      <c r="D250" s="2">
        <f>IFERROR(__xludf.DUMMYFUNCTION("""COMPUTED_VALUE"""),156.2)</f>
        <v>156.2</v>
      </c>
      <c r="E250" s="2">
        <f>IFERROR(__xludf.DUMMYFUNCTION("""COMPUTED_VALUE"""),157.33)</f>
        <v>157.33</v>
      </c>
      <c r="F250" s="2">
        <f>IFERROR(__xludf.DUMMYFUNCTION("""COMPUTED_VALUE"""),1.37031792E8)</f>
        <v>137031792</v>
      </c>
      <c r="G250" s="3">
        <f t="shared" si="1"/>
        <v>-0.04335400705</v>
      </c>
    </row>
    <row r="251">
      <c r="A251" s="1">
        <f>IFERROR(__xludf.DUMMYFUNCTION("""COMPUTED_VALUE"""),43385.66666666667)</f>
        <v>43385.66667</v>
      </c>
      <c r="B251" s="2">
        <f>IFERROR(__xludf.DUMMYFUNCTION("""COMPUTED_VALUE"""),155.54)</f>
        <v>155.54</v>
      </c>
      <c r="C251" s="2">
        <f>IFERROR(__xludf.DUMMYFUNCTION("""COMPUTED_VALUE"""),160.59)</f>
        <v>160.59</v>
      </c>
      <c r="D251" s="2">
        <f>IFERROR(__xludf.DUMMYFUNCTION("""COMPUTED_VALUE"""),149.16)</f>
        <v>149.16</v>
      </c>
      <c r="E251" s="2">
        <f>IFERROR(__xludf.DUMMYFUNCTION("""COMPUTED_VALUE"""),153.74)</f>
        <v>153.74</v>
      </c>
      <c r="F251" s="2">
        <f>IFERROR(__xludf.DUMMYFUNCTION("""COMPUTED_VALUE"""),1.34132756E8)</f>
        <v>134132756</v>
      </c>
      <c r="G251" s="3">
        <f t="shared" si="1"/>
        <v>-0.02281828005</v>
      </c>
    </row>
    <row r="252">
      <c r="A252" s="1">
        <f>IFERROR(__xludf.DUMMYFUNCTION("""COMPUTED_VALUE"""),43392.66666666667)</f>
        <v>43392.66667</v>
      </c>
      <c r="B252" s="2">
        <f>IFERROR(__xludf.DUMMYFUNCTION("""COMPUTED_VALUE"""),153.32)</f>
        <v>153.32</v>
      </c>
      <c r="C252" s="2">
        <f>IFERROR(__xludf.DUMMYFUNCTION("""COMPUTED_VALUE"""),160.49)</f>
        <v>160.49</v>
      </c>
      <c r="D252" s="2">
        <f>IFERROR(__xludf.DUMMYFUNCTION("""COMPUTED_VALUE"""),152.55)</f>
        <v>152.55</v>
      </c>
      <c r="E252" s="2">
        <f>IFERROR(__xludf.DUMMYFUNCTION("""COMPUTED_VALUE"""),154.05)</f>
        <v>154.05</v>
      </c>
      <c r="F252" s="2">
        <f>IFERROR(__xludf.DUMMYFUNCTION("""COMPUTED_VALUE"""),9.364205E7)</f>
        <v>93642050</v>
      </c>
      <c r="G252" s="3">
        <f t="shared" si="1"/>
        <v>0.00201639131</v>
      </c>
    </row>
    <row r="253">
      <c r="A253" s="1">
        <f>IFERROR(__xludf.DUMMYFUNCTION("""COMPUTED_VALUE"""),43399.66666666667)</f>
        <v>43399.66667</v>
      </c>
      <c r="B253" s="2">
        <f>IFERROR(__xludf.DUMMYFUNCTION("""COMPUTED_VALUE"""),154.76)</f>
        <v>154.76</v>
      </c>
      <c r="C253" s="2">
        <f>IFERROR(__xludf.DUMMYFUNCTION("""COMPUTED_VALUE"""),157.34)</f>
        <v>157.34</v>
      </c>
      <c r="D253" s="2">
        <f>IFERROR(__xludf.DUMMYFUNCTION("""COMPUTED_VALUE"""),143.8)</f>
        <v>143.8</v>
      </c>
      <c r="E253" s="2">
        <f>IFERROR(__xludf.DUMMYFUNCTION("""COMPUTED_VALUE"""),145.37)</f>
        <v>145.37</v>
      </c>
      <c r="F253" s="2">
        <f>IFERROR(__xludf.DUMMYFUNCTION("""COMPUTED_VALUE"""),1.15673324E8)</f>
        <v>115673324</v>
      </c>
      <c r="G253" s="3">
        <f t="shared" si="1"/>
        <v>-0.05634534242</v>
      </c>
    </row>
    <row r="254">
      <c r="A254" s="1">
        <f>IFERROR(__xludf.DUMMYFUNCTION("""COMPUTED_VALUE"""),43406.66666666667)</f>
        <v>43406.66667</v>
      </c>
      <c r="B254" s="2">
        <f>IFERROR(__xludf.DUMMYFUNCTION("""COMPUTED_VALUE"""),148.5)</f>
        <v>148.5</v>
      </c>
      <c r="C254" s="2">
        <f>IFERROR(__xludf.DUMMYFUNCTION("""COMPUTED_VALUE"""),156.4)</f>
        <v>156.4</v>
      </c>
      <c r="D254" s="2">
        <f>IFERROR(__xludf.DUMMYFUNCTION("""COMPUTED_VALUE"""),139.03)</f>
        <v>139.03</v>
      </c>
      <c r="E254" s="2">
        <f>IFERROR(__xludf.DUMMYFUNCTION("""COMPUTED_VALUE"""),150.35)</f>
        <v>150.35</v>
      </c>
      <c r="F254" s="2">
        <f>IFERROR(__xludf.DUMMYFUNCTION("""COMPUTED_VALUE"""),1.92315794E8)</f>
        <v>192315794</v>
      </c>
      <c r="G254" s="3">
        <f t="shared" si="1"/>
        <v>0.03425741212</v>
      </c>
    </row>
    <row r="255">
      <c r="A255" s="1">
        <f>IFERROR(__xludf.DUMMYFUNCTION("""COMPUTED_VALUE"""),43413.66666666667)</f>
        <v>43413.66667</v>
      </c>
      <c r="B255" s="2">
        <f>IFERROR(__xludf.DUMMYFUNCTION("""COMPUTED_VALUE"""),150.1)</f>
        <v>150.1</v>
      </c>
      <c r="C255" s="2">
        <f>IFERROR(__xludf.DUMMYFUNCTION("""COMPUTED_VALUE"""),153.01)</f>
        <v>153.01</v>
      </c>
      <c r="D255" s="2">
        <f>IFERROR(__xludf.DUMMYFUNCTION("""COMPUTED_VALUE"""),144.07)</f>
        <v>144.07</v>
      </c>
      <c r="E255" s="2">
        <f>IFERROR(__xludf.DUMMYFUNCTION("""COMPUTED_VALUE"""),144.96)</f>
        <v>144.96</v>
      </c>
      <c r="F255" s="2">
        <f>IFERROR(__xludf.DUMMYFUNCTION("""COMPUTED_VALUE"""),9.5987057E7)</f>
        <v>95987057</v>
      </c>
      <c r="G255" s="3">
        <f t="shared" si="1"/>
        <v>-0.03584968407</v>
      </c>
    </row>
    <row r="256">
      <c r="A256" s="1">
        <f>IFERROR(__xludf.DUMMYFUNCTION("""COMPUTED_VALUE"""),43420.66666666667)</f>
        <v>43420.66667</v>
      </c>
      <c r="B256" s="2">
        <f>IFERROR(__xludf.DUMMYFUNCTION("""COMPUTED_VALUE"""),144.48)</f>
        <v>144.48</v>
      </c>
      <c r="C256" s="2">
        <f>IFERROR(__xludf.DUMMYFUNCTION("""COMPUTED_VALUE"""),145.58)</f>
        <v>145.58</v>
      </c>
      <c r="D256" s="2">
        <f>IFERROR(__xludf.DUMMYFUNCTION("""COMPUTED_VALUE"""),137.77)</f>
        <v>137.77</v>
      </c>
      <c r="E256" s="2">
        <f>IFERROR(__xludf.DUMMYFUNCTION("""COMPUTED_VALUE"""),139.53)</f>
        <v>139.53</v>
      </c>
      <c r="F256" s="2">
        <f>IFERROR(__xludf.DUMMYFUNCTION("""COMPUTED_VALUE"""),1.23323057E8)</f>
        <v>123323057</v>
      </c>
      <c r="G256" s="3">
        <f t="shared" si="1"/>
        <v>-0.03745860927</v>
      </c>
    </row>
    <row r="257">
      <c r="A257" s="1">
        <f>IFERROR(__xludf.DUMMYFUNCTION("""COMPUTED_VALUE"""),43427.54166666667)</f>
        <v>43427.54167</v>
      </c>
      <c r="B257" s="2">
        <f>IFERROR(__xludf.DUMMYFUNCTION("""COMPUTED_VALUE"""),137.61)</f>
        <v>137.61</v>
      </c>
      <c r="C257" s="2">
        <f>IFERROR(__xludf.DUMMYFUNCTION("""COMPUTED_VALUE"""),137.75)</f>
        <v>137.75</v>
      </c>
      <c r="D257" s="2">
        <f>IFERROR(__xludf.DUMMYFUNCTION("""COMPUTED_VALUE"""),126.85)</f>
        <v>126.85</v>
      </c>
      <c r="E257" s="2">
        <f>IFERROR(__xludf.DUMMYFUNCTION("""COMPUTED_VALUE"""),131.73)</f>
        <v>131.73</v>
      </c>
      <c r="F257" s="2">
        <f>IFERROR(__xludf.DUMMYFUNCTION("""COMPUTED_VALUE"""),1.23658067E8)</f>
        <v>123658067</v>
      </c>
      <c r="G257" s="3">
        <f t="shared" si="1"/>
        <v>-0.05590195657</v>
      </c>
    </row>
    <row r="258">
      <c r="A258" s="1">
        <f>IFERROR(__xludf.DUMMYFUNCTION("""COMPUTED_VALUE"""),43434.66666666667)</f>
        <v>43434.66667</v>
      </c>
      <c r="B258" s="2">
        <f>IFERROR(__xludf.DUMMYFUNCTION("""COMPUTED_VALUE"""),133.0)</f>
        <v>133</v>
      </c>
      <c r="C258" s="2">
        <f>IFERROR(__xludf.DUMMYFUNCTION("""COMPUTED_VALUE"""),140.97)</f>
        <v>140.97</v>
      </c>
      <c r="D258" s="2">
        <f>IFERROR(__xludf.DUMMYFUNCTION("""COMPUTED_VALUE"""),131.85)</f>
        <v>131.85</v>
      </c>
      <c r="E258" s="2">
        <f>IFERROR(__xludf.DUMMYFUNCTION("""COMPUTED_VALUE"""),140.61)</f>
        <v>140.61</v>
      </c>
      <c r="F258" s="2">
        <f>IFERROR(__xludf.DUMMYFUNCTION("""COMPUTED_VALUE"""),1.24832753E8)</f>
        <v>124832753</v>
      </c>
      <c r="G258" s="3">
        <f t="shared" si="1"/>
        <v>0.06741061262</v>
      </c>
    </row>
    <row r="259">
      <c r="A259" s="1">
        <f>IFERROR(__xludf.DUMMYFUNCTION("""COMPUTED_VALUE"""),43441.66666666667)</f>
        <v>43441.66667</v>
      </c>
      <c r="B259" s="2">
        <f>IFERROR(__xludf.DUMMYFUNCTION("""COMPUTED_VALUE"""),143.0)</f>
        <v>143</v>
      </c>
      <c r="C259" s="2">
        <f>IFERROR(__xludf.DUMMYFUNCTION("""COMPUTED_VALUE"""),143.68)</f>
        <v>143.68</v>
      </c>
      <c r="D259" s="2">
        <f>IFERROR(__xludf.DUMMYFUNCTION("""COMPUTED_VALUE"""),133.67)</f>
        <v>133.67</v>
      </c>
      <c r="E259" s="2">
        <f>IFERROR(__xludf.DUMMYFUNCTION("""COMPUTED_VALUE"""),137.42)</f>
        <v>137.42</v>
      </c>
      <c r="F259" s="2">
        <f>IFERROR(__xludf.DUMMYFUNCTION("""COMPUTED_VALUE"""),1.04540231E8)</f>
        <v>104540231</v>
      </c>
      <c r="G259" s="3">
        <f t="shared" si="1"/>
        <v>-0.02268686438</v>
      </c>
    </row>
    <row r="260">
      <c r="A260" s="1">
        <f>IFERROR(__xludf.DUMMYFUNCTION("""COMPUTED_VALUE"""),43448.66666666667)</f>
        <v>43448.66667</v>
      </c>
      <c r="B260" s="2">
        <f>IFERROR(__xludf.DUMMYFUNCTION("""COMPUTED_VALUE"""),139.6)</f>
        <v>139.6</v>
      </c>
      <c r="C260" s="2">
        <f>IFERROR(__xludf.DUMMYFUNCTION("""COMPUTED_VALUE"""),147.19)</f>
        <v>147.19</v>
      </c>
      <c r="D260" s="2">
        <f>IFERROR(__xludf.DUMMYFUNCTION("""COMPUTED_VALUE"""),139.01)</f>
        <v>139.01</v>
      </c>
      <c r="E260" s="2">
        <f>IFERROR(__xludf.DUMMYFUNCTION("""COMPUTED_VALUE"""),144.06)</f>
        <v>144.06</v>
      </c>
      <c r="F260" s="2">
        <f>IFERROR(__xludf.DUMMYFUNCTION("""COMPUTED_VALUE"""),1.10353888E8)</f>
        <v>110353888</v>
      </c>
      <c r="G260" s="3">
        <f t="shared" si="1"/>
        <v>0.04831902198</v>
      </c>
    </row>
    <row r="261">
      <c r="A261" s="1">
        <f>IFERROR(__xludf.DUMMYFUNCTION("""COMPUTED_VALUE"""),43455.66666666667)</f>
        <v>43455.66667</v>
      </c>
      <c r="B261" s="2">
        <f>IFERROR(__xludf.DUMMYFUNCTION("""COMPUTED_VALUE"""),143.08)</f>
        <v>143.08</v>
      </c>
      <c r="C261" s="2">
        <f>IFERROR(__xludf.DUMMYFUNCTION("""COMPUTED_VALUE"""),145.93)</f>
        <v>145.93</v>
      </c>
      <c r="D261" s="2">
        <f>IFERROR(__xludf.DUMMYFUNCTION("""COMPUTED_VALUE"""),123.42)</f>
        <v>123.42</v>
      </c>
      <c r="E261" s="2">
        <f>IFERROR(__xludf.DUMMYFUNCTION("""COMPUTED_VALUE"""),124.95)</f>
        <v>124.95</v>
      </c>
      <c r="F261" s="2">
        <f>IFERROR(__xludf.DUMMYFUNCTION("""COMPUTED_VALUE"""),2.03647372E8)</f>
        <v>203647372</v>
      </c>
      <c r="G261" s="3">
        <f t="shared" si="1"/>
        <v>-0.1326530612</v>
      </c>
    </row>
    <row r="262">
      <c r="A262" s="1">
        <f>IFERROR(__xludf.DUMMYFUNCTION("""COMPUTED_VALUE"""),43462.66666666667)</f>
        <v>43462.66667</v>
      </c>
      <c r="B262" s="2">
        <f>IFERROR(__xludf.DUMMYFUNCTION("""COMPUTED_VALUE"""),123.1)</f>
        <v>123.1</v>
      </c>
      <c r="C262" s="2">
        <f>IFERROR(__xludf.DUMMYFUNCTION("""COMPUTED_VALUE"""),135.92)</f>
        <v>135.92</v>
      </c>
      <c r="D262" s="2">
        <f>IFERROR(__xludf.DUMMYFUNCTION("""COMPUTED_VALUE"""),123.02)</f>
        <v>123.02</v>
      </c>
      <c r="E262" s="2">
        <f>IFERROR(__xludf.DUMMYFUNCTION("""COMPUTED_VALUE"""),133.2)</f>
        <v>133.2</v>
      </c>
      <c r="F262" s="2">
        <f>IFERROR(__xludf.DUMMYFUNCTION("""COMPUTED_VALUE"""),1.1561945E8)</f>
        <v>115619450</v>
      </c>
      <c r="G262" s="3">
        <f t="shared" si="1"/>
        <v>0.06602641056</v>
      </c>
    </row>
    <row r="263">
      <c r="A263" s="1">
        <f>IFERROR(__xludf.DUMMYFUNCTION("""COMPUTED_VALUE"""),43469.66666666667)</f>
        <v>43469.66667</v>
      </c>
      <c r="B263" s="2">
        <f>IFERROR(__xludf.DUMMYFUNCTION("""COMPUTED_VALUE"""),134.45)</f>
        <v>134.45</v>
      </c>
      <c r="C263" s="2">
        <f>IFERROR(__xludf.DUMMYFUNCTION("""COMPUTED_VALUE"""),138.0)</f>
        <v>138</v>
      </c>
      <c r="D263" s="2">
        <f>IFERROR(__xludf.DUMMYFUNCTION("""COMPUTED_VALUE"""),128.56)</f>
        <v>128.56</v>
      </c>
      <c r="E263" s="2">
        <f>IFERROR(__xludf.DUMMYFUNCTION("""COMPUTED_VALUE"""),137.95)</f>
        <v>137.95</v>
      </c>
      <c r="F263" s="2">
        <f>IFERROR(__xludf.DUMMYFUNCTION("""COMPUTED_VALUE"""),1.04491508E8)</f>
        <v>104491508</v>
      </c>
      <c r="G263" s="3">
        <f t="shared" si="1"/>
        <v>0.03566066066</v>
      </c>
    </row>
    <row r="264">
      <c r="A264" s="1">
        <f>IFERROR(__xludf.DUMMYFUNCTION("""COMPUTED_VALUE"""),43476.66666666667)</f>
        <v>43476.66667</v>
      </c>
      <c r="B264" s="2">
        <f>IFERROR(__xludf.DUMMYFUNCTION("""COMPUTED_VALUE"""),137.56)</f>
        <v>137.56</v>
      </c>
      <c r="C264" s="2">
        <f>IFERROR(__xludf.DUMMYFUNCTION("""COMPUTED_VALUE"""),145.36)</f>
        <v>145.36</v>
      </c>
      <c r="D264" s="2">
        <f>IFERROR(__xludf.DUMMYFUNCTION("""COMPUTED_VALUE"""),135.91)</f>
        <v>135.91</v>
      </c>
      <c r="E264" s="2">
        <f>IFERROR(__xludf.DUMMYFUNCTION("""COMPUTED_VALUE"""),143.8)</f>
        <v>143.8</v>
      </c>
      <c r="F264" s="2">
        <f>IFERROR(__xludf.DUMMYFUNCTION("""COMPUTED_VALUE"""),9.7592044E7)</f>
        <v>97592044</v>
      </c>
      <c r="G264" s="3">
        <f t="shared" si="1"/>
        <v>0.04240666908</v>
      </c>
    </row>
    <row r="265">
      <c r="A265" s="1">
        <f>IFERROR(__xludf.DUMMYFUNCTION("""COMPUTED_VALUE"""),43483.66666666667)</f>
        <v>43483.66667</v>
      </c>
      <c r="B265" s="2">
        <f>IFERROR(__xludf.DUMMYFUNCTION("""COMPUTED_VALUE"""),142.0)</f>
        <v>142</v>
      </c>
      <c r="C265" s="2">
        <f>IFERROR(__xludf.DUMMYFUNCTION("""COMPUTED_VALUE"""),152.43)</f>
        <v>152.43</v>
      </c>
      <c r="D265" s="2">
        <f>IFERROR(__xludf.DUMMYFUNCTION("""COMPUTED_VALUE"""),141.27)</f>
        <v>141.27</v>
      </c>
      <c r="E265" s="2">
        <f>IFERROR(__xludf.DUMMYFUNCTION("""COMPUTED_VALUE"""),150.04)</f>
        <v>150.04</v>
      </c>
      <c r="F265" s="2">
        <f>IFERROR(__xludf.DUMMYFUNCTION("""COMPUTED_VALUE"""),1.0943234E8)</f>
        <v>109432340</v>
      </c>
      <c r="G265" s="3">
        <f t="shared" si="1"/>
        <v>0.04339360223</v>
      </c>
    </row>
    <row r="266">
      <c r="A266" s="1">
        <f>IFERROR(__xludf.DUMMYFUNCTION("""COMPUTED_VALUE"""),43490.66666666667)</f>
        <v>43490.66667</v>
      </c>
      <c r="B266" s="2">
        <f>IFERROR(__xludf.DUMMYFUNCTION("""COMPUTED_VALUE"""),149.2)</f>
        <v>149.2</v>
      </c>
      <c r="C266" s="2">
        <f>IFERROR(__xludf.DUMMYFUNCTION("""COMPUTED_VALUE"""),151.53)</f>
        <v>151.53</v>
      </c>
      <c r="D266" s="2">
        <f>IFERROR(__xludf.DUMMYFUNCTION("""COMPUTED_VALUE"""),142.52)</f>
        <v>142.52</v>
      </c>
      <c r="E266" s="2">
        <f>IFERROR(__xludf.DUMMYFUNCTION("""COMPUTED_VALUE"""),149.01)</f>
        <v>149.01</v>
      </c>
      <c r="F266" s="2">
        <f>IFERROR(__xludf.DUMMYFUNCTION("""COMPUTED_VALUE"""),8.5683581E7)</f>
        <v>85683581</v>
      </c>
      <c r="G266" s="3">
        <f t="shared" si="1"/>
        <v>-0.006864836044</v>
      </c>
    </row>
    <row r="267">
      <c r="A267" s="1">
        <f>IFERROR(__xludf.DUMMYFUNCTION("""COMPUTED_VALUE"""),43497.66666666667)</f>
        <v>43497.66667</v>
      </c>
      <c r="B267" s="2">
        <f>IFERROR(__xludf.DUMMYFUNCTION("""COMPUTED_VALUE"""),148.05)</f>
        <v>148.05</v>
      </c>
      <c r="C267" s="2">
        <f>IFERROR(__xludf.DUMMYFUNCTION("""COMPUTED_VALUE"""),171.68)</f>
        <v>171.68</v>
      </c>
      <c r="D267" s="2">
        <f>IFERROR(__xludf.DUMMYFUNCTION("""COMPUTED_VALUE"""),143.43)</f>
        <v>143.43</v>
      </c>
      <c r="E267" s="2">
        <f>IFERROR(__xludf.DUMMYFUNCTION("""COMPUTED_VALUE"""),165.71)</f>
        <v>165.71</v>
      </c>
      <c r="F267" s="2">
        <f>IFERROR(__xludf.DUMMYFUNCTION("""COMPUTED_VALUE"""),1.85793791E8)</f>
        <v>185793791</v>
      </c>
      <c r="G267" s="3">
        <f t="shared" si="1"/>
        <v>0.1120730152</v>
      </c>
    </row>
    <row r="268">
      <c r="A268" s="1">
        <f>IFERROR(__xludf.DUMMYFUNCTION("""COMPUTED_VALUE"""),43504.66666666667)</f>
        <v>43504.66667</v>
      </c>
      <c r="B268" s="2">
        <f>IFERROR(__xludf.DUMMYFUNCTION("""COMPUTED_VALUE"""),165.7)</f>
        <v>165.7</v>
      </c>
      <c r="C268" s="2">
        <f>IFERROR(__xludf.DUMMYFUNCTION("""COMPUTED_VALUE"""),172.47)</f>
        <v>172.47</v>
      </c>
      <c r="D268" s="2">
        <f>IFERROR(__xludf.DUMMYFUNCTION("""COMPUTED_VALUE"""),163.62)</f>
        <v>163.62</v>
      </c>
      <c r="E268" s="2">
        <f>IFERROR(__xludf.DUMMYFUNCTION("""COMPUTED_VALUE"""),167.33)</f>
        <v>167.33</v>
      </c>
      <c r="F268" s="2">
        <f>IFERROR(__xludf.DUMMYFUNCTION("""COMPUTED_VALUE"""),8.5953647E7)</f>
        <v>85953647</v>
      </c>
      <c r="G268" s="3">
        <f t="shared" si="1"/>
        <v>0.0097761149</v>
      </c>
    </row>
    <row r="269">
      <c r="A269" s="1">
        <f>IFERROR(__xludf.DUMMYFUNCTION("""COMPUTED_VALUE"""),43511.66666666667)</f>
        <v>43511.66667</v>
      </c>
      <c r="B269" s="2">
        <f>IFERROR(__xludf.DUMMYFUNCTION("""COMPUTED_VALUE"""),167.9)</f>
        <v>167.9</v>
      </c>
      <c r="C269" s="2">
        <f>IFERROR(__xludf.DUMMYFUNCTION("""COMPUTED_VALUE"""),168.34)</f>
        <v>168.34</v>
      </c>
      <c r="D269" s="2">
        <f>IFERROR(__xludf.DUMMYFUNCTION("""COMPUTED_VALUE"""),160.86)</f>
        <v>160.86</v>
      </c>
      <c r="E269" s="2">
        <f>IFERROR(__xludf.DUMMYFUNCTION("""COMPUTED_VALUE"""),162.5)</f>
        <v>162.5</v>
      </c>
      <c r="F269" s="2">
        <f>IFERROR(__xludf.DUMMYFUNCTION("""COMPUTED_VALUE"""),7.1568178E7)</f>
        <v>71568178</v>
      </c>
      <c r="G269" s="3">
        <f t="shared" si="1"/>
        <v>-0.02886511683</v>
      </c>
    </row>
    <row r="270">
      <c r="A270" s="1">
        <f>IFERROR(__xludf.DUMMYFUNCTION("""COMPUTED_VALUE"""),43518.66666666667)</f>
        <v>43518.66667</v>
      </c>
      <c r="B270" s="2">
        <f>IFERROR(__xludf.DUMMYFUNCTION("""COMPUTED_VALUE"""),160.5)</f>
        <v>160.5</v>
      </c>
      <c r="C270" s="2">
        <f>IFERROR(__xludf.DUMMYFUNCTION("""COMPUTED_VALUE"""),164.15)</f>
        <v>164.15</v>
      </c>
      <c r="D270" s="2">
        <f>IFERROR(__xludf.DUMMYFUNCTION("""COMPUTED_VALUE"""),159.59)</f>
        <v>159.59</v>
      </c>
      <c r="E270" s="2">
        <f>IFERROR(__xludf.DUMMYFUNCTION("""COMPUTED_VALUE"""),161.89)</f>
        <v>161.89</v>
      </c>
      <c r="F270" s="2">
        <f>IFERROR(__xludf.DUMMYFUNCTION("""COMPUTED_VALUE"""),5.7582378E7)</f>
        <v>57582378</v>
      </c>
      <c r="G270" s="3">
        <f t="shared" si="1"/>
        <v>-0.003753846154</v>
      </c>
    </row>
    <row r="271">
      <c r="A271" s="1">
        <f>IFERROR(__xludf.DUMMYFUNCTION("""COMPUTED_VALUE"""),43525.66666666667)</f>
        <v>43525.66667</v>
      </c>
      <c r="B271" s="2">
        <f>IFERROR(__xludf.DUMMYFUNCTION("""COMPUTED_VALUE"""),163.07)</f>
        <v>163.07</v>
      </c>
      <c r="C271" s="2">
        <f>IFERROR(__xludf.DUMMYFUNCTION("""COMPUTED_VALUE"""),166.24)</f>
        <v>166.24</v>
      </c>
      <c r="D271" s="2">
        <f>IFERROR(__xludf.DUMMYFUNCTION("""COMPUTED_VALUE"""),160.41)</f>
        <v>160.41</v>
      </c>
      <c r="E271" s="2">
        <f>IFERROR(__xludf.DUMMYFUNCTION("""COMPUTED_VALUE"""),162.28)</f>
        <v>162.28</v>
      </c>
      <c r="F271" s="2">
        <f>IFERROR(__xludf.DUMMYFUNCTION("""COMPUTED_VALUE"""),6.7430609E7)</f>
        <v>67430609</v>
      </c>
      <c r="G271" s="3">
        <f t="shared" si="1"/>
        <v>0.002409043177</v>
      </c>
    </row>
    <row r="272">
      <c r="A272" s="1">
        <f>IFERROR(__xludf.DUMMYFUNCTION("""COMPUTED_VALUE"""),43532.66666666667)</f>
        <v>43532.66667</v>
      </c>
      <c r="B272" s="2">
        <f>IFERROR(__xludf.DUMMYFUNCTION("""COMPUTED_VALUE"""),163.9)</f>
        <v>163.9</v>
      </c>
      <c r="C272" s="2">
        <f>IFERROR(__xludf.DUMMYFUNCTION("""COMPUTED_VALUE"""),173.57)</f>
        <v>173.57</v>
      </c>
      <c r="D272" s="2">
        <f>IFERROR(__xludf.DUMMYFUNCTION("""COMPUTED_VALUE"""),163.83)</f>
        <v>163.83</v>
      </c>
      <c r="E272" s="2">
        <f>IFERROR(__xludf.DUMMYFUNCTION("""COMPUTED_VALUE"""),169.6)</f>
        <v>169.6</v>
      </c>
      <c r="F272" s="2">
        <f>IFERROR(__xludf.DUMMYFUNCTION("""COMPUTED_VALUE"""),1.00105637E8)</f>
        <v>100105637</v>
      </c>
      <c r="G272" s="3">
        <f t="shared" si="1"/>
        <v>0.04510722209</v>
      </c>
    </row>
    <row r="273">
      <c r="A273" s="1">
        <f>IFERROR(__xludf.DUMMYFUNCTION("""COMPUTED_VALUE"""),43539.66666666667)</f>
        <v>43539.66667</v>
      </c>
      <c r="B273" s="2">
        <f>IFERROR(__xludf.DUMMYFUNCTION("""COMPUTED_VALUE"""),171.6)</f>
        <v>171.6</v>
      </c>
      <c r="C273" s="2">
        <f>IFERROR(__xludf.DUMMYFUNCTION("""COMPUTED_VALUE"""),174.3)</f>
        <v>174.3</v>
      </c>
      <c r="D273" s="2">
        <f>IFERROR(__xludf.DUMMYFUNCTION("""COMPUTED_VALUE"""),162.51)</f>
        <v>162.51</v>
      </c>
      <c r="E273" s="2">
        <f>IFERROR(__xludf.DUMMYFUNCTION("""COMPUTED_VALUE"""),165.98)</f>
        <v>165.98</v>
      </c>
      <c r="F273" s="2">
        <f>IFERROR(__xludf.DUMMYFUNCTION("""COMPUTED_VALUE"""),9.8175891E7)</f>
        <v>98175891</v>
      </c>
      <c r="G273" s="3">
        <f t="shared" si="1"/>
        <v>-0.02134433962</v>
      </c>
    </row>
    <row r="274">
      <c r="A274" s="1">
        <f>IFERROR(__xludf.DUMMYFUNCTION("""COMPUTED_VALUE"""),43546.66666666667)</f>
        <v>43546.66667</v>
      </c>
      <c r="B274" s="2">
        <f>IFERROR(__xludf.DUMMYFUNCTION("""COMPUTED_VALUE"""),163.57)</f>
        <v>163.57</v>
      </c>
      <c r="C274" s="2">
        <f>IFERROR(__xludf.DUMMYFUNCTION("""COMPUTED_VALUE"""),167.42)</f>
        <v>167.42</v>
      </c>
      <c r="D274" s="2">
        <f>IFERROR(__xludf.DUMMYFUNCTION("""COMPUTED_VALUE"""),159.28)</f>
        <v>159.28</v>
      </c>
      <c r="E274" s="2">
        <f>IFERROR(__xludf.DUMMYFUNCTION("""COMPUTED_VALUE"""),164.34)</f>
        <v>164.34</v>
      </c>
      <c r="F274" s="2">
        <f>IFERROR(__xludf.DUMMYFUNCTION("""COMPUTED_VALUE"""),1.15959345E8)</f>
        <v>115959345</v>
      </c>
      <c r="G274" s="3">
        <f t="shared" si="1"/>
        <v>-0.009880708519</v>
      </c>
    </row>
    <row r="275">
      <c r="A275" s="1">
        <f>IFERROR(__xludf.DUMMYFUNCTION("""COMPUTED_VALUE"""),43553.66666666667)</f>
        <v>43553.66667</v>
      </c>
      <c r="B275" s="2">
        <f>IFERROR(__xludf.DUMMYFUNCTION("""COMPUTED_VALUE"""),163.0)</f>
        <v>163</v>
      </c>
      <c r="C275" s="2">
        <f>IFERROR(__xludf.DUMMYFUNCTION("""COMPUTED_VALUE"""),169.45)</f>
        <v>169.45</v>
      </c>
      <c r="D275" s="2">
        <f>IFERROR(__xludf.DUMMYFUNCTION("""COMPUTED_VALUE"""),162.0)</f>
        <v>162</v>
      </c>
      <c r="E275" s="2">
        <f>IFERROR(__xludf.DUMMYFUNCTION("""COMPUTED_VALUE"""),166.69)</f>
        <v>166.69</v>
      </c>
      <c r="F275" s="2">
        <f>IFERROR(__xludf.DUMMYFUNCTION("""COMPUTED_VALUE"""),6.2834074E7)</f>
        <v>62834074</v>
      </c>
      <c r="G275" s="3">
        <f t="shared" si="1"/>
        <v>0.01429962273</v>
      </c>
    </row>
    <row r="276">
      <c r="A276" s="1">
        <f>IFERROR(__xludf.DUMMYFUNCTION("""COMPUTED_VALUE"""),43560.66666666667)</f>
        <v>43560.66667</v>
      </c>
      <c r="B276" s="2">
        <f>IFERROR(__xludf.DUMMYFUNCTION("""COMPUTED_VALUE"""),167.83)</f>
        <v>167.83</v>
      </c>
      <c r="C276" s="2">
        <f>IFERROR(__xludf.DUMMYFUNCTION("""COMPUTED_VALUE"""),178.0)</f>
        <v>178</v>
      </c>
      <c r="D276" s="2">
        <f>IFERROR(__xludf.DUMMYFUNCTION("""COMPUTED_VALUE"""),167.28)</f>
        <v>167.28</v>
      </c>
      <c r="E276" s="2">
        <f>IFERROR(__xludf.DUMMYFUNCTION("""COMPUTED_VALUE"""),175.72)</f>
        <v>175.72</v>
      </c>
      <c r="F276" s="2">
        <f>IFERROR(__xludf.DUMMYFUNCTION("""COMPUTED_VALUE"""),8.9359941E7)</f>
        <v>89359941</v>
      </c>
      <c r="G276" s="3">
        <f t="shared" si="1"/>
        <v>0.05417241586</v>
      </c>
    </row>
    <row r="277">
      <c r="A277" s="1">
        <f>IFERROR(__xludf.DUMMYFUNCTION("""COMPUTED_VALUE"""),43567.66666666667)</f>
        <v>43567.66667</v>
      </c>
      <c r="B277" s="2">
        <f>IFERROR(__xludf.DUMMYFUNCTION("""COMPUTED_VALUE"""),175.21)</f>
        <v>175.21</v>
      </c>
      <c r="C277" s="2">
        <f>IFERROR(__xludf.DUMMYFUNCTION("""COMPUTED_VALUE"""),179.63)</f>
        <v>179.63</v>
      </c>
      <c r="D277" s="2">
        <f>IFERROR(__xludf.DUMMYFUNCTION("""COMPUTED_VALUE"""),174.23)</f>
        <v>174.23</v>
      </c>
      <c r="E277" s="2">
        <f>IFERROR(__xludf.DUMMYFUNCTION("""COMPUTED_VALUE"""),179.1)</f>
        <v>179.1</v>
      </c>
      <c r="F277" s="2">
        <f>IFERROR(__xludf.DUMMYFUNCTION("""COMPUTED_VALUE"""),5.9150668E7)</f>
        <v>59150668</v>
      </c>
      <c r="G277" s="3">
        <f t="shared" si="1"/>
        <v>0.01923514682</v>
      </c>
    </row>
    <row r="278">
      <c r="A278" s="1">
        <f>IFERROR(__xludf.DUMMYFUNCTION("""COMPUTED_VALUE"""),43573.66666666667)</f>
        <v>43573.66667</v>
      </c>
      <c r="B278" s="2">
        <f>IFERROR(__xludf.DUMMYFUNCTION("""COMPUTED_VALUE"""),178.5)</f>
        <v>178.5</v>
      </c>
      <c r="C278" s="2">
        <f>IFERROR(__xludf.DUMMYFUNCTION("""COMPUTED_VALUE"""),180.74)</f>
        <v>180.74</v>
      </c>
      <c r="D278" s="2">
        <f>IFERROR(__xludf.DUMMYFUNCTION("""COMPUTED_VALUE"""),176.87)</f>
        <v>176.87</v>
      </c>
      <c r="E278" s="2">
        <f>IFERROR(__xludf.DUMMYFUNCTION("""COMPUTED_VALUE"""),178.28)</f>
        <v>178.28</v>
      </c>
      <c r="F278" s="2">
        <f>IFERROR(__xludf.DUMMYFUNCTION("""COMPUTED_VALUE"""),4.3679295E7)</f>
        <v>43679295</v>
      </c>
      <c r="G278" s="3">
        <f t="shared" si="1"/>
        <v>-0.004578447795</v>
      </c>
    </row>
    <row r="279">
      <c r="A279" s="1">
        <f>IFERROR(__xludf.DUMMYFUNCTION("""COMPUTED_VALUE"""),43581.66666666667)</f>
        <v>43581.66667</v>
      </c>
      <c r="B279" s="2">
        <f>IFERROR(__xludf.DUMMYFUNCTION("""COMPUTED_VALUE"""),178.25)</f>
        <v>178.25</v>
      </c>
      <c r="C279" s="2">
        <f>IFERROR(__xludf.DUMMYFUNCTION("""COMPUTED_VALUE"""),198.48)</f>
        <v>198.48</v>
      </c>
      <c r="D279" s="2">
        <f>IFERROR(__xludf.DUMMYFUNCTION("""COMPUTED_VALUE"""),178.25)</f>
        <v>178.25</v>
      </c>
      <c r="E279" s="2">
        <f>IFERROR(__xludf.DUMMYFUNCTION("""COMPUTED_VALUE"""),191.49)</f>
        <v>191.49</v>
      </c>
      <c r="F279" s="2">
        <f>IFERROR(__xludf.DUMMYFUNCTION("""COMPUTED_VALUE"""),1.46858365E8)</f>
        <v>146858365</v>
      </c>
      <c r="G279" s="3">
        <f t="shared" si="1"/>
        <v>0.07409692618</v>
      </c>
    </row>
    <row r="280">
      <c r="A280" s="1">
        <f>IFERROR(__xludf.DUMMYFUNCTION("""COMPUTED_VALUE"""),43588.66666666667)</f>
        <v>43588.66667</v>
      </c>
      <c r="B280" s="2">
        <f>IFERROR(__xludf.DUMMYFUNCTION("""COMPUTED_VALUE"""),190.95)</f>
        <v>190.95</v>
      </c>
      <c r="C280" s="2">
        <f>IFERROR(__xludf.DUMMYFUNCTION("""COMPUTED_VALUE"""),197.39)</f>
        <v>197.39</v>
      </c>
      <c r="D280" s="2">
        <f>IFERROR(__xludf.DUMMYFUNCTION("""COMPUTED_VALUE"""),189.75)</f>
        <v>189.75</v>
      </c>
      <c r="E280" s="2">
        <f>IFERROR(__xludf.DUMMYFUNCTION("""COMPUTED_VALUE"""),195.47)</f>
        <v>195.47</v>
      </c>
      <c r="F280" s="2">
        <f>IFERROR(__xludf.DUMMYFUNCTION("""COMPUTED_VALUE"""),8.6917531E7)</f>
        <v>86917531</v>
      </c>
      <c r="G280" s="3">
        <f t="shared" si="1"/>
        <v>0.02078437516</v>
      </c>
    </row>
    <row r="281">
      <c r="A281" s="1">
        <f>IFERROR(__xludf.DUMMYFUNCTION("""COMPUTED_VALUE"""),43595.66666666667)</f>
        <v>43595.66667</v>
      </c>
      <c r="B281" s="2">
        <f>IFERROR(__xludf.DUMMYFUNCTION("""COMPUTED_VALUE"""),191.24)</f>
        <v>191.24</v>
      </c>
      <c r="C281" s="2">
        <f>IFERROR(__xludf.DUMMYFUNCTION("""COMPUTED_VALUE"""),194.28)</f>
        <v>194.28</v>
      </c>
      <c r="D281" s="2">
        <f>IFERROR(__xludf.DUMMYFUNCTION("""COMPUTED_VALUE"""),184.59)</f>
        <v>184.59</v>
      </c>
      <c r="E281" s="2">
        <f>IFERROR(__xludf.DUMMYFUNCTION("""COMPUTED_VALUE"""),188.34)</f>
        <v>188.34</v>
      </c>
      <c r="F281" s="2">
        <f>IFERROR(__xludf.DUMMYFUNCTION("""COMPUTED_VALUE"""),6.8299211E7)</f>
        <v>68299211</v>
      </c>
      <c r="G281" s="3">
        <f t="shared" si="1"/>
        <v>-0.0364761856</v>
      </c>
    </row>
    <row r="282">
      <c r="A282" s="1">
        <f>IFERROR(__xludf.DUMMYFUNCTION("""COMPUTED_VALUE"""),43602.66666666667)</f>
        <v>43602.66667</v>
      </c>
      <c r="B282" s="2">
        <f>IFERROR(__xludf.DUMMYFUNCTION("""COMPUTED_VALUE"""),183.5)</f>
        <v>183.5</v>
      </c>
      <c r="C282" s="2">
        <f>IFERROR(__xludf.DUMMYFUNCTION("""COMPUTED_VALUE"""),188.58)</f>
        <v>188.58</v>
      </c>
      <c r="D282" s="2">
        <f>IFERROR(__xludf.DUMMYFUNCTION("""COMPUTED_VALUE"""),178.1)</f>
        <v>178.1</v>
      </c>
      <c r="E282" s="2">
        <f>IFERROR(__xludf.DUMMYFUNCTION("""COMPUTED_VALUE"""),185.3)</f>
        <v>185.3</v>
      </c>
      <c r="F282" s="2">
        <f>IFERROR(__xludf.DUMMYFUNCTION("""COMPUTED_VALUE"""),7.4646874E7)</f>
        <v>74646874</v>
      </c>
      <c r="G282" s="3">
        <f t="shared" si="1"/>
        <v>-0.01614102156</v>
      </c>
    </row>
    <row r="283">
      <c r="A283" s="1">
        <f>IFERROR(__xludf.DUMMYFUNCTION("""COMPUTED_VALUE"""),43609.66666666667)</f>
        <v>43609.66667</v>
      </c>
      <c r="B283" s="2">
        <f>IFERROR(__xludf.DUMMYFUNCTION("""COMPUTED_VALUE"""),181.88)</f>
        <v>181.88</v>
      </c>
      <c r="C283" s="2">
        <f>IFERROR(__xludf.DUMMYFUNCTION("""COMPUTED_VALUE"""),186.74)</f>
        <v>186.74</v>
      </c>
      <c r="D283" s="2">
        <f>IFERROR(__xludf.DUMMYFUNCTION("""COMPUTED_VALUE"""),179.67)</f>
        <v>179.67</v>
      </c>
      <c r="E283" s="2">
        <f>IFERROR(__xludf.DUMMYFUNCTION("""COMPUTED_VALUE"""),181.06)</f>
        <v>181.06</v>
      </c>
      <c r="F283" s="2">
        <f>IFERROR(__xludf.DUMMYFUNCTION("""COMPUTED_VALUE"""),4.8645138E7)</f>
        <v>48645138</v>
      </c>
      <c r="G283" s="3">
        <f t="shared" si="1"/>
        <v>-0.02288181328</v>
      </c>
    </row>
    <row r="284">
      <c r="A284" s="1">
        <f>IFERROR(__xludf.DUMMYFUNCTION("""COMPUTED_VALUE"""),43616.66666666667)</f>
        <v>43616.66667</v>
      </c>
      <c r="B284" s="2">
        <f>IFERROR(__xludf.DUMMYFUNCTION("""COMPUTED_VALUE"""),181.54)</f>
        <v>181.54</v>
      </c>
      <c r="C284" s="2">
        <f>IFERROR(__xludf.DUMMYFUNCTION("""COMPUTED_VALUE"""),184.71)</f>
        <v>184.71</v>
      </c>
      <c r="D284" s="2">
        <f>IFERROR(__xludf.DUMMYFUNCTION("""COMPUTED_VALUE"""),177.16)</f>
        <v>177.16</v>
      </c>
      <c r="E284" s="2">
        <f>IFERROR(__xludf.DUMMYFUNCTION("""COMPUTED_VALUE"""),177.47)</f>
        <v>177.47</v>
      </c>
      <c r="F284" s="2">
        <f>IFERROR(__xludf.DUMMYFUNCTION("""COMPUTED_VALUE"""),5.1449073E7)</f>
        <v>51449073</v>
      </c>
      <c r="G284" s="3">
        <f t="shared" si="1"/>
        <v>-0.01982768143</v>
      </c>
    </row>
    <row r="285">
      <c r="A285" s="1">
        <f>IFERROR(__xludf.DUMMYFUNCTION("""COMPUTED_VALUE"""),43623.66666666667)</f>
        <v>43623.66667</v>
      </c>
      <c r="B285" s="2">
        <f>IFERROR(__xludf.DUMMYFUNCTION("""COMPUTED_VALUE"""),175.0)</f>
        <v>175</v>
      </c>
      <c r="C285" s="2">
        <f>IFERROR(__xludf.DUMMYFUNCTION("""COMPUTED_VALUE"""),175.05)</f>
        <v>175.05</v>
      </c>
      <c r="D285" s="2">
        <f>IFERROR(__xludf.DUMMYFUNCTION("""COMPUTED_VALUE"""),160.84)</f>
        <v>160.84</v>
      </c>
      <c r="E285" s="2">
        <f>IFERROR(__xludf.DUMMYFUNCTION("""COMPUTED_VALUE"""),173.35)</f>
        <v>173.35</v>
      </c>
      <c r="F285" s="2">
        <f>IFERROR(__xludf.DUMMYFUNCTION("""COMPUTED_VALUE"""),1.51225879E8)</f>
        <v>151225879</v>
      </c>
      <c r="G285" s="3">
        <f t="shared" si="1"/>
        <v>-0.0232151913</v>
      </c>
    </row>
    <row r="286">
      <c r="A286" s="1">
        <f>IFERROR(__xludf.DUMMYFUNCTION("""COMPUTED_VALUE"""),43630.66666666667)</f>
        <v>43630.66667</v>
      </c>
      <c r="B286" s="2">
        <f>IFERROR(__xludf.DUMMYFUNCTION("""COMPUTED_VALUE"""),174.75)</f>
        <v>174.75</v>
      </c>
      <c r="C286" s="2">
        <f>IFERROR(__xludf.DUMMYFUNCTION("""COMPUTED_VALUE"""),181.84)</f>
        <v>181.84</v>
      </c>
      <c r="D286" s="2">
        <f>IFERROR(__xludf.DUMMYFUNCTION("""COMPUTED_VALUE"""),172.88)</f>
        <v>172.88</v>
      </c>
      <c r="E286" s="2">
        <f>IFERROR(__xludf.DUMMYFUNCTION("""COMPUTED_VALUE"""),181.33)</f>
        <v>181.33</v>
      </c>
      <c r="F286" s="2">
        <f>IFERROR(__xludf.DUMMYFUNCTION("""COMPUTED_VALUE"""),7.6761628E7)</f>
        <v>76761628</v>
      </c>
      <c r="G286" s="3">
        <f t="shared" si="1"/>
        <v>0.04603403519</v>
      </c>
    </row>
    <row r="287">
      <c r="A287" s="1">
        <f>IFERROR(__xludf.DUMMYFUNCTION("""COMPUTED_VALUE"""),43637.66666666667)</f>
        <v>43637.66667</v>
      </c>
      <c r="B287" s="2">
        <f>IFERROR(__xludf.DUMMYFUNCTION("""COMPUTED_VALUE"""),185.01)</f>
        <v>185.01</v>
      </c>
      <c r="C287" s="2">
        <f>IFERROR(__xludf.DUMMYFUNCTION("""COMPUTED_VALUE"""),194.53)</f>
        <v>194.53</v>
      </c>
      <c r="D287" s="2">
        <f>IFERROR(__xludf.DUMMYFUNCTION("""COMPUTED_VALUE"""),184.41)</f>
        <v>184.41</v>
      </c>
      <c r="E287" s="2">
        <f>IFERROR(__xludf.DUMMYFUNCTION("""COMPUTED_VALUE"""),191.14)</f>
        <v>191.14</v>
      </c>
      <c r="F287" s="2">
        <f>IFERROR(__xludf.DUMMYFUNCTION("""COMPUTED_VALUE"""),1.25835224E8)</f>
        <v>125835224</v>
      </c>
      <c r="G287" s="3">
        <f t="shared" si="1"/>
        <v>0.0541002592</v>
      </c>
    </row>
    <row r="288">
      <c r="A288" s="1">
        <f>IFERROR(__xludf.DUMMYFUNCTION("""COMPUTED_VALUE"""),43644.66666666667)</f>
        <v>43644.66667</v>
      </c>
      <c r="B288" s="2">
        <f>IFERROR(__xludf.DUMMYFUNCTION("""COMPUTED_VALUE"""),192.42)</f>
        <v>192.42</v>
      </c>
      <c r="C288" s="2">
        <f>IFERROR(__xludf.DUMMYFUNCTION("""COMPUTED_VALUE"""),193.98)</f>
        <v>193.98</v>
      </c>
      <c r="D288" s="2">
        <f>IFERROR(__xludf.DUMMYFUNCTION("""COMPUTED_VALUE"""),187.31)</f>
        <v>187.31</v>
      </c>
      <c r="E288" s="2">
        <f>IFERROR(__xludf.DUMMYFUNCTION("""COMPUTED_VALUE"""),193.0)</f>
        <v>193</v>
      </c>
      <c r="F288" s="2">
        <f>IFERROR(__xludf.DUMMYFUNCTION("""COMPUTED_VALUE"""),7.2605729E7)</f>
        <v>72605729</v>
      </c>
      <c r="G288" s="3">
        <f t="shared" si="1"/>
        <v>0.009731087161</v>
      </c>
    </row>
    <row r="289">
      <c r="A289" s="1">
        <f>IFERROR(__xludf.DUMMYFUNCTION("""COMPUTED_VALUE"""),43651.66666666667)</f>
        <v>43651.66667</v>
      </c>
      <c r="B289" s="2">
        <f>IFERROR(__xludf.DUMMYFUNCTION("""COMPUTED_VALUE"""),195.21)</f>
        <v>195.21</v>
      </c>
      <c r="C289" s="2">
        <f>IFERROR(__xludf.DUMMYFUNCTION("""COMPUTED_VALUE"""),197.4)</f>
        <v>197.4</v>
      </c>
      <c r="D289" s="2">
        <f>IFERROR(__xludf.DUMMYFUNCTION("""COMPUTED_VALUE"""),191.93)</f>
        <v>191.93</v>
      </c>
      <c r="E289" s="2">
        <f>IFERROR(__xludf.DUMMYFUNCTION("""COMPUTED_VALUE"""),196.4)</f>
        <v>196.4</v>
      </c>
      <c r="F289" s="2">
        <f>IFERROR(__xludf.DUMMYFUNCTION("""COMPUTED_VALUE"""),4.4664895E7)</f>
        <v>44664895</v>
      </c>
      <c r="G289" s="3">
        <f t="shared" si="1"/>
        <v>0.01761658031</v>
      </c>
    </row>
    <row r="290">
      <c r="A290" s="1">
        <f>IFERROR(__xludf.DUMMYFUNCTION("""COMPUTED_VALUE"""),43658.66666666667)</f>
        <v>43658.66667</v>
      </c>
      <c r="B290" s="2">
        <f>IFERROR(__xludf.DUMMYFUNCTION("""COMPUTED_VALUE"""),195.19)</f>
        <v>195.19</v>
      </c>
      <c r="C290" s="2">
        <f>IFERROR(__xludf.DUMMYFUNCTION("""COMPUTED_VALUE"""),205.3)</f>
        <v>205.3</v>
      </c>
      <c r="D290" s="2">
        <f>IFERROR(__xludf.DUMMYFUNCTION("""COMPUTED_VALUE"""),193.64)</f>
        <v>193.64</v>
      </c>
      <c r="E290" s="2">
        <f>IFERROR(__xludf.DUMMYFUNCTION("""COMPUTED_VALUE"""),204.87)</f>
        <v>204.87</v>
      </c>
      <c r="F290" s="2">
        <f>IFERROR(__xludf.DUMMYFUNCTION("""COMPUTED_VALUE"""),7.40389E7)</f>
        <v>74038900</v>
      </c>
      <c r="G290" s="3">
        <f t="shared" si="1"/>
        <v>0.04312627291</v>
      </c>
    </row>
    <row r="291">
      <c r="A291" s="1">
        <f>IFERROR(__xludf.DUMMYFUNCTION("""COMPUTED_VALUE"""),43665.66666666667)</f>
        <v>43665.66667</v>
      </c>
      <c r="B291" s="2">
        <f>IFERROR(__xludf.DUMMYFUNCTION("""COMPUTED_VALUE"""),204.25)</f>
        <v>204.25</v>
      </c>
      <c r="C291" s="2">
        <f>IFERROR(__xludf.DUMMYFUNCTION("""COMPUTED_VALUE"""),205.47)</f>
        <v>205.47</v>
      </c>
      <c r="D291" s="2">
        <f>IFERROR(__xludf.DUMMYFUNCTION("""COMPUTED_VALUE"""),198.07)</f>
        <v>198.07</v>
      </c>
      <c r="E291" s="2">
        <f>IFERROR(__xludf.DUMMYFUNCTION("""COMPUTED_VALUE"""),198.36)</f>
        <v>198.36</v>
      </c>
      <c r="F291" s="2">
        <f>IFERROR(__xludf.DUMMYFUNCTION("""COMPUTED_VALUE"""),6.4301585E7)</f>
        <v>64301585</v>
      </c>
      <c r="G291" s="3">
        <f t="shared" si="1"/>
        <v>-0.03177624835</v>
      </c>
    </row>
    <row r="292">
      <c r="A292" s="1">
        <f>IFERROR(__xludf.DUMMYFUNCTION("""COMPUTED_VALUE"""),43672.66666666667)</f>
        <v>43672.66667</v>
      </c>
      <c r="B292" s="2">
        <f>IFERROR(__xludf.DUMMYFUNCTION("""COMPUTED_VALUE"""),199.91)</f>
        <v>199.91</v>
      </c>
      <c r="C292" s="2">
        <f>IFERROR(__xludf.DUMMYFUNCTION("""COMPUTED_VALUE"""),208.66)</f>
        <v>208.66</v>
      </c>
      <c r="D292" s="2">
        <f>IFERROR(__xludf.DUMMYFUNCTION("""COMPUTED_VALUE"""),196.25)</f>
        <v>196.25</v>
      </c>
      <c r="E292" s="2">
        <f>IFERROR(__xludf.DUMMYFUNCTION("""COMPUTED_VALUE"""),199.75)</f>
        <v>199.75</v>
      </c>
      <c r="F292" s="2">
        <f>IFERROR(__xludf.DUMMYFUNCTION("""COMPUTED_VALUE"""),1.25029098E8)</f>
        <v>125029098</v>
      </c>
      <c r="G292" s="3">
        <f t="shared" si="1"/>
        <v>0.007007461182</v>
      </c>
    </row>
    <row r="293">
      <c r="A293" s="1">
        <f>IFERROR(__xludf.DUMMYFUNCTION("""COMPUTED_VALUE"""),43679.66666666667)</f>
        <v>43679.66667</v>
      </c>
      <c r="B293" s="2">
        <f>IFERROR(__xludf.DUMMYFUNCTION("""COMPUTED_VALUE"""),199.0)</f>
        <v>199</v>
      </c>
      <c r="C293" s="2">
        <f>IFERROR(__xludf.DUMMYFUNCTION("""COMPUTED_VALUE"""),199.63)</f>
        <v>199.63</v>
      </c>
      <c r="D293" s="2">
        <f>IFERROR(__xludf.DUMMYFUNCTION("""COMPUTED_VALUE"""),188.07)</f>
        <v>188.07</v>
      </c>
      <c r="E293" s="2">
        <f>IFERROR(__xludf.DUMMYFUNCTION("""COMPUTED_VALUE"""),189.02)</f>
        <v>189.02</v>
      </c>
      <c r="F293" s="2">
        <f>IFERROR(__xludf.DUMMYFUNCTION("""COMPUTED_VALUE"""),7.6101891E7)</f>
        <v>76101891</v>
      </c>
      <c r="G293" s="3">
        <f t="shared" si="1"/>
        <v>-0.05371714643</v>
      </c>
    </row>
    <row r="294">
      <c r="A294" s="1">
        <f>IFERROR(__xludf.DUMMYFUNCTION("""COMPUTED_VALUE"""),43686.66666666667)</f>
        <v>43686.66667</v>
      </c>
      <c r="B294" s="2">
        <f>IFERROR(__xludf.DUMMYFUNCTION("""COMPUTED_VALUE"""),184.69)</f>
        <v>184.69</v>
      </c>
      <c r="C294" s="2">
        <f>IFERROR(__xludf.DUMMYFUNCTION("""COMPUTED_VALUE"""),190.98)</f>
        <v>190.98</v>
      </c>
      <c r="D294" s="2">
        <f>IFERROR(__xludf.DUMMYFUNCTION("""COMPUTED_VALUE"""),179.34)</f>
        <v>179.34</v>
      </c>
      <c r="E294" s="2">
        <f>IFERROR(__xludf.DUMMYFUNCTION("""COMPUTED_VALUE"""),187.85)</f>
        <v>187.85</v>
      </c>
      <c r="F294" s="2">
        <f>IFERROR(__xludf.DUMMYFUNCTION("""COMPUTED_VALUE"""),8.2843265E7)</f>
        <v>82843265</v>
      </c>
      <c r="G294" s="3">
        <f t="shared" si="1"/>
        <v>-0.006189821183</v>
      </c>
    </row>
    <row r="295">
      <c r="A295" s="1">
        <f>IFERROR(__xludf.DUMMYFUNCTION("""COMPUTED_VALUE"""),43693.66666666667)</f>
        <v>43693.66667</v>
      </c>
      <c r="B295" s="2">
        <f>IFERROR(__xludf.DUMMYFUNCTION("""COMPUTED_VALUE"""),186.85)</f>
        <v>186.85</v>
      </c>
      <c r="C295" s="2">
        <f>IFERROR(__xludf.DUMMYFUNCTION("""COMPUTED_VALUE"""),191.38)</f>
        <v>191.38</v>
      </c>
      <c r="D295" s="2">
        <f>IFERROR(__xludf.DUMMYFUNCTION("""COMPUTED_VALUE"""),179.31)</f>
        <v>179.31</v>
      </c>
      <c r="E295" s="2">
        <f>IFERROR(__xludf.DUMMYFUNCTION("""COMPUTED_VALUE"""),183.7)</f>
        <v>183.7</v>
      </c>
      <c r="F295" s="2">
        <f>IFERROR(__xludf.DUMMYFUNCTION("""COMPUTED_VALUE"""),6.939779E7)</f>
        <v>69397790</v>
      </c>
      <c r="G295" s="3">
        <f t="shared" si="1"/>
        <v>-0.02209209476</v>
      </c>
    </row>
    <row r="296">
      <c r="A296" s="1">
        <f>IFERROR(__xludf.DUMMYFUNCTION("""COMPUTED_VALUE"""),43700.66666666667)</f>
        <v>43700.66667</v>
      </c>
      <c r="B296" s="2">
        <f>IFERROR(__xludf.DUMMYFUNCTION("""COMPUTED_VALUE"""),186.01)</f>
        <v>186.01</v>
      </c>
      <c r="C296" s="2">
        <f>IFERROR(__xludf.DUMMYFUNCTION("""COMPUTED_VALUE"""),187.5)</f>
        <v>187.5</v>
      </c>
      <c r="D296" s="2">
        <f>IFERROR(__xludf.DUMMYFUNCTION("""COMPUTED_VALUE"""),176.66)</f>
        <v>176.66</v>
      </c>
      <c r="E296" s="2">
        <f>IFERROR(__xludf.DUMMYFUNCTION("""COMPUTED_VALUE"""),177.75)</f>
        <v>177.75</v>
      </c>
      <c r="F296" s="2">
        <f>IFERROR(__xludf.DUMMYFUNCTION("""COMPUTED_VALUE"""),5.6357531E7)</f>
        <v>56357531</v>
      </c>
      <c r="G296" s="3">
        <f t="shared" si="1"/>
        <v>-0.03238976592</v>
      </c>
    </row>
    <row r="297">
      <c r="A297" s="1">
        <f>IFERROR(__xludf.DUMMYFUNCTION("""COMPUTED_VALUE"""),43707.66666666667)</f>
        <v>43707.66667</v>
      </c>
      <c r="B297" s="2">
        <f>IFERROR(__xludf.DUMMYFUNCTION("""COMPUTED_VALUE"""),179.4)</f>
        <v>179.4</v>
      </c>
      <c r="C297" s="2">
        <f>IFERROR(__xludf.DUMMYFUNCTION("""COMPUTED_VALUE"""),186.8)</f>
        <v>186.8</v>
      </c>
      <c r="D297" s="2">
        <f>IFERROR(__xludf.DUMMYFUNCTION("""COMPUTED_VALUE"""),178.24)</f>
        <v>178.24</v>
      </c>
      <c r="E297" s="2">
        <f>IFERROR(__xludf.DUMMYFUNCTION("""COMPUTED_VALUE"""),185.67)</f>
        <v>185.67</v>
      </c>
      <c r="F297" s="2">
        <f>IFERROR(__xludf.DUMMYFUNCTION("""COMPUTED_VALUE"""),5.3502238E7)</f>
        <v>53502238</v>
      </c>
      <c r="G297" s="3">
        <f t="shared" si="1"/>
        <v>0.04455696203</v>
      </c>
    </row>
    <row r="298">
      <c r="A298" s="1">
        <f>IFERROR(__xludf.DUMMYFUNCTION("""COMPUTED_VALUE"""),43714.66666666667)</f>
        <v>43714.66667</v>
      </c>
      <c r="B298" s="2">
        <f>IFERROR(__xludf.DUMMYFUNCTION("""COMPUTED_VALUE"""),184.0)</f>
        <v>184</v>
      </c>
      <c r="C298" s="2">
        <f>IFERROR(__xludf.DUMMYFUNCTION("""COMPUTED_VALUE"""),191.36)</f>
        <v>191.36</v>
      </c>
      <c r="D298" s="2">
        <f>IFERROR(__xludf.DUMMYFUNCTION("""COMPUTED_VALUE"""),182.11)</f>
        <v>182.11</v>
      </c>
      <c r="E298" s="2">
        <f>IFERROR(__xludf.DUMMYFUNCTION("""COMPUTED_VALUE"""),187.49)</f>
        <v>187.49</v>
      </c>
      <c r="F298" s="2">
        <f>IFERROR(__xludf.DUMMYFUNCTION("""COMPUTED_VALUE"""),5.0230199E7)</f>
        <v>50230199</v>
      </c>
      <c r="G298" s="3">
        <f t="shared" si="1"/>
        <v>0.00980233748</v>
      </c>
    </row>
    <row r="299">
      <c r="A299" s="1">
        <f>IFERROR(__xludf.DUMMYFUNCTION("""COMPUTED_VALUE"""),43721.66666666667)</f>
        <v>43721.66667</v>
      </c>
      <c r="B299" s="2">
        <f>IFERROR(__xludf.DUMMYFUNCTION("""COMPUTED_VALUE"""),187.73)</f>
        <v>187.73</v>
      </c>
      <c r="C299" s="2">
        <f>IFERROR(__xludf.DUMMYFUNCTION("""COMPUTED_VALUE"""),190.93)</f>
        <v>190.93</v>
      </c>
      <c r="D299" s="2">
        <f>IFERROR(__xludf.DUMMYFUNCTION("""COMPUTED_VALUE"""),184.55)</f>
        <v>184.55</v>
      </c>
      <c r="E299" s="2">
        <f>IFERROR(__xludf.DUMMYFUNCTION("""COMPUTED_VALUE"""),187.19)</f>
        <v>187.19</v>
      </c>
      <c r="F299" s="2">
        <f>IFERROR(__xludf.DUMMYFUNCTION("""COMPUTED_VALUE"""),6.480082E7)</f>
        <v>64800820</v>
      </c>
      <c r="G299" s="3">
        <f t="shared" si="1"/>
        <v>-0.001600085338</v>
      </c>
    </row>
    <row r="300">
      <c r="A300" s="1">
        <f>IFERROR(__xludf.DUMMYFUNCTION("""COMPUTED_VALUE"""),43728.66666666667)</f>
        <v>43728.66667</v>
      </c>
      <c r="B300" s="2">
        <f>IFERROR(__xludf.DUMMYFUNCTION("""COMPUTED_VALUE"""),186.93)</f>
        <v>186.93</v>
      </c>
      <c r="C300" s="2">
        <f>IFERROR(__xludf.DUMMYFUNCTION("""COMPUTED_VALUE"""),193.1)</f>
        <v>193.1</v>
      </c>
      <c r="D300" s="2">
        <f>IFERROR(__xludf.DUMMYFUNCTION("""COMPUTED_VALUE"""),185.54)</f>
        <v>185.54</v>
      </c>
      <c r="E300" s="2">
        <f>IFERROR(__xludf.DUMMYFUNCTION("""COMPUTED_VALUE"""),189.93)</f>
        <v>189.93</v>
      </c>
      <c r="F300" s="2">
        <f>IFERROR(__xludf.DUMMYFUNCTION("""COMPUTED_VALUE"""),5.8976775E7)</f>
        <v>58976775</v>
      </c>
      <c r="G300" s="3">
        <f t="shared" si="1"/>
        <v>0.01463753406</v>
      </c>
    </row>
    <row r="301">
      <c r="A301" s="1">
        <f>IFERROR(__xludf.DUMMYFUNCTION("""COMPUTED_VALUE"""),43735.66666666667)</f>
        <v>43735.66667</v>
      </c>
      <c r="B301" s="2">
        <f>IFERROR(__xludf.DUMMYFUNCTION("""COMPUTED_VALUE"""),189.34)</f>
        <v>189.34</v>
      </c>
      <c r="C301" s="2">
        <f>IFERROR(__xludf.DUMMYFUNCTION("""COMPUTED_VALUE"""),190.1)</f>
        <v>190.1</v>
      </c>
      <c r="D301" s="2">
        <f>IFERROR(__xludf.DUMMYFUNCTION("""COMPUTED_VALUE"""),175.66)</f>
        <v>175.66</v>
      </c>
      <c r="E301" s="2">
        <f>IFERROR(__xludf.DUMMYFUNCTION("""COMPUTED_VALUE"""),177.1)</f>
        <v>177.1</v>
      </c>
      <c r="F301" s="2">
        <f>IFERROR(__xludf.DUMMYFUNCTION("""COMPUTED_VALUE"""),8.2429981E7)</f>
        <v>82429981</v>
      </c>
      <c r="G301" s="3">
        <f t="shared" si="1"/>
        <v>-0.06755120307</v>
      </c>
    </row>
    <row r="302">
      <c r="A302" s="1">
        <f>IFERROR(__xludf.DUMMYFUNCTION("""COMPUTED_VALUE"""),43742.66666666667)</f>
        <v>43742.66667</v>
      </c>
      <c r="B302" s="2">
        <f>IFERROR(__xludf.DUMMYFUNCTION("""COMPUTED_VALUE"""),177.87)</f>
        <v>177.87</v>
      </c>
      <c r="C302" s="2">
        <f>IFERROR(__xludf.DUMMYFUNCTION("""COMPUTED_VALUE"""),180.98)</f>
        <v>180.98</v>
      </c>
      <c r="D302" s="2">
        <f>IFERROR(__xludf.DUMMYFUNCTION("""COMPUTED_VALUE"""),173.09)</f>
        <v>173.09</v>
      </c>
      <c r="E302" s="2">
        <f>IFERROR(__xludf.DUMMYFUNCTION("""COMPUTED_VALUE"""),180.45)</f>
        <v>180.45</v>
      </c>
      <c r="F302" s="2">
        <f>IFERROR(__xludf.DUMMYFUNCTION("""COMPUTED_VALUE"""),7.1972843E7)</f>
        <v>71972843</v>
      </c>
      <c r="G302" s="3">
        <f t="shared" si="1"/>
        <v>0.01891586674</v>
      </c>
    </row>
    <row r="303">
      <c r="A303" s="1">
        <f>IFERROR(__xludf.DUMMYFUNCTION("""COMPUTED_VALUE"""),43749.66666666667)</f>
        <v>43749.66667</v>
      </c>
      <c r="B303" s="2">
        <f>IFERROR(__xludf.DUMMYFUNCTION("""COMPUTED_VALUE"""),180.0)</f>
        <v>180</v>
      </c>
      <c r="C303" s="2">
        <f>IFERROR(__xludf.DUMMYFUNCTION("""COMPUTED_VALUE"""),186.49)</f>
        <v>186.49</v>
      </c>
      <c r="D303" s="2">
        <f>IFERROR(__xludf.DUMMYFUNCTION("""COMPUTED_VALUE"""),177.72)</f>
        <v>177.72</v>
      </c>
      <c r="E303" s="2">
        <f>IFERROR(__xludf.DUMMYFUNCTION("""COMPUTED_VALUE"""),184.19)</f>
        <v>184.19</v>
      </c>
      <c r="F303" s="2">
        <f>IFERROR(__xludf.DUMMYFUNCTION("""COMPUTED_VALUE"""),5.1073295E7)</f>
        <v>51073295</v>
      </c>
      <c r="G303" s="3">
        <f t="shared" si="1"/>
        <v>0.02072596287</v>
      </c>
    </row>
    <row r="304">
      <c r="A304" s="1">
        <f>IFERROR(__xludf.DUMMYFUNCTION("""COMPUTED_VALUE"""),43756.66666666667)</f>
        <v>43756.66667</v>
      </c>
      <c r="B304" s="2">
        <f>IFERROR(__xludf.DUMMYFUNCTION("""COMPUTED_VALUE"""),184.2)</f>
        <v>184.2</v>
      </c>
      <c r="C304" s="2">
        <f>IFERROR(__xludf.DUMMYFUNCTION("""COMPUTED_VALUE"""),191.49)</f>
        <v>191.49</v>
      </c>
      <c r="D304" s="2">
        <f>IFERROR(__xludf.DUMMYFUNCTION("""COMPUTED_VALUE"""),182.57)</f>
        <v>182.57</v>
      </c>
      <c r="E304" s="2">
        <f>IFERROR(__xludf.DUMMYFUNCTION("""COMPUTED_VALUE"""),185.85)</f>
        <v>185.85</v>
      </c>
      <c r="F304" s="2">
        <f>IFERROR(__xludf.DUMMYFUNCTION("""COMPUTED_VALUE"""),5.9551537E7)</f>
        <v>59551537</v>
      </c>
      <c r="G304" s="3">
        <f t="shared" si="1"/>
        <v>0.009012432814</v>
      </c>
    </row>
    <row r="305">
      <c r="A305" s="1">
        <f>IFERROR(__xludf.DUMMYFUNCTION("""COMPUTED_VALUE"""),43763.66666666667)</f>
        <v>43763.66667</v>
      </c>
      <c r="B305" s="2">
        <f>IFERROR(__xludf.DUMMYFUNCTION("""COMPUTED_VALUE"""),187.04)</f>
        <v>187.04</v>
      </c>
      <c r="C305" s="2">
        <f>IFERROR(__xludf.DUMMYFUNCTION("""COMPUTED_VALUE"""),190.65)</f>
        <v>190.65</v>
      </c>
      <c r="D305" s="2">
        <f>IFERROR(__xludf.DUMMYFUNCTION("""COMPUTED_VALUE"""),181.5)</f>
        <v>181.5</v>
      </c>
      <c r="E305" s="2">
        <f>IFERROR(__xludf.DUMMYFUNCTION("""COMPUTED_VALUE"""),187.89)</f>
        <v>187.89</v>
      </c>
      <c r="F305" s="2">
        <f>IFERROR(__xludf.DUMMYFUNCTION("""COMPUTED_VALUE"""),6.0372401E7)</f>
        <v>60372401</v>
      </c>
      <c r="G305" s="3">
        <f t="shared" si="1"/>
        <v>0.01097659403</v>
      </c>
    </row>
    <row r="306">
      <c r="A306" s="1">
        <f>IFERROR(__xludf.DUMMYFUNCTION("""COMPUTED_VALUE"""),43770.66666666667)</f>
        <v>43770.66667</v>
      </c>
      <c r="B306" s="2">
        <f>IFERROR(__xludf.DUMMYFUNCTION("""COMPUTED_VALUE"""),187.2)</f>
        <v>187.2</v>
      </c>
      <c r="C306" s="2">
        <f>IFERROR(__xludf.DUMMYFUNCTION("""COMPUTED_VALUE"""),198.09)</f>
        <v>198.09</v>
      </c>
      <c r="D306" s="2">
        <f>IFERROR(__xludf.DUMMYFUNCTION("""COMPUTED_VALUE"""),185.08)</f>
        <v>185.08</v>
      </c>
      <c r="E306" s="2">
        <f>IFERROR(__xludf.DUMMYFUNCTION("""COMPUTED_VALUE"""),193.62)</f>
        <v>193.62</v>
      </c>
      <c r="F306" s="2">
        <f>IFERROR(__xludf.DUMMYFUNCTION("""COMPUTED_VALUE"""),1.19965657E8)</f>
        <v>119965657</v>
      </c>
      <c r="G306" s="3">
        <f t="shared" si="1"/>
        <v>0.03049656714</v>
      </c>
    </row>
    <row r="307">
      <c r="A307" s="1">
        <f>IFERROR(__xludf.DUMMYFUNCTION("""COMPUTED_VALUE"""),43777.66666666667)</f>
        <v>43777.66667</v>
      </c>
      <c r="B307" s="2">
        <f>IFERROR(__xludf.DUMMYFUNCTION("""COMPUTED_VALUE"""),194.55)</f>
        <v>194.55</v>
      </c>
      <c r="C307" s="2">
        <f>IFERROR(__xludf.DUMMYFUNCTION("""COMPUTED_VALUE"""),197.37)</f>
        <v>197.37</v>
      </c>
      <c r="D307" s="2">
        <f>IFERROR(__xludf.DUMMYFUNCTION("""COMPUTED_VALUE"""),189.47)</f>
        <v>189.47</v>
      </c>
      <c r="E307" s="2">
        <f>IFERROR(__xludf.DUMMYFUNCTION("""COMPUTED_VALUE"""),190.84)</f>
        <v>190.84</v>
      </c>
      <c r="F307" s="2">
        <f>IFERROR(__xludf.DUMMYFUNCTION("""COMPUTED_VALUE"""),6.1524047E7)</f>
        <v>61524047</v>
      </c>
      <c r="G307" s="3">
        <f t="shared" si="1"/>
        <v>-0.01435802087</v>
      </c>
    </row>
    <row r="308">
      <c r="A308" s="1">
        <f>IFERROR(__xludf.DUMMYFUNCTION("""COMPUTED_VALUE"""),43784.66666666667)</f>
        <v>43784.66667</v>
      </c>
      <c r="B308" s="2">
        <f>IFERROR(__xludf.DUMMYFUNCTION("""COMPUTED_VALUE"""),189.93)</f>
        <v>189.93</v>
      </c>
      <c r="C308" s="2">
        <f>IFERROR(__xludf.DUMMYFUNCTION("""COMPUTED_VALUE"""),195.7)</f>
        <v>195.7</v>
      </c>
      <c r="D308" s="2">
        <f>IFERROR(__xludf.DUMMYFUNCTION("""COMPUTED_VALUE"""),188.54)</f>
        <v>188.54</v>
      </c>
      <c r="E308" s="2">
        <f>IFERROR(__xludf.DUMMYFUNCTION("""COMPUTED_VALUE"""),195.1)</f>
        <v>195.1</v>
      </c>
      <c r="F308" s="2">
        <f>IFERROR(__xludf.DUMMYFUNCTION("""COMPUTED_VALUE"""),5.7853151E7)</f>
        <v>57853151</v>
      </c>
      <c r="G308" s="3">
        <f t="shared" si="1"/>
        <v>0.02232236428</v>
      </c>
    </row>
    <row r="309">
      <c r="A309" s="1">
        <f>IFERROR(__xludf.DUMMYFUNCTION("""COMPUTED_VALUE"""),43791.66666666667)</f>
        <v>43791.66667</v>
      </c>
      <c r="B309" s="2">
        <f>IFERROR(__xludf.DUMMYFUNCTION("""COMPUTED_VALUE"""),194.56)</f>
        <v>194.56</v>
      </c>
      <c r="C309" s="2">
        <f>IFERROR(__xludf.DUMMYFUNCTION("""COMPUTED_VALUE"""),200.0)</f>
        <v>200</v>
      </c>
      <c r="D309" s="2">
        <f>IFERROR(__xludf.DUMMYFUNCTION("""COMPUTED_VALUE"""),193.05)</f>
        <v>193.05</v>
      </c>
      <c r="E309" s="2">
        <f>IFERROR(__xludf.DUMMYFUNCTION("""COMPUTED_VALUE"""),198.82)</f>
        <v>198.82</v>
      </c>
      <c r="F309" s="2">
        <f>IFERROR(__xludf.DUMMYFUNCTION("""COMPUTED_VALUE"""),6.970744E7)</f>
        <v>69707440</v>
      </c>
      <c r="G309" s="3">
        <f t="shared" si="1"/>
        <v>0.01906714505</v>
      </c>
    </row>
    <row r="310">
      <c r="A310" s="1">
        <f>IFERROR(__xludf.DUMMYFUNCTION("""COMPUTED_VALUE"""),43798.54166666667)</f>
        <v>43798.54167</v>
      </c>
      <c r="B310" s="2">
        <f>IFERROR(__xludf.DUMMYFUNCTION("""COMPUTED_VALUE"""),199.52)</f>
        <v>199.52</v>
      </c>
      <c r="C310" s="2">
        <f>IFERROR(__xludf.DUMMYFUNCTION("""COMPUTED_VALUE"""),203.8)</f>
        <v>203.8</v>
      </c>
      <c r="D310" s="2">
        <f>IFERROR(__xludf.DUMMYFUNCTION("""COMPUTED_VALUE"""),198.04)</f>
        <v>198.04</v>
      </c>
      <c r="E310" s="2">
        <f>IFERROR(__xludf.DUMMYFUNCTION("""COMPUTED_VALUE"""),201.64)</f>
        <v>201.64</v>
      </c>
      <c r="F310" s="2">
        <f>IFERROR(__xludf.DUMMYFUNCTION("""COMPUTED_VALUE"""),4.7780905E7)</f>
        <v>47780905</v>
      </c>
      <c r="G310" s="3">
        <f t="shared" si="1"/>
        <v>0.01418368373</v>
      </c>
    </row>
    <row r="311">
      <c r="A311" s="1">
        <f>IFERROR(__xludf.DUMMYFUNCTION("""COMPUTED_VALUE"""),43805.66666666667)</f>
        <v>43805.66667</v>
      </c>
      <c r="B311" s="2">
        <f>IFERROR(__xludf.DUMMYFUNCTION("""COMPUTED_VALUE"""),202.13)</f>
        <v>202.13</v>
      </c>
      <c r="C311" s="2">
        <f>IFERROR(__xludf.DUMMYFUNCTION("""COMPUTED_VALUE"""),202.18)</f>
        <v>202.18</v>
      </c>
      <c r="D311" s="2">
        <f>IFERROR(__xludf.DUMMYFUNCTION("""COMPUTED_VALUE"""),195.08)</f>
        <v>195.08</v>
      </c>
      <c r="E311" s="2">
        <f>IFERROR(__xludf.DUMMYFUNCTION("""COMPUTED_VALUE"""),201.05)</f>
        <v>201.05</v>
      </c>
      <c r="F311" s="2">
        <f>IFERROR(__xludf.DUMMYFUNCTION("""COMPUTED_VALUE"""),5.5051004E7)</f>
        <v>55051004</v>
      </c>
      <c r="G311" s="3">
        <f t="shared" si="1"/>
        <v>-0.002926006745</v>
      </c>
    </row>
    <row r="312">
      <c r="A312" s="1">
        <f>IFERROR(__xludf.DUMMYFUNCTION("""COMPUTED_VALUE"""),43812.66666666667)</f>
        <v>43812.66667</v>
      </c>
      <c r="B312" s="2">
        <f>IFERROR(__xludf.DUMMYFUNCTION("""COMPUTED_VALUE"""),200.65)</f>
        <v>200.65</v>
      </c>
      <c r="C312" s="2">
        <f>IFERROR(__xludf.DUMMYFUNCTION("""COMPUTED_VALUE"""),203.66)</f>
        <v>203.66</v>
      </c>
      <c r="D312" s="2">
        <f>IFERROR(__xludf.DUMMYFUNCTION("""COMPUTED_VALUE"""),193.17)</f>
        <v>193.17</v>
      </c>
      <c r="E312" s="2">
        <f>IFERROR(__xludf.DUMMYFUNCTION("""COMPUTED_VALUE"""),194.11)</f>
        <v>194.11</v>
      </c>
      <c r="F312" s="2">
        <f>IFERROR(__xludf.DUMMYFUNCTION("""COMPUTED_VALUE"""),7.2113619E7)</f>
        <v>72113619</v>
      </c>
      <c r="G312" s="3">
        <f t="shared" si="1"/>
        <v>-0.03451877642</v>
      </c>
    </row>
    <row r="313">
      <c r="A313" s="1">
        <f>IFERROR(__xludf.DUMMYFUNCTION("""COMPUTED_VALUE"""),43819.66666666667)</f>
        <v>43819.66667</v>
      </c>
      <c r="B313" s="2">
        <f>IFERROR(__xludf.DUMMYFUNCTION("""COMPUTED_VALUE"""),195.27)</f>
        <v>195.27</v>
      </c>
      <c r="C313" s="2">
        <f>IFERROR(__xludf.DUMMYFUNCTION("""COMPUTED_VALUE"""),207.71)</f>
        <v>207.71</v>
      </c>
      <c r="D313" s="2">
        <f>IFERROR(__xludf.DUMMYFUNCTION("""COMPUTED_VALUE"""),194.81)</f>
        <v>194.81</v>
      </c>
      <c r="E313" s="2">
        <f>IFERROR(__xludf.DUMMYFUNCTION("""COMPUTED_VALUE"""),206.3)</f>
        <v>206.3</v>
      </c>
      <c r="F313" s="2">
        <f>IFERROR(__xludf.DUMMYFUNCTION("""COMPUTED_VALUE"""),9.2508494E7)</f>
        <v>92508494</v>
      </c>
      <c r="G313" s="3">
        <f t="shared" si="1"/>
        <v>0.06279944361</v>
      </c>
    </row>
    <row r="314">
      <c r="A314" s="1">
        <f>IFERROR(__xludf.DUMMYFUNCTION("""COMPUTED_VALUE"""),43826.66666666667)</f>
        <v>43826.66667</v>
      </c>
      <c r="B314" s="2">
        <f>IFERROR(__xludf.DUMMYFUNCTION("""COMPUTED_VALUE"""),206.7)</f>
        <v>206.7</v>
      </c>
      <c r="C314" s="2">
        <f>IFERROR(__xludf.DUMMYFUNCTION("""COMPUTED_VALUE"""),208.93)</f>
        <v>208.93</v>
      </c>
      <c r="D314" s="2">
        <f>IFERROR(__xludf.DUMMYFUNCTION("""COMPUTED_VALUE"""),205.0)</f>
        <v>205</v>
      </c>
      <c r="E314" s="2">
        <f>IFERROR(__xludf.DUMMYFUNCTION("""COMPUTED_VALUE"""),208.1)</f>
        <v>208.1</v>
      </c>
      <c r="F314" s="2">
        <f>IFERROR(__xludf.DUMMYFUNCTION("""COMPUTED_VALUE"""),3.9055374E7)</f>
        <v>39055374</v>
      </c>
      <c r="G314" s="3">
        <f t="shared" si="1"/>
        <v>0.008725157538</v>
      </c>
    </row>
    <row r="315">
      <c r="A315" s="1">
        <f>IFERROR(__xludf.DUMMYFUNCTION("""COMPUTED_VALUE"""),43833.66666666667)</f>
        <v>43833.66667</v>
      </c>
      <c r="B315" s="2">
        <f>IFERROR(__xludf.DUMMYFUNCTION("""COMPUTED_VALUE"""),207.86)</f>
        <v>207.86</v>
      </c>
      <c r="C315" s="2">
        <f>IFERROR(__xludf.DUMMYFUNCTION("""COMPUTED_VALUE"""),210.4)</f>
        <v>210.4</v>
      </c>
      <c r="D315" s="2">
        <f>IFERROR(__xludf.DUMMYFUNCTION("""COMPUTED_VALUE"""),203.6)</f>
        <v>203.6</v>
      </c>
      <c r="E315" s="2">
        <f>IFERROR(__xludf.DUMMYFUNCTION("""COMPUTED_VALUE"""),208.67)</f>
        <v>208.67</v>
      </c>
      <c r="F315" s="2">
        <f>IFERROR(__xludf.DUMMYFUNCTION("""COMPUTED_VALUE"""),4.278532E7)</f>
        <v>42785320</v>
      </c>
      <c r="G315" s="3">
        <f t="shared" si="1"/>
        <v>0.002739067756</v>
      </c>
    </row>
    <row r="316">
      <c r="A316" s="1">
        <f>IFERROR(__xludf.DUMMYFUNCTION("""COMPUTED_VALUE"""),43840.66666666667)</f>
        <v>43840.66667</v>
      </c>
      <c r="B316" s="2">
        <f>IFERROR(__xludf.DUMMYFUNCTION("""COMPUTED_VALUE"""),206.7)</f>
        <v>206.7</v>
      </c>
      <c r="C316" s="2">
        <f>IFERROR(__xludf.DUMMYFUNCTION("""COMPUTED_VALUE"""),219.88)</f>
        <v>219.88</v>
      </c>
      <c r="D316" s="2">
        <f>IFERROR(__xludf.DUMMYFUNCTION("""COMPUTED_VALUE"""),206.52)</f>
        <v>206.52</v>
      </c>
      <c r="E316" s="2">
        <f>IFERROR(__xludf.DUMMYFUNCTION("""COMPUTED_VALUE"""),218.06)</f>
        <v>218.06</v>
      </c>
      <c r="F316" s="2">
        <f>IFERROR(__xludf.DUMMYFUNCTION("""COMPUTED_VALUE"""),7.0485432E7)</f>
        <v>70485432</v>
      </c>
      <c r="G316" s="3">
        <f t="shared" si="1"/>
        <v>0.04499928116</v>
      </c>
    </row>
    <row r="317">
      <c r="A317" s="1">
        <f>IFERROR(__xludf.DUMMYFUNCTION("""COMPUTED_VALUE"""),43847.66666666667)</f>
        <v>43847.66667</v>
      </c>
      <c r="B317" s="2">
        <f>IFERROR(__xludf.DUMMYFUNCTION("""COMPUTED_VALUE"""),219.6)</f>
        <v>219.6</v>
      </c>
      <c r="C317" s="2">
        <f>IFERROR(__xludf.DUMMYFUNCTION("""COMPUTED_VALUE"""),222.63)</f>
        <v>222.63</v>
      </c>
      <c r="D317" s="2">
        <f>IFERROR(__xludf.DUMMYFUNCTION("""COMPUTED_VALUE"""),218.63)</f>
        <v>218.63</v>
      </c>
      <c r="E317" s="2">
        <f>IFERROR(__xludf.DUMMYFUNCTION("""COMPUTED_VALUE"""),222.14)</f>
        <v>222.14</v>
      </c>
      <c r="F317" s="2">
        <f>IFERROR(__xludf.DUMMYFUNCTION("""COMPUTED_VALUE"""),6.3767585E7)</f>
        <v>63767585</v>
      </c>
      <c r="G317" s="3">
        <f t="shared" si="1"/>
        <v>0.01871044667</v>
      </c>
    </row>
    <row r="318">
      <c r="A318" s="1">
        <f>IFERROR(__xludf.DUMMYFUNCTION("""COMPUTED_VALUE"""),43854.66666666667)</f>
        <v>43854.66667</v>
      </c>
      <c r="B318" s="2">
        <f>IFERROR(__xludf.DUMMYFUNCTION("""COMPUTED_VALUE"""),222.16)</f>
        <v>222.16</v>
      </c>
      <c r="C318" s="2">
        <f>IFERROR(__xludf.DUMMYFUNCTION("""COMPUTED_VALUE"""),222.75)</f>
        <v>222.75</v>
      </c>
      <c r="D318" s="2">
        <f>IFERROR(__xludf.DUMMYFUNCTION("""COMPUTED_VALUE"""),216.11)</f>
        <v>216.11</v>
      </c>
      <c r="E318" s="2">
        <f>IFERROR(__xludf.DUMMYFUNCTION("""COMPUTED_VALUE"""),217.94)</f>
        <v>217.94</v>
      </c>
      <c r="F318" s="2">
        <f>IFERROR(__xludf.DUMMYFUNCTION("""COMPUTED_VALUE"""),4.9589422E7)</f>
        <v>49589422</v>
      </c>
      <c r="G318" s="3">
        <f t="shared" si="1"/>
        <v>-0.01890699559</v>
      </c>
    </row>
    <row r="319">
      <c r="A319" s="1">
        <f>IFERROR(__xludf.DUMMYFUNCTION("""COMPUTED_VALUE"""),43861.66666666667)</f>
        <v>43861.66667</v>
      </c>
      <c r="B319" s="2">
        <f>IFERROR(__xludf.DUMMYFUNCTION("""COMPUTED_VALUE"""),213.1)</f>
        <v>213.1</v>
      </c>
      <c r="C319" s="2">
        <f>IFERROR(__xludf.DUMMYFUNCTION("""COMPUTED_VALUE"""),224.2)</f>
        <v>224.2</v>
      </c>
      <c r="D319" s="2">
        <f>IFERROR(__xludf.DUMMYFUNCTION("""COMPUTED_VALUE"""),201.06)</f>
        <v>201.06</v>
      </c>
      <c r="E319" s="2">
        <f>IFERROR(__xludf.DUMMYFUNCTION("""COMPUTED_VALUE"""),201.91)</f>
        <v>201.91</v>
      </c>
      <c r="F319" s="2">
        <f>IFERROR(__xludf.DUMMYFUNCTION("""COMPUTED_VALUE"""),1.40969912E8)</f>
        <v>140969912</v>
      </c>
      <c r="G319" s="3">
        <f t="shared" si="1"/>
        <v>-0.07355235386</v>
      </c>
    </row>
    <row r="320">
      <c r="A320" s="1">
        <f>IFERROR(__xludf.DUMMYFUNCTION("""COMPUTED_VALUE"""),43868.66666666667)</f>
        <v>43868.66667</v>
      </c>
      <c r="B320" s="2">
        <f>IFERROR(__xludf.DUMMYFUNCTION("""COMPUTED_VALUE"""),203.44)</f>
        <v>203.44</v>
      </c>
      <c r="C320" s="2">
        <f>IFERROR(__xludf.DUMMYFUNCTION("""COMPUTED_VALUE"""),212.82)</f>
        <v>212.82</v>
      </c>
      <c r="D320" s="2">
        <f>IFERROR(__xludf.DUMMYFUNCTION("""COMPUTED_VALUE"""),202.5)</f>
        <v>202.5</v>
      </c>
      <c r="E320" s="2">
        <f>IFERROR(__xludf.DUMMYFUNCTION("""COMPUTED_VALUE"""),212.33)</f>
        <v>212.33</v>
      </c>
      <c r="F320" s="2">
        <f>IFERROR(__xludf.DUMMYFUNCTION("""COMPUTED_VALUE"""),7.0487616E7)</f>
        <v>70487616</v>
      </c>
      <c r="G320" s="3">
        <f t="shared" si="1"/>
        <v>0.0516071517</v>
      </c>
    </row>
    <row r="321">
      <c r="A321" s="1">
        <f>IFERROR(__xludf.DUMMYFUNCTION("""COMPUTED_VALUE"""),43875.66666666667)</f>
        <v>43875.66667</v>
      </c>
      <c r="B321" s="2">
        <f>IFERROR(__xludf.DUMMYFUNCTION("""COMPUTED_VALUE"""),211.52)</f>
        <v>211.52</v>
      </c>
      <c r="C321" s="2">
        <f>IFERROR(__xludf.DUMMYFUNCTION("""COMPUTED_VALUE"""),214.93)</f>
        <v>214.93</v>
      </c>
      <c r="D321" s="2">
        <f>IFERROR(__xludf.DUMMYFUNCTION("""COMPUTED_VALUE"""),206.51)</f>
        <v>206.51</v>
      </c>
      <c r="E321" s="2">
        <f>IFERROR(__xludf.DUMMYFUNCTION("""COMPUTED_VALUE"""),214.18)</f>
        <v>214.18</v>
      </c>
      <c r="F321" s="2">
        <f>IFERROR(__xludf.DUMMYFUNCTION("""COMPUTED_VALUE"""),7.6839236E7)</f>
        <v>76839236</v>
      </c>
      <c r="G321" s="3">
        <f t="shared" si="1"/>
        <v>0.008712852635</v>
      </c>
    </row>
    <row r="322">
      <c r="A322" s="1">
        <f>IFERROR(__xludf.DUMMYFUNCTION("""COMPUTED_VALUE"""),43882.66666666667)</f>
        <v>43882.66667</v>
      </c>
      <c r="B322" s="2">
        <f>IFERROR(__xludf.DUMMYFUNCTION("""COMPUTED_VALUE"""),213.55)</f>
        <v>213.55</v>
      </c>
      <c r="C322" s="2">
        <f>IFERROR(__xludf.DUMMYFUNCTION("""COMPUTED_VALUE"""),218.77)</f>
        <v>218.77</v>
      </c>
      <c r="D322" s="2">
        <f>IFERROR(__xludf.DUMMYFUNCTION("""COMPUTED_VALUE"""),208.83)</f>
        <v>208.83</v>
      </c>
      <c r="E322" s="2">
        <f>IFERROR(__xludf.DUMMYFUNCTION("""COMPUTED_VALUE"""),210.18)</f>
        <v>210.18</v>
      </c>
      <c r="F322" s="2">
        <f>IFERROR(__xludf.DUMMYFUNCTION("""COMPUTED_VALUE"""),5.4972785E7)</f>
        <v>54972785</v>
      </c>
      <c r="G322" s="3">
        <f t="shared" si="1"/>
        <v>-0.0186758801</v>
      </c>
    </row>
    <row r="323">
      <c r="A323" s="1">
        <f>IFERROR(__xludf.DUMMYFUNCTION("""COMPUTED_VALUE"""),43889.66666666667)</f>
        <v>43889.66667</v>
      </c>
      <c r="B323" s="2">
        <f>IFERROR(__xludf.DUMMYFUNCTION("""COMPUTED_VALUE"""),201.8)</f>
        <v>201.8</v>
      </c>
      <c r="C323" s="2">
        <f>IFERROR(__xludf.DUMMYFUNCTION("""COMPUTED_VALUE"""),203.65)</f>
        <v>203.65</v>
      </c>
      <c r="D323" s="2">
        <f>IFERROR(__xludf.DUMMYFUNCTION("""COMPUTED_VALUE"""),181.82)</f>
        <v>181.82</v>
      </c>
      <c r="E323" s="2">
        <f>IFERROR(__xludf.DUMMYFUNCTION("""COMPUTED_VALUE"""),192.47)</f>
        <v>192.47</v>
      </c>
      <c r="F323" s="2">
        <f>IFERROR(__xludf.DUMMYFUNCTION("""COMPUTED_VALUE"""),1.15334874E8)</f>
        <v>115334874</v>
      </c>
      <c r="G323" s="3">
        <f t="shared" si="1"/>
        <v>-0.08426110953</v>
      </c>
    </row>
    <row r="324">
      <c r="A324" s="1">
        <f>IFERROR(__xludf.DUMMYFUNCTION("""COMPUTED_VALUE"""),43896.66666666667)</f>
        <v>43896.66667</v>
      </c>
      <c r="B324" s="2">
        <f>IFERROR(__xludf.DUMMYFUNCTION("""COMPUTED_VALUE"""),194.03)</f>
        <v>194.03</v>
      </c>
      <c r="C324" s="2">
        <f>IFERROR(__xludf.DUMMYFUNCTION("""COMPUTED_VALUE"""),197.24)</f>
        <v>197.24</v>
      </c>
      <c r="D324" s="2">
        <f>IFERROR(__xludf.DUMMYFUNCTION("""COMPUTED_VALUE"""),176.26)</f>
        <v>176.26</v>
      </c>
      <c r="E324" s="2">
        <f>IFERROR(__xludf.DUMMYFUNCTION("""COMPUTED_VALUE"""),181.09)</f>
        <v>181.09</v>
      </c>
      <c r="F324" s="2">
        <f>IFERROR(__xludf.DUMMYFUNCTION("""COMPUTED_VALUE"""),1.19888507E8)</f>
        <v>119888507</v>
      </c>
      <c r="G324" s="3">
        <f t="shared" si="1"/>
        <v>-0.05912609757</v>
      </c>
    </row>
    <row r="325">
      <c r="A325" s="1">
        <f>IFERROR(__xludf.DUMMYFUNCTION("""COMPUTED_VALUE"""),43903.66666666667)</f>
        <v>43903.66667</v>
      </c>
      <c r="B325" s="2">
        <f>IFERROR(__xludf.DUMMYFUNCTION("""COMPUTED_VALUE"""),169.6)</f>
        <v>169.6</v>
      </c>
      <c r="C325" s="2">
        <f>IFERROR(__xludf.DUMMYFUNCTION("""COMPUTED_VALUE"""),178.29)</f>
        <v>178.29</v>
      </c>
      <c r="D325" s="2">
        <f>IFERROR(__xludf.DUMMYFUNCTION("""COMPUTED_VALUE"""),154.34)</f>
        <v>154.34</v>
      </c>
      <c r="E325" s="2">
        <f>IFERROR(__xludf.DUMMYFUNCTION("""COMPUTED_VALUE"""),170.28)</f>
        <v>170.28</v>
      </c>
      <c r="F325" s="2">
        <f>IFERROR(__xludf.DUMMYFUNCTION("""COMPUTED_VALUE"""),1.53158998E8)</f>
        <v>153158998</v>
      </c>
      <c r="G325" s="3">
        <f t="shared" si="1"/>
        <v>-0.05969407477</v>
      </c>
    </row>
    <row r="326">
      <c r="A326" s="1">
        <f>IFERROR(__xludf.DUMMYFUNCTION("""COMPUTED_VALUE"""),43910.66666666667)</f>
        <v>43910.66667</v>
      </c>
      <c r="B326" s="2">
        <f>IFERROR(__xludf.DUMMYFUNCTION("""COMPUTED_VALUE"""),152.32)</f>
        <v>152.32</v>
      </c>
      <c r="C326" s="2">
        <f>IFERROR(__xludf.DUMMYFUNCTION("""COMPUTED_VALUE"""),159.93)</f>
        <v>159.93</v>
      </c>
      <c r="D326" s="2">
        <f>IFERROR(__xludf.DUMMYFUNCTION("""COMPUTED_VALUE"""),137.1)</f>
        <v>137.1</v>
      </c>
      <c r="E326" s="2">
        <f>IFERROR(__xludf.DUMMYFUNCTION("""COMPUTED_VALUE"""),149.73)</f>
        <v>149.73</v>
      </c>
      <c r="F326" s="2">
        <f>IFERROR(__xludf.DUMMYFUNCTION("""COMPUTED_VALUE"""),1.83359861E8)</f>
        <v>183359861</v>
      </c>
      <c r="G326" s="3">
        <f t="shared" si="1"/>
        <v>-0.12068358</v>
      </c>
    </row>
    <row r="327">
      <c r="A327" s="1">
        <f>IFERROR(__xludf.DUMMYFUNCTION("""COMPUTED_VALUE"""),43917.66666666667)</f>
        <v>43917.66667</v>
      </c>
      <c r="B327" s="2">
        <f>IFERROR(__xludf.DUMMYFUNCTION("""COMPUTED_VALUE"""),149.66)</f>
        <v>149.66</v>
      </c>
      <c r="C327" s="2">
        <f>IFERROR(__xludf.DUMMYFUNCTION("""COMPUTED_VALUE"""),164.0)</f>
        <v>164</v>
      </c>
      <c r="D327" s="2">
        <f>IFERROR(__xludf.DUMMYFUNCTION("""COMPUTED_VALUE"""),142.25)</f>
        <v>142.25</v>
      </c>
      <c r="E327" s="2">
        <f>IFERROR(__xludf.DUMMYFUNCTION("""COMPUTED_VALUE"""),156.79)</f>
        <v>156.79</v>
      </c>
      <c r="F327" s="2">
        <f>IFERROR(__xludf.DUMMYFUNCTION("""COMPUTED_VALUE"""),1.46914295E8)</f>
        <v>146914295</v>
      </c>
      <c r="G327" s="3">
        <f t="shared" si="1"/>
        <v>0.04715153944</v>
      </c>
    </row>
    <row r="328">
      <c r="A328" s="1">
        <f>IFERROR(__xludf.DUMMYFUNCTION("""COMPUTED_VALUE"""),43924.66666666667)</f>
        <v>43924.66667</v>
      </c>
      <c r="B328" s="2">
        <f>IFERROR(__xludf.DUMMYFUNCTION("""COMPUTED_VALUE"""),159.18)</f>
        <v>159.18</v>
      </c>
      <c r="C328" s="2">
        <f>IFERROR(__xludf.DUMMYFUNCTION("""COMPUTED_VALUE"""),170.93)</f>
        <v>170.93</v>
      </c>
      <c r="D328" s="2">
        <f>IFERROR(__xludf.DUMMYFUNCTION("""COMPUTED_VALUE"""),150.83)</f>
        <v>150.83</v>
      </c>
      <c r="E328" s="2">
        <f>IFERROR(__xludf.DUMMYFUNCTION("""COMPUTED_VALUE"""),154.18)</f>
        <v>154.18</v>
      </c>
      <c r="F328" s="2">
        <f>IFERROR(__xludf.DUMMYFUNCTION("""COMPUTED_VALUE"""),1.12568693E8)</f>
        <v>112568693</v>
      </c>
      <c r="G328" s="3">
        <f t="shared" si="1"/>
        <v>-0.0166464698</v>
      </c>
    </row>
    <row r="329">
      <c r="A329" s="1">
        <f>IFERROR(__xludf.DUMMYFUNCTION("""COMPUTED_VALUE"""),43930.66666666667)</f>
        <v>43930.66667</v>
      </c>
      <c r="B329" s="2">
        <f>IFERROR(__xludf.DUMMYFUNCTION("""COMPUTED_VALUE"""),160.15)</f>
        <v>160.15</v>
      </c>
      <c r="C329" s="2">
        <f>IFERROR(__xludf.DUMMYFUNCTION("""COMPUTED_VALUE"""),177.08)</f>
        <v>177.08</v>
      </c>
      <c r="D329" s="2">
        <f>IFERROR(__xludf.DUMMYFUNCTION("""COMPUTED_VALUE"""),158.51)</f>
        <v>158.51</v>
      </c>
      <c r="E329" s="2">
        <f>IFERROR(__xludf.DUMMYFUNCTION("""COMPUTED_VALUE"""),175.19)</f>
        <v>175.19</v>
      </c>
      <c r="F329" s="2">
        <f>IFERROR(__xludf.DUMMYFUNCTION("""COMPUTED_VALUE"""),1.05063985E8)</f>
        <v>105063985</v>
      </c>
      <c r="G329" s="3">
        <f t="shared" si="1"/>
        <v>0.1362692956</v>
      </c>
    </row>
    <row r="330">
      <c r="A330" s="1">
        <f>IFERROR(__xludf.DUMMYFUNCTION("""COMPUTED_VALUE"""),43938.66666666667)</f>
        <v>43938.66667</v>
      </c>
      <c r="B330" s="2">
        <f>IFERROR(__xludf.DUMMYFUNCTION("""COMPUTED_VALUE"""),173.67)</f>
        <v>173.67</v>
      </c>
      <c r="C330" s="2">
        <f>IFERROR(__xludf.DUMMYFUNCTION("""COMPUTED_VALUE"""),181.23)</f>
        <v>181.23</v>
      </c>
      <c r="D330" s="2">
        <f>IFERROR(__xludf.DUMMYFUNCTION("""COMPUTED_VALUE"""),169.45)</f>
        <v>169.45</v>
      </c>
      <c r="E330" s="2">
        <f>IFERROR(__xludf.DUMMYFUNCTION("""COMPUTED_VALUE"""),179.24)</f>
        <v>179.24</v>
      </c>
      <c r="F330" s="2">
        <f>IFERROR(__xludf.DUMMYFUNCTION("""COMPUTED_VALUE"""),1.02358152E8)</f>
        <v>102358152</v>
      </c>
      <c r="G330" s="3">
        <f t="shared" si="1"/>
        <v>0.02311775786</v>
      </c>
    </row>
    <row r="331">
      <c r="A331" s="1">
        <f>IFERROR(__xludf.DUMMYFUNCTION("""COMPUTED_VALUE"""),43945.66666666667)</f>
        <v>43945.66667</v>
      </c>
      <c r="B331" s="2">
        <f>IFERROR(__xludf.DUMMYFUNCTION("""COMPUTED_VALUE"""),177.41)</f>
        <v>177.41</v>
      </c>
      <c r="C331" s="2">
        <f>IFERROR(__xludf.DUMMYFUNCTION("""COMPUTED_VALUE"""),190.41)</f>
        <v>190.41</v>
      </c>
      <c r="D331" s="2">
        <f>IFERROR(__xludf.DUMMYFUNCTION("""COMPUTED_VALUE"""),168.34)</f>
        <v>168.34</v>
      </c>
      <c r="E331" s="2">
        <f>IFERROR(__xludf.DUMMYFUNCTION("""COMPUTED_VALUE"""),190.07)</f>
        <v>190.07</v>
      </c>
      <c r="F331" s="2">
        <f>IFERROR(__xludf.DUMMYFUNCTION("""COMPUTED_VALUE"""),1.24626255E8)</f>
        <v>124626255</v>
      </c>
      <c r="G331" s="3">
        <f t="shared" si="1"/>
        <v>0.06042178085</v>
      </c>
    </row>
    <row r="332">
      <c r="A332" s="1">
        <f>IFERROR(__xludf.DUMMYFUNCTION("""COMPUTED_VALUE"""),43952.66666666667)</f>
        <v>43952.66667</v>
      </c>
      <c r="B332" s="2">
        <f>IFERROR(__xludf.DUMMYFUNCTION("""COMPUTED_VALUE"""),192.66)</f>
        <v>192.66</v>
      </c>
      <c r="C332" s="2">
        <f>IFERROR(__xludf.DUMMYFUNCTION("""COMPUTED_VALUE"""),209.69)</f>
        <v>209.69</v>
      </c>
      <c r="D332" s="2">
        <f>IFERROR(__xludf.DUMMYFUNCTION("""COMPUTED_VALUE"""),182.56)</f>
        <v>182.56</v>
      </c>
      <c r="E332" s="2">
        <f>IFERROR(__xludf.DUMMYFUNCTION("""COMPUTED_VALUE"""),202.27)</f>
        <v>202.27</v>
      </c>
      <c r="F332" s="2">
        <f>IFERROR(__xludf.DUMMYFUNCTION("""COMPUTED_VALUE"""),1.73528954E8)</f>
        <v>173528954</v>
      </c>
      <c r="G332" s="3">
        <f t="shared" si="1"/>
        <v>0.06418687852</v>
      </c>
    </row>
    <row r="333">
      <c r="A333" s="1">
        <f>IFERROR(__xludf.DUMMYFUNCTION("""COMPUTED_VALUE"""),43959.66666666667)</f>
        <v>43959.66667</v>
      </c>
      <c r="B333" s="2">
        <f>IFERROR(__xludf.DUMMYFUNCTION("""COMPUTED_VALUE"""),200.2)</f>
        <v>200.2</v>
      </c>
      <c r="C333" s="2">
        <f>IFERROR(__xludf.DUMMYFUNCTION("""COMPUTED_VALUE"""),213.21)</f>
        <v>213.21</v>
      </c>
      <c r="D333" s="2">
        <f>IFERROR(__xludf.DUMMYFUNCTION("""COMPUTED_VALUE"""),198.76)</f>
        <v>198.76</v>
      </c>
      <c r="E333" s="2">
        <f>IFERROR(__xludf.DUMMYFUNCTION("""COMPUTED_VALUE"""),212.35)</f>
        <v>212.35</v>
      </c>
      <c r="F333" s="2">
        <f>IFERROR(__xludf.DUMMYFUNCTION("""COMPUTED_VALUE"""),8.9854883E7)</f>
        <v>89854883</v>
      </c>
      <c r="G333" s="3">
        <f t="shared" si="1"/>
        <v>0.04983437979</v>
      </c>
    </row>
    <row r="334">
      <c r="A334" s="1">
        <f>IFERROR(__xludf.DUMMYFUNCTION("""COMPUTED_VALUE"""),43966.66666666667)</f>
        <v>43966.66667</v>
      </c>
      <c r="B334" s="2">
        <f>IFERROR(__xludf.DUMMYFUNCTION("""COMPUTED_VALUE"""),210.89)</f>
        <v>210.89</v>
      </c>
      <c r="C334" s="2">
        <f>IFERROR(__xludf.DUMMYFUNCTION("""COMPUTED_VALUE"""),215.28)</f>
        <v>215.28</v>
      </c>
      <c r="D334" s="2">
        <f>IFERROR(__xludf.DUMMYFUNCTION("""COMPUTED_VALUE"""),200.69)</f>
        <v>200.69</v>
      </c>
      <c r="E334" s="2">
        <f>IFERROR(__xludf.DUMMYFUNCTION("""COMPUTED_VALUE"""),210.88)</f>
        <v>210.88</v>
      </c>
      <c r="F334" s="2">
        <f>IFERROR(__xludf.DUMMYFUNCTION("""COMPUTED_VALUE"""),8.4863255E7)</f>
        <v>84863255</v>
      </c>
      <c r="G334" s="3">
        <f t="shared" si="1"/>
        <v>-0.006922533553</v>
      </c>
    </row>
    <row r="335">
      <c r="A335" s="1">
        <f>IFERROR(__xludf.DUMMYFUNCTION("""COMPUTED_VALUE"""),43973.66666666667)</f>
        <v>43973.66667</v>
      </c>
      <c r="B335" s="2">
        <f>IFERROR(__xludf.DUMMYFUNCTION("""COMPUTED_VALUE"""),212.15)</f>
        <v>212.15</v>
      </c>
      <c r="C335" s="2">
        <f>IFERROR(__xludf.DUMMYFUNCTION("""COMPUTED_VALUE"""),237.2)</f>
        <v>237.2</v>
      </c>
      <c r="D335" s="2">
        <f>IFERROR(__xludf.DUMMYFUNCTION("""COMPUTED_VALUE"""),210.94)</f>
        <v>210.94</v>
      </c>
      <c r="E335" s="2">
        <f>IFERROR(__xludf.DUMMYFUNCTION("""COMPUTED_VALUE"""),234.91)</f>
        <v>234.91</v>
      </c>
      <c r="F335" s="2">
        <f>IFERROR(__xludf.DUMMYFUNCTION("""COMPUTED_VALUE"""),1.8388167E8)</f>
        <v>183881670</v>
      </c>
      <c r="G335" s="3">
        <f t="shared" si="1"/>
        <v>0.1139510622</v>
      </c>
    </row>
    <row r="336">
      <c r="A336" s="1">
        <f>IFERROR(__xludf.DUMMYFUNCTION("""COMPUTED_VALUE"""),43980.66666666667)</f>
        <v>43980.66667</v>
      </c>
      <c r="B336" s="2">
        <f>IFERROR(__xludf.DUMMYFUNCTION("""COMPUTED_VALUE"""),239.77)</f>
        <v>239.77</v>
      </c>
      <c r="C336" s="2">
        <f>IFERROR(__xludf.DUMMYFUNCTION("""COMPUTED_VALUE"""),240.9)</f>
        <v>240.9</v>
      </c>
      <c r="D336" s="2">
        <f>IFERROR(__xludf.DUMMYFUNCTION("""COMPUTED_VALUE"""),221.13)</f>
        <v>221.13</v>
      </c>
      <c r="E336" s="2">
        <f>IFERROR(__xludf.DUMMYFUNCTION("""COMPUTED_VALUE"""),225.09)</f>
        <v>225.09</v>
      </c>
      <c r="F336" s="2">
        <f>IFERROR(__xludf.DUMMYFUNCTION("""COMPUTED_VALUE"""),1.2062136E8)</f>
        <v>120621360</v>
      </c>
      <c r="G336" s="3">
        <f t="shared" si="1"/>
        <v>-0.0418032438</v>
      </c>
    </row>
    <row r="337">
      <c r="A337" s="1">
        <f>IFERROR(__xludf.DUMMYFUNCTION("""COMPUTED_VALUE"""),43987.66666666667)</f>
        <v>43987.66667</v>
      </c>
      <c r="B337" s="2">
        <f>IFERROR(__xludf.DUMMYFUNCTION("""COMPUTED_VALUE"""),224.59)</f>
        <v>224.59</v>
      </c>
      <c r="C337" s="2">
        <f>IFERROR(__xludf.DUMMYFUNCTION("""COMPUTED_VALUE"""),233.0)</f>
        <v>233</v>
      </c>
      <c r="D337" s="2">
        <f>IFERROR(__xludf.DUMMYFUNCTION("""COMPUTED_VALUE"""),223.5)</f>
        <v>223.5</v>
      </c>
      <c r="E337" s="2">
        <f>IFERROR(__xludf.DUMMYFUNCTION("""COMPUTED_VALUE"""),230.77)</f>
        <v>230.77</v>
      </c>
      <c r="F337" s="2">
        <f>IFERROR(__xludf.DUMMYFUNCTION("""COMPUTED_VALUE"""),8.8315058E7)</f>
        <v>88315058</v>
      </c>
      <c r="G337" s="3">
        <f t="shared" si="1"/>
        <v>0.0252343507</v>
      </c>
    </row>
    <row r="338">
      <c r="A338" s="1">
        <f>IFERROR(__xludf.DUMMYFUNCTION("""COMPUTED_VALUE"""),43994.66666666667)</f>
        <v>43994.66667</v>
      </c>
      <c r="B338" s="2">
        <f>IFERROR(__xludf.DUMMYFUNCTION("""COMPUTED_VALUE"""),229.03)</f>
        <v>229.03</v>
      </c>
      <c r="C338" s="2">
        <f>IFERROR(__xludf.DUMMYFUNCTION("""COMPUTED_VALUE"""),241.21)</f>
        <v>241.21</v>
      </c>
      <c r="D338" s="2">
        <f>IFERROR(__xludf.DUMMYFUNCTION("""COMPUTED_VALUE"""),223.55)</f>
        <v>223.55</v>
      </c>
      <c r="E338" s="2">
        <f>IFERROR(__xludf.DUMMYFUNCTION("""COMPUTED_VALUE"""),228.58)</f>
        <v>228.58</v>
      </c>
      <c r="F338" s="2">
        <f>IFERROR(__xludf.DUMMYFUNCTION("""COMPUTED_VALUE"""),1.1244963E8)</f>
        <v>112449630</v>
      </c>
      <c r="G338" s="3">
        <f t="shared" si="1"/>
        <v>-0.009489968367</v>
      </c>
    </row>
    <row r="339">
      <c r="A339" s="1">
        <f>IFERROR(__xludf.DUMMYFUNCTION("""COMPUTED_VALUE"""),44001.66666666667)</f>
        <v>44001.66667</v>
      </c>
      <c r="B339" s="2">
        <f>IFERROR(__xludf.DUMMYFUNCTION("""COMPUTED_VALUE"""),225.09)</f>
        <v>225.09</v>
      </c>
      <c r="C339" s="2">
        <f>IFERROR(__xludf.DUMMYFUNCTION("""COMPUTED_VALUE"""),240.83)</f>
        <v>240.83</v>
      </c>
      <c r="D339" s="2">
        <f>IFERROR(__xludf.DUMMYFUNCTION("""COMPUTED_VALUE"""),224.8)</f>
        <v>224.8</v>
      </c>
      <c r="E339" s="2">
        <f>IFERROR(__xludf.DUMMYFUNCTION("""COMPUTED_VALUE"""),238.79)</f>
        <v>238.79</v>
      </c>
      <c r="F339" s="2">
        <f>IFERROR(__xludf.DUMMYFUNCTION("""COMPUTED_VALUE"""),9.6018823E7)</f>
        <v>96018823</v>
      </c>
      <c r="G339" s="3">
        <f t="shared" si="1"/>
        <v>0.04466707498</v>
      </c>
    </row>
    <row r="340">
      <c r="A340" s="1">
        <f>IFERROR(__xludf.DUMMYFUNCTION("""COMPUTED_VALUE"""),44008.66666666667)</f>
        <v>44008.66667</v>
      </c>
      <c r="B340" s="2">
        <f>IFERROR(__xludf.DUMMYFUNCTION("""COMPUTED_VALUE"""),238.56)</f>
        <v>238.56</v>
      </c>
      <c r="C340" s="2">
        <f>IFERROR(__xludf.DUMMYFUNCTION("""COMPUTED_VALUE"""),245.19)</f>
        <v>245.19</v>
      </c>
      <c r="D340" s="2">
        <f>IFERROR(__xludf.DUMMYFUNCTION("""COMPUTED_VALUE"""),215.4)</f>
        <v>215.4</v>
      </c>
      <c r="E340" s="2">
        <f>IFERROR(__xludf.DUMMYFUNCTION("""COMPUTED_VALUE"""),216.08)</f>
        <v>216.08</v>
      </c>
      <c r="F340" s="2">
        <f>IFERROR(__xludf.DUMMYFUNCTION("""COMPUTED_VALUE"""),1.58818879E8)</f>
        <v>158818879</v>
      </c>
      <c r="G340" s="3">
        <f t="shared" si="1"/>
        <v>-0.09510448511</v>
      </c>
    </row>
    <row r="341">
      <c r="A341" s="1">
        <f>IFERROR(__xludf.DUMMYFUNCTION("""COMPUTED_VALUE"""),44014.66666666667)</f>
        <v>44014.66667</v>
      </c>
      <c r="B341" s="2">
        <f>IFERROR(__xludf.DUMMYFUNCTION("""COMPUTED_VALUE"""),209.75)</f>
        <v>209.75</v>
      </c>
      <c r="C341" s="2">
        <f>IFERROR(__xludf.DUMMYFUNCTION("""COMPUTED_VALUE"""),240.0)</f>
        <v>240</v>
      </c>
      <c r="D341" s="2">
        <f>IFERROR(__xludf.DUMMYFUNCTION("""COMPUTED_VALUE"""),207.11)</f>
        <v>207.11</v>
      </c>
      <c r="E341" s="2">
        <f>IFERROR(__xludf.DUMMYFUNCTION("""COMPUTED_VALUE"""),233.42)</f>
        <v>233.42</v>
      </c>
      <c r="F341" s="2">
        <f>IFERROR(__xludf.DUMMYFUNCTION("""COMPUTED_VALUE"""),1.66474708E8)</f>
        <v>166474708</v>
      </c>
      <c r="G341" s="3">
        <f t="shared" si="1"/>
        <v>0.08024805628</v>
      </c>
    </row>
    <row r="342">
      <c r="A342" s="1">
        <f>IFERROR(__xludf.DUMMYFUNCTION("""COMPUTED_VALUE"""),44022.66666666667)</f>
        <v>44022.66667</v>
      </c>
      <c r="B342" s="2">
        <f>IFERROR(__xludf.DUMMYFUNCTION("""COMPUTED_VALUE"""),233.76)</f>
        <v>233.76</v>
      </c>
      <c r="C342" s="2">
        <f>IFERROR(__xludf.DUMMYFUNCTION("""COMPUTED_VALUE"""),247.65)</f>
        <v>247.65</v>
      </c>
      <c r="D342" s="2">
        <f>IFERROR(__xludf.DUMMYFUNCTION("""COMPUTED_VALUE"""),232.27)</f>
        <v>232.27</v>
      </c>
      <c r="E342" s="2">
        <f>IFERROR(__xludf.DUMMYFUNCTION("""COMPUTED_VALUE"""),245.07)</f>
        <v>245.07</v>
      </c>
      <c r="F342" s="2">
        <f>IFERROR(__xludf.DUMMYFUNCTION("""COMPUTED_VALUE"""),1.29042895E8)</f>
        <v>129042895</v>
      </c>
      <c r="G342" s="3">
        <f t="shared" si="1"/>
        <v>0.04991003342</v>
      </c>
    </row>
    <row r="343">
      <c r="A343" s="1">
        <f>IFERROR(__xludf.DUMMYFUNCTION("""COMPUTED_VALUE"""),44029.66666666667)</f>
        <v>44029.66667</v>
      </c>
      <c r="B343" s="2">
        <f>IFERROR(__xludf.DUMMYFUNCTION("""COMPUTED_VALUE"""),247.01)</f>
        <v>247.01</v>
      </c>
      <c r="C343" s="2">
        <f>IFERROR(__xludf.DUMMYFUNCTION("""COMPUTED_VALUE"""),250.15)</f>
        <v>250.15</v>
      </c>
      <c r="D343" s="2">
        <f>IFERROR(__xludf.DUMMYFUNCTION("""COMPUTED_VALUE"""),232.03)</f>
        <v>232.03</v>
      </c>
      <c r="E343" s="2">
        <f>IFERROR(__xludf.DUMMYFUNCTION("""COMPUTED_VALUE"""),242.03)</f>
        <v>242.03</v>
      </c>
      <c r="F343" s="2">
        <f>IFERROR(__xludf.DUMMYFUNCTION("""COMPUTED_VALUE"""),1.0421961E8)</f>
        <v>104219610</v>
      </c>
      <c r="G343" s="3">
        <f t="shared" si="1"/>
        <v>-0.01240461909</v>
      </c>
    </row>
    <row r="344">
      <c r="A344" s="1">
        <f>IFERROR(__xludf.DUMMYFUNCTION("""COMPUTED_VALUE"""),44036.66666666667)</f>
        <v>44036.66667</v>
      </c>
      <c r="B344" s="2">
        <f>IFERROR(__xludf.DUMMYFUNCTION("""COMPUTED_VALUE"""),240.06)</f>
        <v>240.06</v>
      </c>
      <c r="C344" s="2">
        <f>IFERROR(__xludf.DUMMYFUNCTION("""COMPUTED_VALUE"""),246.91)</f>
        <v>246.91</v>
      </c>
      <c r="D344" s="2">
        <f>IFERROR(__xludf.DUMMYFUNCTION("""COMPUTED_VALUE"""),226.9)</f>
        <v>226.9</v>
      </c>
      <c r="E344" s="2">
        <f>IFERROR(__xludf.DUMMYFUNCTION("""COMPUTED_VALUE"""),230.71)</f>
        <v>230.71</v>
      </c>
      <c r="F344" s="2">
        <f>IFERROR(__xludf.DUMMYFUNCTION("""COMPUTED_VALUE"""),9.580741E7)</f>
        <v>95807410</v>
      </c>
      <c r="G344" s="3">
        <f t="shared" si="1"/>
        <v>-0.04677106144</v>
      </c>
    </row>
    <row r="345">
      <c r="A345" s="1">
        <f>IFERROR(__xludf.DUMMYFUNCTION("""COMPUTED_VALUE"""),44043.66666666667)</f>
        <v>44043.66667</v>
      </c>
      <c r="B345" s="2">
        <f>IFERROR(__xludf.DUMMYFUNCTION("""COMPUTED_VALUE"""),231.46)</f>
        <v>231.46</v>
      </c>
      <c r="C345" s="2">
        <f>IFERROR(__xludf.DUMMYFUNCTION("""COMPUTED_VALUE"""),255.85)</f>
        <v>255.85</v>
      </c>
      <c r="D345" s="2">
        <f>IFERROR(__xludf.DUMMYFUNCTION("""COMPUTED_VALUE"""),229.0)</f>
        <v>229</v>
      </c>
      <c r="E345" s="2">
        <f>IFERROR(__xludf.DUMMYFUNCTION("""COMPUTED_VALUE"""),253.67)</f>
        <v>253.67</v>
      </c>
      <c r="F345" s="2">
        <f>IFERROR(__xludf.DUMMYFUNCTION("""COMPUTED_VALUE"""),1.14566855E8)</f>
        <v>114566855</v>
      </c>
      <c r="G345" s="3">
        <f t="shared" si="1"/>
        <v>0.09951887651</v>
      </c>
    </row>
    <row r="346">
      <c r="A346" s="1">
        <f>IFERROR(__xludf.DUMMYFUNCTION("""COMPUTED_VALUE"""),44050.66666666667)</f>
        <v>44050.66667</v>
      </c>
      <c r="B346" s="2">
        <f>IFERROR(__xludf.DUMMYFUNCTION("""COMPUTED_VALUE"""),252.65)</f>
        <v>252.65</v>
      </c>
      <c r="C346" s="2">
        <f>IFERROR(__xludf.DUMMYFUNCTION("""COMPUTED_VALUE"""),278.89)</f>
        <v>278.89</v>
      </c>
      <c r="D346" s="2">
        <f>IFERROR(__xludf.DUMMYFUNCTION("""COMPUTED_VALUE"""),247.43)</f>
        <v>247.43</v>
      </c>
      <c r="E346" s="2">
        <f>IFERROR(__xludf.DUMMYFUNCTION("""COMPUTED_VALUE"""),268.44)</f>
        <v>268.44</v>
      </c>
      <c r="F346" s="2">
        <f>IFERROR(__xludf.DUMMYFUNCTION("""COMPUTED_VALUE"""),1.71413972E8)</f>
        <v>171413972</v>
      </c>
      <c r="G346" s="3">
        <f t="shared" si="1"/>
        <v>0.05822525328</v>
      </c>
    </row>
    <row r="347">
      <c r="A347" s="1">
        <f>IFERROR(__xludf.DUMMYFUNCTION("""COMPUTED_VALUE"""),44057.66666666667)</f>
        <v>44057.66667</v>
      </c>
      <c r="B347" s="2">
        <f>IFERROR(__xludf.DUMMYFUNCTION("""COMPUTED_VALUE"""),268.04)</f>
        <v>268.04</v>
      </c>
      <c r="C347" s="2">
        <f>IFERROR(__xludf.DUMMYFUNCTION("""COMPUTED_VALUE"""),273.86)</f>
        <v>273.86</v>
      </c>
      <c r="D347" s="2">
        <f>IFERROR(__xludf.DUMMYFUNCTION("""COMPUTED_VALUE"""),255.13)</f>
        <v>255.13</v>
      </c>
      <c r="E347" s="2">
        <f>IFERROR(__xludf.DUMMYFUNCTION("""COMPUTED_VALUE"""),261.24)</f>
        <v>261.24</v>
      </c>
      <c r="F347" s="2">
        <f>IFERROR(__xludf.DUMMYFUNCTION("""COMPUTED_VALUE"""),1.12082116E8)</f>
        <v>112082116</v>
      </c>
      <c r="G347" s="3">
        <f t="shared" si="1"/>
        <v>-0.02682163612</v>
      </c>
    </row>
    <row r="348">
      <c r="A348" s="1">
        <f>IFERROR(__xludf.DUMMYFUNCTION("""COMPUTED_VALUE"""),44064.66666666667)</f>
        <v>44064.66667</v>
      </c>
      <c r="B348" s="2">
        <f>IFERROR(__xludf.DUMMYFUNCTION("""COMPUTED_VALUE"""),262.5)</f>
        <v>262.5</v>
      </c>
      <c r="C348" s="2">
        <f>IFERROR(__xludf.DUMMYFUNCTION("""COMPUTED_VALUE"""),270.49)</f>
        <v>270.49</v>
      </c>
      <c r="D348" s="2">
        <f>IFERROR(__xludf.DUMMYFUNCTION("""COMPUTED_VALUE"""),259.26)</f>
        <v>259.26</v>
      </c>
      <c r="E348" s="2">
        <f>IFERROR(__xludf.DUMMYFUNCTION("""COMPUTED_VALUE"""),267.01)</f>
        <v>267.01</v>
      </c>
      <c r="F348" s="2">
        <f>IFERROR(__xludf.DUMMYFUNCTION("""COMPUTED_VALUE"""),9.1171211E7)</f>
        <v>91171211</v>
      </c>
      <c r="G348" s="3">
        <f t="shared" si="1"/>
        <v>0.02208696984</v>
      </c>
    </row>
    <row r="349">
      <c r="A349" s="1">
        <f>IFERROR(__xludf.DUMMYFUNCTION("""COMPUTED_VALUE"""),44071.66666666667)</f>
        <v>44071.66667</v>
      </c>
      <c r="B349" s="2">
        <f>IFERROR(__xludf.DUMMYFUNCTION("""COMPUTED_VALUE"""),271.07)</f>
        <v>271.07</v>
      </c>
      <c r="C349" s="2">
        <f>IFERROR(__xludf.DUMMYFUNCTION("""COMPUTED_VALUE"""),304.67)</f>
        <v>304.67</v>
      </c>
      <c r="D349" s="2">
        <f>IFERROR(__xludf.DUMMYFUNCTION("""COMPUTED_VALUE"""),268.77)</f>
        <v>268.77</v>
      </c>
      <c r="E349" s="2">
        <f>IFERROR(__xludf.DUMMYFUNCTION("""COMPUTED_VALUE"""),293.66)</f>
        <v>293.66</v>
      </c>
      <c r="F349" s="2">
        <f>IFERROR(__xludf.DUMMYFUNCTION("""COMPUTED_VALUE"""),1.82301718E8)</f>
        <v>182301718</v>
      </c>
      <c r="G349" s="3">
        <f t="shared" si="1"/>
        <v>0.09980899592</v>
      </c>
    </row>
    <row r="350">
      <c r="A350" s="1">
        <f>IFERROR(__xludf.DUMMYFUNCTION("""COMPUTED_VALUE"""),44078.66666666667)</f>
        <v>44078.66667</v>
      </c>
      <c r="B350" s="2">
        <f>IFERROR(__xludf.DUMMYFUNCTION("""COMPUTED_VALUE"""),293.95)</f>
        <v>293.95</v>
      </c>
      <c r="C350" s="2">
        <f>IFERROR(__xludf.DUMMYFUNCTION("""COMPUTED_VALUE"""),303.6)</f>
        <v>303.6</v>
      </c>
      <c r="D350" s="2">
        <f>IFERROR(__xludf.DUMMYFUNCTION("""COMPUTED_VALUE"""),271.14)</f>
        <v>271.14</v>
      </c>
      <c r="E350" s="2">
        <f>IFERROR(__xludf.DUMMYFUNCTION("""COMPUTED_VALUE"""),282.73)</f>
        <v>282.73</v>
      </c>
      <c r="F350" s="2">
        <f>IFERROR(__xludf.DUMMYFUNCTION("""COMPUTED_VALUE"""),1.21635138E8)</f>
        <v>121635138</v>
      </c>
      <c r="G350" s="3">
        <f t="shared" si="1"/>
        <v>-0.03721991419</v>
      </c>
    </row>
    <row r="351">
      <c r="A351" s="1">
        <f>IFERROR(__xludf.DUMMYFUNCTION("""COMPUTED_VALUE"""),44085.66666666667)</f>
        <v>44085.66667</v>
      </c>
      <c r="B351" s="2">
        <f>IFERROR(__xludf.DUMMYFUNCTION("""COMPUTED_VALUE"""),271.28)</f>
        <v>271.28</v>
      </c>
      <c r="C351" s="2">
        <f>IFERROR(__xludf.DUMMYFUNCTION("""COMPUTED_VALUE"""),279.3)</f>
        <v>279.3</v>
      </c>
      <c r="D351" s="2">
        <f>IFERROR(__xludf.DUMMYFUNCTION("""COMPUTED_VALUE"""),262.64)</f>
        <v>262.64</v>
      </c>
      <c r="E351" s="2">
        <f>IFERROR(__xludf.DUMMYFUNCTION("""COMPUTED_VALUE"""),266.61)</f>
        <v>266.61</v>
      </c>
      <c r="F351" s="2">
        <f>IFERROR(__xludf.DUMMYFUNCTION("""COMPUTED_VALUE"""),9.1511318E7)</f>
        <v>91511318</v>
      </c>
      <c r="G351" s="3">
        <f t="shared" si="1"/>
        <v>-0.05701552718</v>
      </c>
    </row>
    <row r="352">
      <c r="A352" s="1">
        <f>IFERROR(__xludf.DUMMYFUNCTION("""COMPUTED_VALUE"""),44092.66666666667)</f>
        <v>44092.66667</v>
      </c>
      <c r="B352" s="2">
        <f>IFERROR(__xludf.DUMMYFUNCTION("""COMPUTED_VALUE"""),270.95)</f>
        <v>270.95</v>
      </c>
      <c r="C352" s="2">
        <f>IFERROR(__xludf.DUMMYFUNCTION("""COMPUTED_VALUE"""),276.64)</f>
        <v>276.64</v>
      </c>
      <c r="D352" s="2">
        <f>IFERROR(__xludf.DUMMYFUNCTION("""COMPUTED_VALUE"""),250.05)</f>
        <v>250.05</v>
      </c>
      <c r="E352" s="2">
        <f>IFERROR(__xludf.DUMMYFUNCTION("""COMPUTED_VALUE"""),252.53)</f>
        <v>252.53</v>
      </c>
      <c r="F352" s="2">
        <f>IFERROR(__xludf.DUMMYFUNCTION("""COMPUTED_VALUE"""),1.31192162E8)</f>
        <v>131192162</v>
      </c>
      <c r="G352" s="3">
        <f t="shared" si="1"/>
        <v>-0.05281122238</v>
      </c>
    </row>
    <row r="353">
      <c r="A353" s="1">
        <f>IFERROR(__xludf.DUMMYFUNCTION("""COMPUTED_VALUE"""),44099.66666666667)</f>
        <v>44099.66667</v>
      </c>
      <c r="B353" s="2">
        <f>IFERROR(__xludf.DUMMYFUNCTION("""COMPUTED_VALUE"""),247.54)</f>
        <v>247.54</v>
      </c>
      <c r="C353" s="2">
        <f>IFERROR(__xludf.DUMMYFUNCTION("""COMPUTED_VALUE"""),257.99)</f>
        <v>257.99</v>
      </c>
      <c r="D353" s="2">
        <f>IFERROR(__xludf.DUMMYFUNCTION("""COMPUTED_VALUE"""),244.13)</f>
        <v>244.13</v>
      </c>
      <c r="E353" s="2">
        <f>IFERROR(__xludf.DUMMYFUNCTION("""COMPUTED_VALUE"""),254.82)</f>
        <v>254.82</v>
      </c>
      <c r="F353" s="2">
        <f>IFERROR(__xludf.DUMMYFUNCTION("""COMPUTED_VALUE"""),1.13001808E8)</f>
        <v>113001808</v>
      </c>
      <c r="G353" s="3">
        <f t="shared" si="1"/>
        <v>0.009068229517</v>
      </c>
    </row>
    <row r="354">
      <c r="A354" s="1">
        <f>IFERROR(__xludf.DUMMYFUNCTION("""COMPUTED_VALUE"""),44106.66666666667)</f>
        <v>44106.66667</v>
      </c>
      <c r="B354" s="2">
        <f>IFERROR(__xludf.DUMMYFUNCTION("""COMPUTED_VALUE"""),259.4)</f>
        <v>259.4</v>
      </c>
      <c r="C354" s="2">
        <f>IFERROR(__xludf.DUMMYFUNCTION("""COMPUTED_VALUE"""),268.33)</f>
        <v>268.33</v>
      </c>
      <c r="D354" s="2">
        <f>IFERROR(__xludf.DUMMYFUNCTION("""COMPUTED_VALUE"""),254.82)</f>
        <v>254.82</v>
      </c>
      <c r="E354" s="2">
        <f>IFERROR(__xludf.DUMMYFUNCTION("""COMPUTED_VALUE"""),259.94)</f>
        <v>259.94</v>
      </c>
      <c r="F354" s="2">
        <f>IFERROR(__xludf.DUMMYFUNCTION("""COMPUTED_VALUE"""),9.5561702E7)</f>
        <v>95561702</v>
      </c>
      <c r="G354" s="3">
        <f t="shared" si="1"/>
        <v>0.02009261439</v>
      </c>
    </row>
    <row r="355">
      <c r="A355" s="1">
        <f>IFERROR(__xludf.DUMMYFUNCTION("""COMPUTED_VALUE"""),44113.66666666667)</f>
        <v>44113.66667</v>
      </c>
      <c r="B355" s="2">
        <f>IFERROR(__xludf.DUMMYFUNCTION("""COMPUTED_VALUE"""),262.2)</f>
        <v>262.2</v>
      </c>
      <c r="C355" s="2">
        <f>IFERROR(__xludf.DUMMYFUNCTION("""COMPUTED_VALUE"""),265.69)</f>
        <v>265.69</v>
      </c>
      <c r="D355" s="2">
        <f>IFERROR(__xludf.DUMMYFUNCTION("""COMPUTED_VALUE"""),254.82)</f>
        <v>254.82</v>
      </c>
      <c r="E355" s="2">
        <f>IFERROR(__xludf.DUMMYFUNCTION("""COMPUTED_VALUE"""),264.45)</f>
        <v>264.45</v>
      </c>
      <c r="F355" s="2">
        <f>IFERROR(__xludf.DUMMYFUNCTION("""COMPUTED_VALUE"""),8.5073151E7)</f>
        <v>85073151</v>
      </c>
      <c r="G355" s="3">
        <f t="shared" si="1"/>
        <v>0.01735015773</v>
      </c>
    </row>
    <row r="356">
      <c r="A356" s="1">
        <f>IFERROR(__xludf.DUMMYFUNCTION("""COMPUTED_VALUE"""),44120.66666666667)</f>
        <v>44120.66667</v>
      </c>
      <c r="B356" s="2">
        <f>IFERROR(__xludf.DUMMYFUNCTION("""COMPUTED_VALUE"""),270.2)</f>
        <v>270.2</v>
      </c>
      <c r="C356" s="2">
        <f>IFERROR(__xludf.DUMMYFUNCTION("""COMPUTED_VALUE"""),280.18)</f>
        <v>280.18</v>
      </c>
      <c r="D356" s="2">
        <f>IFERROR(__xludf.DUMMYFUNCTION("""COMPUTED_VALUE"""),263.67)</f>
        <v>263.67</v>
      </c>
      <c r="E356" s="2">
        <f>IFERROR(__xludf.DUMMYFUNCTION("""COMPUTED_VALUE"""),265.93)</f>
        <v>265.93</v>
      </c>
      <c r="F356" s="2">
        <f>IFERROR(__xludf.DUMMYFUNCTION("""COMPUTED_VALUE"""),9.6722519E7)</f>
        <v>96722519</v>
      </c>
      <c r="G356" s="3">
        <f t="shared" si="1"/>
        <v>0.005596521081</v>
      </c>
    </row>
    <row r="357">
      <c r="A357" s="1">
        <f>IFERROR(__xludf.DUMMYFUNCTION("""COMPUTED_VALUE"""),44127.66666666667)</f>
        <v>44127.66667</v>
      </c>
      <c r="B357" s="2">
        <f>IFERROR(__xludf.DUMMYFUNCTION("""COMPUTED_VALUE"""),265.53)</f>
        <v>265.53</v>
      </c>
      <c r="C357" s="2">
        <f>IFERROR(__xludf.DUMMYFUNCTION("""COMPUTED_VALUE"""),285.24)</f>
        <v>285.24</v>
      </c>
      <c r="D357" s="2">
        <f>IFERROR(__xludf.DUMMYFUNCTION("""COMPUTED_VALUE"""),259.88)</f>
        <v>259.88</v>
      </c>
      <c r="E357" s="2">
        <f>IFERROR(__xludf.DUMMYFUNCTION("""COMPUTED_VALUE"""),284.79)</f>
        <v>284.79</v>
      </c>
      <c r="F357" s="2">
        <f>IFERROR(__xludf.DUMMYFUNCTION("""COMPUTED_VALUE"""),9.560402E7)</f>
        <v>95604020</v>
      </c>
      <c r="G357" s="3">
        <f t="shared" si="1"/>
        <v>0.07092091904</v>
      </c>
    </row>
    <row r="358">
      <c r="A358" s="1">
        <f>IFERROR(__xludf.DUMMYFUNCTION("""COMPUTED_VALUE"""),44134.66666666667)</f>
        <v>44134.66667</v>
      </c>
      <c r="B358" s="2">
        <f>IFERROR(__xludf.DUMMYFUNCTION("""COMPUTED_VALUE"""),283.16)</f>
        <v>283.16</v>
      </c>
      <c r="C358" s="2">
        <f>IFERROR(__xludf.DUMMYFUNCTION("""COMPUTED_VALUE"""),285.23)</f>
        <v>285.23</v>
      </c>
      <c r="D358" s="2">
        <f>IFERROR(__xludf.DUMMYFUNCTION("""COMPUTED_VALUE"""),259.1)</f>
        <v>259.1</v>
      </c>
      <c r="E358" s="2">
        <f>IFERROR(__xludf.DUMMYFUNCTION("""COMPUTED_VALUE"""),263.11)</f>
        <v>263.11</v>
      </c>
      <c r="F358" s="2">
        <f>IFERROR(__xludf.DUMMYFUNCTION("""COMPUTED_VALUE"""),1.40399102E8)</f>
        <v>140399102</v>
      </c>
      <c r="G358" s="3">
        <f t="shared" si="1"/>
        <v>-0.07612626848</v>
      </c>
    </row>
    <row r="359">
      <c r="A359" s="1">
        <f>IFERROR(__xludf.DUMMYFUNCTION("""COMPUTED_VALUE"""),44141.66666666667)</f>
        <v>44141.66667</v>
      </c>
      <c r="B359" s="2">
        <f>IFERROR(__xludf.DUMMYFUNCTION("""COMPUTED_VALUE"""),264.6)</f>
        <v>264.6</v>
      </c>
      <c r="C359" s="2">
        <f>IFERROR(__xludf.DUMMYFUNCTION("""COMPUTED_VALUE"""),297.38)</f>
        <v>297.38</v>
      </c>
      <c r="D359" s="2">
        <f>IFERROR(__xludf.DUMMYFUNCTION("""COMPUTED_VALUE"""),257.34)</f>
        <v>257.34</v>
      </c>
      <c r="E359" s="2">
        <f>IFERROR(__xludf.DUMMYFUNCTION("""COMPUTED_VALUE"""),293.41)</f>
        <v>293.41</v>
      </c>
      <c r="F359" s="2">
        <f>IFERROR(__xludf.DUMMYFUNCTION("""COMPUTED_VALUE"""),1.18206569E8)</f>
        <v>118206569</v>
      </c>
      <c r="G359" s="3">
        <f t="shared" si="1"/>
        <v>0.1151609593</v>
      </c>
    </row>
    <row r="360">
      <c r="A360" s="1">
        <f>IFERROR(__xludf.DUMMYFUNCTION("""COMPUTED_VALUE"""),44148.66666666667)</f>
        <v>44148.66667</v>
      </c>
      <c r="B360" s="2">
        <f>IFERROR(__xludf.DUMMYFUNCTION("""COMPUTED_VALUE"""),289.87)</f>
        <v>289.87</v>
      </c>
      <c r="C360" s="2">
        <f>IFERROR(__xludf.DUMMYFUNCTION("""COMPUTED_VALUE"""),292.58)</f>
        <v>292.58</v>
      </c>
      <c r="D360" s="2">
        <f>IFERROR(__xludf.DUMMYFUNCTION("""COMPUTED_VALUE"""),264.0)</f>
        <v>264</v>
      </c>
      <c r="E360" s="2">
        <f>IFERROR(__xludf.DUMMYFUNCTION("""COMPUTED_VALUE"""),276.95)</f>
        <v>276.95</v>
      </c>
      <c r="F360" s="2">
        <f>IFERROR(__xludf.DUMMYFUNCTION("""COMPUTED_VALUE"""),9.2456598E7)</f>
        <v>92456598</v>
      </c>
      <c r="G360" s="3">
        <f t="shared" si="1"/>
        <v>-0.05609897413</v>
      </c>
    </row>
    <row r="361">
      <c r="A361" s="1">
        <f>IFERROR(__xludf.DUMMYFUNCTION("""COMPUTED_VALUE"""),44155.66666666667)</f>
        <v>44155.66667</v>
      </c>
      <c r="B361" s="2">
        <f>IFERROR(__xludf.DUMMYFUNCTION("""COMPUTED_VALUE"""),275.05)</f>
        <v>275.05</v>
      </c>
      <c r="C361" s="2">
        <f>IFERROR(__xludf.DUMMYFUNCTION("""COMPUTED_VALUE"""),279.41)</f>
        <v>279.41</v>
      </c>
      <c r="D361" s="2">
        <f>IFERROR(__xludf.DUMMYFUNCTION("""COMPUTED_VALUE"""),269.19)</f>
        <v>269.19</v>
      </c>
      <c r="E361" s="2">
        <f>IFERROR(__xludf.DUMMYFUNCTION("""COMPUTED_VALUE"""),269.7)</f>
        <v>269.7</v>
      </c>
      <c r="F361" s="2">
        <f>IFERROR(__xludf.DUMMYFUNCTION("""COMPUTED_VALUE"""),7.1249664E7)</f>
        <v>71249664</v>
      </c>
      <c r="G361" s="3">
        <f t="shared" si="1"/>
        <v>-0.02617801047</v>
      </c>
    </row>
    <row r="362">
      <c r="A362" s="1">
        <f>IFERROR(__xludf.DUMMYFUNCTION("""COMPUTED_VALUE"""),44162.54166666667)</f>
        <v>44162.54167</v>
      </c>
      <c r="B362" s="2">
        <f>IFERROR(__xludf.DUMMYFUNCTION("""COMPUTED_VALUE"""),270.89)</f>
        <v>270.89</v>
      </c>
      <c r="C362" s="2">
        <f>IFERROR(__xludf.DUMMYFUNCTION("""COMPUTED_VALUE"""),280.18)</f>
        <v>280.18</v>
      </c>
      <c r="D362" s="2">
        <f>IFERROR(__xludf.DUMMYFUNCTION("""COMPUTED_VALUE"""),264.53)</f>
        <v>264.53</v>
      </c>
      <c r="E362" s="2">
        <f>IFERROR(__xludf.DUMMYFUNCTION("""COMPUTED_VALUE"""),277.81)</f>
        <v>277.81</v>
      </c>
      <c r="F362" s="2">
        <f>IFERROR(__xludf.DUMMYFUNCTION("""COMPUTED_VALUE"""),5.8196645E7)</f>
        <v>58196645</v>
      </c>
      <c r="G362" s="3">
        <f t="shared" si="1"/>
        <v>0.03007044865</v>
      </c>
    </row>
    <row r="363">
      <c r="A363" s="1">
        <f>IFERROR(__xludf.DUMMYFUNCTION("""COMPUTED_VALUE"""),44169.66666666667)</f>
        <v>44169.66667</v>
      </c>
      <c r="B363" s="2">
        <f>IFERROR(__xludf.DUMMYFUNCTION("""COMPUTED_VALUE"""),276.03)</f>
        <v>276.03</v>
      </c>
      <c r="C363" s="2">
        <f>IFERROR(__xludf.DUMMYFUNCTION("""COMPUTED_VALUE"""),291.78)</f>
        <v>291.78</v>
      </c>
      <c r="D363" s="2">
        <f>IFERROR(__xludf.DUMMYFUNCTION("""COMPUTED_VALUE"""),271.01)</f>
        <v>271.01</v>
      </c>
      <c r="E363" s="2">
        <f>IFERROR(__xludf.DUMMYFUNCTION("""COMPUTED_VALUE"""),279.7)</f>
        <v>279.7</v>
      </c>
      <c r="F363" s="2">
        <f>IFERROR(__xludf.DUMMYFUNCTION("""COMPUTED_VALUE"""),7.8634859E7)</f>
        <v>78634859</v>
      </c>
      <c r="G363" s="3">
        <f t="shared" si="1"/>
        <v>0.006803210828</v>
      </c>
    </row>
    <row r="364">
      <c r="A364" s="1">
        <f>IFERROR(__xludf.DUMMYFUNCTION("""COMPUTED_VALUE"""),44176.66666666667)</f>
        <v>44176.66667</v>
      </c>
      <c r="B364" s="2">
        <f>IFERROR(__xludf.DUMMYFUNCTION("""COMPUTED_VALUE"""),279.19)</f>
        <v>279.19</v>
      </c>
      <c r="C364" s="2">
        <f>IFERROR(__xludf.DUMMYFUNCTION("""COMPUTED_VALUE"""),288.49)</f>
        <v>288.49</v>
      </c>
      <c r="D364" s="2">
        <f>IFERROR(__xludf.DUMMYFUNCTION("""COMPUTED_VALUE"""),270.25)</f>
        <v>270.25</v>
      </c>
      <c r="E364" s="2">
        <f>IFERROR(__xludf.DUMMYFUNCTION("""COMPUTED_VALUE"""),273.55)</f>
        <v>273.55</v>
      </c>
      <c r="F364" s="2">
        <f>IFERROR(__xludf.DUMMYFUNCTION("""COMPUTED_VALUE"""),8.3401514E7)</f>
        <v>83401514</v>
      </c>
      <c r="G364" s="3">
        <f t="shared" si="1"/>
        <v>-0.02198784412</v>
      </c>
    </row>
    <row r="365">
      <c r="A365" s="1">
        <f>IFERROR(__xludf.DUMMYFUNCTION("""COMPUTED_VALUE"""),44183.66666666667)</f>
        <v>44183.66667</v>
      </c>
      <c r="B365" s="2">
        <f>IFERROR(__xludf.DUMMYFUNCTION("""COMPUTED_VALUE"""),273.37)</f>
        <v>273.37</v>
      </c>
      <c r="C365" s="2">
        <f>IFERROR(__xludf.DUMMYFUNCTION("""COMPUTED_VALUE"""),280.44)</f>
        <v>280.44</v>
      </c>
      <c r="D365" s="2">
        <f>IFERROR(__xludf.DUMMYFUNCTION("""COMPUTED_VALUE"""),267.47)</f>
        <v>267.47</v>
      </c>
      <c r="E365" s="2">
        <f>IFERROR(__xludf.DUMMYFUNCTION("""COMPUTED_VALUE"""),276.4)</f>
        <v>276.4</v>
      </c>
      <c r="F365" s="2">
        <f>IFERROR(__xludf.DUMMYFUNCTION("""COMPUTED_VALUE"""),9.9312433E7)</f>
        <v>99312433</v>
      </c>
      <c r="G365" s="3">
        <f t="shared" si="1"/>
        <v>0.01041857065</v>
      </c>
    </row>
    <row r="366">
      <c r="A366" s="1">
        <f>IFERROR(__xludf.DUMMYFUNCTION("""COMPUTED_VALUE"""),44189.54166666667)</f>
        <v>44189.54167</v>
      </c>
      <c r="B366" s="2">
        <f>IFERROR(__xludf.DUMMYFUNCTION("""COMPUTED_VALUE"""),272.98)</f>
        <v>272.98</v>
      </c>
      <c r="C366" s="2">
        <f>IFERROR(__xludf.DUMMYFUNCTION("""COMPUTED_VALUE"""),274.67)</f>
        <v>274.67</v>
      </c>
      <c r="D366" s="2">
        <f>IFERROR(__xludf.DUMMYFUNCTION("""COMPUTED_VALUE"""),264.63)</f>
        <v>264.63</v>
      </c>
      <c r="E366" s="2">
        <f>IFERROR(__xludf.DUMMYFUNCTION("""COMPUTED_VALUE"""),267.4)</f>
        <v>267.4</v>
      </c>
      <c r="F366" s="2">
        <f>IFERROR(__xludf.DUMMYFUNCTION("""COMPUTED_VALUE"""),5.491981E7)</f>
        <v>54919810</v>
      </c>
      <c r="G366" s="3">
        <f t="shared" si="1"/>
        <v>-0.03256150507</v>
      </c>
    </row>
    <row r="367">
      <c r="A367" s="1">
        <f>IFERROR(__xludf.DUMMYFUNCTION("""COMPUTED_VALUE"""),44196.66666666667)</f>
        <v>44196.66667</v>
      </c>
      <c r="B367" s="2">
        <f>IFERROR(__xludf.DUMMYFUNCTION("""COMPUTED_VALUE"""),268.74)</f>
        <v>268.74</v>
      </c>
      <c r="C367" s="2">
        <f>IFERROR(__xludf.DUMMYFUNCTION("""COMPUTED_VALUE"""),280.51)</f>
        <v>280.51</v>
      </c>
      <c r="D367" s="2">
        <f>IFERROR(__xludf.DUMMYFUNCTION("""COMPUTED_VALUE"""),265.66)</f>
        <v>265.66</v>
      </c>
      <c r="E367" s="2">
        <f>IFERROR(__xludf.DUMMYFUNCTION("""COMPUTED_VALUE"""),273.16)</f>
        <v>273.16</v>
      </c>
      <c r="F367" s="2">
        <f>IFERROR(__xludf.DUMMYFUNCTION("""COMPUTED_VALUE"""),6.4386905E7)</f>
        <v>64386905</v>
      </c>
      <c r="G367" s="3">
        <f t="shared" si="1"/>
        <v>0.0215407629</v>
      </c>
    </row>
    <row r="368">
      <c r="A368" s="1"/>
      <c r="G368" s="3"/>
    </row>
    <row r="369">
      <c r="A369" s="1"/>
      <c r="G369" s="3"/>
    </row>
    <row r="370">
      <c r="A370" s="1"/>
      <c r="G370" s="3"/>
    </row>
    <row r="371">
      <c r="A371" s="1"/>
      <c r="G371" s="3"/>
    </row>
    <row r="372">
      <c r="A372" s="1"/>
      <c r="G372" s="3"/>
    </row>
    <row r="373">
      <c r="A373" s="1"/>
      <c r="G373" s="3"/>
    </row>
    <row r="374">
      <c r="A374" s="1"/>
      <c r="G374" s="3"/>
    </row>
    <row r="375">
      <c r="A375" s="1"/>
      <c r="G375" s="3"/>
    </row>
    <row r="376">
      <c r="A376" s="1"/>
      <c r="G376" s="3"/>
    </row>
    <row r="377">
      <c r="A377" s="1"/>
      <c r="G377" s="3"/>
    </row>
    <row r="378">
      <c r="A378" s="1"/>
      <c r="G378" s="3"/>
    </row>
    <row r="379">
      <c r="A379" s="1"/>
      <c r="G379" s="3"/>
    </row>
    <row r="380">
      <c r="A380" s="1"/>
      <c r="G380" s="3"/>
    </row>
    <row r="381">
      <c r="A381" s="1"/>
      <c r="G381" s="3"/>
    </row>
    <row r="382">
      <c r="A382" s="1"/>
      <c r="G382" s="3"/>
    </row>
    <row r="383">
      <c r="A383" s="1"/>
      <c r="G383" s="3"/>
    </row>
    <row r="384">
      <c r="A384" s="1"/>
      <c r="G384" s="3"/>
    </row>
    <row r="385">
      <c r="A385" s="1"/>
      <c r="G385" s="3"/>
    </row>
    <row r="386">
      <c r="A386" s="1"/>
      <c r="G386" s="3"/>
    </row>
    <row r="387">
      <c r="A387" s="1"/>
      <c r="G387" s="3"/>
    </row>
    <row r="388">
      <c r="A388" s="1"/>
      <c r="G388" s="3"/>
    </row>
    <row r="389">
      <c r="A389" s="1"/>
      <c r="G389" s="3"/>
    </row>
    <row r="390">
      <c r="A390" s="1"/>
      <c r="G390" s="3"/>
    </row>
    <row r="391">
      <c r="A391" s="1"/>
      <c r="G391" s="3"/>
    </row>
    <row r="392">
      <c r="A392" s="1"/>
      <c r="G392" s="3"/>
    </row>
    <row r="393">
      <c r="A393" s="1"/>
      <c r="G393" s="3"/>
    </row>
    <row r="394">
      <c r="A394" s="1"/>
      <c r="G394" s="3"/>
    </row>
    <row r="395">
      <c r="A395" s="1"/>
      <c r="G395" s="3"/>
    </row>
    <row r="396">
      <c r="A396" s="1"/>
      <c r="G396" s="3"/>
    </row>
    <row r="397">
      <c r="A397" s="1"/>
      <c r="G397" s="3"/>
    </row>
    <row r="398">
      <c r="A398" s="1"/>
      <c r="G398" s="3"/>
    </row>
    <row r="399">
      <c r="A399" s="1"/>
      <c r="G399" s="3"/>
    </row>
    <row r="400">
      <c r="A400" s="1"/>
      <c r="G400" s="3"/>
    </row>
    <row r="401">
      <c r="A401" s="1"/>
      <c r="G401" s="3"/>
    </row>
    <row r="402">
      <c r="A402" s="1"/>
      <c r="G402" s="3"/>
    </row>
    <row r="403">
      <c r="A403" s="1"/>
      <c r="G403" s="3"/>
    </row>
    <row r="404">
      <c r="A404" s="1"/>
      <c r="G404" s="3"/>
    </row>
    <row r="405">
      <c r="A405" s="1"/>
      <c r="G405" s="3"/>
    </row>
    <row r="406">
      <c r="A406" s="1"/>
      <c r="G406" s="3"/>
    </row>
    <row r="407">
      <c r="A407" s="1"/>
      <c r="G407" s="3"/>
    </row>
    <row r="408">
      <c r="A408" s="1"/>
      <c r="G408" s="3"/>
    </row>
    <row r="409">
      <c r="A409" s="1"/>
      <c r="G409" s="3"/>
    </row>
    <row r="410">
      <c r="A410" s="1"/>
      <c r="G410" s="3"/>
    </row>
    <row r="411">
      <c r="A411" s="1"/>
      <c r="G411" s="3"/>
    </row>
    <row r="412">
      <c r="A412" s="1"/>
      <c r="G412" s="3"/>
    </row>
    <row r="413">
      <c r="A413" s="1"/>
      <c r="G413" s="3"/>
    </row>
    <row r="414">
      <c r="A414" s="1"/>
      <c r="G414" s="3"/>
    </row>
    <row r="415">
      <c r="A415" s="1"/>
      <c r="G415" s="3"/>
    </row>
    <row r="416">
      <c r="A416" s="1"/>
      <c r="G416" s="3"/>
    </row>
    <row r="417">
      <c r="A417" s="1"/>
      <c r="G417" s="3"/>
    </row>
    <row r="418">
      <c r="A418" s="1"/>
      <c r="G418" s="3"/>
    </row>
    <row r="419">
      <c r="A419" s="1"/>
      <c r="G419" s="3"/>
    </row>
    <row r="420">
      <c r="A420" s="1"/>
      <c r="G420" s="3"/>
    </row>
    <row r="421">
      <c r="A421" s="1"/>
      <c r="G421" s="3"/>
    </row>
    <row r="422">
      <c r="A422" s="1"/>
      <c r="G422" s="3"/>
    </row>
    <row r="423">
      <c r="A423" s="1"/>
      <c r="G423" s="3"/>
    </row>
    <row r="424">
      <c r="A424" s="1"/>
      <c r="G424" s="3"/>
    </row>
    <row r="425">
      <c r="A425" s="1"/>
      <c r="G425" s="3"/>
    </row>
    <row r="426">
      <c r="A426" s="1"/>
      <c r="G426" s="3"/>
    </row>
    <row r="427">
      <c r="A427" s="1"/>
      <c r="G427" s="3"/>
    </row>
    <row r="428">
      <c r="A428" s="1"/>
      <c r="G428" s="3"/>
    </row>
    <row r="429">
      <c r="A429" s="1"/>
      <c r="G429" s="3"/>
    </row>
    <row r="430">
      <c r="A430" s="1"/>
      <c r="G430" s="3"/>
    </row>
    <row r="431">
      <c r="A431" s="1"/>
      <c r="G431" s="3"/>
    </row>
    <row r="432">
      <c r="A432" s="1"/>
      <c r="G432" s="3"/>
    </row>
    <row r="433">
      <c r="A433" s="1"/>
      <c r="G433" s="3"/>
    </row>
    <row r="434">
      <c r="A434" s="1"/>
      <c r="G434" s="3"/>
    </row>
    <row r="435">
      <c r="A435" s="1"/>
      <c r="G435" s="3"/>
    </row>
    <row r="436">
      <c r="A436" s="1"/>
      <c r="G436" s="3"/>
    </row>
    <row r="437">
      <c r="A437" s="1"/>
      <c r="G437" s="3"/>
    </row>
    <row r="438">
      <c r="A438" s="1"/>
      <c r="G438" s="3"/>
    </row>
    <row r="439">
      <c r="A439" s="1"/>
      <c r="G439" s="3"/>
    </row>
    <row r="440">
      <c r="A440" s="1"/>
      <c r="G440" s="3"/>
    </row>
    <row r="441">
      <c r="A441" s="1"/>
      <c r="G441" s="3"/>
    </row>
    <row r="442">
      <c r="A442" s="1"/>
      <c r="G442" s="3"/>
    </row>
    <row r="443">
      <c r="A443" s="1"/>
      <c r="G443" s="3"/>
    </row>
    <row r="444">
      <c r="A444" s="1"/>
      <c r="G444" s="3"/>
    </row>
    <row r="445">
      <c r="A445" s="1"/>
      <c r="G445" s="3"/>
    </row>
    <row r="446">
      <c r="A446" s="1"/>
      <c r="G446" s="3"/>
    </row>
    <row r="447">
      <c r="A447" s="1"/>
      <c r="G447" s="3"/>
    </row>
    <row r="448">
      <c r="A448" s="1"/>
      <c r="G448" s="3"/>
    </row>
    <row r="449">
      <c r="A449" s="1"/>
      <c r="G449" s="3"/>
    </row>
    <row r="450">
      <c r="A450" s="1"/>
      <c r="G450" s="3"/>
    </row>
    <row r="451">
      <c r="A451" s="1"/>
      <c r="G451" s="3"/>
    </row>
    <row r="452">
      <c r="A452" s="1"/>
      <c r="G452" s="3"/>
    </row>
    <row r="453">
      <c r="A453" s="1"/>
      <c r="G453" s="3"/>
    </row>
    <row r="454">
      <c r="A454" s="1"/>
      <c r="G454" s="3"/>
    </row>
    <row r="455">
      <c r="A455" s="1"/>
      <c r="G455" s="3"/>
    </row>
    <row r="456">
      <c r="A456" s="1"/>
      <c r="G456" s="3"/>
    </row>
    <row r="457">
      <c r="A457" s="1"/>
      <c r="G457" s="3"/>
    </row>
    <row r="458">
      <c r="A458" s="1"/>
      <c r="G458" s="3"/>
    </row>
    <row r="459">
      <c r="A459" s="1"/>
      <c r="G459" s="3"/>
    </row>
    <row r="460">
      <c r="A460" s="1"/>
      <c r="G460" s="3"/>
    </row>
    <row r="461">
      <c r="A461" s="1"/>
      <c r="G461" s="3"/>
    </row>
    <row r="462">
      <c r="A462" s="1"/>
      <c r="G462" s="3"/>
    </row>
    <row r="463">
      <c r="A463" s="1"/>
      <c r="G463" s="3"/>
    </row>
    <row r="464">
      <c r="A464" s="1"/>
      <c r="G464" s="3"/>
    </row>
    <row r="465">
      <c r="A465" s="1"/>
      <c r="G465" s="3"/>
    </row>
    <row r="466">
      <c r="A466" s="1"/>
      <c r="G466" s="3"/>
    </row>
    <row r="467">
      <c r="A467" s="1"/>
      <c r="G467" s="3"/>
    </row>
    <row r="468">
      <c r="A468" s="1"/>
      <c r="G468" s="3"/>
    </row>
    <row r="469">
      <c r="A469" s="1"/>
      <c r="G469" s="3"/>
    </row>
    <row r="470">
      <c r="A470" s="1"/>
      <c r="G470" s="3"/>
    </row>
    <row r="471">
      <c r="A471" s="1"/>
      <c r="G471" s="3"/>
    </row>
    <row r="472">
      <c r="A472" s="1"/>
      <c r="G472" s="3"/>
    </row>
    <row r="473">
      <c r="A473" s="1"/>
      <c r="G473" s="3"/>
    </row>
    <row r="474">
      <c r="A474" s="1"/>
      <c r="G474" s="3"/>
    </row>
    <row r="475">
      <c r="A475" s="1"/>
      <c r="G475" s="3"/>
    </row>
    <row r="476">
      <c r="A476" s="1"/>
      <c r="G476" s="3"/>
    </row>
    <row r="477">
      <c r="A477" s="1"/>
      <c r="G477" s="3"/>
    </row>
    <row r="478">
      <c r="A478" s="1"/>
      <c r="G478" s="3"/>
    </row>
    <row r="479">
      <c r="A479" s="1"/>
      <c r="G479" s="3"/>
    </row>
    <row r="480">
      <c r="A480" s="1"/>
      <c r="G480" s="3"/>
    </row>
    <row r="481">
      <c r="A481" s="1"/>
      <c r="G481" s="3"/>
    </row>
    <row r="482">
      <c r="A482" s="1"/>
      <c r="G482" s="3"/>
    </row>
    <row r="483">
      <c r="A483" s="1"/>
      <c r="G483" s="3"/>
    </row>
    <row r="484">
      <c r="A484" s="1"/>
      <c r="G484" s="3"/>
    </row>
    <row r="485">
      <c r="A485" s="1"/>
      <c r="G485" s="3"/>
    </row>
    <row r="486">
      <c r="A486" s="1"/>
      <c r="G486" s="3"/>
    </row>
    <row r="487">
      <c r="A487" s="1"/>
      <c r="G487" s="3"/>
    </row>
    <row r="488">
      <c r="A488" s="1"/>
      <c r="G488" s="3"/>
    </row>
    <row r="489">
      <c r="A489" s="1"/>
      <c r="G489" s="3"/>
    </row>
    <row r="490">
      <c r="A490" s="1"/>
      <c r="G490" s="3"/>
    </row>
    <row r="491">
      <c r="A491" s="1"/>
      <c r="G491" s="3"/>
    </row>
    <row r="492">
      <c r="A492" s="1"/>
      <c r="G492" s="3"/>
    </row>
    <row r="493">
      <c r="A493" s="1"/>
      <c r="G493" s="3"/>
    </row>
    <row r="494">
      <c r="A494" s="1"/>
      <c r="G494" s="3"/>
    </row>
    <row r="495">
      <c r="A495" s="1"/>
      <c r="G495" s="3"/>
    </row>
    <row r="496">
      <c r="A496" s="1"/>
      <c r="G496" s="3"/>
    </row>
    <row r="497">
      <c r="A497" s="1"/>
      <c r="G497" s="3"/>
    </row>
    <row r="498">
      <c r="A498" s="1"/>
      <c r="G498" s="3"/>
    </row>
    <row r="499">
      <c r="A499" s="1"/>
      <c r="G499" s="3"/>
    </row>
    <row r="500">
      <c r="A500" s="1"/>
      <c r="G500" s="3"/>
    </row>
    <row r="501">
      <c r="A501" s="1"/>
      <c r="G501" s="3"/>
    </row>
    <row r="502">
      <c r="A502" s="1"/>
      <c r="G502" s="3"/>
    </row>
    <row r="503">
      <c r="A503" s="1"/>
      <c r="G503" s="3"/>
    </row>
    <row r="504">
      <c r="A504" s="1"/>
      <c r="G504" s="3"/>
    </row>
    <row r="505">
      <c r="A505" s="1"/>
      <c r="G505" s="3"/>
    </row>
    <row r="506">
      <c r="A506" s="1"/>
      <c r="G506" s="3"/>
    </row>
    <row r="507">
      <c r="A507" s="1"/>
      <c r="G507" s="3"/>
    </row>
    <row r="508">
      <c r="A508" s="1"/>
      <c r="G508" s="3"/>
    </row>
    <row r="509">
      <c r="A509" s="1"/>
      <c r="G509" s="3"/>
    </row>
    <row r="510">
      <c r="A510" s="1"/>
      <c r="G510" s="3"/>
    </row>
    <row r="511">
      <c r="A511" s="1"/>
      <c r="G511" s="3"/>
    </row>
    <row r="512">
      <c r="A512" s="1"/>
      <c r="G512" s="3"/>
    </row>
    <row r="513">
      <c r="A513" s="1"/>
      <c r="G513" s="3"/>
    </row>
    <row r="514">
      <c r="A514" s="1"/>
      <c r="G514" s="3"/>
    </row>
    <row r="515">
      <c r="A515" s="1"/>
      <c r="G515" s="3"/>
    </row>
    <row r="516">
      <c r="A516" s="1"/>
      <c r="G516" s="3"/>
    </row>
    <row r="517">
      <c r="A517" s="1"/>
      <c r="G517" s="3"/>
    </row>
    <row r="518">
      <c r="A518" s="1"/>
      <c r="G518" s="3"/>
    </row>
    <row r="519">
      <c r="A519" s="1"/>
      <c r="G519" s="3"/>
    </row>
    <row r="520">
      <c r="A520" s="1"/>
      <c r="G520" s="3"/>
    </row>
    <row r="521">
      <c r="A521" s="1"/>
      <c r="G521" s="3"/>
    </row>
    <row r="522">
      <c r="A522" s="1"/>
      <c r="G522" s="3"/>
    </row>
    <row r="523">
      <c r="A523" s="1"/>
      <c r="G523" s="3"/>
    </row>
    <row r="524">
      <c r="A524" s="1"/>
      <c r="G524" s="3"/>
    </row>
    <row r="525">
      <c r="A525" s="1"/>
      <c r="G525" s="3"/>
    </row>
    <row r="526">
      <c r="A526" s="1"/>
      <c r="G526" s="3"/>
    </row>
    <row r="527">
      <c r="A527" s="1"/>
      <c r="G527" s="3"/>
    </row>
    <row r="528">
      <c r="A528" s="1"/>
      <c r="G528" s="3"/>
    </row>
    <row r="529">
      <c r="A529" s="1"/>
      <c r="G529" s="3"/>
    </row>
    <row r="530">
      <c r="A530" s="1"/>
      <c r="G530" s="3"/>
    </row>
    <row r="531">
      <c r="A531" s="1"/>
      <c r="G531" s="3"/>
    </row>
    <row r="532">
      <c r="A532" s="1"/>
      <c r="G532" s="3"/>
    </row>
    <row r="533">
      <c r="A533" s="1"/>
      <c r="G533" s="3"/>
    </row>
    <row r="534">
      <c r="A534" s="1"/>
      <c r="G534" s="3"/>
    </row>
    <row r="535">
      <c r="A535" s="1"/>
      <c r="G535" s="3"/>
    </row>
    <row r="536">
      <c r="A536" s="1"/>
      <c r="G536" s="3"/>
    </row>
    <row r="537">
      <c r="A537" s="1"/>
      <c r="G537" s="3"/>
    </row>
    <row r="538">
      <c r="A538" s="1"/>
      <c r="G538" s="3"/>
    </row>
    <row r="539">
      <c r="A539" s="1"/>
      <c r="G539" s="3"/>
    </row>
    <row r="540">
      <c r="A540" s="1"/>
      <c r="G540" s="3"/>
    </row>
    <row r="541">
      <c r="A541" s="1"/>
      <c r="G541" s="3"/>
    </row>
    <row r="542">
      <c r="A542" s="1"/>
      <c r="G542" s="3"/>
    </row>
    <row r="543">
      <c r="A543" s="1"/>
      <c r="G543" s="3"/>
    </row>
    <row r="544">
      <c r="A544" s="1"/>
      <c r="G544" s="3"/>
    </row>
    <row r="545">
      <c r="A545" s="1"/>
      <c r="G545" s="3"/>
    </row>
    <row r="546">
      <c r="A546" s="1"/>
      <c r="G546" s="3"/>
    </row>
    <row r="547">
      <c r="A547" s="1"/>
      <c r="G547" s="3"/>
    </row>
    <row r="548">
      <c r="A548" s="1"/>
      <c r="G548" s="3"/>
    </row>
    <row r="549">
      <c r="A549" s="1"/>
      <c r="G549" s="3"/>
    </row>
    <row r="550">
      <c r="A550" s="1"/>
      <c r="G550" s="3"/>
    </row>
    <row r="551">
      <c r="A551" s="1"/>
      <c r="G551" s="3"/>
    </row>
    <row r="552">
      <c r="A552" s="1"/>
      <c r="G552" s="3"/>
    </row>
    <row r="553">
      <c r="A553" s="1"/>
      <c r="G553" s="3"/>
    </row>
    <row r="554">
      <c r="A554" s="1"/>
      <c r="G554" s="3"/>
    </row>
    <row r="555">
      <c r="A555" s="1"/>
      <c r="G555" s="3"/>
    </row>
    <row r="556">
      <c r="A556" s="1"/>
      <c r="G556" s="3"/>
    </row>
    <row r="557">
      <c r="A557" s="1"/>
      <c r="G557" s="3"/>
    </row>
    <row r="558">
      <c r="A558" s="1"/>
      <c r="G558" s="3"/>
    </row>
    <row r="559">
      <c r="A559" s="1"/>
      <c r="G559" s="3"/>
    </row>
    <row r="560">
      <c r="A560" s="1"/>
      <c r="G560" s="3"/>
    </row>
    <row r="561">
      <c r="A561" s="1"/>
      <c r="G561" s="3"/>
    </row>
    <row r="562">
      <c r="A562" s="1"/>
      <c r="G562" s="3"/>
    </row>
    <row r="563">
      <c r="A563" s="1"/>
      <c r="G563" s="3"/>
    </row>
    <row r="564">
      <c r="A564" s="1"/>
      <c r="G564" s="3"/>
    </row>
    <row r="565">
      <c r="A565" s="1"/>
      <c r="G565" s="3"/>
    </row>
    <row r="566">
      <c r="A566" s="1"/>
      <c r="G566" s="3"/>
    </row>
    <row r="567">
      <c r="A567" s="1"/>
      <c r="G567" s="3"/>
    </row>
    <row r="568">
      <c r="A568" s="1"/>
      <c r="G568" s="3"/>
    </row>
    <row r="569">
      <c r="A569" s="1"/>
      <c r="G569" s="3"/>
    </row>
    <row r="570">
      <c r="A570" s="1"/>
      <c r="G570" s="3"/>
    </row>
    <row r="571">
      <c r="A571" s="1"/>
      <c r="G571" s="3"/>
    </row>
    <row r="572">
      <c r="A572" s="1"/>
      <c r="G572" s="3"/>
    </row>
    <row r="573">
      <c r="A573" s="1"/>
      <c r="G573" s="3"/>
    </row>
    <row r="574">
      <c r="A574" s="1"/>
      <c r="G574" s="3"/>
    </row>
    <row r="575">
      <c r="A575" s="1"/>
      <c r="G575" s="3"/>
    </row>
    <row r="576">
      <c r="A576" s="1"/>
      <c r="G576" s="3"/>
    </row>
    <row r="577">
      <c r="A577" s="1"/>
      <c r="G577" s="3"/>
    </row>
    <row r="578">
      <c r="A578" s="1"/>
      <c r="G578" s="3"/>
    </row>
    <row r="579">
      <c r="A579" s="1"/>
      <c r="G579" s="3"/>
    </row>
    <row r="580">
      <c r="A580" s="1"/>
      <c r="G580" s="3"/>
    </row>
    <row r="581">
      <c r="A581" s="1"/>
      <c r="G581" s="3"/>
    </row>
    <row r="582">
      <c r="A582" s="1"/>
      <c r="G582" s="3"/>
    </row>
    <row r="583">
      <c r="A583" s="1"/>
      <c r="G583" s="3"/>
    </row>
    <row r="584">
      <c r="A584" s="1"/>
      <c r="G584" s="3"/>
    </row>
    <row r="585">
      <c r="A585" s="1"/>
      <c r="G585" s="3"/>
    </row>
    <row r="586">
      <c r="A586" s="1"/>
      <c r="G586" s="3"/>
    </row>
    <row r="587">
      <c r="A587" s="1"/>
      <c r="G587" s="3"/>
    </row>
    <row r="588">
      <c r="A588" s="1"/>
      <c r="G588" s="3"/>
    </row>
    <row r="589">
      <c r="A589" s="1"/>
      <c r="G589" s="3"/>
    </row>
    <row r="590">
      <c r="A590" s="1"/>
      <c r="G590" s="3"/>
    </row>
    <row r="591">
      <c r="A591" s="1"/>
      <c r="G591" s="3"/>
    </row>
    <row r="592">
      <c r="A592" s="1"/>
      <c r="G592" s="3"/>
    </row>
    <row r="593">
      <c r="A593" s="1"/>
      <c r="G593" s="3"/>
    </row>
    <row r="594">
      <c r="A594" s="1"/>
      <c r="G594" s="3"/>
    </row>
    <row r="595">
      <c r="A595" s="1"/>
      <c r="G595" s="3"/>
    </row>
    <row r="596">
      <c r="A596" s="1"/>
      <c r="G596" s="3"/>
    </row>
    <row r="597">
      <c r="A597" s="1"/>
      <c r="G597" s="3"/>
    </row>
    <row r="598">
      <c r="A598" s="1"/>
      <c r="G598" s="3"/>
    </row>
    <row r="599">
      <c r="A599" s="1"/>
      <c r="G599" s="3"/>
    </row>
    <row r="600">
      <c r="A600" s="1"/>
      <c r="G600" s="3"/>
    </row>
    <row r="601">
      <c r="A601" s="1"/>
      <c r="G601" s="3"/>
    </row>
    <row r="602">
      <c r="A602" s="1"/>
      <c r="G602" s="3"/>
    </row>
    <row r="603">
      <c r="A603" s="1"/>
      <c r="G603" s="3"/>
    </row>
    <row r="604">
      <c r="A604" s="1"/>
      <c r="G604" s="3"/>
    </row>
    <row r="605">
      <c r="A605" s="1"/>
      <c r="G605" s="3"/>
    </row>
    <row r="606">
      <c r="A606" s="1"/>
      <c r="G606" s="3"/>
    </row>
    <row r="607">
      <c r="A607" s="1"/>
      <c r="G607" s="3"/>
    </row>
    <row r="608">
      <c r="A608" s="1"/>
      <c r="G608" s="3"/>
    </row>
    <row r="609">
      <c r="A609" s="1"/>
      <c r="G609" s="3"/>
    </row>
    <row r="610">
      <c r="A610" s="1"/>
      <c r="G610" s="3"/>
    </row>
    <row r="611">
      <c r="A611" s="1"/>
      <c r="G611" s="3"/>
    </row>
    <row r="612">
      <c r="A612" s="1"/>
      <c r="G612" s="3"/>
    </row>
    <row r="613">
      <c r="A613" s="1"/>
      <c r="G613" s="3"/>
    </row>
    <row r="614">
      <c r="A614" s="1"/>
      <c r="G614" s="3"/>
    </row>
    <row r="615">
      <c r="A615" s="1"/>
      <c r="G615" s="3"/>
    </row>
    <row r="616">
      <c r="A616" s="1"/>
      <c r="G616" s="3"/>
    </row>
    <row r="617">
      <c r="A617" s="1"/>
      <c r="G617" s="3"/>
    </row>
    <row r="618">
      <c r="A618" s="1"/>
      <c r="G618" s="3"/>
    </row>
    <row r="619">
      <c r="A619" s="1"/>
      <c r="G619" s="3"/>
    </row>
    <row r="620">
      <c r="A620" s="1"/>
      <c r="G620" s="3"/>
    </row>
    <row r="621">
      <c r="A621" s="1"/>
      <c r="G621" s="3"/>
    </row>
    <row r="622">
      <c r="A622" s="1"/>
      <c r="G622" s="3"/>
    </row>
    <row r="623">
      <c r="A623" s="1"/>
      <c r="G623" s="3"/>
    </row>
    <row r="624">
      <c r="A624" s="1"/>
      <c r="G624" s="3"/>
    </row>
    <row r="625">
      <c r="A625" s="1"/>
      <c r="G625" s="3"/>
    </row>
    <row r="626">
      <c r="A626" s="1"/>
      <c r="G626" s="3"/>
    </row>
    <row r="627">
      <c r="A627" s="1"/>
      <c r="G627" s="3"/>
    </row>
    <row r="628">
      <c r="A628" s="1"/>
      <c r="G628" s="3"/>
    </row>
    <row r="629">
      <c r="A629" s="1"/>
      <c r="G629" s="3"/>
    </row>
    <row r="630">
      <c r="A630" s="1"/>
      <c r="G630" s="3"/>
    </row>
    <row r="631">
      <c r="A631" s="1"/>
      <c r="G631" s="3"/>
    </row>
    <row r="632">
      <c r="A632" s="1"/>
      <c r="G632" s="3"/>
    </row>
    <row r="633">
      <c r="A633" s="1"/>
      <c r="G633" s="3"/>
    </row>
    <row r="634">
      <c r="A634" s="1"/>
      <c r="G634" s="3"/>
    </row>
    <row r="635">
      <c r="A635" s="1"/>
      <c r="G635" s="3"/>
    </row>
    <row r="636">
      <c r="A636" s="1"/>
      <c r="G636" s="3"/>
    </row>
    <row r="637">
      <c r="A637" s="1"/>
      <c r="G637" s="3"/>
    </row>
    <row r="638">
      <c r="A638" s="1"/>
      <c r="G638" s="3"/>
    </row>
    <row r="639">
      <c r="A639" s="1"/>
      <c r="G639" s="3"/>
    </row>
    <row r="640">
      <c r="A640" s="1"/>
      <c r="G640" s="3"/>
    </row>
    <row r="641">
      <c r="A641" s="1"/>
      <c r="G641" s="3"/>
    </row>
    <row r="642">
      <c r="A642" s="1"/>
      <c r="G642" s="3"/>
    </row>
    <row r="643">
      <c r="A643" s="1"/>
      <c r="G643" s="3"/>
    </row>
    <row r="644">
      <c r="A644" s="1"/>
      <c r="G644" s="3"/>
    </row>
    <row r="645">
      <c r="A645" s="1"/>
      <c r="G645" s="3"/>
    </row>
    <row r="646">
      <c r="A646" s="1"/>
      <c r="G646" s="3"/>
    </row>
    <row r="647">
      <c r="A647" s="1"/>
      <c r="G647" s="3"/>
    </row>
    <row r="648">
      <c r="A648" s="1"/>
      <c r="G648" s="3"/>
    </row>
    <row r="649">
      <c r="A649" s="1"/>
      <c r="G649" s="3"/>
    </row>
    <row r="650">
      <c r="A650" s="1"/>
      <c r="G650" s="3"/>
    </row>
    <row r="651">
      <c r="A651" s="1"/>
      <c r="G651" s="3"/>
    </row>
    <row r="652">
      <c r="A652" s="1"/>
      <c r="G652" s="3"/>
    </row>
    <row r="653">
      <c r="A653" s="1"/>
      <c r="G653" s="3"/>
    </row>
    <row r="654">
      <c r="A654" s="1"/>
      <c r="G654" s="3"/>
    </row>
    <row r="655">
      <c r="A655" s="1"/>
      <c r="G655" s="3"/>
    </row>
    <row r="656">
      <c r="A656" s="1"/>
      <c r="G656" s="3"/>
    </row>
    <row r="657">
      <c r="A657" s="1"/>
      <c r="G657" s="3"/>
    </row>
    <row r="658">
      <c r="A658" s="1"/>
      <c r="G658" s="3"/>
    </row>
    <row r="659">
      <c r="A659" s="1"/>
      <c r="G659" s="3"/>
    </row>
    <row r="660">
      <c r="A660" s="1"/>
      <c r="G660" s="3"/>
    </row>
    <row r="661">
      <c r="A661" s="1"/>
      <c r="G661" s="3"/>
    </row>
    <row r="662">
      <c r="A662" s="1"/>
      <c r="G662" s="3"/>
    </row>
    <row r="663">
      <c r="A663" s="1"/>
      <c r="G663" s="3"/>
    </row>
    <row r="664">
      <c r="A664" s="1"/>
      <c r="G664" s="3"/>
    </row>
    <row r="665">
      <c r="A665" s="1"/>
      <c r="G665" s="3"/>
    </row>
    <row r="666">
      <c r="A666" s="1"/>
      <c r="G666" s="3"/>
    </row>
    <row r="667">
      <c r="A667" s="1"/>
      <c r="G667" s="3"/>
    </row>
    <row r="668">
      <c r="A668" s="1"/>
      <c r="G668" s="3"/>
    </row>
    <row r="669">
      <c r="A669" s="1"/>
      <c r="G669" s="3"/>
    </row>
    <row r="670">
      <c r="A670" s="1"/>
      <c r="G670" s="3"/>
    </row>
    <row r="671">
      <c r="A671" s="1"/>
      <c r="G671" s="3"/>
    </row>
    <row r="672">
      <c r="A672" s="1"/>
      <c r="G672" s="3"/>
    </row>
    <row r="673">
      <c r="A673" s="1"/>
      <c r="G673" s="3"/>
    </row>
    <row r="674">
      <c r="A674" s="1"/>
      <c r="G674" s="3"/>
    </row>
    <row r="675">
      <c r="A675" s="1"/>
      <c r="G675" s="3"/>
    </row>
    <row r="676">
      <c r="A676" s="1"/>
      <c r="G676" s="3"/>
    </row>
    <row r="677">
      <c r="A677" s="1"/>
      <c r="G677" s="3"/>
    </row>
    <row r="678">
      <c r="A678" s="1"/>
      <c r="G678" s="3"/>
    </row>
    <row r="679">
      <c r="A679" s="1"/>
      <c r="G679" s="3"/>
    </row>
    <row r="680">
      <c r="A680" s="1"/>
      <c r="G680" s="3"/>
    </row>
    <row r="681">
      <c r="A681" s="1"/>
      <c r="G681" s="3"/>
    </row>
    <row r="682">
      <c r="A682" s="1"/>
      <c r="G682" s="3"/>
    </row>
    <row r="683">
      <c r="A683" s="1"/>
      <c r="G683" s="3"/>
    </row>
    <row r="684">
      <c r="A684" s="1"/>
      <c r="G684" s="3"/>
    </row>
    <row r="685">
      <c r="A685" s="1"/>
      <c r="G685" s="3"/>
    </row>
    <row r="686">
      <c r="A686" s="1"/>
      <c r="G686" s="3"/>
    </row>
    <row r="687">
      <c r="A687" s="1"/>
      <c r="G687" s="3"/>
    </row>
    <row r="688">
      <c r="A688" s="1"/>
      <c r="G688" s="3"/>
    </row>
    <row r="689">
      <c r="A689" s="1"/>
      <c r="G689" s="3"/>
    </row>
    <row r="690">
      <c r="A690" s="1"/>
      <c r="G690" s="3"/>
    </row>
    <row r="691">
      <c r="A691" s="1"/>
      <c r="G691" s="3"/>
    </row>
    <row r="692">
      <c r="A692" s="1"/>
      <c r="G692" s="3"/>
    </row>
    <row r="693">
      <c r="A693" s="1"/>
      <c r="G693" s="3"/>
    </row>
    <row r="694">
      <c r="A694" s="1"/>
      <c r="G694" s="3"/>
    </row>
    <row r="695">
      <c r="A695" s="1"/>
      <c r="G695" s="3"/>
    </row>
    <row r="696">
      <c r="A696" s="1"/>
      <c r="G696" s="3"/>
    </row>
    <row r="697">
      <c r="A697" s="1"/>
      <c r="G697" s="3"/>
    </row>
    <row r="698">
      <c r="A698" s="1"/>
      <c r="G698" s="3"/>
    </row>
    <row r="699">
      <c r="A699" s="1"/>
      <c r="G699" s="3"/>
    </row>
    <row r="700">
      <c r="A700" s="1"/>
      <c r="G700" s="3"/>
    </row>
    <row r="701">
      <c r="A701" s="1"/>
      <c r="G701" s="3"/>
    </row>
    <row r="702">
      <c r="A702" s="1"/>
      <c r="G702" s="3"/>
    </row>
    <row r="703">
      <c r="A703" s="1"/>
      <c r="G703" s="3"/>
    </row>
    <row r="704">
      <c r="A704" s="1"/>
      <c r="G704" s="3"/>
    </row>
    <row r="705">
      <c r="A705" s="1"/>
      <c r="G705" s="3"/>
    </row>
    <row r="706">
      <c r="A706" s="1"/>
      <c r="G706" s="3"/>
    </row>
    <row r="707">
      <c r="A707" s="1"/>
      <c r="G707" s="3"/>
    </row>
    <row r="708">
      <c r="A708" s="1"/>
      <c r="G708" s="3"/>
    </row>
    <row r="709">
      <c r="A709" s="1"/>
      <c r="G709" s="3"/>
    </row>
    <row r="710">
      <c r="A710" s="1"/>
      <c r="G710" s="3"/>
    </row>
    <row r="711">
      <c r="A711" s="1"/>
      <c r="G711" s="3"/>
    </row>
    <row r="712">
      <c r="A712" s="1"/>
      <c r="G712" s="3"/>
    </row>
    <row r="713">
      <c r="A713" s="1"/>
      <c r="G713" s="3"/>
    </row>
    <row r="714">
      <c r="A714" s="1"/>
      <c r="G714" s="3"/>
    </row>
    <row r="715">
      <c r="A715" s="1"/>
      <c r="G715" s="3"/>
    </row>
    <row r="716">
      <c r="A716" s="1"/>
      <c r="G716" s="3"/>
    </row>
    <row r="717">
      <c r="A717" s="1"/>
      <c r="G717" s="3"/>
    </row>
    <row r="718">
      <c r="A718" s="1"/>
      <c r="G718" s="3"/>
    </row>
    <row r="719">
      <c r="A719" s="1"/>
      <c r="G719" s="3"/>
    </row>
    <row r="720">
      <c r="A720" s="1"/>
      <c r="G720" s="3"/>
    </row>
    <row r="721">
      <c r="A721" s="1"/>
      <c r="G721" s="3"/>
    </row>
    <row r="722">
      <c r="A722" s="1"/>
      <c r="G722" s="3"/>
    </row>
    <row r="723">
      <c r="A723" s="1"/>
      <c r="G723" s="3"/>
    </row>
    <row r="724">
      <c r="A724" s="1"/>
      <c r="G724" s="3"/>
    </row>
    <row r="725">
      <c r="A725" s="1"/>
      <c r="G725" s="3"/>
    </row>
    <row r="726">
      <c r="A726" s="1"/>
      <c r="G726" s="3"/>
    </row>
    <row r="727">
      <c r="A727" s="1"/>
      <c r="G727" s="3"/>
    </row>
    <row r="728">
      <c r="A728" s="1"/>
      <c r="G728" s="3"/>
    </row>
    <row r="729">
      <c r="A729" s="1"/>
      <c r="G729" s="3"/>
    </row>
    <row r="730">
      <c r="A730" s="1"/>
      <c r="G730" s="3"/>
    </row>
    <row r="731">
      <c r="A731" s="1"/>
      <c r="G731" s="3"/>
    </row>
    <row r="732">
      <c r="A732" s="1"/>
      <c r="G732" s="3"/>
    </row>
    <row r="733">
      <c r="A733" s="1"/>
      <c r="G733" s="3"/>
    </row>
    <row r="734">
      <c r="A734" s="1"/>
      <c r="G734" s="3"/>
    </row>
    <row r="735">
      <c r="A735" s="1"/>
      <c r="G735" s="3"/>
    </row>
    <row r="736">
      <c r="A736" s="1"/>
      <c r="G736" s="3"/>
    </row>
    <row r="737">
      <c r="A737" s="1"/>
      <c r="G737" s="3"/>
    </row>
    <row r="738">
      <c r="A738" s="1"/>
      <c r="G738" s="3"/>
    </row>
    <row r="739">
      <c r="A739" s="1"/>
      <c r="G739" s="3"/>
    </row>
    <row r="740">
      <c r="A740" s="1"/>
      <c r="G740" s="3"/>
    </row>
    <row r="741">
      <c r="A741" s="1"/>
      <c r="G741" s="3"/>
    </row>
    <row r="742">
      <c r="A742" s="1"/>
      <c r="G742" s="3"/>
    </row>
    <row r="743">
      <c r="A743" s="1"/>
      <c r="G743" s="3"/>
    </row>
    <row r="744">
      <c r="A744" s="1"/>
      <c r="G744" s="3"/>
    </row>
    <row r="745">
      <c r="A745" s="1"/>
      <c r="G745" s="3"/>
    </row>
    <row r="746">
      <c r="A746" s="1"/>
      <c r="G746" s="3"/>
    </row>
    <row r="747">
      <c r="A747" s="1"/>
      <c r="G747" s="3"/>
    </row>
    <row r="748">
      <c r="A748" s="1"/>
      <c r="G748" s="3"/>
    </row>
    <row r="749">
      <c r="A749" s="1"/>
      <c r="G749" s="3"/>
    </row>
    <row r="750">
      <c r="A750" s="1"/>
      <c r="G750" s="3"/>
    </row>
    <row r="751">
      <c r="A751" s="1"/>
      <c r="G751" s="3"/>
    </row>
    <row r="752">
      <c r="A752" s="1"/>
      <c r="G752" s="3"/>
    </row>
    <row r="753">
      <c r="A753" s="1"/>
      <c r="G753" s="3"/>
    </row>
    <row r="754">
      <c r="A754" s="1"/>
      <c r="G754" s="3"/>
    </row>
    <row r="755">
      <c r="A755" s="1"/>
      <c r="G755" s="3"/>
    </row>
    <row r="756">
      <c r="A756" s="1"/>
      <c r="G756" s="3"/>
    </row>
    <row r="757">
      <c r="A757" s="1"/>
      <c r="G757" s="3"/>
    </row>
    <row r="758">
      <c r="A758" s="1"/>
      <c r="G758" s="3"/>
    </row>
    <row r="759">
      <c r="A759" s="1"/>
      <c r="G759" s="3"/>
    </row>
    <row r="760">
      <c r="A760" s="1"/>
      <c r="G760" s="3"/>
    </row>
    <row r="761">
      <c r="A761" s="1"/>
      <c r="G761" s="3"/>
    </row>
    <row r="762">
      <c r="A762" s="1"/>
      <c r="G762" s="3"/>
    </row>
    <row r="763">
      <c r="A763" s="1"/>
      <c r="G763" s="3"/>
    </row>
    <row r="764">
      <c r="A764" s="1"/>
      <c r="G764" s="3"/>
    </row>
    <row r="765">
      <c r="A765" s="1"/>
      <c r="G765" s="3"/>
    </row>
    <row r="766">
      <c r="A766" s="1"/>
      <c r="G766" s="3"/>
    </row>
    <row r="767">
      <c r="A767" s="1"/>
      <c r="G767" s="3"/>
    </row>
    <row r="768">
      <c r="A768" s="1"/>
      <c r="G768" s="3"/>
    </row>
    <row r="769">
      <c r="A769" s="1"/>
      <c r="G769" s="3"/>
    </row>
    <row r="770">
      <c r="A770" s="1"/>
      <c r="G770" s="3"/>
    </row>
    <row r="771">
      <c r="A771" s="1"/>
      <c r="G771" s="3"/>
    </row>
    <row r="772">
      <c r="A772" s="1"/>
      <c r="G772" s="3"/>
    </row>
    <row r="773">
      <c r="A773" s="1"/>
      <c r="G773" s="3"/>
    </row>
    <row r="774">
      <c r="A774" s="1"/>
      <c r="G774" s="3"/>
    </row>
    <row r="775">
      <c r="A775" s="1"/>
      <c r="G775" s="3"/>
    </row>
    <row r="776">
      <c r="A776" s="1"/>
      <c r="G776" s="3"/>
    </row>
    <row r="777">
      <c r="A777" s="1"/>
      <c r="G777" s="3"/>
    </row>
    <row r="778">
      <c r="A778" s="1"/>
      <c r="G778" s="3"/>
    </row>
    <row r="779">
      <c r="A779" s="1"/>
      <c r="G779" s="3"/>
    </row>
    <row r="780">
      <c r="A780" s="1"/>
      <c r="G780" s="3"/>
    </row>
    <row r="781">
      <c r="A781" s="1"/>
      <c r="G781" s="3"/>
    </row>
    <row r="782">
      <c r="A782" s="1"/>
      <c r="G782" s="3"/>
    </row>
    <row r="783">
      <c r="A783" s="1"/>
      <c r="G783" s="3"/>
    </row>
    <row r="784">
      <c r="A784" s="1"/>
      <c r="G784" s="3"/>
    </row>
    <row r="785">
      <c r="A785" s="1"/>
      <c r="G785" s="3"/>
    </row>
    <row r="786">
      <c r="A786" s="1"/>
      <c r="G786" s="3"/>
    </row>
    <row r="787">
      <c r="A787" s="1"/>
      <c r="G787" s="3"/>
    </row>
    <row r="788">
      <c r="A788" s="1"/>
      <c r="G788" s="3"/>
    </row>
    <row r="789">
      <c r="A789" s="1"/>
      <c r="G789" s="3"/>
    </row>
    <row r="790">
      <c r="A790" s="1"/>
      <c r="G790" s="3"/>
    </row>
    <row r="791">
      <c r="A791" s="1"/>
      <c r="G791" s="3"/>
    </row>
    <row r="792">
      <c r="A792" s="1"/>
      <c r="G792" s="3"/>
    </row>
    <row r="793">
      <c r="A793" s="1"/>
      <c r="G793" s="3"/>
    </row>
    <row r="794">
      <c r="A794" s="1"/>
      <c r="G794" s="3"/>
    </row>
    <row r="795">
      <c r="A795" s="1"/>
      <c r="G795" s="3"/>
    </row>
    <row r="796">
      <c r="A796" s="1"/>
      <c r="G796" s="3"/>
    </row>
    <row r="797">
      <c r="A797" s="1"/>
      <c r="G797" s="3"/>
    </row>
    <row r="798">
      <c r="A798" s="1"/>
      <c r="G798" s="3"/>
    </row>
    <row r="799">
      <c r="A799" s="1"/>
      <c r="G799" s="3"/>
    </row>
    <row r="800">
      <c r="A800" s="1"/>
      <c r="G800" s="3"/>
    </row>
    <row r="801">
      <c r="A801" s="1"/>
      <c r="G801" s="3"/>
    </row>
    <row r="802">
      <c r="A802" s="1"/>
      <c r="G802" s="3"/>
    </row>
    <row r="803">
      <c r="A803" s="1"/>
      <c r="G803" s="3"/>
    </row>
    <row r="804">
      <c r="A804" s="1"/>
      <c r="G804" s="3"/>
    </row>
    <row r="805">
      <c r="A805" s="1"/>
      <c r="G805" s="3"/>
    </row>
    <row r="806">
      <c r="A806" s="1"/>
      <c r="G806" s="3"/>
    </row>
    <row r="807">
      <c r="A807" s="1"/>
      <c r="G807" s="3"/>
    </row>
    <row r="808">
      <c r="A808" s="1"/>
      <c r="G808" s="3"/>
    </row>
    <row r="809">
      <c r="A809" s="1"/>
      <c r="G809" s="3"/>
    </row>
    <row r="810">
      <c r="A810" s="1"/>
      <c r="G810" s="3"/>
    </row>
    <row r="811">
      <c r="A811" s="1"/>
      <c r="G811" s="3"/>
    </row>
    <row r="812">
      <c r="A812" s="1"/>
      <c r="G812" s="3"/>
    </row>
    <row r="813">
      <c r="A813" s="1"/>
      <c r="G813" s="3"/>
    </row>
    <row r="814">
      <c r="A814" s="1"/>
      <c r="G814" s="3"/>
    </row>
    <row r="815">
      <c r="A815" s="1"/>
      <c r="G815" s="3"/>
    </row>
    <row r="816">
      <c r="A816" s="1"/>
      <c r="G816" s="3"/>
    </row>
    <row r="817">
      <c r="A817" s="1"/>
      <c r="G817" s="3"/>
    </row>
    <row r="818">
      <c r="A818" s="1"/>
      <c r="G818" s="3"/>
    </row>
    <row r="819">
      <c r="A819" s="1"/>
      <c r="G819" s="3"/>
    </row>
    <row r="820">
      <c r="A820" s="1"/>
      <c r="G820" s="3"/>
    </row>
    <row r="821">
      <c r="A821" s="1"/>
      <c r="G821" s="3"/>
    </row>
    <row r="822">
      <c r="A822" s="1"/>
      <c r="G822" s="3"/>
    </row>
    <row r="823">
      <c r="A823" s="1"/>
      <c r="G823" s="3"/>
    </row>
    <row r="824">
      <c r="A824" s="1"/>
      <c r="G824" s="3"/>
    </row>
    <row r="825">
      <c r="A825" s="1"/>
      <c r="G825" s="3"/>
    </row>
    <row r="826">
      <c r="A826" s="1"/>
      <c r="G826" s="3"/>
    </row>
    <row r="827">
      <c r="A827" s="1"/>
      <c r="G827" s="3"/>
    </row>
    <row r="828">
      <c r="A828" s="1"/>
      <c r="G828" s="3"/>
    </row>
    <row r="829">
      <c r="A829" s="1"/>
      <c r="G829" s="3"/>
    </row>
    <row r="830">
      <c r="A830" s="1"/>
      <c r="G830" s="3"/>
    </row>
    <row r="831">
      <c r="A831" s="1"/>
      <c r="G831" s="3"/>
    </row>
    <row r="832">
      <c r="A832" s="1"/>
      <c r="G832" s="3"/>
    </row>
    <row r="833">
      <c r="A833" s="1"/>
      <c r="G833" s="3"/>
    </row>
    <row r="834">
      <c r="A834" s="1"/>
      <c r="G834" s="3"/>
    </row>
    <row r="835">
      <c r="A835" s="1"/>
      <c r="G835" s="3"/>
    </row>
    <row r="836">
      <c r="A836" s="1"/>
      <c r="G836" s="3"/>
    </row>
    <row r="837">
      <c r="A837" s="1"/>
      <c r="G837" s="3"/>
    </row>
    <row r="838">
      <c r="A838" s="1"/>
      <c r="G838" s="3"/>
    </row>
    <row r="839">
      <c r="A839" s="1"/>
      <c r="G839" s="3"/>
    </row>
    <row r="840">
      <c r="A840" s="1"/>
      <c r="G840" s="3"/>
    </row>
    <row r="841">
      <c r="A841" s="1"/>
      <c r="G841" s="3"/>
    </row>
    <row r="842">
      <c r="A842" s="1"/>
      <c r="G842" s="3"/>
    </row>
    <row r="843">
      <c r="A843" s="1"/>
      <c r="G843" s="3"/>
    </row>
    <row r="844">
      <c r="A844" s="1"/>
      <c r="G844" s="3"/>
    </row>
    <row r="845">
      <c r="A845" s="1"/>
      <c r="G845" s="3"/>
    </row>
    <row r="846">
      <c r="A846" s="1"/>
      <c r="G846" s="3"/>
    </row>
    <row r="847">
      <c r="A847" s="1"/>
      <c r="G847" s="3"/>
    </row>
    <row r="848">
      <c r="A848" s="1"/>
      <c r="G848" s="3"/>
    </row>
    <row r="849">
      <c r="A849" s="1"/>
      <c r="G849" s="3"/>
    </row>
    <row r="850">
      <c r="A850" s="1"/>
      <c r="G850" s="3"/>
    </row>
    <row r="851">
      <c r="A851" s="1"/>
      <c r="G851" s="3"/>
    </row>
    <row r="852">
      <c r="A852" s="1"/>
      <c r="G852" s="3"/>
    </row>
    <row r="853">
      <c r="A853" s="1"/>
      <c r="G853" s="3"/>
    </row>
    <row r="854">
      <c r="A854" s="1"/>
      <c r="G854" s="3"/>
    </row>
    <row r="855">
      <c r="A855" s="1"/>
      <c r="G855" s="3"/>
    </row>
    <row r="856">
      <c r="A856" s="1"/>
      <c r="G856" s="3"/>
    </row>
    <row r="857">
      <c r="A857" s="1"/>
      <c r="G857" s="3"/>
    </row>
    <row r="858">
      <c r="A858" s="1"/>
      <c r="G858" s="3"/>
    </row>
    <row r="859">
      <c r="A859" s="1"/>
      <c r="G859" s="3"/>
    </row>
    <row r="860">
      <c r="A860" s="1"/>
      <c r="G860" s="3"/>
    </row>
    <row r="861">
      <c r="A861" s="1"/>
      <c r="G861" s="3"/>
    </row>
    <row r="862">
      <c r="A862" s="1"/>
      <c r="G862" s="3"/>
    </row>
    <row r="863">
      <c r="A863" s="1"/>
      <c r="G863" s="3"/>
    </row>
    <row r="864">
      <c r="A864" s="1"/>
      <c r="G864" s="3"/>
    </row>
    <row r="865">
      <c r="A865" s="1"/>
      <c r="G865" s="3"/>
    </row>
    <row r="866">
      <c r="A866" s="1"/>
      <c r="G866" s="3"/>
    </row>
    <row r="867">
      <c r="A867" s="1"/>
      <c r="G867" s="3"/>
    </row>
    <row r="868">
      <c r="A868" s="1"/>
      <c r="G868" s="3"/>
    </row>
    <row r="869">
      <c r="A869" s="1"/>
      <c r="G869" s="3"/>
    </row>
    <row r="870">
      <c r="A870" s="1"/>
      <c r="G870" s="3"/>
    </row>
    <row r="871">
      <c r="A871" s="1"/>
      <c r="G871" s="3"/>
    </row>
    <row r="872">
      <c r="A872" s="1"/>
      <c r="G872" s="3"/>
    </row>
    <row r="873">
      <c r="A873" s="1"/>
      <c r="G873" s="3"/>
    </row>
    <row r="874">
      <c r="A874" s="1"/>
      <c r="G874" s="3"/>
    </row>
    <row r="875">
      <c r="A875" s="1"/>
      <c r="G875" s="3"/>
    </row>
    <row r="876">
      <c r="A876" s="1"/>
      <c r="G876" s="3"/>
    </row>
    <row r="877">
      <c r="A877" s="1"/>
      <c r="G877" s="3"/>
    </row>
    <row r="878">
      <c r="A878" s="1"/>
      <c r="G878" s="3"/>
    </row>
    <row r="879">
      <c r="A879" s="1"/>
      <c r="G879" s="3"/>
    </row>
    <row r="880">
      <c r="A880" s="1"/>
      <c r="G880" s="3"/>
    </row>
    <row r="881">
      <c r="A881" s="1"/>
      <c r="G881" s="3"/>
    </row>
    <row r="882">
      <c r="A882" s="1"/>
      <c r="G882" s="3"/>
    </row>
    <row r="883">
      <c r="A883" s="1"/>
      <c r="G883" s="3"/>
    </row>
    <row r="884">
      <c r="A884" s="1"/>
      <c r="G884" s="3"/>
    </row>
    <row r="885">
      <c r="A885" s="1"/>
      <c r="G885" s="3"/>
    </row>
    <row r="886">
      <c r="A886" s="1"/>
      <c r="G886" s="3"/>
    </row>
    <row r="887">
      <c r="A887" s="1"/>
      <c r="G887" s="3"/>
    </row>
    <row r="888">
      <c r="A888" s="1"/>
      <c r="G888" s="3"/>
    </row>
    <row r="889">
      <c r="A889" s="1"/>
      <c r="G889" s="3"/>
    </row>
    <row r="890">
      <c r="A890" s="1"/>
      <c r="G890" s="3"/>
    </row>
    <row r="891">
      <c r="A891" s="1"/>
      <c r="G891" s="3"/>
    </row>
    <row r="892">
      <c r="A892" s="1"/>
      <c r="G892" s="3"/>
    </row>
    <row r="893">
      <c r="A893" s="1"/>
      <c r="G893" s="3"/>
    </row>
    <row r="894">
      <c r="A894" s="1"/>
      <c r="G894" s="3"/>
    </row>
    <row r="895">
      <c r="A895" s="1"/>
      <c r="G895" s="3"/>
    </row>
    <row r="896">
      <c r="A896" s="1"/>
      <c r="G896" s="3"/>
    </row>
    <row r="897">
      <c r="A897" s="1"/>
      <c r="G897" s="3"/>
    </row>
    <row r="898">
      <c r="A898" s="1"/>
      <c r="G898" s="3"/>
    </row>
    <row r="899">
      <c r="A899" s="1"/>
      <c r="G899" s="3"/>
    </row>
    <row r="900">
      <c r="A900" s="1"/>
      <c r="G900" s="3"/>
    </row>
    <row r="901">
      <c r="A901" s="1"/>
      <c r="G901" s="3"/>
    </row>
    <row r="902">
      <c r="A902" s="1"/>
      <c r="G902" s="3"/>
    </row>
    <row r="903">
      <c r="A903" s="1"/>
      <c r="G903" s="3"/>
    </row>
    <row r="904">
      <c r="A904" s="1"/>
      <c r="G904" s="3"/>
    </row>
    <row r="905">
      <c r="A905" s="1"/>
      <c r="G905" s="3"/>
    </row>
    <row r="906">
      <c r="A906" s="1"/>
      <c r="G906" s="3"/>
    </row>
    <row r="907">
      <c r="A907" s="1"/>
      <c r="G907" s="3"/>
    </row>
    <row r="908">
      <c r="A908" s="1"/>
      <c r="G908" s="3"/>
    </row>
    <row r="909">
      <c r="A909" s="1"/>
      <c r="G909" s="3"/>
    </row>
    <row r="910">
      <c r="A910" s="1"/>
      <c r="G910" s="3"/>
    </row>
    <row r="911">
      <c r="A911" s="1"/>
      <c r="G911" s="3"/>
    </row>
    <row r="912">
      <c r="A912" s="1"/>
      <c r="G912" s="3"/>
    </row>
    <row r="913">
      <c r="A913" s="1"/>
      <c r="G913" s="3"/>
    </row>
    <row r="914">
      <c r="A914" s="1"/>
      <c r="G914" s="3"/>
    </row>
    <row r="915">
      <c r="A915" s="1"/>
      <c r="G915" s="3"/>
    </row>
    <row r="916">
      <c r="A916" s="1"/>
      <c r="G916" s="3"/>
    </row>
    <row r="917">
      <c r="A917" s="1"/>
      <c r="G917" s="3"/>
    </row>
    <row r="918">
      <c r="A918" s="1"/>
      <c r="G918" s="3"/>
    </row>
    <row r="919">
      <c r="A919" s="1"/>
      <c r="G919" s="3"/>
    </row>
    <row r="920">
      <c r="A920" s="1"/>
      <c r="G920" s="3"/>
    </row>
    <row r="921">
      <c r="A921" s="1"/>
      <c r="G921" s="3"/>
    </row>
    <row r="922">
      <c r="A922" s="1"/>
      <c r="G922" s="3"/>
    </row>
    <row r="923">
      <c r="A923" s="1"/>
      <c r="G923" s="3"/>
    </row>
    <row r="924">
      <c r="A924" s="1"/>
      <c r="G924" s="3"/>
    </row>
    <row r="925">
      <c r="A925" s="1"/>
      <c r="G925" s="3"/>
    </row>
    <row r="926">
      <c r="A926" s="1"/>
      <c r="G926" s="3"/>
    </row>
    <row r="927">
      <c r="A927" s="1"/>
      <c r="G927" s="3"/>
    </row>
    <row r="928">
      <c r="A928" s="1"/>
      <c r="G928" s="3"/>
    </row>
    <row r="929">
      <c r="A929" s="1"/>
      <c r="G929" s="3"/>
    </row>
    <row r="930">
      <c r="A930" s="1"/>
      <c r="G930" s="3"/>
    </row>
    <row r="931">
      <c r="A931" s="1"/>
      <c r="G931" s="3"/>
    </row>
    <row r="932">
      <c r="A932" s="1"/>
      <c r="G932" s="3"/>
    </row>
    <row r="933">
      <c r="A933" s="1"/>
      <c r="G933" s="3"/>
    </row>
    <row r="934">
      <c r="A934" s="1"/>
      <c r="G934" s="3"/>
    </row>
    <row r="935">
      <c r="A935" s="1"/>
      <c r="G935" s="3"/>
    </row>
    <row r="936">
      <c r="A936" s="1"/>
      <c r="G936" s="3"/>
    </row>
    <row r="937">
      <c r="A937" s="1"/>
      <c r="G937" s="3"/>
    </row>
    <row r="938">
      <c r="A938" s="1"/>
      <c r="G938" s="3"/>
    </row>
    <row r="939">
      <c r="A939" s="1"/>
      <c r="G939" s="3"/>
    </row>
    <row r="940">
      <c r="A940" s="1"/>
      <c r="G940" s="3"/>
    </row>
    <row r="941">
      <c r="A941" s="1"/>
      <c r="G941" s="3"/>
    </row>
    <row r="942">
      <c r="A942" s="1"/>
      <c r="G942" s="3"/>
    </row>
    <row r="943">
      <c r="A943" s="1"/>
      <c r="G943" s="3"/>
    </row>
    <row r="944">
      <c r="A944" s="1"/>
      <c r="G944" s="3"/>
    </row>
    <row r="945">
      <c r="A945" s="1"/>
      <c r="G945" s="3"/>
    </row>
    <row r="946">
      <c r="A946" s="1"/>
      <c r="G946" s="3"/>
    </row>
    <row r="947">
      <c r="A947" s="1"/>
      <c r="G947" s="3"/>
    </row>
    <row r="948">
      <c r="A948" s="1"/>
      <c r="G948" s="3"/>
    </row>
    <row r="949">
      <c r="A949" s="1"/>
      <c r="G949" s="3"/>
    </row>
    <row r="950">
      <c r="A950" s="1"/>
      <c r="G950" s="3"/>
    </row>
    <row r="951">
      <c r="A951" s="1"/>
      <c r="G951" s="3"/>
    </row>
    <row r="952">
      <c r="A952" s="1"/>
      <c r="G952" s="3"/>
    </row>
    <row r="953">
      <c r="A953" s="1"/>
      <c r="G953" s="3"/>
    </row>
    <row r="954">
      <c r="A954" s="1"/>
      <c r="G954" s="3"/>
    </row>
    <row r="955">
      <c r="A955" s="1"/>
      <c r="G955" s="3"/>
    </row>
    <row r="956">
      <c r="A956" s="1"/>
      <c r="G956" s="3"/>
    </row>
    <row r="957">
      <c r="A957" s="1"/>
      <c r="G957" s="3"/>
    </row>
    <row r="958">
      <c r="A958" s="1"/>
      <c r="G958" s="3"/>
    </row>
    <row r="959">
      <c r="A959" s="1"/>
      <c r="G959" s="3"/>
    </row>
    <row r="960">
      <c r="A960" s="1"/>
      <c r="G960" s="3"/>
    </row>
    <row r="961">
      <c r="A961" s="1"/>
      <c r="G961" s="3"/>
    </row>
    <row r="962">
      <c r="A962" s="1"/>
      <c r="G962" s="3"/>
    </row>
    <row r="963">
      <c r="A963" s="1"/>
      <c r="G963" s="3"/>
    </row>
    <row r="964">
      <c r="A964" s="1"/>
      <c r="G964" s="3"/>
    </row>
    <row r="965">
      <c r="A965" s="1"/>
      <c r="G965" s="3"/>
    </row>
    <row r="966">
      <c r="A966" s="1"/>
      <c r="G966" s="3"/>
    </row>
    <row r="967">
      <c r="A967" s="1"/>
      <c r="G967" s="3"/>
    </row>
    <row r="968">
      <c r="A968" s="1"/>
      <c r="G968" s="3"/>
    </row>
    <row r="969">
      <c r="A969" s="1"/>
      <c r="G969" s="3"/>
    </row>
    <row r="970">
      <c r="A970" s="1"/>
      <c r="G970" s="3"/>
    </row>
    <row r="971">
      <c r="A971" s="1"/>
      <c r="G971" s="3"/>
    </row>
    <row r="972">
      <c r="A972" s="1"/>
      <c r="G972" s="3"/>
    </row>
    <row r="973">
      <c r="A973" s="1"/>
      <c r="G973" s="3"/>
    </row>
    <row r="974">
      <c r="A974" s="1"/>
      <c r="G974" s="3"/>
    </row>
    <row r="975">
      <c r="A975" s="1"/>
      <c r="G975" s="3"/>
    </row>
    <row r="976">
      <c r="A976" s="1"/>
      <c r="G976" s="3"/>
    </row>
    <row r="977">
      <c r="A977" s="1"/>
      <c r="G977" s="3"/>
    </row>
    <row r="978">
      <c r="A978" s="1"/>
      <c r="G978" s="3"/>
    </row>
    <row r="979">
      <c r="A979" s="1"/>
      <c r="G979" s="3"/>
    </row>
    <row r="980">
      <c r="A980" s="1"/>
      <c r="G980" s="3"/>
    </row>
    <row r="981">
      <c r="A981" s="1"/>
      <c r="G981" s="3"/>
    </row>
    <row r="982">
      <c r="A982" s="1"/>
      <c r="G982" s="3"/>
    </row>
    <row r="983">
      <c r="A983" s="1"/>
      <c r="G983" s="3"/>
    </row>
    <row r="984">
      <c r="A984" s="1"/>
      <c r="G984" s="3"/>
    </row>
    <row r="985">
      <c r="A985" s="1"/>
      <c r="G985" s="3"/>
    </row>
    <row r="986">
      <c r="A986" s="1"/>
      <c r="G986" s="3"/>
    </row>
    <row r="987">
      <c r="A987" s="1"/>
      <c r="G987" s="3"/>
    </row>
    <row r="988">
      <c r="A988" s="1"/>
      <c r="G988" s="3"/>
    </row>
    <row r="989">
      <c r="A989" s="1"/>
      <c r="G989" s="3"/>
    </row>
    <row r="990">
      <c r="A990" s="1"/>
      <c r="G990" s="3"/>
    </row>
    <row r="991">
      <c r="A991" s="1"/>
      <c r="G991" s="3"/>
    </row>
    <row r="992">
      <c r="A992" s="1"/>
      <c r="G992" s="3"/>
    </row>
    <row r="993">
      <c r="A993" s="1"/>
      <c r="G993" s="3"/>
    </row>
    <row r="994">
      <c r="A994" s="1"/>
      <c r="G994" s="3"/>
    </row>
    <row r="995">
      <c r="A995" s="1"/>
      <c r="G995" s="3"/>
    </row>
    <row r="996">
      <c r="A996" s="1"/>
      <c r="G996" s="3"/>
    </row>
    <row r="997">
      <c r="A997" s="1"/>
      <c r="G997" s="3"/>
    </row>
    <row r="998">
      <c r="A998" s="1"/>
      <c r="G998" s="3"/>
    </row>
    <row r="999">
      <c r="A999" s="1"/>
      <c r="G999" s="3"/>
    </row>
    <row r="1000">
      <c r="A1000" s="1"/>
      <c r="G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IFERROR(__xludf.DUMMYFUNCTION("GOOGLEFINANCE(""NASDAQ:AAPL"",""all"",DATE(2014,1,1),DATE(2021,1,1),""weekly"")"),"Date")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  <c r="G1" s="3"/>
    </row>
    <row r="2">
      <c r="A2" s="1">
        <f>IFERROR(__xludf.DUMMYFUNCTION("""COMPUTED_VALUE"""),41642.666666666664)</f>
        <v>41642.66667</v>
      </c>
      <c r="B2" s="2">
        <f>IFERROR(__xludf.DUMMYFUNCTION("""COMPUTED_VALUE"""),19.91)</f>
        <v>19.91</v>
      </c>
      <c r="C2" s="2">
        <f>IFERROR(__xludf.DUMMYFUNCTION("""COMPUTED_VALUE"""),20.05)</f>
        <v>20.05</v>
      </c>
      <c r="D2" s="2">
        <f>IFERROR(__xludf.DUMMYFUNCTION("""COMPUTED_VALUE"""),19.3)</f>
        <v>19.3</v>
      </c>
      <c r="E2" s="2">
        <f>IFERROR(__xludf.DUMMYFUNCTION("""COMPUTED_VALUE"""),19.32)</f>
        <v>19.32</v>
      </c>
      <c r="F2" s="2">
        <f>IFERROR(__xludf.DUMMYFUNCTION("""COMPUTED_VALUE"""),3.9474703E7)</f>
        <v>39474703</v>
      </c>
      <c r="G2" s="3"/>
    </row>
    <row r="3">
      <c r="A3" s="1">
        <f>IFERROR(__xludf.DUMMYFUNCTION("""COMPUTED_VALUE"""),41649.666666666664)</f>
        <v>41649.66667</v>
      </c>
      <c r="B3" s="2">
        <f>IFERROR(__xludf.DUMMYFUNCTION("""COMPUTED_VALUE"""),19.2)</f>
        <v>19.2</v>
      </c>
      <c r="C3" s="2">
        <f>IFERROR(__xludf.DUMMYFUNCTION("""COMPUTED_VALUE"""),19.53)</f>
        <v>19.53</v>
      </c>
      <c r="D3" s="2">
        <f>IFERROR(__xludf.DUMMYFUNCTION("""COMPUTED_VALUE"""),18.97)</f>
        <v>18.97</v>
      </c>
      <c r="E3" s="2">
        <f>IFERROR(__xludf.DUMMYFUNCTION("""COMPUTED_VALUE"""),19.03)</f>
        <v>19.03</v>
      </c>
      <c r="F3" s="2">
        <f>IFERROR(__xludf.DUMMYFUNCTION("""COMPUTED_VALUE"""),5.6243495E7)</f>
        <v>56243495</v>
      </c>
      <c r="G3" s="3">
        <f t="shared" ref="G3:G367" si="1">E3/E2-1</f>
        <v>-0.01501035197</v>
      </c>
    </row>
    <row r="4">
      <c r="A4" s="1">
        <f>IFERROR(__xludf.DUMMYFUNCTION("""COMPUTED_VALUE"""),41656.666666666664)</f>
        <v>41656.66667</v>
      </c>
      <c r="B4" s="2">
        <f>IFERROR(__xludf.DUMMYFUNCTION("""COMPUTED_VALUE"""),18.93)</f>
        <v>18.93</v>
      </c>
      <c r="C4" s="2">
        <f>IFERROR(__xludf.DUMMYFUNCTION("""COMPUTED_VALUE"""),20.01)</f>
        <v>20.01</v>
      </c>
      <c r="D4" s="2">
        <f>IFERROR(__xludf.DUMMYFUNCTION("""COMPUTED_VALUE"""),18.92)</f>
        <v>18.92</v>
      </c>
      <c r="E4" s="2">
        <f>IFERROR(__xludf.DUMMYFUNCTION("""COMPUTED_VALUE"""),19.31)</f>
        <v>19.31</v>
      </c>
      <c r="F4" s="2">
        <f>IFERROR(__xludf.DUMMYFUNCTION("""COMPUTED_VALUE"""),6.3280836E7)</f>
        <v>63280836</v>
      </c>
      <c r="G4" s="3">
        <f t="shared" si="1"/>
        <v>0.01471361009</v>
      </c>
    </row>
    <row r="5">
      <c r="A5" s="1">
        <f>IFERROR(__xludf.DUMMYFUNCTION("""COMPUTED_VALUE"""),41663.666666666664)</f>
        <v>41663.66667</v>
      </c>
      <c r="B5" s="2">
        <f>IFERROR(__xludf.DUMMYFUNCTION("""COMPUTED_VALUE"""),19.32)</f>
        <v>19.32</v>
      </c>
      <c r="C5" s="2">
        <f>IFERROR(__xludf.DUMMYFUNCTION("""COMPUTED_VALUE"""),19.9)</f>
        <v>19.9</v>
      </c>
      <c r="D5" s="2">
        <f>IFERROR(__xludf.DUMMYFUNCTION("""COMPUTED_VALUE"""),19.3)</f>
        <v>19.3</v>
      </c>
      <c r="E5" s="2">
        <f>IFERROR(__xludf.DUMMYFUNCTION("""COMPUTED_VALUE"""),19.5)</f>
        <v>19.5</v>
      </c>
      <c r="F5" s="2">
        <f>IFERROR(__xludf.DUMMYFUNCTION("""COMPUTED_VALUE"""),5.5262523E7)</f>
        <v>55262523</v>
      </c>
      <c r="G5" s="3">
        <f t="shared" si="1"/>
        <v>0.009839461419</v>
      </c>
    </row>
    <row r="6">
      <c r="A6" s="1">
        <f>IFERROR(__xludf.DUMMYFUNCTION("""COMPUTED_VALUE"""),41670.666666666664)</f>
        <v>41670.66667</v>
      </c>
      <c r="B6" s="2">
        <f>IFERROR(__xludf.DUMMYFUNCTION("""COMPUTED_VALUE"""),19.67)</f>
        <v>19.67</v>
      </c>
      <c r="C6" s="2">
        <f>IFERROR(__xludf.DUMMYFUNCTION("""COMPUTED_VALUE"""),19.81)</f>
        <v>19.81</v>
      </c>
      <c r="D6" s="2">
        <f>IFERROR(__xludf.DUMMYFUNCTION("""COMPUTED_VALUE"""),17.63)</f>
        <v>17.63</v>
      </c>
      <c r="E6" s="2">
        <f>IFERROR(__xludf.DUMMYFUNCTION("""COMPUTED_VALUE"""),17.88)</f>
        <v>17.88</v>
      </c>
      <c r="F6" s="2">
        <f>IFERROR(__xludf.DUMMYFUNCTION("""COMPUTED_VALUE"""),1.17584966E8)</f>
        <v>117584966</v>
      </c>
      <c r="G6" s="3">
        <f t="shared" si="1"/>
        <v>-0.08307692308</v>
      </c>
    </row>
    <row r="7">
      <c r="A7" s="1">
        <f>IFERROR(__xludf.DUMMYFUNCTION("""COMPUTED_VALUE"""),41677.666666666664)</f>
        <v>41677.66667</v>
      </c>
      <c r="B7" s="2">
        <f>IFERROR(__xludf.DUMMYFUNCTION("""COMPUTED_VALUE"""),17.94)</f>
        <v>17.94</v>
      </c>
      <c r="C7" s="2">
        <f>IFERROR(__xludf.DUMMYFUNCTION("""COMPUTED_VALUE"""),18.68)</f>
        <v>18.68</v>
      </c>
      <c r="D7" s="2">
        <f>IFERROR(__xludf.DUMMYFUNCTION("""COMPUTED_VALUE"""),17.83)</f>
        <v>17.83</v>
      </c>
      <c r="E7" s="2">
        <f>IFERROR(__xludf.DUMMYFUNCTION("""COMPUTED_VALUE"""),18.56)</f>
        <v>18.56</v>
      </c>
      <c r="F7" s="2">
        <f>IFERROR(__xludf.DUMMYFUNCTION("""COMPUTED_VALUE"""),6.2193185E7)</f>
        <v>62193185</v>
      </c>
      <c r="G7" s="3">
        <f t="shared" si="1"/>
        <v>0.03803131991</v>
      </c>
    </row>
    <row r="8">
      <c r="A8" s="1">
        <f>IFERROR(__xludf.DUMMYFUNCTION("""COMPUTED_VALUE"""),41684.666666666664)</f>
        <v>41684.66667</v>
      </c>
      <c r="B8" s="2">
        <f>IFERROR(__xludf.DUMMYFUNCTION("""COMPUTED_VALUE"""),18.52)</f>
        <v>18.52</v>
      </c>
      <c r="C8" s="2">
        <f>IFERROR(__xludf.DUMMYFUNCTION("""COMPUTED_VALUE"""),19.5)</f>
        <v>19.5</v>
      </c>
      <c r="D8" s="2">
        <f>IFERROR(__xludf.DUMMYFUNCTION("""COMPUTED_VALUE"""),18.5)</f>
        <v>18.5</v>
      </c>
      <c r="E8" s="2">
        <f>IFERROR(__xludf.DUMMYFUNCTION("""COMPUTED_VALUE"""),19.43)</f>
        <v>19.43</v>
      </c>
      <c r="F8" s="2">
        <f>IFERROR(__xludf.DUMMYFUNCTION("""COMPUTED_VALUE"""),5.423979E7)</f>
        <v>54239790</v>
      </c>
      <c r="G8" s="3">
        <f t="shared" si="1"/>
        <v>0.046875</v>
      </c>
    </row>
    <row r="9">
      <c r="A9" s="1">
        <f>IFERROR(__xludf.DUMMYFUNCTION("""COMPUTED_VALUE"""),41691.666666666664)</f>
        <v>41691.66667</v>
      </c>
      <c r="B9" s="2">
        <f>IFERROR(__xludf.DUMMYFUNCTION("""COMPUTED_VALUE"""),19.5)</f>
        <v>19.5</v>
      </c>
      <c r="C9" s="2">
        <f>IFERROR(__xludf.DUMMYFUNCTION("""COMPUTED_VALUE"""),19.69)</f>
        <v>19.69</v>
      </c>
      <c r="D9" s="2">
        <f>IFERROR(__xludf.DUMMYFUNCTION("""COMPUTED_VALUE"""),18.74)</f>
        <v>18.74</v>
      </c>
      <c r="E9" s="2">
        <f>IFERROR(__xludf.DUMMYFUNCTION("""COMPUTED_VALUE"""),18.76)</f>
        <v>18.76</v>
      </c>
      <c r="F9" s="2">
        <f>IFERROR(__xludf.DUMMYFUNCTION("""COMPUTED_VALUE"""),4.1449574E7)</f>
        <v>41449574</v>
      </c>
      <c r="G9" s="3">
        <f t="shared" si="1"/>
        <v>-0.03448275862</v>
      </c>
    </row>
    <row r="10">
      <c r="A10" s="1">
        <f>IFERROR(__xludf.DUMMYFUNCTION("""COMPUTED_VALUE"""),41698.666666666664)</f>
        <v>41698.66667</v>
      </c>
      <c r="B10" s="2">
        <f>IFERROR(__xludf.DUMMYFUNCTION("""COMPUTED_VALUE"""),18.68)</f>
        <v>18.68</v>
      </c>
      <c r="C10" s="2">
        <f>IFERROR(__xludf.DUMMYFUNCTION("""COMPUTED_VALUE"""),19.03)</f>
        <v>19.03</v>
      </c>
      <c r="D10" s="2">
        <f>IFERROR(__xludf.DUMMYFUNCTION("""COMPUTED_VALUE"""),18.41)</f>
        <v>18.41</v>
      </c>
      <c r="E10" s="2">
        <f>IFERROR(__xludf.DUMMYFUNCTION("""COMPUTED_VALUE"""),18.79)</f>
        <v>18.79</v>
      </c>
      <c r="F10" s="2">
        <f>IFERROR(__xludf.DUMMYFUNCTION("""COMPUTED_VALUE"""),5.262508E7)</f>
        <v>52625080</v>
      </c>
      <c r="G10" s="3">
        <f t="shared" si="1"/>
        <v>0.001599147122</v>
      </c>
    </row>
    <row r="11">
      <c r="A11" s="1">
        <f>IFERROR(__xludf.DUMMYFUNCTION("""COMPUTED_VALUE"""),41705.666666666664)</f>
        <v>41705.66667</v>
      </c>
      <c r="B11" s="2">
        <f>IFERROR(__xludf.DUMMYFUNCTION("""COMPUTED_VALUE"""),18.69)</f>
        <v>18.69</v>
      </c>
      <c r="C11" s="2">
        <f>IFERROR(__xludf.DUMMYFUNCTION("""COMPUTED_VALUE"""),19.1)</f>
        <v>19.1</v>
      </c>
      <c r="D11" s="2">
        <f>IFERROR(__xludf.DUMMYFUNCTION("""COMPUTED_VALUE"""),18.67)</f>
        <v>18.67</v>
      </c>
      <c r="E11" s="2">
        <f>IFERROR(__xludf.DUMMYFUNCTION("""COMPUTED_VALUE"""),18.94)</f>
        <v>18.94</v>
      </c>
      <c r="F11" s="2">
        <f>IFERROR(__xludf.DUMMYFUNCTION("""COMPUTED_VALUE"""),3.9510457E7)</f>
        <v>39510457</v>
      </c>
      <c r="G11" s="3">
        <f t="shared" si="1"/>
        <v>0.007982969665</v>
      </c>
    </row>
    <row r="12">
      <c r="A12" s="1">
        <f>IFERROR(__xludf.DUMMYFUNCTION("""COMPUTED_VALUE"""),41712.666666666664)</f>
        <v>41712.66667</v>
      </c>
      <c r="B12" s="2">
        <f>IFERROR(__xludf.DUMMYFUNCTION("""COMPUTED_VALUE"""),18.87)</f>
        <v>18.87</v>
      </c>
      <c r="C12" s="2">
        <f>IFERROR(__xludf.DUMMYFUNCTION("""COMPUTED_VALUE"""),19.27)</f>
        <v>19.27</v>
      </c>
      <c r="D12" s="2">
        <f>IFERROR(__xludf.DUMMYFUNCTION("""COMPUTED_VALUE"""),18.68)</f>
        <v>18.68</v>
      </c>
      <c r="E12" s="2">
        <f>IFERROR(__xludf.DUMMYFUNCTION("""COMPUTED_VALUE"""),18.74)</f>
        <v>18.74</v>
      </c>
      <c r="F12" s="2">
        <f>IFERROR(__xludf.DUMMYFUNCTION("""COMPUTED_VALUE"""),4.126012E7)</f>
        <v>41260120</v>
      </c>
      <c r="G12" s="3">
        <f t="shared" si="1"/>
        <v>-0.01055966209</v>
      </c>
    </row>
    <row r="13">
      <c r="A13" s="1">
        <f>IFERROR(__xludf.DUMMYFUNCTION("""COMPUTED_VALUE"""),41719.666666666664)</f>
        <v>41719.66667</v>
      </c>
      <c r="B13" s="2">
        <f>IFERROR(__xludf.DUMMYFUNCTION("""COMPUTED_VALUE"""),18.83)</f>
        <v>18.83</v>
      </c>
      <c r="C13" s="2">
        <f>IFERROR(__xludf.DUMMYFUNCTION("""COMPUTED_VALUE"""),19.15)</f>
        <v>19.15</v>
      </c>
      <c r="D13" s="2">
        <f>IFERROR(__xludf.DUMMYFUNCTION("""COMPUTED_VALUE"""),18.76)</f>
        <v>18.76</v>
      </c>
      <c r="E13" s="2">
        <f>IFERROR(__xludf.DUMMYFUNCTION("""COMPUTED_VALUE"""),19.03)</f>
        <v>19.03</v>
      </c>
      <c r="F13" s="2">
        <f>IFERROR(__xludf.DUMMYFUNCTION("""COMPUTED_VALUE"""),4.3456943E7)</f>
        <v>43456943</v>
      </c>
      <c r="G13" s="3">
        <f t="shared" si="1"/>
        <v>0.01547491996</v>
      </c>
    </row>
    <row r="14">
      <c r="A14" s="1">
        <f>IFERROR(__xludf.DUMMYFUNCTION("""COMPUTED_VALUE"""),41726.666666666664)</f>
        <v>41726.66667</v>
      </c>
      <c r="B14" s="2">
        <f>IFERROR(__xludf.DUMMYFUNCTION("""COMPUTED_VALUE"""),19.22)</f>
        <v>19.22</v>
      </c>
      <c r="C14" s="2">
        <f>IFERROR(__xludf.DUMMYFUNCTION("""COMPUTED_VALUE"""),19.61)</f>
        <v>19.61</v>
      </c>
      <c r="D14" s="2">
        <f>IFERROR(__xludf.DUMMYFUNCTION("""COMPUTED_VALUE"""),19.08)</f>
        <v>19.08</v>
      </c>
      <c r="E14" s="2">
        <f>IFERROR(__xludf.DUMMYFUNCTION("""COMPUTED_VALUE"""),19.17)</f>
        <v>19.17</v>
      </c>
      <c r="F14" s="2">
        <f>IFERROR(__xludf.DUMMYFUNCTION("""COMPUTED_VALUE"""),4.858417E7)</f>
        <v>48584170</v>
      </c>
      <c r="G14" s="3">
        <f t="shared" si="1"/>
        <v>0.007356805045</v>
      </c>
    </row>
    <row r="15">
      <c r="A15" s="1">
        <f>IFERROR(__xludf.DUMMYFUNCTION("""COMPUTED_VALUE"""),41733.666666666664)</f>
        <v>41733.66667</v>
      </c>
      <c r="B15" s="2">
        <f>IFERROR(__xludf.DUMMYFUNCTION("""COMPUTED_VALUE"""),19.26)</f>
        <v>19.26</v>
      </c>
      <c r="C15" s="2">
        <f>IFERROR(__xludf.DUMMYFUNCTION("""COMPUTED_VALUE"""),19.41)</f>
        <v>19.41</v>
      </c>
      <c r="D15" s="2">
        <f>IFERROR(__xludf.DUMMYFUNCTION("""COMPUTED_VALUE"""),18.95)</f>
        <v>18.95</v>
      </c>
      <c r="E15" s="2">
        <f>IFERROR(__xludf.DUMMYFUNCTION("""COMPUTED_VALUE"""),18.99)</f>
        <v>18.99</v>
      </c>
      <c r="F15" s="2">
        <f>IFERROR(__xludf.DUMMYFUNCTION("""COMPUTED_VALUE"""),3.527462E7)</f>
        <v>35274620</v>
      </c>
      <c r="G15" s="3">
        <f t="shared" si="1"/>
        <v>-0.009389671362</v>
      </c>
    </row>
    <row r="16">
      <c r="A16" s="1">
        <f>IFERROR(__xludf.DUMMYFUNCTION("""COMPUTED_VALUE"""),41740.666666666664)</f>
        <v>41740.66667</v>
      </c>
      <c r="B16" s="2">
        <f>IFERROR(__xludf.DUMMYFUNCTION("""COMPUTED_VALUE"""),18.87)</f>
        <v>18.87</v>
      </c>
      <c r="C16" s="2">
        <f>IFERROR(__xludf.DUMMYFUNCTION("""COMPUTED_VALUE"""),19.01)</f>
        <v>19.01</v>
      </c>
      <c r="D16" s="2">
        <f>IFERROR(__xludf.DUMMYFUNCTION("""COMPUTED_VALUE"""),18.47)</f>
        <v>18.47</v>
      </c>
      <c r="E16" s="2">
        <f>IFERROR(__xludf.DUMMYFUNCTION("""COMPUTED_VALUE"""),18.56)</f>
        <v>18.56</v>
      </c>
      <c r="F16" s="2">
        <f>IFERROR(__xludf.DUMMYFUNCTION("""COMPUTED_VALUE"""),4.4694995E7)</f>
        <v>44694995</v>
      </c>
      <c r="G16" s="3">
        <f t="shared" si="1"/>
        <v>-0.02264349658</v>
      </c>
    </row>
    <row r="17">
      <c r="A17" s="1">
        <f>IFERROR(__xludf.DUMMYFUNCTION("""COMPUTED_VALUE"""),41746.666666666664)</f>
        <v>41746.66667</v>
      </c>
      <c r="B17" s="2">
        <f>IFERROR(__xludf.DUMMYFUNCTION("""COMPUTED_VALUE"""),18.64)</f>
        <v>18.64</v>
      </c>
      <c r="C17" s="2">
        <f>IFERROR(__xludf.DUMMYFUNCTION("""COMPUTED_VALUE"""),18.85)</f>
        <v>18.85</v>
      </c>
      <c r="D17" s="2">
        <f>IFERROR(__xludf.DUMMYFUNCTION("""COMPUTED_VALUE"""),18.26)</f>
        <v>18.26</v>
      </c>
      <c r="E17" s="2">
        <f>IFERROR(__xludf.DUMMYFUNCTION("""COMPUTED_VALUE"""),18.75)</f>
        <v>18.75</v>
      </c>
      <c r="F17" s="2">
        <f>IFERROR(__xludf.DUMMYFUNCTION("""COMPUTED_VALUE"""),3.4701067E7)</f>
        <v>34701067</v>
      </c>
      <c r="G17" s="3">
        <f t="shared" si="1"/>
        <v>0.01023706897</v>
      </c>
    </row>
    <row r="18">
      <c r="A18" s="1">
        <f>IFERROR(__xludf.DUMMYFUNCTION("""COMPUTED_VALUE"""),41754.666666666664)</f>
        <v>41754.66667</v>
      </c>
      <c r="B18" s="2">
        <f>IFERROR(__xludf.DUMMYFUNCTION("""COMPUTED_VALUE"""),18.76)</f>
        <v>18.76</v>
      </c>
      <c r="C18" s="2">
        <f>IFERROR(__xludf.DUMMYFUNCTION("""COMPUTED_VALUE"""),20.43)</f>
        <v>20.43</v>
      </c>
      <c r="D18" s="2">
        <f>IFERROR(__xludf.DUMMYFUNCTION("""COMPUTED_VALUE"""),18.71)</f>
        <v>18.71</v>
      </c>
      <c r="E18" s="2">
        <f>IFERROR(__xludf.DUMMYFUNCTION("""COMPUTED_VALUE"""),20.43)</f>
        <v>20.43</v>
      </c>
      <c r="F18" s="2">
        <f>IFERROR(__xludf.DUMMYFUNCTION("""COMPUTED_VALUE"""),6.8945077E7)</f>
        <v>68945077</v>
      </c>
      <c r="G18" s="3">
        <f t="shared" si="1"/>
        <v>0.0896</v>
      </c>
    </row>
    <row r="19">
      <c r="A19" s="1">
        <f>IFERROR(__xludf.DUMMYFUNCTION("""COMPUTED_VALUE"""),41761.666666666664)</f>
        <v>41761.66667</v>
      </c>
      <c r="B19" s="2">
        <f>IFERROR(__xludf.DUMMYFUNCTION("""COMPUTED_VALUE"""),20.45)</f>
        <v>20.45</v>
      </c>
      <c r="C19" s="2">
        <f>IFERROR(__xludf.DUMMYFUNCTION("""COMPUTED_VALUE"""),21.41)</f>
        <v>21.41</v>
      </c>
      <c r="D19" s="2">
        <f>IFERROR(__xludf.DUMMYFUNCTION("""COMPUTED_VALUE"""),20.45)</f>
        <v>20.45</v>
      </c>
      <c r="E19" s="2">
        <f>IFERROR(__xludf.DUMMYFUNCTION("""COMPUTED_VALUE"""),21.16)</f>
        <v>21.16</v>
      </c>
      <c r="F19" s="2">
        <f>IFERROR(__xludf.DUMMYFUNCTION("""COMPUTED_VALUE"""),6.7838318E7)</f>
        <v>67838318</v>
      </c>
      <c r="G19" s="3">
        <f t="shared" si="1"/>
        <v>0.03573176701</v>
      </c>
    </row>
    <row r="20">
      <c r="A20" s="1">
        <f>IFERROR(__xludf.DUMMYFUNCTION("""COMPUTED_VALUE"""),41768.666666666664)</f>
        <v>41768.66667</v>
      </c>
      <c r="B20" s="2">
        <f>IFERROR(__xludf.DUMMYFUNCTION("""COMPUTED_VALUE"""),21.08)</f>
        <v>21.08</v>
      </c>
      <c r="C20" s="2">
        <f>IFERROR(__xludf.DUMMYFUNCTION("""COMPUTED_VALUE"""),21.59)</f>
        <v>21.59</v>
      </c>
      <c r="D20" s="2">
        <f>IFERROR(__xludf.DUMMYFUNCTION("""COMPUTED_VALUE"""),20.73)</f>
        <v>20.73</v>
      </c>
      <c r="E20" s="2">
        <f>IFERROR(__xludf.DUMMYFUNCTION("""COMPUTED_VALUE"""),20.91)</f>
        <v>20.91</v>
      </c>
      <c r="F20" s="2">
        <f>IFERROR(__xludf.DUMMYFUNCTION("""COMPUTED_VALUE"""),5.237114E7)</f>
        <v>52371140</v>
      </c>
      <c r="G20" s="3">
        <f t="shared" si="1"/>
        <v>-0.0118147448</v>
      </c>
    </row>
    <row r="21">
      <c r="A21" s="1">
        <f>IFERROR(__xludf.DUMMYFUNCTION("""COMPUTED_VALUE"""),41775.666666666664)</f>
        <v>41775.66667</v>
      </c>
      <c r="B21" s="2">
        <f>IFERROR(__xludf.DUMMYFUNCTION("""COMPUTED_VALUE"""),20.98)</f>
        <v>20.98</v>
      </c>
      <c r="C21" s="2">
        <f>IFERROR(__xludf.DUMMYFUNCTION("""COMPUTED_VALUE"""),21.34)</f>
        <v>21.34</v>
      </c>
      <c r="D21" s="2">
        <f>IFERROR(__xludf.DUMMYFUNCTION("""COMPUTED_VALUE"""),20.91)</f>
        <v>20.91</v>
      </c>
      <c r="E21" s="2">
        <f>IFERROR(__xludf.DUMMYFUNCTION("""COMPUTED_VALUE"""),21.34)</f>
        <v>21.34</v>
      </c>
      <c r="F21" s="2">
        <f>IFERROR(__xludf.DUMMYFUNCTION("""COMPUTED_VALUE"""),3.7380526E7)</f>
        <v>37380526</v>
      </c>
      <c r="G21" s="3">
        <f t="shared" si="1"/>
        <v>0.02056432329</v>
      </c>
    </row>
    <row r="22">
      <c r="A22" s="1">
        <f>IFERROR(__xludf.DUMMYFUNCTION("""COMPUTED_VALUE"""),41782.666666666664)</f>
        <v>41782.66667</v>
      </c>
      <c r="B22" s="2">
        <f>IFERROR(__xludf.DUMMYFUNCTION("""COMPUTED_VALUE"""),21.34)</f>
        <v>21.34</v>
      </c>
      <c r="C22" s="2">
        <f>IFERROR(__xludf.DUMMYFUNCTION("""COMPUTED_VALUE"""),21.95)</f>
        <v>21.95</v>
      </c>
      <c r="D22" s="2">
        <f>IFERROR(__xludf.DUMMYFUNCTION("""COMPUTED_VALUE"""),21.33)</f>
        <v>21.33</v>
      </c>
      <c r="E22" s="2">
        <f>IFERROR(__xludf.DUMMYFUNCTION("""COMPUTED_VALUE"""),21.93)</f>
        <v>21.93</v>
      </c>
      <c r="F22" s="2">
        <f>IFERROR(__xludf.DUMMYFUNCTION("""COMPUTED_VALUE"""),4.223848E7)</f>
        <v>42238480</v>
      </c>
      <c r="G22" s="3">
        <f t="shared" si="1"/>
        <v>0.02764761012</v>
      </c>
    </row>
    <row r="23">
      <c r="A23" s="1">
        <f>IFERROR(__xludf.DUMMYFUNCTION("""COMPUTED_VALUE"""),41789.666666666664)</f>
        <v>41789.66667</v>
      </c>
      <c r="B23" s="2">
        <f>IFERROR(__xludf.DUMMYFUNCTION("""COMPUTED_VALUE"""),22.0)</f>
        <v>22</v>
      </c>
      <c r="C23" s="2">
        <f>IFERROR(__xludf.DUMMYFUNCTION("""COMPUTED_VALUE"""),23.01)</f>
        <v>23.01</v>
      </c>
      <c r="D23" s="2">
        <f>IFERROR(__xludf.DUMMYFUNCTION("""COMPUTED_VALUE"""),21.99)</f>
        <v>21.99</v>
      </c>
      <c r="E23" s="2">
        <f>IFERROR(__xludf.DUMMYFUNCTION("""COMPUTED_VALUE"""),22.61)</f>
        <v>22.61</v>
      </c>
      <c r="F23" s="2">
        <f>IFERROR(__xludf.DUMMYFUNCTION("""COMPUTED_VALUE"""),5.732318E7)</f>
        <v>57323180</v>
      </c>
      <c r="G23" s="3">
        <f t="shared" si="1"/>
        <v>0.03100775194</v>
      </c>
    </row>
    <row r="24">
      <c r="A24" s="1">
        <f>IFERROR(__xludf.DUMMYFUNCTION("""COMPUTED_VALUE"""),41796.666666666664)</f>
        <v>41796.66667</v>
      </c>
      <c r="B24" s="2">
        <f>IFERROR(__xludf.DUMMYFUNCTION("""COMPUTED_VALUE"""),22.64)</f>
        <v>22.64</v>
      </c>
      <c r="C24" s="2">
        <f>IFERROR(__xludf.DUMMYFUNCTION("""COMPUTED_VALUE"""),23.26)</f>
        <v>23.26</v>
      </c>
      <c r="D24" s="2">
        <f>IFERROR(__xludf.DUMMYFUNCTION("""COMPUTED_VALUE"""),22.23)</f>
        <v>22.23</v>
      </c>
      <c r="E24" s="2">
        <f>IFERROR(__xludf.DUMMYFUNCTION("""COMPUTED_VALUE"""),23.06)</f>
        <v>23.06</v>
      </c>
      <c r="F24" s="2">
        <f>IFERROR(__xludf.DUMMYFUNCTION("""COMPUTED_VALUE"""),5.9001728E7)</f>
        <v>59001728</v>
      </c>
      <c r="G24" s="3">
        <f t="shared" si="1"/>
        <v>0.01990269792</v>
      </c>
    </row>
    <row r="25">
      <c r="A25" s="1">
        <f>IFERROR(__xludf.DUMMYFUNCTION("""COMPUTED_VALUE"""),41803.666666666664)</f>
        <v>41803.66667</v>
      </c>
      <c r="B25" s="2">
        <f>IFERROR(__xludf.DUMMYFUNCTION("""COMPUTED_VALUE"""),23.17)</f>
        <v>23.17</v>
      </c>
      <c r="C25" s="2">
        <f>IFERROR(__xludf.DUMMYFUNCTION("""COMPUTED_VALUE"""),23.76)</f>
        <v>23.76</v>
      </c>
      <c r="D25" s="2">
        <f>IFERROR(__xludf.DUMMYFUNCTION("""COMPUTED_VALUE"""),22.72)</f>
        <v>22.72</v>
      </c>
      <c r="E25" s="2">
        <f>IFERROR(__xludf.DUMMYFUNCTION("""COMPUTED_VALUE"""),22.82)</f>
        <v>22.82</v>
      </c>
      <c r="F25" s="2">
        <f>IFERROR(__xludf.DUMMYFUNCTION("""COMPUTED_VALUE"""),2.93147031E8)</f>
        <v>293147031</v>
      </c>
      <c r="G25" s="3">
        <f t="shared" si="1"/>
        <v>-0.01040763226</v>
      </c>
    </row>
    <row r="26">
      <c r="A26" s="1">
        <f>IFERROR(__xludf.DUMMYFUNCTION("""COMPUTED_VALUE"""),41810.666666666664)</f>
        <v>41810.66667</v>
      </c>
      <c r="B26" s="2">
        <f>IFERROR(__xludf.DUMMYFUNCTION("""COMPUTED_VALUE"""),22.9)</f>
        <v>22.9</v>
      </c>
      <c r="C26" s="2">
        <f>IFERROR(__xludf.DUMMYFUNCTION("""COMPUTED_VALUE"""),23.19)</f>
        <v>23.19</v>
      </c>
      <c r="D26" s="2">
        <f>IFERROR(__xludf.DUMMYFUNCTION("""COMPUTED_VALUE"""),22.73)</f>
        <v>22.73</v>
      </c>
      <c r="E26" s="2">
        <f>IFERROR(__xludf.DUMMYFUNCTION("""COMPUTED_VALUE"""),22.73)</f>
        <v>22.73</v>
      </c>
      <c r="F26" s="2">
        <f>IFERROR(__xludf.DUMMYFUNCTION("""COMPUTED_VALUE"""),2.35227477E8)</f>
        <v>235227477</v>
      </c>
      <c r="G26" s="3">
        <f t="shared" si="1"/>
        <v>-0.003943908852</v>
      </c>
    </row>
    <row r="27">
      <c r="A27" s="1">
        <f>IFERROR(__xludf.DUMMYFUNCTION("""COMPUTED_VALUE"""),41817.666666666664)</f>
        <v>41817.66667</v>
      </c>
      <c r="B27" s="2">
        <f>IFERROR(__xludf.DUMMYFUNCTION("""COMPUTED_VALUE"""),22.83)</f>
        <v>22.83</v>
      </c>
      <c r="C27" s="2">
        <f>IFERROR(__xludf.DUMMYFUNCTION("""COMPUTED_VALUE"""),23.0)</f>
        <v>23</v>
      </c>
      <c r="D27" s="2">
        <f>IFERROR(__xludf.DUMMYFUNCTION("""COMPUTED_VALUE"""),22.41)</f>
        <v>22.41</v>
      </c>
      <c r="E27" s="2">
        <f>IFERROR(__xludf.DUMMYFUNCTION("""COMPUTED_VALUE"""),23.0)</f>
        <v>23</v>
      </c>
      <c r="F27" s="2">
        <f>IFERROR(__xludf.DUMMYFUNCTION("""COMPUTED_VALUE"""),2.16257181E8)</f>
        <v>216257181</v>
      </c>
      <c r="G27" s="3">
        <f t="shared" si="1"/>
        <v>0.01187857457</v>
      </c>
    </row>
    <row r="28">
      <c r="A28" s="1">
        <f>IFERROR(__xludf.DUMMYFUNCTION("""COMPUTED_VALUE"""),41823.666666666664)</f>
        <v>41823.66667</v>
      </c>
      <c r="B28" s="2">
        <f>IFERROR(__xludf.DUMMYFUNCTION("""COMPUTED_VALUE"""),23.04)</f>
        <v>23.04</v>
      </c>
      <c r="C28" s="2">
        <f>IFERROR(__xludf.DUMMYFUNCTION("""COMPUTED_VALUE"""),23.53)</f>
        <v>23.53</v>
      </c>
      <c r="D28" s="2">
        <f>IFERROR(__xludf.DUMMYFUNCTION("""COMPUTED_VALUE"""),23.02)</f>
        <v>23.02</v>
      </c>
      <c r="E28" s="2">
        <f>IFERROR(__xludf.DUMMYFUNCTION("""COMPUTED_VALUE"""),23.51)</f>
        <v>23.51</v>
      </c>
      <c r="F28" s="2">
        <f>IFERROR(__xludf.DUMMYFUNCTION("""COMPUTED_VALUE"""),1.39169331E8)</f>
        <v>139169331</v>
      </c>
      <c r="G28" s="3">
        <f t="shared" si="1"/>
        <v>0.02217391304</v>
      </c>
    </row>
    <row r="29">
      <c r="A29" s="1">
        <f>IFERROR(__xludf.DUMMYFUNCTION("""COMPUTED_VALUE"""),41831.666666666664)</f>
        <v>41831.66667</v>
      </c>
      <c r="B29" s="2">
        <f>IFERROR(__xludf.DUMMYFUNCTION("""COMPUTED_VALUE"""),23.54)</f>
        <v>23.54</v>
      </c>
      <c r="C29" s="2">
        <f>IFERROR(__xludf.DUMMYFUNCTION("""COMPUTED_VALUE"""),24.2)</f>
        <v>24.2</v>
      </c>
      <c r="D29" s="2">
        <f>IFERROR(__xludf.DUMMYFUNCTION("""COMPUTED_VALUE"""),23.38)</f>
        <v>23.38</v>
      </c>
      <c r="E29" s="2">
        <f>IFERROR(__xludf.DUMMYFUNCTION("""COMPUTED_VALUE"""),23.81)</f>
        <v>23.81</v>
      </c>
      <c r="F29" s="2">
        <f>IFERROR(__xludf.DUMMYFUNCTION("""COMPUTED_VALUE"""),2.31829837E8)</f>
        <v>231829837</v>
      </c>
      <c r="G29" s="3">
        <f t="shared" si="1"/>
        <v>0.01276052744</v>
      </c>
    </row>
    <row r="30">
      <c r="A30" s="1">
        <f>IFERROR(__xludf.DUMMYFUNCTION("""COMPUTED_VALUE"""),41838.666666666664)</f>
        <v>41838.66667</v>
      </c>
      <c r="B30" s="2">
        <f>IFERROR(__xludf.DUMMYFUNCTION("""COMPUTED_VALUE"""),23.97)</f>
        <v>23.97</v>
      </c>
      <c r="C30" s="2">
        <f>IFERROR(__xludf.DUMMYFUNCTION("""COMPUTED_VALUE"""),24.28)</f>
        <v>24.28</v>
      </c>
      <c r="D30" s="2">
        <f>IFERROR(__xludf.DUMMYFUNCTION("""COMPUTED_VALUE"""),23.14)</f>
        <v>23.14</v>
      </c>
      <c r="E30" s="2">
        <f>IFERROR(__xludf.DUMMYFUNCTION("""COMPUTED_VALUE"""),23.61)</f>
        <v>23.61</v>
      </c>
      <c r="F30" s="2">
        <f>IFERROR(__xludf.DUMMYFUNCTION("""COMPUTED_VALUE"""),2.49294582E8)</f>
        <v>249294582</v>
      </c>
      <c r="G30" s="3">
        <f t="shared" si="1"/>
        <v>-0.008399832003</v>
      </c>
    </row>
    <row r="31">
      <c r="A31" s="1">
        <f>IFERROR(__xludf.DUMMYFUNCTION("""COMPUTED_VALUE"""),41845.666666666664)</f>
        <v>41845.66667</v>
      </c>
      <c r="B31" s="2">
        <f>IFERROR(__xludf.DUMMYFUNCTION("""COMPUTED_VALUE"""),23.75)</f>
        <v>23.75</v>
      </c>
      <c r="C31" s="2">
        <f>IFERROR(__xludf.DUMMYFUNCTION("""COMPUTED_VALUE"""),24.47)</f>
        <v>24.47</v>
      </c>
      <c r="D31" s="2">
        <f>IFERROR(__xludf.DUMMYFUNCTION("""COMPUTED_VALUE"""),23.43)</f>
        <v>23.43</v>
      </c>
      <c r="E31" s="2">
        <f>IFERROR(__xludf.DUMMYFUNCTION("""COMPUTED_VALUE"""),24.42)</f>
        <v>24.42</v>
      </c>
      <c r="F31" s="2">
        <f>IFERROR(__xludf.DUMMYFUNCTION("""COMPUTED_VALUE"""),2.76391278E8)</f>
        <v>276391278</v>
      </c>
      <c r="G31" s="3">
        <f t="shared" si="1"/>
        <v>0.03430749682</v>
      </c>
    </row>
    <row r="32">
      <c r="A32" s="1">
        <f>IFERROR(__xludf.DUMMYFUNCTION("""COMPUTED_VALUE"""),41852.666666666664)</f>
        <v>41852.66667</v>
      </c>
      <c r="B32" s="2">
        <f>IFERROR(__xludf.DUMMYFUNCTION("""COMPUTED_VALUE"""),24.45)</f>
        <v>24.45</v>
      </c>
      <c r="C32" s="2">
        <f>IFERROR(__xludf.DUMMYFUNCTION("""COMPUTED_VALUE"""),24.86)</f>
        <v>24.86</v>
      </c>
      <c r="D32" s="2">
        <f>IFERROR(__xludf.DUMMYFUNCTION("""COMPUTED_VALUE"""),23.7)</f>
        <v>23.7</v>
      </c>
      <c r="E32" s="2">
        <f>IFERROR(__xludf.DUMMYFUNCTION("""COMPUTED_VALUE"""),24.03)</f>
        <v>24.03</v>
      </c>
      <c r="F32" s="2">
        <f>IFERROR(__xludf.DUMMYFUNCTION("""COMPUTED_VALUE"""),2.36824718E8)</f>
        <v>236824718</v>
      </c>
      <c r="G32" s="3">
        <f t="shared" si="1"/>
        <v>-0.01597051597</v>
      </c>
    </row>
    <row r="33">
      <c r="A33" s="1">
        <f>IFERROR(__xludf.DUMMYFUNCTION("""COMPUTED_VALUE"""),41859.666666666664)</f>
        <v>41859.66667</v>
      </c>
      <c r="B33" s="2">
        <f>IFERROR(__xludf.DUMMYFUNCTION("""COMPUTED_VALUE"""),24.09)</f>
        <v>24.09</v>
      </c>
      <c r="C33" s="2">
        <f>IFERROR(__xludf.DUMMYFUNCTION("""COMPUTED_VALUE"""),24.15)</f>
        <v>24.15</v>
      </c>
      <c r="D33" s="2">
        <f>IFERROR(__xludf.DUMMYFUNCTION("""COMPUTED_VALUE"""),23.32)</f>
        <v>23.32</v>
      </c>
      <c r="E33" s="2">
        <f>IFERROR(__xludf.DUMMYFUNCTION("""COMPUTED_VALUE"""),23.69)</f>
        <v>23.69</v>
      </c>
      <c r="F33" s="2">
        <f>IFERROR(__xludf.DUMMYFUNCTION("""COMPUTED_VALUE"""),2.23025521E8)</f>
        <v>223025521</v>
      </c>
      <c r="G33" s="3">
        <f t="shared" si="1"/>
        <v>-0.01414898044</v>
      </c>
    </row>
    <row r="34">
      <c r="A34" s="1">
        <f>IFERROR(__xludf.DUMMYFUNCTION("""COMPUTED_VALUE"""),41866.666666666664)</f>
        <v>41866.66667</v>
      </c>
      <c r="B34" s="2">
        <f>IFERROR(__xludf.DUMMYFUNCTION("""COMPUTED_VALUE"""),23.82)</f>
        <v>23.82</v>
      </c>
      <c r="C34" s="2">
        <f>IFERROR(__xludf.DUMMYFUNCTION("""COMPUTED_VALUE"""),24.55)</f>
        <v>24.55</v>
      </c>
      <c r="D34" s="2">
        <f>IFERROR(__xludf.DUMMYFUNCTION("""COMPUTED_VALUE"""),23.71)</f>
        <v>23.71</v>
      </c>
      <c r="E34" s="2">
        <f>IFERROR(__xludf.DUMMYFUNCTION("""COMPUTED_VALUE"""),24.5)</f>
        <v>24.5</v>
      </c>
      <c r="F34" s="2">
        <f>IFERROR(__xludf.DUMMYFUNCTION("""COMPUTED_VALUE"""),1.79363532E8)</f>
        <v>179363532</v>
      </c>
      <c r="G34" s="3">
        <f t="shared" si="1"/>
        <v>0.03419164204</v>
      </c>
    </row>
    <row r="35">
      <c r="A35" s="1">
        <f>IFERROR(__xludf.DUMMYFUNCTION("""COMPUTED_VALUE"""),41873.666666666664)</f>
        <v>41873.66667</v>
      </c>
      <c r="B35" s="2">
        <f>IFERROR(__xludf.DUMMYFUNCTION("""COMPUTED_VALUE"""),24.62)</f>
        <v>24.62</v>
      </c>
      <c r="C35" s="2">
        <f>IFERROR(__xludf.DUMMYFUNCTION("""COMPUTED_VALUE"""),25.37)</f>
        <v>25.37</v>
      </c>
      <c r="D35" s="2">
        <f>IFERROR(__xludf.DUMMYFUNCTION("""COMPUTED_VALUE"""),24.5)</f>
        <v>24.5</v>
      </c>
      <c r="E35" s="2">
        <f>IFERROR(__xludf.DUMMYFUNCTION("""COMPUTED_VALUE"""),25.33)</f>
        <v>25.33</v>
      </c>
      <c r="F35" s="2">
        <f>IFERROR(__xludf.DUMMYFUNCTION("""COMPUTED_VALUE"""),2.47332907E8)</f>
        <v>247332907</v>
      </c>
      <c r="G35" s="3">
        <f t="shared" si="1"/>
        <v>0.03387755102</v>
      </c>
    </row>
    <row r="36">
      <c r="A36" s="1">
        <f>IFERROR(__xludf.DUMMYFUNCTION("""COMPUTED_VALUE"""),41880.666666666664)</f>
        <v>41880.66667</v>
      </c>
      <c r="B36" s="2">
        <f>IFERROR(__xludf.DUMMYFUNCTION("""COMPUTED_VALUE"""),25.45)</f>
        <v>25.45</v>
      </c>
      <c r="C36" s="2">
        <f>IFERROR(__xludf.DUMMYFUNCTION("""COMPUTED_VALUE"""),25.73)</f>
        <v>25.73</v>
      </c>
      <c r="D36" s="2">
        <f>IFERROR(__xludf.DUMMYFUNCTION("""COMPUTED_VALUE"""),25.18)</f>
        <v>25.18</v>
      </c>
      <c r="E36" s="2">
        <f>IFERROR(__xludf.DUMMYFUNCTION("""COMPUTED_VALUE"""),25.63)</f>
        <v>25.63</v>
      </c>
      <c r="F36" s="2">
        <f>IFERROR(__xludf.DUMMYFUNCTION("""COMPUTED_VALUE"""),2.38846216E8)</f>
        <v>238846216</v>
      </c>
      <c r="G36" s="3">
        <f t="shared" si="1"/>
        <v>0.01184366364</v>
      </c>
    </row>
    <row r="37">
      <c r="A37" s="1">
        <f>IFERROR(__xludf.DUMMYFUNCTION("""COMPUTED_VALUE"""),41887.666666666664)</f>
        <v>41887.66667</v>
      </c>
      <c r="B37" s="2">
        <f>IFERROR(__xludf.DUMMYFUNCTION("""COMPUTED_VALUE"""),25.76)</f>
        <v>25.76</v>
      </c>
      <c r="C37" s="2">
        <f>IFERROR(__xludf.DUMMYFUNCTION("""COMPUTED_VALUE"""),25.94)</f>
        <v>25.94</v>
      </c>
      <c r="D37" s="2">
        <f>IFERROR(__xludf.DUMMYFUNCTION("""COMPUTED_VALUE"""),24.45)</f>
        <v>24.45</v>
      </c>
      <c r="E37" s="2">
        <f>IFERROR(__xludf.DUMMYFUNCTION("""COMPUTED_VALUE"""),24.74)</f>
        <v>24.74</v>
      </c>
      <c r="F37" s="2">
        <f>IFERROR(__xludf.DUMMYFUNCTION("""COMPUTED_VALUE"""),3.23160039E8)</f>
        <v>323160039</v>
      </c>
      <c r="G37" s="3">
        <f t="shared" si="1"/>
        <v>-0.03472493172</v>
      </c>
    </row>
    <row r="38">
      <c r="A38" s="1">
        <f>IFERROR(__xludf.DUMMYFUNCTION("""COMPUTED_VALUE"""),41894.666666666664)</f>
        <v>41894.66667</v>
      </c>
      <c r="B38" s="2">
        <f>IFERROR(__xludf.DUMMYFUNCTION("""COMPUTED_VALUE"""),24.83)</f>
        <v>24.83</v>
      </c>
      <c r="C38" s="2">
        <f>IFERROR(__xludf.DUMMYFUNCTION("""COMPUTED_VALUE"""),25.77)</f>
        <v>25.77</v>
      </c>
      <c r="D38" s="2">
        <f>IFERROR(__xludf.DUMMYFUNCTION("""COMPUTED_VALUE"""),24.04)</f>
        <v>24.04</v>
      </c>
      <c r="E38" s="2">
        <f>IFERROR(__xludf.DUMMYFUNCTION("""COMPUTED_VALUE"""),25.42)</f>
        <v>25.42</v>
      </c>
      <c r="F38" s="2">
        <f>IFERROR(__xludf.DUMMYFUNCTION("""COMPUTED_VALUE"""),4.6356923E8)</f>
        <v>463569230</v>
      </c>
      <c r="G38" s="3">
        <f t="shared" si="1"/>
        <v>0.02748585287</v>
      </c>
    </row>
    <row r="39">
      <c r="A39" s="1">
        <f>IFERROR(__xludf.DUMMYFUNCTION("""COMPUTED_VALUE"""),41901.666666666664)</f>
        <v>41901.66667</v>
      </c>
      <c r="B39" s="2">
        <f>IFERROR(__xludf.DUMMYFUNCTION("""COMPUTED_VALUE"""),25.7)</f>
        <v>25.7</v>
      </c>
      <c r="C39" s="2">
        <f>IFERROR(__xludf.DUMMYFUNCTION("""COMPUTED_VALUE"""),25.76)</f>
        <v>25.76</v>
      </c>
      <c r="D39" s="2">
        <f>IFERROR(__xludf.DUMMYFUNCTION("""COMPUTED_VALUE"""),24.72)</f>
        <v>24.72</v>
      </c>
      <c r="E39" s="2">
        <f>IFERROR(__xludf.DUMMYFUNCTION("""COMPUTED_VALUE"""),25.24)</f>
        <v>25.24</v>
      </c>
      <c r="F39" s="2">
        <f>IFERROR(__xludf.DUMMYFUNCTION("""COMPUTED_VALUE"""),2.97352988E8)</f>
        <v>297352988</v>
      </c>
      <c r="G39" s="3">
        <f t="shared" si="1"/>
        <v>-0.007081038552</v>
      </c>
    </row>
    <row r="40">
      <c r="A40" s="1">
        <f>IFERROR(__xludf.DUMMYFUNCTION("""COMPUTED_VALUE"""),41908.666666666664)</f>
        <v>41908.66667</v>
      </c>
      <c r="B40" s="2">
        <f>IFERROR(__xludf.DUMMYFUNCTION("""COMPUTED_VALUE"""),25.45)</f>
        <v>25.45</v>
      </c>
      <c r="C40" s="2">
        <f>IFERROR(__xludf.DUMMYFUNCTION("""COMPUTED_VALUE"""),25.74)</f>
        <v>25.74</v>
      </c>
      <c r="D40" s="2">
        <f>IFERROR(__xludf.DUMMYFUNCTION("""COMPUTED_VALUE"""),24.43)</f>
        <v>24.43</v>
      </c>
      <c r="E40" s="2">
        <f>IFERROR(__xludf.DUMMYFUNCTION("""COMPUTED_VALUE"""),25.19)</f>
        <v>25.19</v>
      </c>
      <c r="F40" s="2">
        <f>IFERROR(__xludf.DUMMYFUNCTION("""COMPUTED_VALUE"""),3.38824941E8)</f>
        <v>338824941</v>
      </c>
      <c r="G40" s="3">
        <f t="shared" si="1"/>
        <v>-0.001980982567</v>
      </c>
    </row>
    <row r="41">
      <c r="A41" s="1">
        <f>IFERROR(__xludf.DUMMYFUNCTION("""COMPUTED_VALUE"""),41915.666666666664)</f>
        <v>41915.66667</v>
      </c>
      <c r="B41" s="2">
        <f>IFERROR(__xludf.DUMMYFUNCTION("""COMPUTED_VALUE"""),24.66)</f>
        <v>24.66</v>
      </c>
      <c r="C41" s="2">
        <f>IFERROR(__xludf.DUMMYFUNCTION("""COMPUTED_VALUE"""),25.39)</f>
        <v>25.39</v>
      </c>
      <c r="D41" s="2">
        <f>IFERROR(__xludf.DUMMYFUNCTION("""COMPUTED_VALUE"""),24.51)</f>
        <v>24.51</v>
      </c>
      <c r="E41" s="2">
        <f>IFERROR(__xludf.DUMMYFUNCTION("""COMPUTED_VALUE"""),24.91)</f>
        <v>24.91</v>
      </c>
      <c r="F41" s="2">
        <f>IFERROR(__xludf.DUMMYFUNCTION("""COMPUTED_VALUE"""),2.4774915E8)</f>
        <v>247749150</v>
      </c>
      <c r="G41" s="3">
        <f t="shared" si="1"/>
        <v>-0.01111552203</v>
      </c>
    </row>
    <row r="42">
      <c r="A42" s="1">
        <f>IFERROR(__xludf.DUMMYFUNCTION("""COMPUTED_VALUE"""),41922.666666666664)</f>
        <v>41922.66667</v>
      </c>
      <c r="B42" s="2">
        <f>IFERROR(__xludf.DUMMYFUNCTION("""COMPUTED_VALUE"""),24.99)</f>
        <v>24.99</v>
      </c>
      <c r="C42" s="2">
        <f>IFERROR(__xludf.DUMMYFUNCTION("""COMPUTED_VALUE"""),25.6)</f>
        <v>25.6</v>
      </c>
      <c r="D42" s="2">
        <f>IFERROR(__xludf.DUMMYFUNCTION("""COMPUTED_VALUE"""),24.58)</f>
        <v>24.58</v>
      </c>
      <c r="E42" s="2">
        <f>IFERROR(__xludf.DUMMYFUNCTION("""COMPUTED_VALUE"""),25.18)</f>
        <v>25.18</v>
      </c>
      <c r="F42" s="2">
        <f>IFERROR(__xludf.DUMMYFUNCTION("""COMPUTED_VALUE"""),2.80258156E8)</f>
        <v>280258156</v>
      </c>
      <c r="G42" s="3">
        <f t="shared" si="1"/>
        <v>0.01083902047</v>
      </c>
    </row>
    <row r="43">
      <c r="A43" s="1">
        <f>IFERROR(__xludf.DUMMYFUNCTION("""COMPUTED_VALUE"""),41929.666666666664)</f>
        <v>41929.66667</v>
      </c>
      <c r="B43" s="2">
        <f>IFERROR(__xludf.DUMMYFUNCTION("""COMPUTED_VALUE"""),25.33)</f>
        <v>25.33</v>
      </c>
      <c r="C43" s="2">
        <f>IFERROR(__xludf.DUMMYFUNCTION("""COMPUTED_VALUE"""),25.45)</f>
        <v>25.45</v>
      </c>
      <c r="D43" s="2">
        <f>IFERROR(__xludf.DUMMYFUNCTION("""COMPUTED_VALUE"""),23.8)</f>
        <v>23.8</v>
      </c>
      <c r="E43" s="2">
        <f>IFERROR(__xludf.DUMMYFUNCTION("""COMPUTED_VALUE"""),24.42)</f>
        <v>24.42</v>
      </c>
      <c r="F43" s="2">
        <f>IFERROR(__xludf.DUMMYFUNCTION("""COMPUTED_VALUE"""),3.58539741E8)</f>
        <v>358539741</v>
      </c>
      <c r="G43" s="3">
        <f t="shared" si="1"/>
        <v>-0.03018268467</v>
      </c>
    </row>
    <row r="44">
      <c r="A44" s="1">
        <f>IFERROR(__xludf.DUMMYFUNCTION("""COMPUTED_VALUE"""),41936.666666666664)</f>
        <v>41936.66667</v>
      </c>
      <c r="B44" s="2">
        <f>IFERROR(__xludf.DUMMYFUNCTION("""COMPUTED_VALUE"""),24.58)</f>
        <v>24.58</v>
      </c>
      <c r="C44" s="2">
        <f>IFERROR(__xludf.DUMMYFUNCTION("""COMPUTED_VALUE"""),26.37)</f>
        <v>26.37</v>
      </c>
      <c r="D44" s="2">
        <f>IFERROR(__xludf.DUMMYFUNCTION("""COMPUTED_VALUE"""),24.56)</f>
        <v>24.56</v>
      </c>
      <c r="E44" s="2">
        <f>IFERROR(__xludf.DUMMYFUNCTION("""COMPUTED_VALUE"""),26.31)</f>
        <v>26.31</v>
      </c>
      <c r="F44" s="2">
        <f>IFERROR(__xludf.DUMMYFUNCTION("""COMPUTED_VALUE"""),3.58532919E8)</f>
        <v>358532919</v>
      </c>
      <c r="G44" s="3">
        <f t="shared" si="1"/>
        <v>0.0773955774</v>
      </c>
    </row>
    <row r="45">
      <c r="A45" s="1">
        <f>IFERROR(__xludf.DUMMYFUNCTION("""COMPUTED_VALUE"""),41943.666666666664)</f>
        <v>41943.66667</v>
      </c>
      <c r="B45" s="2">
        <f>IFERROR(__xludf.DUMMYFUNCTION("""COMPUTED_VALUE"""),26.21)</f>
        <v>26.21</v>
      </c>
      <c r="C45" s="2">
        <f>IFERROR(__xludf.DUMMYFUNCTION("""COMPUTED_VALUE"""),27.01)</f>
        <v>27.01</v>
      </c>
      <c r="D45" s="2">
        <f>IFERROR(__xludf.DUMMYFUNCTION("""COMPUTED_VALUE"""),26.18)</f>
        <v>26.18</v>
      </c>
      <c r="E45" s="2">
        <f>IFERROR(__xludf.DUMMYFUNCTION("""COMPUTED_VALUE"""),27.0)</f>
        <v>27</v>
      </c>
      <c r="F45" s="2">
        <f>IFERROR(__xludf.DUMMYFUNCTION("""COMPUTED_VALUE"""),2.20230607E8)</f>
        <v>220230607</v>
      </c>
      <c r="G45" s="3">
        <f t="shared" si="1"/>
        <v>0.02622576967</v>
      </c>
    </row>
    <row r="46">
      <c r="A46" s="1">
        <f>IFERROR(__xludf.DUMMYFUNCTION("""COMPUTED_VALUE"""),41950.666666666664)</f>
        <v>41950.66667</v>
      </c>
      <c r="B46" s="2">
        <f>IFERROR(__xludf.DUMMYFUNCTION("""COMPUTED_VALUE"""),27.06)</f>
        <v>27.06</v>
      </c>
      <c r="C46" s="2">
        <f>IFERROR(__xludf.DUMMYFUNCTION("""COMPUTED_VALUE"""),27.58)</f>
        <v>27.58</v>
      </c>
      <c r="D46" s="2">
        <f>IFERROR(__xludf.DUMMYFUNCTION("""COMPUTED_VALUE"""),26.93)</f>
        <v>26.93</v>
      </c>
      <c r="E46" s="2">
        <f>IFERROR(__xludf.DUMMYFUNCTION("""COMPUTED_VALUE"""),27.25)</f>
        <v>27.25</v>
      </c>
      <c r="F46" s="2">
        <f>IFERROR(__xludf.DUMMYFUNCTION("""COMPUTED_VALUE"""),1.99952812E8)</f>
        <v>199952812</v>
      </c>
      <c r="G46" s="3">
        <f t="shared" si="1"/>
        <v>0.009259259259</v>
      </c>
    </row>
    <row r="47">
      <c r="A47" s="1">
        <f>IFERROR(__xludf.DUMMYFUNCTION("""COMPUTED_VALUE"""),41957.66666666667)</f>
        <v>41957.66667</v>
      </c>
      <c r="B47" s="2">
        <f>IFERROR(__xludf.DUMMYFUNCTION("""COMPUTED_VALUE"""),27.26)</f>
        <v>27.26</v>
      </c>
      <c r="C47" s="2">
        <f>IFERROR(__xludf.DUMMYFUNCTION("""COMPUTED_VALUE"""),28.55)</f>
        <v>28.55</v>
      </c>
      <c r="D47" s="2">
        <f>IFERROR(__xludf.DUMMYFUNCTION("""COMPUTED_VALUE"""),27.1)</f>
        <v>27.1</v>
      </c>
      <c r="E47" s="2">
        <f>IFERROR(__xludf.DUMMYFUNCTION("""COMPUTED_VALUE"""),28.55)</f>
        <v>28.55</v>
      </c>
      <c r="F47" s="2">
        <f>IFERROR(__xludf.DUMMYFUNCTION("""COMPUTED_VALUE"""),2.0516668E8)</f>
        <v>205166680</v>
      </c>
      <c r="G47" s="3">
        <f t="shared" si="1"/>
        <v>0.04770642202</v>
      </c>
    </row>
    <row r="48">
      <c r="A48" s="1">
        <f>IFERROR(__xludf.DUMMYFUNCTION("""COMPUTED_VALUE"""),41964.66666666667)</f>
        <v>41964.66667</v>
      </c>
      <c r="B48" s="2">
        <f>IFERROR(__xludf.DUMMYFUNCTION("""COMPUTED_VALUE"""),28.57)</f>
        <v>28.57</v>
      </c>
      <c r="C48" s="2">
        <f>IFERROR(__xludf.DUMMYFUNCTION("""COMPUTED_VALUE"""),29.39)</f>
        <v>29.39</v>
      </c>
      <c r="D48" s="2">
        <f>IFERROR(__xludf.DUMMYFUNCTION("""COMPUTED_VALUE"""),28.33)</f>
        <v>28.33</v>
      </c>
      <c r="E48" s="2">
        <f>IFERROR(__xludf.DUMMYFUNCTION("""COMPUTED_VALUE"""),29.12)</f>
        <v>29.12</v>
      </c>
      <c r="F48" s="2">
        <f>IFERROR(__xludf.DUMMYFUNCTION("""COMPUTED_VALUE"""),2.33414685E8)</f>
        <v>233414685</v>
      </c>
      <c r="G48" s="3">
        <f t="shared" si="1"/>
        <v>0.01996497373</v>
      </c>
    </row>
    <row r="49">
      <c r="A49" s="1">
        <f>IFERROR(__xludf.DUMMYFUNCTION("""COMPUTED_VALUE"""),41971.66666666667)</f>
        <v>41971.66667</v>
      </c>
      <c r="B49" s="2">
        <f>IFERROR(__xludf.DUMMYFUNCTION("""COMPUTED_VALUE"""),29.22)</f>
        <v>29.22</v>
      </c>
      <c r="C49" s="2">
        <f>IFERROR(__xludf.DUMMYFUNCTION("""COMPUTED_VALUE"""),29.94)</f>
        <v>29.94</v>
      </c>
      <c r="D49" s="2">
        <f>IFERROR(__xludf.DUMMYFUNCTION("""COMPUTED_VALUE"""),29.16)</f>
        <v>29.16</v>
      </c>
      <c r="E49" s="2">
        <f>IFERROR(__xludf.DUMMYFUNCTION("""COMPUTED_VALUE"""),29.73)</f>
        <v>29.73</v>
      </c>
      <c r="F49" s="2">
        <f>IFERROR(__xludf.DUMMYFUNCTION("""COMPUTED_VALUE"""),1.8193755E8)</f>
        <v>181937550</v>
      </c>
      <c r="G49" s="3">
        <f t="shared" si="1"/>
        <v>0.0209478022</v>
      </c>
    </row>
    <row r="50">
      <c r="A50" s="1">
        <f>IFERROR(__xludf.DUMMYFUNCTION("""COMPUTED_VALUE"""),41978.66666666667)</f>
        <v>41978.66667</v>
      </c>
      <c r="B50" s="2">
        <f>IFERROR(__xludf.DUMMYFUNCTION("""COMPUTED_VALUE"""),29.7)</f>
        <v>29.7</v>
      </c>
      <c r="C50" s="2">
        <f>IFERROR(__xludf.DUMMYFUNCTION("""COMPUTED_VALUE"""),29.81)</f>
        <v>29.81</v>
      </c>
      <c r="D50" s="2">
        <f>IFERROR(__xludf.DUMMYFUNCTION("""COMPUTED_VALUE"""),27.82)</f>
        <v>27.82</v>
      </c>
      <c r="E50" s="2">
        <f>IFERROR(__xludf.DUMMYFUNCTION("""COMPUTED_VALUE"""),28.75)</f>
        <v>28.75</v>
      </c>
      <c r="F50" s="2">
        <f>IFERROR(__xludf.DUMMYFUNCTION("""COMPUTED_VALUE"""),2.66701088E8)</f>
        <v>266701088</v>
      </c>
      <c r="G50" s="3">
        <f t="shared" si="1"/>
        <v>-0.0329633367</v>
      </c>
    </row>
    <row r="51">
      <c r="A51" s="1">
        <f>IFERROR(__xludf.DUMMYFUNCTION("""COMPUTED_VALUE"""),41985.66666666667)</f>
        <v>41985.66667</v>
      </c>
      <c r="B51" s="2">
        <f>IFERROR(__xludf.DUMMYFUNCTION("""COMPUTED_VALUE"""),28.53)</f>
        <v>28.53</v>
      </c>
      <c r="C51" s="2">
        <f>IFERROR(__xludf.DUMMYFUNCTION("""COMPUTED_VALUE"""),28.71)</f>
        <v>28.71</v>
      </c>
      <c r="D51" s="2">
        <f>IFERROR(__xludf.DUMMYFUNCTION("""COMPUTED_VALUE"""),27.34)</f>
        <v>27.34</v>
      </c>
      <c r="E51" s="2">
        <f>IFERROR(__xludf.DUMMYFUNCTION("""COMPUTED_VALUE"""),27.43)</f>
        <v>27.43</v>
      </c>
      <c r="F51" s="2">
        <f>IFERROR(__xludf.DUMMYFUNCTION("""COMPUTED_VALUE"""),2.5993792E8)</f>
        <v>259937920</v>
      </c>
      <c r="G51" s="3">
        <f t="shared" si="1"/>
        <v>-0.04591304348</v>
      </c>
    </row>
    <row r="52">
      <c r="A52" s="1">
        <f>IFERROR(__xludf.DUMMYFUNCTION("""COMPUTED_VALUE"""),41992.66666666667)</f>
        <v>41992.66667</v>
      </c>
      <c r="B52" s="2">
        <f>IFERROR(__xludf.DUMMYFUNCTION("""COMPUTED_VALUE"""),27.68)</f>
        <v>27.68</v>
      </c>
      <c r="C52" s="2">
        <f>IFERROR(__xludf.DUMMYFUNCTION("""COMPUTED_VALUE"""),28.31)</f>
        <v>28.31</v>
      </c>
      <c r="D52" s="2">
        <f>IFERROR(__xludf.DUMMYFUNCTION("""COMPUTED_VALUE"""),26.57)</f>
        <v>26.57</v>
      </c>
      <c r="E52" s="2">
        <f>IFERROR(__xludf.DUMMYFUNCTION("""COMPUTED_VALUE"""),27.95)</f>
        <v>27.95</v>
      </c>
      <c r="F52" s="2">
        <f>IFERROR(__xludf.DUMMYFUNCTION("""COMPUTED_VALUE"""),3.28856576E8)</f>
        <v>328856576</v>
      </c>
      <c r="G52" s="3">
        <f t="shared" si="1"/>
        <v>0.01895734597</v>
      </c>
    </row>
    <row r="53">
      <c r="A53" s="1">
        <f>IFERROR(__xludf.DUMMYFUNCTION("""COMPUTED_VALUE"""),41999.66666666667)</f>
        <v>41999.66667</v>
      </c>
      <c r="B53" s="2">
        <f>IFERROR(__xludf.DUMMYFUNCTION("""COMPUTED_VALUE"""),28.04)</f>
        <v>28.04</v>
      </c>
      <c r="C53" s="2">
        <f>IFERROR(__xludf.DUMMYFUNCTION("""COMPUTED_VALUE"""),28.63)</f>
        <v>28.63</v>
      </c>
      <c r="D53" s="2">
        <f>IFERROR(__xludf.DUMMYFUNCTION("""COMPUTED_VALUE"""),27.99)</f>
        <v>27.99</v>
      </c>
      <c r="E53" s="2">
        <f>IFERROR(__xludf.DUMMYFUNCTION("""COMPUTED_VALUE"""),28.5)</f>
        <v>28.5</v>
      </c>
      <c r="F53" s="2">
        <f>IFERROR(__xludf.DUMMYFUNCTION("""COMPUTED_VALUE"""),1.1939653E8)</f>
        <v>119396530</v>
      </c>
      <c r="G53" s="3">
        <f t="shared" si="1"/>
        <v>0.01967799642</v>
      </c>
    </row>
    <row r="54">
      <c r="A54" s="1">
        <f>IFERROR(__xludf.DUMMYFUNCTION("""COMPUTED_VALUE"""),42006.66666666667)</f>
        <v>42006.66667</v>
      </c>
      <c r="B54" s="2">
        <f>IFERROR(__xludf.DUMMYFUNCTION("""COMPUTED_VALUE"""),28.45)</f>
        <v>28.45</v>
      </c>
      <c r="C54" s="2">
        <f>IFERROR(__xludf.DUMMYFUNCTION("""COMPUTED_VALUE"""),28.69)</f>
        <v>28.69</v>
      </c>
      <c r="D54" s="2">
        <f>IFERROR(__xludf.DUMMYFUNCTION("""COMPUTED_VALUE"""),26.84)</f>
        <v>26.84</v>
      </c>
      <c r="E54" s="2">
        <f>IFERROR(__xludf.DUMMYFUNCTION("""COMPUTED_VALUE"""),27.33)</f>
        <v>27.33</v>
      </c>
      <c r="F54" s="2">
        <f>IFERROR(__xludf.DUMMYFUNCTION("""COMPUTED_VALUE"""),1.52088374E8)</f>
        <v>152088374</v>
      </c>
      <c r="G54" s="3">
        <f t="shared" si="1"/>
        <v>-0.04105263158</v>
      </c>
    </row>
    <row r="55">
      <c r="A55" s="1">
        <f>IFERROR(__xludf.DUMMYFUNCTION("""COMPUTED_VALUE"""),42013.66666666667)</f>
        <v>42013.66667</v>
      </c>
      <c r="B55" s="2">
        <f>IFERROR(__xludf.DUMMYFUNCTION("""COMPUTED_VALUE"""),27.07)</f>
        <v>27.07</v>
      </c>
      <c r="C55" s="2">
        <f>IFERROR(__xludf.DUMMYFUNCTION("""COMPUTED_VALUE"""),28.31)</f>
        <v>28.31</v>
      </c>
      <c r="D55" s="2">
        <f>IFERROR(__xludf.DUMMYFUNCTION("""COMPUTED_VALUE"""),26.16)</f>
        <v>26.16</v>
      </c>
      <c r="E55" s="2">
        <f>IFERROR(__xludf.DUMMYFUNCTION("""COMPUTED_VALUE"""),28.0)</f>
        <v>28</v>
      </c>
      <c r="F55" s="2">
        <f>IFERROR(__xludf.DUMMYFUNCTION("""COMPUTED_VALUE"""),2.83252615E8)</f>
        <v>283252615</v>
      </c>
      <c r="G55" s="3">
        <f t="shared" si="1"/>
        <v>0.02451518478</v>
      </c>
    </row>
    <row r="56">
      <c r="A56" s="1">
        <f>IFERROR(__xludf.DUMMYFUNCTION("""COMPUTED_VALUE"""),42020.66666666667)</f>
        <v>42020.66667</v>
      </c>
      <c r="B56" s="2">
        <f>IFERROR(__xludf.DUMMYFUNCTION("""COMPUTED_VALUE"""),28.15)</f>
        <v>28.15</v>
      </c>
      <c r="C56" s="2">
        <f>IFERROR(__xludf.DUMMYFUNCTION("""COMPUTED_VALUE"""),28.2)</f>
        <v>28.2</v>
      </c>
      <c r="D56" s="2">
        <f>IFERROR(__xludf.DUMMYFUNCTION("""COMPUTED_VALUE"""),26.3)</f>
        <v>26.3</v>
      </c>
      <c r="E56" s="2">
        <f>IFERROR(__xludf.DUMMYFUNCTION("""COMPUTED_VALUE"""),26.5)</f>
        <v>26.5</v>
      </c>
      <c r="F56" s="2">
        <f>IFERROR(__xludf.DUMMYFUNCTION("""COMPUTED_VALUE"""),3.04226647E8)</f>
        <v>304226647</v>
      </c>
      <c r="G56" s="3">
        <f t="shared" si="1"/>
        <v>-0.05357142857</v>
      </c>
    </row>
    <row r="57">
      <c r="A57" s="1">
        <f>IFERROR(__xludf.DUMMYFUNCTION("""COMPUTED_VALUE"""),42027.66666666667)</f>
        <v>42027.66667</v>
      </c>
      <c r="B57" s="2">
        <f>IFERROR(__xludf.DUMMYFUNCTION("""COMPUTED_VALUE"""),26.96)</f>
        <v>26.96</v>
      </c>
      <c r="C57" s="2">
        <f>IFERROR(__xludf.DUMMYFUNCTION("""COMPUTED_VALUE"""),28.44)</f>
        <v>28.44</v>
      </c>
      <c r="D57" s="2">
        <f>IFERROR(__xludf.DUMMYFUNCTION("""COMPUTED_VALUE"""),26.63)</f>
        <v>26.63</v>
      </c>
      <c r="E57" s="2">
        <f>IFERROR(__xludf.DUMMYFUNCTION("""COMPUTED_VALUE"""),28.25)</f>
        <v>28.25</v>
      </c>
      <c r="F57" s="2">
        <f>IFERROR(__xludf.DUMMYFUNCTION("""COMPUTED_VALUE"""),1.98737041E8)</f>
        <v>198737041</v>
      </c>
      <c r="G57" s="3">
        <f t="shared" si="1"/>
        <v>0.06603773585</v>
      </c>
    </row>
    <row r="58">
      <c r="A58" s="1">
        <f>IFERROR(__xludf.DUMMYFUNCTION("""COMPUTED_VALUE"""),42034.66666666667)</f>
        <v>42034.66667</v>
      </c>
      <c r="B58" s="2">
        <f>IFERROR(__xludf.DUMMYFUNCTION("""COMPUTED_VALUE"""),28.44)</f>
        <v>28.44</v>
      </c>
      <c r="C58" s="2">
        <f>IFERROR(__xludf.DUMMYFUNCTION("""COMPUTED_VALUE"""),30.0)</f>
        <v>30</v>
      </c>
      <c r="D58" s="2">
        <f>IFERROR(__xludf.DUMMYFUNCTION("""COMPUTED_VALUE"""),27.26)</f>
        <v>27.26</v>
      </c>
      <c r="E58" s="2">
        <f>IFERROR(__xludf.DUMMYFUNCTION("""COMPUTED_VALUE"""),29.29)</f>
        <v>29.29</v>
      </c>
      <c r="F58" s="2">
        <f>IFERROR(__xludf.DUMMYFUNCTION("""COMPUTED_VALUE"""),4.65842684E8)</f>
        <v>465842684</v>
      </c>
      <c r="G58" s="3">
        <f t="shared" si="1"/>
        <v>0.03681415929</v>
      </c>
    </row>
    <row r="59">
      <c r="A59" s="1">
        <f>IFERROR(__xludf.DUMMYFUNCTION("""COMPUTED_VALUE"""),42041.66666666667)</f>
        <v>42041.66667</v>
      </c>
      <c r="B59" s="2">
        <f>IFERROR(__xludf.DUMMYFUNCTION("""COMPUTED_VALUE"""),29.51)</f>
        <v>29.51</v>
      </c>
      <c r="C59" s="2">
        <f>IFERROR(__xludf.DUMMYFUNCTION("""COMPUTED_VALUE"""),30.13)</f>
        <v>30.13</v>
      </c>
      <c r="D59" s="2">
        <f>IFERROR(__xludf.DUMMYFUNCTION("""COMPUTED_VALUE"""),29.02)</f>
        <v>29.02</v>
      </c>
      <c r="E59" s="2">
        <f>IFERROR(__xludf.DUMMYFUNCTION("""COMPUTED_VALUE"""),29.73)</f>
        <v>29.73</v>
      </c>
      <c r="F59" s="2">
        <f>IFERROR(__xludf.DUMMYFUNCTION("""COMPUTED_VALUE"""),2.70757404E8)</f>
        <v>270757404</v>
      </c>
      <c r="G59" s="3">
        <f t="shared" si="1"/>
        <v>0.01502219187</v>
      </c>
    </row>
    <row r="60">
      <c r="A60" s="1">
        <f>IFERROR(__xludf.DUMMYFUNCTION("""COMPUTED_VALUE"""),42048.66666666667)</f>
        <v>42048.66667</v>
      </c>
      <c r="B60" s="2">
        <f>IFERROR(__xludf.DUMMYFUNCTION("""COMPUTED_VALUE"""),29.64)</f>
        <v>29.64</v>
      </c>
      <c r="C60" s="2">
        <f>IFERROR(__xludf.DUMMYFUNCTION("""COMPUTED_VALUE"""),31.87)</f>
        <v>31.87</v>
      </c>
      <c r="D60" s="2">
        <f>IFERROR(__xludf.DUMMYFUNCTION("""COMPUTED_VALUE"""),29.61)</f>
        <v>29.61</v>
      </c>
      <c r="E60" s="2">
        <f>IFERROR(__xludf.DUMMYFUNCTION("""COMPUTED_VALUE"""),31.77)</f>
        <v>31.77</v>
      </c>
      <c r="F60" s="2">
        <f>IFERROR(__xludf.DUMMYFUNCTION("""COMPUTED_VALUE"""),3.03206785E8)</f>
        <v>303206785</v>
      </c>
      <c r="G60" s="3">
        <f t="shared" si="1"/>
        <v>0.06861755802</v>
      </c>
    </row>
    <row r="61">
      <c r="A61" s="1">
        <f>IFERROR(__xludf.DUMMYFUNCTION("""COMPUTED_VALUE"""),42055.66666666667)</f>
        <v>42055.66667</v>
      </c>
      <c r="B61" s="2">
        <f>IFERROR(__xludf.DUMMYFUNCTION("""COMPUTED_VALUE"""),31.85)</f>
        <v>31.85</v>
      </c>
      <c r="C61" s="2">
        <f>IFERROR(__xludf.DUMMYFUNCTION("""COMPUTED_VALUE"""),32.38)</f>
        <v>32.38</v>
      </c>
      <c r="D61" s="2">
        <f>IFERROR(__xludf.DUMMYFUNCTION("""COMPUTED_VALUE"""),31.73)</f>
        <v>31.73</v>
      </c>
      <c r="E61" s="2">
        <f>IFERROR(__xludf.DUMMYFUNCTION("""COMPUTED_VALUE"""),32.37)</f>
        <v>32.37</v>
      </c>
      <c r="F61" s="2">
        <f>IFERROR(__xludf.DUMMYFUNCTION("""COMPUTED_VALUE"""),1.94354942E8)</f>
        <v>194354942</v>
      </c>
      <c r="G61" s="3">
        <f t="shared" si="1"/>
        <v>0.01888574127</v>
      </c>
    </row>
    <row r="62">
      <c r="A62" s="1">
        <f>IFERROR(__xludf.DUMMYFUNCTION("""COMPUTED_VALUE"""),42062.66666666667)</f>
        <v>42062.66667</v>
      </c>
      <c r="B62" s="2">
        <f>IFERROR(__xludf.DUMMYFUNCTION("""COMPUTED_VALUE"""),32.51)</f>
        <v>32.51</v>
      </c>
      <c r="C62" s="2">
        <f>IFERROR(__xludf.DUMMYFUNCTION("""COMPUTED_VALUE"""),33.4)</f>
        <v>33.4</v>
      </c>
      <c r="D62" s="2">
        <f>IFERROR(__xludf.DUMMYFUNCTION("""COMPUTED_VALUE"""),31.65)</f>
        <v>31.65</v>
      </c>
      <c r="E62" s="2">
        <f>IFERROR(__xludf.DUMMYFUNCTION("""COMPUTED_VALUE"""),32.12)</f>
        <v>32.12</v>
      </c>
      <c r="F62" s="2">
        <f>IFERROR(__xludf.DUMMYFUNCTION("""COMPUTED_VALUE"""),3.68216362E8)</f>
        <v>368216362</v>
      </c>
      <c r="G62" s="3">
        <f t="shared" si="1"/>
        <v>-0.007723200494</v>
      </c>
    </row>
    <row r="63">
      <c r="A63" s="1">
        <f>IFERROR(__xludf.DUMMYFUNCTION("""COMPUTED_VALUE"""),42069.66666666667)</f>
        <v>42069.66667</v>
      </c>
      <c r="B63" s="2">
        <f>IFERROR(__xludf.DUMMYFUNCTION("""COMPUTED_VALUE"""),32.31)</f>
        <v>32.31</v>
      </c>
      <c r="C63" s="2">
        <f>IFERROR(__xludf.DUMMYFUNCTION("""COMPUTED_VALUE"""),32.57)</f>
        <v>32.57</v>
      </c>
      <c r="D63" s="2">
        <f>IFERROR(__xludf.DUMMYFUNCTION("""COMPUTED_VALUE"""),31.44)</f>
        <v>31.44</v>
      </c>
      <c r="E63" s="2">
        <f>IFERROR(__xludf.DUMMYFUNCTION("""COMPUTED_VALUE"""),31.65)</f>
        <v>31.65</v>
      </c>
      <c r="F63" s="2">
        <f>IFERROR(__xludf.DUMMYFUNCTION("""COMPUTED_VALUE"""),2.46938492E8)</f>
        <v>246938492</v>
      </c>
      <c r="G63" s="3">
        <f t="shared" si="1"/>
        <v>-0.01463262765</v>
      </c>
    </row>
    <row r="64">
      <c r="A64" s="1">
        <f>IFERROR(__xludf.DUMMYFUNCTION("""COMPUTED_VALUE"""),42076.66666666667)</f>
        <v>42076.66667</v>
      </c>
      <c r="B64" s="2">
        <f>IFERROR(__xludf.DUMMYFUNCTION("""COMPUTED_VALUE"""),31.99)</f>
        <v>31.99</v>
      </c>
      <c r="C64" s="2">
        <f>IFERROR(__xludf.DUMMYFUNCTION("""COMPUTED_VALUE"""),32.39)</f>
        <v>32.39</v>
      </c>
      <c r="D64" s="2">
        <f>IFERROR(__xludf.DUMMYFUNCTION("""COMPUTED_VALUE"""),30.41)</f>
        <v>30.41</v>
      </c>
      <c r="E64" s="2">
        <f>IFERROR(__xludf.DUMMYFUNCTION("""COMPUTED_VALUE"""),30.9)</f>
        <v>30.9</v>
      </c>
      <c r="F64" s="2">
        <f>IFERROR(__xludf.DUMMYFUNCTION("""COMPUTED_VALUE"""),3.26514045E8)</f>
        <v>326514045</v>
      </c>
      <c r="G64" s="3">
        <f t="shared" si="1"/>
        <v>-0.02369668246</v>
      </c>
    </row>
    <row r="65">
      <c r="A65" s="1">
        <f>IFERROR(__xludf.DUMMYFUNCTION("""COMPUTED_VALUE"""),42083.66666666667)</f>
        <v>42083.66667</v>
      </c>
      <c r="B65" s="2">
        <f>IFERROR(__xludf.DUMMYFUNCTION("""COMPUTED_VALUE"""),30.97)</f>
        <v>30.97</v>
      </c>
      <c r="C65" s="2">
        <f>IFERROR(__xludf.DUMMYFUNCTION("""COMPUTED_VALUE"""),32.31)</f>
        <v>32.31</v>
      </c>
      <c r="D65" s="2">
        <f>IFERROR(__xludf.DUMMYFUNCTION("""COMPUTED_VALUE"""),30.72)</f>
        <v>30.72</v>
      </c>
      <c r="E65" s="2">
        <f>IFERROR(__xludf.DUMMYFUNCTION("""COMPUTED_VALUE"""),31.48)</f>
        <v>31.48</v>
      </c>
      <c r="F65" s="2">
        <f>IFERROR(__xludf.DUMMYFUNCTION("""COMPUTED_VALUE"""),2.66672975E8)</f>
        <v>266672975</v>
      </c>
      <c r="G65" s="3">
        <f t="shared" si="1"/>
        <v>0.01877022654</v>
      </c>
    </row>
    <row r="66">
      <c r="A66" s="1">
        <f>IFERROR(__xludf.DUMMYFUNCTION("""COMPUTED_VALUE"""),42090.66666666667)</f>
        <v>42090.66667</v>
      </c>
      <c r="B66" s="2">
        <f>IFERROR(__xludf.DUMMYFUNCTION("""COMPUTED_VALUE"""),31.78)</f>
        <v>31.78</v>
      </c>
      <c r="C66" s="2">
        <f>IFERROR(__xludf.DUMMYFUNCTION("""COMPUTED_VALUE"""),32.01)</f>
        <v>32.01</v>
      </c>
      <c r="D66" s="2">
        <f>IFERROR(__xludf.DUMMYFUNCTION("""COMPUTED_VALUE"""),30.65)</f>
        <v>30.65</v>
      </c>
      <c r="E66" s="2">
        <f>IFERROR(__xludf.DUMMYFUNCTION("""COMPUTED_VALUE"""),30.81)</f>
        <v>30.81</v>
      </c>
      <c r="F66" s="2">
        <f>IFERROR(__xludf.DUMMYFUNCTION("""COMPUTED_VALUE"""),2.09326175E8)</f>
        <v>209326175</v>
      </c>
      <c r="G66" s="3">
        <f t="shared" si="1"/>
        <v>-0.02128335451</v>
      </c>
    </row>
    <row r="67">
      <c r="A67" s="1">
        <f>IFERROR(__xludf.DUMMYFUNCTION("""COMPUTED_VALUE"""),42096.66666666667)</f>
        <v>42096.66667</v>
      </c>
      <c r="B67" s="2">
        <f>IFERROR(__xludf.DUMMYFUNCTION("""COMPUTED_VALUE"""),31.03)</f>
        <v>31.03</v>
      </c>
      <c r="C67" s="2">
        <f>IFERROR(__xludf.DUMMYFUNCTION("""COMPUTED_VALUE"""),31.62)</f>
        <v>31.62</v>
      </c>
      <c r="D67" s="2">
        <f>IFERROR(__xludf.DUMMYFUNCTION("""COMPUTED_VALUE"""),30.78)</f>
        <v>30.78</v>
      </c>
      <c r="E67" s="2">
        <f>IFERROR(__xludf.DUMMYFUNCTION("""COMPUTED_VALUE"""),31.33)</f>
        <v>31.33</v>
      </c>
      <c r="F67" s="2">
        <f>IFERROR(__xludf.DUMMYFUNCTION("""COMPUTED_VALUE"""),1.62031791E8)</f>
        <v>162031791</v>
      </c>
      <c r="G67" s="3">
        <f t="shared" si="1"/>
        <v>0.01687763713</v>
      </c>
    </row>
    <row r="68">
      <c r="A68" s="1">
        <f>IFERROR(__xludf.DUMMYFUNCTION("""COMPUTED_VALUE"""),42104.66666666667)</f>
        <v>42104.66667</v>
      </c>
      <c r="B68" s="2">
        <f>IFERROR(__xludf.DUMMYFUNCTION("""COMPUTED_VALUE"""),31.12)</f>
        <v>31.12</v>
      </c>
      <c r="C68" s="2">
        <f>IFERROR(__xludf.DUMMYFUNCTION("""COMPUTED_VALUE"""),32.03)</f>
        <v>32.03</v>
      </c>
      <c r="D68" s="2">
        <f>IFERROR(__xludf.DUMMYFUNCTION("""COMPUTED_VALUE"""),31.08)</f>
        <v>31.08</v>
      </c>
      <c r="E68" s="2">
        <f>IFERROR(__xludf.DUMMYFUNCTION("""COMPUTED_VALUE"""),31.78)</f>
        <v>31.78</v>
      </c>
      <c r="F68" s="2">
        <f>IFERROR(__xludf.DUMMYFUNCTION("""COMPUTED_VALUE"""),1.82207413E8)</f>
        <v>182207413</v>
      </c>
      <c r="G68" s="3">
        <f t="shared" si="1"/>
        <v>0.01436323013</v>
      </c>
    </row>
    <row r="69">
      <c r="A69" s="1">
        <f>IFERROR(__xludf.DUMMYFUNCTION("""COMPUTED_VALUE"""),42111.66666666667)</f>
        <v>42111.66667</v>
      </c>
      <c r="B69" s="2">
        <f>IFERROR(__xludf.DUMMYFUNCTION("""COMPUTED_VALUE"""),32.09)</f>
        <v>32.09</v>
      </c>
      <c r="C69" s="2">
        <f>IFERROR(__xludf.DUMMYFUNCTION("""COMPUTED_VALUE"""),32.14)</f>
        <v>32.14</v>
      </c>
      <c r="D69" s="2">
        <f>IFERROR(__xludf.DUMMYFUNCTION("""COMPUTED_VALUE"""),31.12)</f>
        <v>31.12</v>
      </c>
      <c r="E69" s="2">
        <f>IFERROR(__xludf.DUMMYFUNCTION("""COMPUTED_VALUE"""),31.19)</f>
        <v>31.19</v>
      </c>
      <c r="F69" s="2">
        <f>IFERROR(__xludf.DUMMYFUNCTION("""COMPUTED_VALUE"""),1.71186168E8)</f>
        <v>171186168</v>
      </c>
      <c r="G69" s="3">
        <f t="shared" si="1"/>
        <v>-0.01856513531</v>
      </c>
    </row>
    <row r="70">
      <c r="A70" s="1">
        <f>IFERROR(__xludf.DUMMYFUNCTION("""COMPUTED_VALUE"""),42118.66666666667)</f>
        <v>42118.66667</v>
      </c>
      <c r="B70" s="2">
        <f>IFERROR(__xludf.DUMMYFUNCTION("""COMPUTED_VALUE"""),31.39)</f>
        <v>31.39</v>
      </c>
      <c r="C70" s="2">
        <f>IFERROR(__xludf.DUMMYFUNCTION("""COMPUTED_VALUE"""),32.66)</f>
        <v>32.66</v>
      </c>
      <c r="D70" s="2">
        <f>IFERROR(__xludf.DUMMYFUNCTION("""COMPUTED_VALUE"""),31.29)</f>
        <v>31.29</v>
      </c>
      <c r="E70" s="2">
        <f>IFERROR(__xludf.DUMMYFUNCTION("""COMPUTED_VALUE"""),32.57)</f>
        <v>32.57</v>
      </c>
      <c r="F70" s="2">
        <f>IFERROR(__xludf.DUMMYFUNCTION("""COMPUTED_VALUE"""),2.07440679E8)</f>
        <v>207440679</v>
      </c>
      <c r="G70" s="3">
        <f t="shared" si="1"/>
        <v>0.0442449503</v>
      </c>
    </row>
    <row r="71">
      <c r="A71" s="1">
        <f>IFERROR(__xludf.DUMMYFUNCTION("""COMPUTED_VALUE"""),42125.66666666667)</f>
        <v>42125.66667</v>
      </c>
      <c r="B71" s="2">
        <f>IFERROR(__xludf.DUMMYFUNCTION("""COMPUTED_VALUE"""),33.08)</f>
        <v>33.08</v>
      </c>
      <c r="C71" s="2">
        <f>IFERROR(__xludf.DUMMYFUNCTION("""COMPUTED_VALUE"""),33.64)</f>
        <v>33.64</v>
      </c>
      <c r="D71" s="2">
        <f>IFERROR(__xludf.DUMMYFUNCTION("""COMPUTED_VALUE"""),31.15)</f>
        <v>31.15</v>
      </c>
      <c r="E71" s="2">
        <f>IFERROR(__xludf.DUMMYFUNCTION("""COMPUTED_VALUE"""),32.24)</f>
        <v>32.24</v>
      </c>
      <c r="F71" s="2">
        <f>IFERROR(__xludf.DUMMYFUNCTION("""COMPUTED_VALUE"""),4.20972321E8)</f>
        <v>420972321</v>
      </c>
      <c r="G71" s="3">
        <f t="shared" si="1"/>
        <v>-0.01013202333</v>
      </c>
    </row>
    <row r="72">
      <c r="A72" s="1">
        <f>IFERROR(__xludf.DUMMYFUNCTION("""COMPUTED_VALUE"""),42132.66666666667)</f>
        <v>42132.66667</v>
      </c>
      <c r="B72" s="2">
        <f>IFERROR(__xludf.DUMMYFUNCTION("""COMPUTED_VALUE"""),32.38)</f>
        <v>32.38</v>
      </c>
      <c r="C72" s="2">
        <f>IFERROR(__xludf.DUMMYFUNCTION("""COMPUTED_VALUE"""),32.64)</f>
        <v>32.64</v>
      </c>
      <c r="D72" s="2">
        <f>IFERROR(__xludf.DUMMYFUNCTION("""COMPUTED_VALUE"""),30.84)</f>
        <v>30.84</v>
      </c>
      <c r="E72" s="2">
        <f>IFERROR(__xludf.DUMMYFUNCTION("""COMPUTED_VALUE"""),31.91)</f>
        <v>31.91</v>
      </c>
      <c r="F72" s="2">
        <f>IFERROR(__xludf.DUMMYFUNCTION("""COMPUTED_VALUE"""),2.71891981E8)</f>
        <v>271891981</v>
      </c>
      <c r="G72" s="3">
        <f t="shared" si="1"/>
        <v>-0.01023573201</v>
      </c>
    </row>
    <row r="73">
      <c r="A73" s="1">
        <f>IFERROR(__xludf.DUMMYFUNCTION("""COMPUTED_VALUE"""),42139.66666666667)</f>
        <v>42139.66667</v>
      </c>
      <c r="B73" s="2">
        <f>IFERROR(__xludf.DUMMYFUNCTION("""COMPUTED_VALUE"""),31.85)</f>
        <v>31.85</v>
      </c>
      <c r="C73" s="2">
        <f>IFERROR(__xludf.DUMMYFUNCTION("""COMPUTED_VALUE"""),32.37)</f>
        <v>32.37</v>
      </c>
      <c r="D73" s="2">
        <f>IFERROR(__xludf.DUMMYFUNCTION("""COMPUTED_VALUE"""),31.21)</f>
        <v>31.21</v>
      </c>
      <c r="E73" s="2">
        <f>IFERROR(__xludf.DUMMYFUNCTION("""COMPUTED_VALUE"""),32.19)</f>
        <v>32.19</v>
      </c>
      <c r="F73" s="2">
        <f>IFERROR(__xludf.DUMMYFUNCTION("""COMPUTED_VALUE"""),2.08301514E8)</f>
        <v>208301514</v>
      </c>
      <c r="G73" s="3">
        <f t="shared" si="1"/>
        <v>0.008774678784</v>
      </c>
    </row>
    <row r="74">
      <c r="A74" s="1">
        <f>IFERROR(__xludf.DUMMYFUNCTION("""COMPUTED_VALUE"""),42146.66666666667)</f>
        <v>42146.66667</v>
      </c>
      <c r="B74" s="2">
        <f>IFERROR(__xludf.DUMMYFUNCTION("""COMPUTED_VALUE"""),32.1)</f>
        <v>32.1</v>
      </c>
      <c r="C74" s="2">
        <f>IFERROR(__xludf.DUMMYFUNCTION("""COMPUTED_VALUE"""),33.24)</f>
        <v>33.24</v>
      </c>
      <c r="D74" s="2">
        <f>IFERROR(__xludf.DUMMYFUNCTION("""COMPUTED_VALUE"""),32.09)</f>
        <v>32.09</v>
      </c>
      <c r="E74" s="2">
        <f>IFERROR(__xludf.DUMMYFUNCTION("""COMPUTED_VALUE"""),33.14)</f>
        <v>33.14</v>
      </c>
      <c r="F74" s="2">
        <f>IFERROR(__xludf.DUMMYFUNCTION("""COMPUTED_VALUE"""),2.17297426E8)</f>
        <v>217297426</v>
      </c>
      <c r="G74" s="3">
        <f t="shared" si="1"/>
        <v>0.02951227089</v>
      </c>
    </row>
    <row r="75">
      <c r="A75" s="1">
        <f>IFERROR(__xludf.DUMMYFUNCTION("""COMPUTED_VALUE"""),42153.66666666667)</f>
        <v>42153.66667</v>
      </c>
      <c r="B75" s="2">
        <f>IFERROR(__xludf.DUMMYFUNCTION("""COMPUTED_VALUE"""),33.15)</f>
        <v>33.15</v>
      </c>
      <c r="C75" s="2">
        <f>IFERROR(__xludf.DUMMYFUNCTION("""COMPUTED_VALUE"""),33.23)</f>
        <v>33.23</v>
      </c>
      <c r="D75" s="2">
        <f>IFERROR(__xludf.DUMMYFUNCTION("""COMPUTED_VALUE"""),32.28)</f>
        <v>32.28</v>
      </c>
      <c r="E75" s="2">
        <f>IFERROR(__xludf.DUMMYFUNCTION("""COMPUTED_VALUE"""),32.57)</f>
        <v>32.57</v>
      </c>
      <c r="F75" s="2">
        <f>IFERROR(__xludf.DUMMYFUNCTION("""COMPUTED_VALUE"""),1.98148567E8)</f>
        <v>198148567</v>
      </c>
      <c r="G75" s="3">
        <f t="shared" si="1"/>
        <v>-0.0171997586</v>
      </c>
    </row>
    <row r="76">
      <c r="A76" s="1">
        <f>IFERROR(__xludf.DUMMYFUNCTION("""COMPUTED_VALUE"""),42160.66666666667)</f>
        <v>42160.66667</v>
      </c>
      <c r="B76" s="2">
        <f>IFERROR(__xludf.DUMMYFUNCTION("""COMPUTED_VALUE"""),32.8)</f>
        <v>32.8</v>
      </c>
      <c r="C76" s="2">
        <f>IFERROR(__xludf.DUMMYFUNCTION("""COMPUTED_VALUE"""),32.85)</f>
        <v>32.85</v>
      </c>
      <c r="D76" s="2">
        <f>IFERROR(__xludf.DUMMYFUNCTION("""COMPUTED_VALUE"""),32.09)</f>
        <v>32.09</v>
      </c>
      <c r="E76" s="2">
        <f>IFERROR(__xludf.DUMMYFUNCTION("""COMPUTED_VALUE"""),32.16)</f>
        <v>32.16</v>
      </c>
      <c r="F76" s="2">
        <f>IFERROR(__xludf.DUMMYFUNCTION("""COMPUTED_VALUE"""),1.70840884E8)</f>
        <v>170840884</v>
      </c>
      <c r="G76" s="3">
        <f t="shared" si="1"/>
        <v>-0.01258827142</v>
      </c>
    </row>
    <row r="77">
      <c r="A77" s="1">
        <f>IFERROR(__xludf.DUMMYFUNCTION("""COMPUTED_VALUE"""),42167.66666666667)</f>
        <v>42167.66667</v>
      </c>
      <c r="B77" s="2">
        <f>IFERROR(__xludf.DUMMYFUNCTION("""COMPUTED_VALUE"""),32.23)</f>
        <v>32.23</v>
      </c>
      <c r="C77" s="2">
        <f>IFERROR(__xludf.DUMMYFUNCTION("""COMPUTED_VALUE"""),32.55)</f>
        <v>32.55</v>
      </c>
      <c r="D77" s="2">
        <f>IFERROR(__xludf.DUMMYFUNCTION("""COMPUTED_VALUE"""),31.41)</f>
        <v>31.41</v>
      </c>
      <c r="E77" s="2">
        <f>IFERROR(__xludf.DUMMYFUNCTION("""COMPUTED_VALUE"""),31.79)</f>
        <v>31.79</v>
      </c>
      <c r="F77" s="2">
        <f>IFERROR(__xludf.DUMMYFUNCTION("""COMPUTED_VALUE"""),2.20114589E8)</f>
        <v>220114589</v>
      </c>
      <c r="G77" s="3">
        <f t="shared" si="1"/>
        <v>-0.01150497512</v>
      </c>
    </row>
    <row r="78">
      <c r="A78" s="1">
        <f>IFERROR(__xludf.DUMMYFUNCTION("""COMPUTED_VALUE"""),42174.66666666667)</f>
        <v>42174.66667</v>
      </c>
      <c r="B78" s="2">
        <f>IFERROR(__xludf.DUMMYFUNCTION("""COMPUTED_VALUE"""),31.53)</f>
        <v>31.53</v>
      </c>
      <c r="C78" s="2">
        <f>IFERROR(__xludf.DUMMYFUNCTION("""COMPUTED_VALUE"""),32.08)</f>
        <v>32.08</v>
      </c>
      <c r="D78" s="2">
        <f>IFERROR(__xludf.DUMMYFUNCTION("""COMPUTED_VALUE"""),31.43)</f>
        <v>31.43</v>
      </c>
      <c r="E78" s="2">
        <f>IFERROR(__xludf.DUMMYFUNCTION("""COMPUTED_VALUE"""),31.65)</f>
        <v>31.65</v>
      </c>
      <c r="F78" s="2">
        <f>IFERROR(__xludf.DUMMYFUNCTION("""COMPUTED_VALUE"""),1.98525255E8)</f>
        <v>198525255</v>
      </c>
      <c r="G78" s="3">
        <f t="shared" si="1"/>
        <v>-0.004403900598</v>
      </c>
    </row>
    <row r="79">
      <c r="A79" s="1">
        <f>IFERROR(__xludf.DUMMYFUNCTION("""COMPUTED_VALUE"""),42181.66666666667)</f>
        <v>42181.66667</v>
      </c>
      <c r="B79" s="2">
        <f>IFERROR(__xludf.DUMMYFUNCTION("""COMPUTED_VALUE"""),31.87)</f>
        <v>31.87</v>
      </c>
      <c r="C79" s="2">
        <f>IFERROR(__xludf.DUMMYFUNCTION("""COMPUTED_VALUE"""),32.45)</f>
        <v>32.45</v>
      </c>
      <c r="D79" s="2">
        <f>IFERROR(__xludf.DUMMYFUNCTION("""COMPUTED_VALUE"""),31.63)</f>
        <v>31.63</v>
      </c>
      <c r="E79" s="2">
        <f>IFERROR(__xludf.DUMMYFUNCTION("""COMPUTED_VALUE"""),31.69)</f>
        <v>31.69</v>
      </c>
      <c r="F79" s="2">
        <f>IFERROR(__xludf.DUMMYFUNCTION("""COMPUTED_VALUE"""),1.95594004E8)</f>
        <v>195594004</v>
      </c>
      <c r="G79" s="3">
        <f t="shared" si="1"/>
        <v>0.001263823065</v>
      </c>
    </row>
    <row r="80">
      <c r="A80" s="1">
        <f>IFERROR(__xludf.DUMMYFUNCTION("""COMPUTED_VALUE"""),42187.66666666667)</f>
        <v>42187.66667</v>
      </c>
      <c r="B80" s="2">
        <f>IFERROR(__xludf.DUMMYFUNCTION("""COMPUTED_VALUE"""),31.37)</f>
        <v>31.37</v>
      </c>
      <c r="C80" s="2">
        <f>IFERROR(__xludf.DUMMYFUNCTION("""COMPUTED_VALUE"""),31.74)</f>
        <v>31.74</v>
      </c>
      <c r="D80" s="2">
        <f>IFERROR(__xludf.DUMMYFUNCTION("""COMPUTED_VALUE"""),31.12)</f>
        <v>31.12</v>
      </c>
      <c r="E80" s="2">
        <f>IFERROR(__xludf.DUMMYFUNCTION("""COMPUTED_VALUE"""),31.61)</f>
        <v>31.61</v>
      </c>
      <c r="F80" s="2">
        <f>IFERROR(__xludf.DUMMYFUNCTION("""COMPUTED_VALUE"""),1.50981872E8)</f>
        <v>150981872</v>
      </c>
      <c r="G80" s="3">
        <f t="shared" si="1"/>
        <v>-0.002524455664</v>
      </c>
    </row>
    <row r="81">
      <c r="A81" s="1">
        <f>IFERROR(__xludf.DUMMYFUNCTION("""COMPUTED_VALUE"""),42195.66666666667)</f>
        <v>42195.66667</v>
      </c>
      <c r="B81" s="2">
        <f>IFERROR(__xludf.DUMMYFUNCTION("""COMPUTED_VALUE"""),31.24)</f>
        <v>31.24</v>
      </c>
      <c r="C81" s="2">
        <f>IFERROR(__xludf.DUMMYFUNCTION("""COMPUTED_VALUE"""),31.56)</f>
        <v>31.56</v>
      </c>
      <c r="D81" s="2">
        <f>IFERROR(__xludf.DUMMYFUNCTION("""COMPUTED_VALUE"""),29.81)</f>
        <v>29.81</v>
      </c>
      <c r="E81" s="2">
        <f>IFERROR(__xludf.DUMMYFUNCTION("""COMPUTED_VALUE"""),30.82)</f>
        <v>30.82</v>
      </c>
      <c r="F81" s="2">
        <f>IFERROR(__xludf.DUMMYFUNCTION("""COMPUTED_VALUE"""),2.75718368E8)</f>
        <v>275718368</v>
      </c>
      <c r="G81" s="3">
        <f t="shared" si="1"/>
        <v>-0.02499209111</v>
      </c>
    </row>
    <row r="82">
      <c r="A82" s="1">
        <f>IFERROR(__xludf.DUMMYFUNCTION("""COMPUTED_VALUE"""),42202.66666666667)</f>
        <v>42202.66667</v>
      </c>
      <c r="B82" s="2">
        <f>IFERROR(__xludf.DUMMYFUNCTION("""COMPUTED_VALUE"""),31.26)</f>
        <v>31.26</v>
      </c>
      <c r="C82" s="2">
        <f>IFERROR(__xludf.DUMMYFUNCTION("""COMPUTED_VALUE"""),32.41)</f>
        <v>32.41</v>
      </c>
      <c r="D82" s="2">
        <f>IFERROR(__xludf.DUMMYFUNCTION("""COMPUTED_VALUE"""),31.08)</f>
        <v>31.08</v>
      </c>
      <c r="E82" s="2">
        <f>IFERROR(__xludf.DUMMYFUNCTION("""COMPUTED_VALUE"""),32.41)</f>
        <v>32.41</v>
      </c>
      <c r="F82" s="2">
        <f>IFERROR(__xludf.DUMMYFUNCTION("""COMPUTED_VALUE"""),1.89245034E8)</f>
        <v>189245034</v>
      </c>
      <c r="G82" s="3">
        <f t="shared" si="1"/>
        <v>0.0515898767</v>
      </c>
    </row>
    <row r="83">
      <c r="A83" s="1">
        <f>IFERROR(__xludf.DUMMYFUNCTION("""COMPUTED_VALUE"""),42209.66666666667)</f>
        <v>42209.66667</v>
      </c>
      <c r="B83" s="2">
        <f>IFERROR(__xludf.DUMMYFUNCTION("""COMPUTED_VALUE"""),32.74)</f>
        <v>32.74</v>
      </c>
      <c r="C83" s="2">
        <f>IFERROR(__xludf.DUMMYFUNCTION("""COMPUTED_VALUE"""),33.24)</f>
        <v>33.24</v>
      </c>
      <c r="D83" s="2">
        <f>IFERROR(__xludf.DUMMYFUNCTION("""COMPUTED_VALUE"""),30.5)</f>
        <v>30.5</v>
      </c>
      <c r="E83" s="2">
        <f>IFERROR(__xludf.DUMMYFUNCTION("""COMPUTED_VALUE"""),31.13)</f>
        <v>31.13</v>
      </c>
      <c r="F83" s="2">
        <f>IFERROR(__xludf.DUMMYFUNCTION("""COMPUTED_VALUE"""),3.44269021E8)</f>
        <v>344269021</v>
      </c>
      <c r="G83" s="3">
        <f t="shared" si="1"/>
        <v>-0.03949398334</v>
      </c>
    </row>
    <row r="84">
      <c r="A84" s="1">
        <f>IFERROR(__xludf.DUMMYFUNCTION("""COMPUTED_VALUE"""),42216.66666666667)</f>
        <v>42216.66667</v>
      </c>
      <c r="B84" s="2">
        <f>IFERROR(__xludf.DUMMYFUNCTION("""COMPUTED_VALUE"""),30.77)</f>
        <v>30.77</v>
      </c>
      <c r="C84" s="2">
        <f>IFERROR(__xludf.DUMMYFUNCTION("""COMPUTED_VALUE"""),30.98)</f>
        <v>30.98</v>
      </c>
      <c r="D84" s="2">
        <f>IFERROR(__xludf.DUMMYFUNCTION("""COMPUTED_VALUE"""),30.23)</f>
        <v>30.23</v>
      </c>
      <c r="E84" s="2">
        <f>IFERROR(__xludf.DUMMYFUNCTION("""COMPUTED_VALUE"""),30.33)</f>
        <v>30.33</v>
      </c>
      <c r="F84" s="2">
        <f>IFERROR(__xludf.DUMMYFUNCTION("""COMPUTED_VALUE"""),1.91598511E8)</f>
        <v>191598511</v>
      </c>
      <c r="G84" s="3">
        <f t="shared" si="1"/>
        <v>-0.02569868294</v>
      </c>
    </row>
    <row r="85">
      <c r="A85" s="1">
        <f>IFERROR(__xludf.DUMMYFUNCTION("""COMPUTED_VALUE"""),42223.66666666667)</f>
        <v>42223.66667</v>
      </c>
      <c r="B85" s="2">
        <f>IFERROR(__xludf.DUMMYFUNCTION("""COMPUTED_VALUE"""),30.38)</f>
        <v>30.38</v>
      </c>
      <c r="C85" s="2">
        <f>IFERROR(__xludf.DUMMYFUNCTION("""COMPUTED_VALUE"""),30.64)</f>
        <v>30.64</v>
      </c>
      <c r="D85" s="2">
        <f>IFERROR(__xludf.DUMMYFUNCTION("""COMPUTED_VALUE"""),28.03)</f>
        <v>28.03</v>
      </c>
      <c r="E85" s="2">
        <f>IFERROR(__xludf.DUMMYFUNCTION("""COMPUTED_VALUE"""),28.88)</f>
        <v>28.88</v>
      </c>
      <c r="F85" s="2">
        <f>IFERROR(__xludf.DUMMYFUNCTION("""COMPUTED_VALUE"""),3.85000649E8)</f>
        <v>385000649</v>
      </c>
      <c r="G85" s="3">
        <f t="shared" si="1"/>
        <v>-0.04780745137</v>
      </c>
    </row>
    <row r="86">
      <c r="A86" s="1">
        <f>IFERROR(__xludf.DUMMYFUNCTION("""COMPUTED_VALUE"""),42230.66666666667)</f>
        <v>42230.66667</v>
      </c>
      <c r="B86" s="2">
        <f>IFERROR(__xludf.DUMMYFUNCTION("""COMPUTED_VALUE"""),29.13)</f>
        <v>29.13</v>
      </c>
      <c r="C86" s="2">
        <f>IFERROR(__xludf.DUMMYFUNCTION("""COMPUTED_VALUE"""),30.0)</f>
        <v>30</v>
      </c>
      <c r="D86" s="2">
        <f>IFERROR(__xludf.DUMMYFUNCTION("""COMPUTED_VALUE"""),27.41)</f>
        <v>27.41</v>
      </c>
      <c r="E86" s="2">
        <f>IFERROR(__xludf.DUMMYFUNCTION("""COMPUTED_VALUE"""),28.99)</f>
        <v>28.99</v>
      </c>
      <c r="F86" s="2">
        <f>IFERROR(__xludf.DUMMYFUNCTION("""COMPUTED_VALUE"""),3.45185326E8)</f>
        <v>345185326</v>
      </c>
      <c r="G86" s="3">
        <f t="shared" si="1"/>
        <v>0.003808864266</v>
      </c>
    </row>
    <row r="87">
      <c r="A87" s="1">
        <f>IFERROR(__xludf.DUMMYFUNCTION("""COMPUTED_VALUE"""),42237.66666666667)</f>
        <v>42237.66667</v>
      </c>
      <c r="B87" s="2">
        <f>IFERROR(__xludf.DUMMYFUNCTION("""COMPUTED_VALUE"""),29.01)</f>
        <v>29.01</v>
      </c>
      <c r="C87" s="2">
        <f>IFERROR(__xludf.DUMMYFUNCTION("""COMPUTED_VALUE"""),29.41)</f>
        <v>29.41</v>
      </c>
      <c r="D87" s="2">
        <f>IFERROR(__xludf.DUMMYFUNCTION("""COMPUTED_VALUE"""),26.41)</f>
        <v>26.41</v>
      </c>
      <c r="E87" s="2">
        <f>IFERROR(__xludf.DUMMYFUNCTION("""COMPUTED_VALUE"""),26.44)</f>
        <v>26.44</v>
      </c>
      <c r="F87" s="2">
        <f>IFERROR(__xludf.DUMMYFUNCTION("""COMPUTED_VALUE"""),3.20509056E8)</f>
        <v>320509056</v>
      </c>
      <c r="G87" s="3">
        <f t="shared" si="1"/>
        <v>-0.08796136599</v>
      </c>
    </row>
    <row r="88">
      <c r="A88" s="1">
        <f>IFERROR(__xludf.DUMMYFUNCTION("""COMPUTED_VALUE"""),42244.66666666667)</f>
        <v>42244.66667</v>
      </c>
      <c r="B88" s="2">
        <f>IFERROR(__xludf.DUMMYFUNCTION("""COMPUTED_VALUE"""),23.72)</f>
        <v>23.72</v>
      </c>
      <c r="C88" s="2">
        <f>IFERROR(__xludf.DUMMYFUNCTION("""COMPUTED_VALUE"""),28.33)</f>
        <v>28.33</v>
      </c>
      <c r="D88" s="2">
        <f>IFERROR(__xludf.DUMMYFUNCTION("""COMPUTED_VALUE"""),23.0)</f>
        <v>23</v>
      </c>
      <c r="E88" s="2">
        <f>IFERROR(__xludf.DUMMYFUNCTION("""COMPUTED_VALUE"""),28.32)</f>
        <v>28.32</v>
      </c>
      <c r="F88" s="2">
        <f>IFERROR(__xludf.DUMMYFUNCTION("""COMPUTED_VALUE"""),5.00362965E8)</f>
        <v>500362965</v>
      </c>
      <c r="G88" s="3">
        <f t="shared" si="1"/>
        <v>0.07110438729</v>
      </c>
    </row>
    <row r="89">
      <c r="A89" s="1">
        <f>IFERROR(__xludf.DUMMYFUNCTION("""COMPUTED_VALUE"""),42251.66666666667)</f>
        <v>42251.66667</v>
      </c>
      <c r="B89" s="2">
        <f>IFERROR(__xludf.DUMMYFUNCTION("""COMPUTED_VALUE"""),28.01)</f>
        <v>28.01</v>
      </c>
      <c r="C89" s="2">
        <f>IFERROR(__xludf.DUMMYFUNCTION("""COMPUTED_VALUE"""),28.63)</f>
        <v>28.63</v>
      </c>
      <c r="D89" s="2">
        <f>IFERROR(__xludf.DUMMYFUNCTION("""COMPUTED_VALUE"""),26.84)</f>
        <v>26.84</v>
      </c>
      <c r="E89" s="2">
        <f>IFERROR(__xludf.DUMMYFUNCTION("""COMPUTED_VALUE"""),27.32)</f>
        <v>27.32</v>
      </c>
      <c r="F89" s="2">
        <f>IFERROR(__xludf.DUMMYFUNCTION("""COMPUTED_VALUE"""),2.98194194E8)</f>
        <v>298194194</v>
      </c>
      <c r="G89" s="3">
        <f t="shared" si="1"/>
        <v>-0.03531073446</v>
      </c>
    </row>
    <row r="90">
      <c r="A90" s="1">
        <f>IFERROR(__xludf.DUMMYFUNCTION("""COMPUTED_VALUE"""),42258.66666666667)</f>
        <v>42258.66667</v>
      </c>
      <c r="B90" s="2">
        <f>IFERROR(__xludf.DUMMYFUNCTION("""COMPUTED_VALUE"""),27.91)</f>
        <v>27.91</v>
      </c>
      <c r="C90" s="2">
        <f>IFERROR(__xludf.DUMMYFUNCTION("""COMPUTED_VALUE"""),28.55)</f>
        <v>28.55</v>
      </c>
      <c r="D90" s="2">
        <f>IFERROR(__xludf.DUMMYFUNCTION("""COMPUTED_VALUE"""),27.44)</f>
        <v>27.44</v>
      </c>
      <c r="E90" s="2">
        <f>IFERROR(__xludf.DUMMYFUNCTION("""COMPUTED_VALUE"""),28.55)</f>
        <v>28.55</v>
      </c>
      <c r="F90" s="2">
        <f>IFERROR(__xludf.DUMMYFUNCTION("""COMPUTED_VALUE"""),2.52662734E8)</f>
        <v>252662734</v>
      </c>
      <c r="G90" s="3">
        <f t="shared" si="1"/>
        <v>0.04502196193</v>
      </c>
    </row>
    <row r="91">
      <c r="A91" s="1">
        <f>IFERROR(__xludf.DUMMYFUNCTION("""COMPUTED_VALUE"""),42265.66666666667)</f>
        <v>42265.66667</v>
      </c>
      <c r="B91" s="2">
        <f>IFERROR(__xludf.DUMMYFUNCTION("""COMPUTED_VALUE"""),29.15)</f>
        <v>29.15</v>
      </c>
      <c r="C91" s="2">
        <f>IFERROR(__xludf.DUMMYFUNCTION("""COMPUTED_VALUE"""),29.22)</f>
        <v>29.22</v>
      </c>
      <c r="D91" s="2">
        <f>IFERROR(__xludf.DUMMYFUNCTION("""COMPUTED_VALUE"""),27.97)</f>
        <v>27.97</v>
      </c>
      <c r="E91" s="2">
        <f>IFERROR(__xludf.DUMMYFUNCTION("""COMPUTED_VALUE"""),28.36)</f>
        <v>28.36</v>
      </c>
      <c r="F91" s="2">
        <f>IFERROR(__xludf.DUMMYFUNCTION("""COMPUTED_VALUE"""),2.77276007E8)</f>
        <v>277276007</v>
      </c>
      <c r="G91" s="3">
        <f t="shared" si="1"/>
        <v>-0.006654991243</v>
      </c>
    </row>
    <row r="92">
      <c r="A92" s="1">
        <f>IFERROR(__xludf.DUMMYFUNCTION("""COMPUTED_VALUE"""),42272.66666666667)</f>
        <v>42272.66667</v>
      </c>
      <c r="B92" s="2">
        <f>IFERROR(__xludf.DUMMYFUNCTION("""COMPUTED_VALUE"""),28.42)</f>
        <v>28.42</v>
      </c>
      <c r="C92" s="2">
        <f>IFERROR(__xludf.DUMMYFUNCTION("""COMPUTED_VALUE"""),29.17)</f>
        <v>29.17</v>
      </c>
      <c r="D92" s="2">
        <f>IFERROR(__xludf.DUMMYFUNCTION("""COMPUTED_VALUE"""),28.09)</f>
        <v>28.09</v>
      </c>
      <c r="E92" s="2">
        <f>IFERROR(__xludf.DUMMYFUNCTION("""COMPUTED_VALUE"""),28.68)</f>
        <v>28.68</v>
      </c>
      <c r="F92" s="2">
        <f>IFERROR(__xludf.DUMMYFUNCTION("""COMPUTED_VALUE"""),2.42696241E8)</f>
        <v>242696241</v>
      </c>
      <c r="G92" s="3">
        <f t="shared" si="1"/>
        <v>0.01128349788</v>
      </c>
    </row>
    <row r="93">
      <c r="A93" s="1">
        <f>IFERROR(__xludf.DUMMYFUNCTION("""COMPUTED_VALUE"""),42279.66666666667)</f>
        <v>42279.66667</v>
      </c>
      <c r="B93" s="2">
        <f>IFERROR(__xludf.DUMMYFUNCTION("""COMPUTED_VALUE"""),28.46)</f>
        <v>28.46</v>
      </c>
      <c r="C93" s="2">
        <f>IFERROR(__xludf.DUMMYFUNCTION("""COMPUTED_VALUE"""),28.64)</f>
        <v>28.64</v>
      </c>
      <c r="D93" s="2">
        <f>IFERROR(__xludf.DUMMYFUNCTION("""COMPUTED_VALUE"""),26.83)</f>
        <v>26.83</v>
      </c>
      <c r="E93" s="2">
        <f>IFERROR(__xludf.DUMMYFUNCTION("""COMPUTED_VALUE"""),27.6)</f>
        <v>27.6</v>
      </c>
      <c r="F93" s="2">
        <f>IFERROR(__xludf.DUMMYFUNCTION("""COMPUTED_VALUE"""),3.13896286E8)</f>
        <v>313896286</v>
      </c>
      <c r="G93" s="3">
        <f t="shared" si="1"/>
        <v>-0.03765690377</v>
      </c>
    </row>
    <row r="94">
      <c r="A94" s="1">
        <f>IFERROR(__xludf.DUMMYFUNCTION("""COMPUTED_VALUE"""),42286.66666666667)</f>
        <v>42286.66667</v>
      </c>
      <c r="B94" s="2">
        <f>IFERROR(__xludf.DUMMYFUNCTION("""COMPUTED_VALUE"""),27.47)</f>
        <v>27.47</v>
      </c>
      <c r="C94" s="2">
        <f>IFERROR(__xludf.DUMMYFUNCTION("""COMPUTED_VALUE"""),28.07)</f>
        <v>28.07</v>
      </c>
      <c r="D94" s="2">
        <f>IFERROR(__xludf.DUMMYFUNCTION("""COMPUTED_VALUE"""),27.05)</f>
        <v>27.05</v>
      </c>
      <c r="E94" s="2">
        <f>IFERROR(__xludf.DUMMYFUNCTION("""COMPUTED_VALUE"""),28.03)</f>
        <v>28.03</v>
      </c>
      <c r="F94" s="2">
        <f>IFERROR(__xludf.DUMMYFUNCTION("""COMPUTED_VALUE"""),2.62432987E8)</f>
        <v>262432987</v>
      </c>
      <c r="G94" s="3">
        <f t="shared" si="1"/>
        <v>0.01557971014</v>
      </c>
    </row>
    <row r="95">
      <c r="A95" s="1">
        <f>IFERROR(__xludf.DUMMYFUNCTION("""COMPUTED_VALUE"""),42293.66666666667)</f>
        <v>42293.66667</v>
      </c>
      <c r="B95" s="2">
        <f>IFERROR(__xludf.DUMMYFUNCTION("""COMPUTED_VALUE"""),28.18)</f>
        <v>28.18</v>
      </c>
      <c r="C95" s="2">
        <f>IFERROR(__xludf.DUMMYFUNCTION("""COMPUTED_VALUE"""),28.19)</f>
        <v>28.19</v>
      </c>
      <c r="D95" s="2">
        <f>IFERROR(__xludf.DUMMYFUNCTION("""COMPUTED_VALUE"""),27.39)</f>
        <v>27.39</v>
      </c>
      <c r="E95" s="2">
        <f>IFERROR(__xludf.DUMMYFUNCTION("""COMPUTED_VALUE"""),27.76)</f>
        <v>27.76</v>
      </c>
      <c r="F95" s="2">
        <f>IFERROR(__xludf.DUMMYFUNCTION("""COMPUTED_VALUE"""),1.8488497E8)</f>
        <v>184884970</v>
      </c>
      <c r="G95" s="3">
        <f t="shared" si="1"/>
        <v>-0.009632536568</v>
      </c>
    </row>
    <row r="96">
      <c r="A96" s="1">
        <f>IFERROR(__xludf.DUMMYFUNCTION("""COMPUTED_VALUE"""),42300.66666666667)</f>
        <v>42300.66667</v>
      </c>
      <c r="B96" s="2">
        <f>IFERROR(__xludf.DUMMYFUNCTION("""COMPUTED_VALUE"""),27.7)</f>
        <v>27.7</v>
      </c>
      <c r="C96" s="2">
        <f>IFERROR(__xludf.DUMMYFUNCTION("""COMPUTED_VALUE"""),29.81)</f>
        <v>29.81</v>
      </c>
      <c r="D96" s="2">
        <f>IFERROR(__xludf.DUMMYFUNCTION("""COMPUTED_VALUE"""),27.53)</f>
        <v>27.53</v>
      </c>
      <c r="E96" s="2">
        <f>IFERROR(__xludf.DUMMYFUNCTION("""COMPUTED_VALUE"""),29.77)</f>
        <v>29.77</v>
      </c>
      <c r="F96" s="2">
        <f>IFERROR(__xludf.DUMMYFUNCTION("""COMPUTED_VALUE"""),2.22074893E8)</f>
        <v>222074893</v>
      </c>
      <c r="G96" s="3">
        <f t="shared" si="1"/>
        <v>0.07240634006</v>
      </c>
    </row>
    <row r="97">
      <c r="A97" s="1">
        <f>IFERROR(__xludf.DUMMYFUNCTION("""COMPUTED_VALUE"""),42307.66666666667)</f>
        <v>42307.66667</v>
      </c>
      <c r="B97" s="2">
        <f>IFERROR(__xludf.DUMMYFUNCTION("""COMPUTED_VALUE"""),29.52)</f>
        <v>29.52</v>
      </c>
      <c r="C97" s="2">
        <f>IFERROR(__xludf.DUMMYFUNCTION("""COMPUTED_VALUE"""),30.31)</f>
        <v>30.31</v>
      </c>
      <c r="D97" s="2">
        <f>IFERROR(__xludf.DUMMYFUNCTION("""COMPUTED_VALUE"""),28.5)</f>
        <v>28.5</v>
      </c>
      <c r="E97" s="2">
        <f>IFERROR(__xludf.DUMMYFUNCTION("""COMPUTED_VALUE"""),29.88)</f>
        <v>29.88</v>
      </c>
      <c r="F97" s="2">
        <f>IFERROR(__xludf.DUMMYFUNCTION("""COMPUTED_VALUE"""),3.22362121E8)</f>
        <v>322362121</v>
      </c>
      <c r="G97" s="3">
        <f t="shared" si="1"/>
        <v>0.003694994961</v>
      </c>
    </row>
    <row r="98">
      <c r="A98" s="1">
        <f>IFERROR(__xludf.DUMMYFUNCTION("""COMPUTED_VALUE"""),42314.66666666667)</f>
        <v>42314.66667</v>
      </c>
      <c r="B98" s="2">
        <f>IFERROR(__xludf.DUMMYFUNCTION("""COMPUTED_VALUE"""),29.97)</f>
        <v>29.97</v>
      </c>
      <c r="C98" s="2">
        <f>IFERROR(__xludf.DUMMYFUNCTION("""COMPUTED_VALUE"""),30.96)</f>
        <v>30.96</v>
      </c>
      <c r="D98" s="2">
        <f>IFERROR(__xludf.DUMMYFUNCTION("""COMPUTED_VALUE"""),29.9)</f>
        <v>29.9</v>
      </c>
      <c r="E98" s="2">
        <f>IFERROR(__xludf.DUMMYFUNCTION("""COMPUTED_VALUE"""),30.27)</f>
        <v>30.27</v>
      </c>
      <c r="F98" s="2">
        <f>IFERROR(__xludf.DUMMYFUNCTION("""COMPUTED_VALUE"""),1.95203256E8)</f>
        <v>195203256</v>
      </c>
      <c r="G98" s="3">
        <f t="shared" si="1"/>
        <v>0.01305220884</v>
      </c>
    </row>
    <row r="99">
      <c r="A99" s="1">
        <f>IFERROR(__xludf.DUMMYFUNCTION("""COMPUTED_VALUE"""),42321.66666666667)</f>
        <v>42321.66667</v>
      </c>
      <c r="B99" s="2">
        <f>IFERROR(__xludf.DUMMYFUNCTION("""COMPUTED_VALUE"""),30.24)</f>
        <v>30.24</v>
      </c>
      <c r="C99" s="2">
        <f>IFERROR(__xludf.DUMMYFUNCTION("""COMPUTED_VALUE"""),30.45)</f>
        <v>30.45</v>
      </c>
      <c r="D99" s="2">
        <f>IFERROR(__xludf.DUMMYFUNCTION("""COMPUTED_VALUE"""),28.07)</f>
        <v>28.07</v>
      </c>
      <c r="E99" s="2">
        <f>IFERROR(__xludf.DUMMYFUNCTION("""COMPUTED_VALUE"""),28.09)</f>
        <v>28.09</v>
      </c>
      <c r="F99" s="2">
        <f>IFERROR(__xludf.DUMMYFUNCTION("""COMPUTED_VALUE"""),2.16555289E8)</f>
        <v>216555289</v>
      </c>
      <c r="G99" s="3">
        <f t="shared" si="1"/>
        <v>-0.07201850017</v>
      </c>
    </row>
    <row r="100">
      <c r="A100" s="1">
        <f>IFERROR(__xludf.DUMMYFUNCTION("""COMPUTED_VALUE"""),42328.66666666667)</f>
        <v>42328.66667</v>
      </c>
      <c r="B100" s="2">
        <f>IFERROR(__xludf.DUMMYFUNCTION("""COMPUTED_VALUE"""),27.85)</f>
        <v>27.85</v>
      </c>
      <c r="C100" s="2">
        <f>IFERROR(__xludf.DUMMYFUNCTION("""COMPUTED_VALUE"""),29.98)</f>
        <v>29.98</v>
      </c>
      <c r="D100" s="2">
        <f>IFERROR(__xludf.DUMMYFUNCTION("""COMPUTED_VALUE"""),27.75)</f>
        <v>27.75</v>
      </c>
      <c r="E100" s="2">
        <f>IFERROR(__xludf.DUMMYFUNCTION("""COMPUTED_VALUE"""),29.83)</f>
        <v>29.83</v>
      </c>
      <c r="F100" s="2">
        <f>IFERROR(__xludf.DUMMYFUNCTION("""COMPUTED_VALUE"""),1.89981253E8)</f>
        <v>189981253</v>
      </c>
      <c r="G100" s="3">
        <f t="shared" si="1"/>
        <v>0.06194375222</v>
      </c>
    </row>
    <row r="101">
      <c r="A101" s="1">
        <f>IFERROR(__xludf.DUMMYFUNCTION("""COMPUTED_VALUE"""),42335.66666666667)</f>
        <v>42335.66667</v>
      </c>
      <c r="B101" s="2">
        <f>IFERROR(__xludf.DUMMYFUNCTION("""COMPUTED_VALUE"""),29.82)</f>
        <v>29.82</v>
      </c>
      <c r="C101" s="2">
        <f>IFERROR(__xludf.DUMMYFUNCTION("""COMPUTED_VALUE"""),29.93)</f>
        <v>29.93</v>
      </c>
      <c r="D101" s="2">
        <f>IFERROR(__xludf.DUMMYFUNCTION("""COMPUTED_VALUE"""),29.28)</f>
        <v>29.28</v>
      </c>
      <c r="E101" s="2">
        <f>IFERROR(__xludf.DUMMYFUNCTION("""COMPUTED_VALUE"""),29.45)</f>
        <v>29.45</v>
      </c>
      <c r="F101" s="2">
        <f>IFERROR(__xludf.DUMMYFUNCTION("""COMPUTED_VALUE"""),1.09720453E8)</f>
        <v>109720453</v>
      </c>
      <c r="G101" s="3">
        <f t="shared" si="1"/>
        <v>-0.0127388535</v>
      </c>
    </row>
    <row r="102">
      <c r="A102" s="1">
        <f>IFERROR(__xludf.DUMMYFUNCTION("""COMPUTED_VALUE"""),42342.66666666667)</f>
        <v>42342.66667</v>
      </c>
      <c r="B102" s="2">
        <f>IFERROR(__xludf.DUMMYFUNCTION("""COMPUTED_VALUE"""),29.5)</f>
        <v>29.5</v>
      </c>
      <c r="C102" s="2">
        <f>IFERROR(__xludf.DUMMYFUNCTION("""COMPUTED_VALUE"""),29.85)</f>
        <v>29.85</v>
      </c>
      <c r="D102" s="2">
        <f>IFERROR(__xludf.DUMMYFUNCTION("""COMPUTED_VALUE"""),28.56)</f>
        <v>28.56</v>
      </c>
      <c r="E102" s="2">
        <f>IFERROR(__xludf.DUMMYFUNCTION("""COMPUTED_VALUE"""),29.76)</f>
        <v>29.76</v>
      </c>
      <c r="F102" s="2">
        <f>IFERROR(__xludf.DUMMYFUNCTION("""COMPUTED_VALUE"""),2.06765745E8)</f>
        <v>206765745</v>
      </c>
      <c r="G102" s="3">
        <f t="shared" si="1"/>
        <v>0.01052631579</v>
      </c>
    </row>
    <row r="103">
      <c r="A103" s="1">
        <f>IFERROR(__xludf.DUMMYFUNCTION("""COMPUTED_VALUE"""),42349.66666666667)</f>
        <v>42349.66667</v>
      </c>
      <c r="B103" s="2">
        <f>IFERROR(__xludf.DUMMYFUNCTION("""COMPUTED_VALUE"""),29.75)</f>
        <v>29.75</v>
      </c>
      <c r="C103" s="2">
        <f>IFERROR(__xludf.DUMMYFUNCTION("""COMPUTED_VALUE"""),29.97)</f>
        <v>29.97</v>
      </c>
      <c r="D103" s="2">
        <f>IFERROR(__xludf.DUMMYFUNCTION("""COMPUTED_VALUE"""),28.21)</f>
        <v>28.21</v>
      </c>
      <c r="E103" s="2">
        <f>IFERROR(__xludf.DUMMYFUNCTION("""COMPUTED_VALUE"""),28.3)</f>
        <v>28.3</v>
      </c>
      <c r="F103" s="2">
        <f>IFERROR(__xludf.DUMMYFUNCTION("""COMPUTED_VALUE"""),1.88853944E8)</f>
        <v>188853944</v>
      </c>
      <c r="G103" s="3">
        <f t="shared" si="1"/>
        <v>-0.04905913978</v>
      </c>
    </row>
    <row r="104">
      <c r="A104" s="1">
        <f>IFERROR(__xludf.DUMMYFUNCTION("""COMPUTED_VALUE"""),42356.66666666667)</f>
        <v>42356.66667</v>
      </c>
      <c r="B104" s="2">
        <f>IFERROR(__xludf.DUMMYFUNCTION("""COMPUTED_VALUE"""),28.05)</f>
        <v>28.05</v>
      </c>
      <c r="C104" s="2">
        <f>IFERROR(__xludf.DUMMYFUNCTION("""COMPUTED_VALUE"""),28.2)</f>
        <v>28.2</v>
      </c>
      <c r="D104" s="2">
        <f>IFERROR(__xludf.DUMMYFUNCTION("""COMPUTED_VALUE"""),26.45)</f>
        <v>26.45</v>
      </c>
      <c r="E104" s="2">
        <f>IFERROR(__xludf.DUMMYFUNCTION("""COMPUTED_VALUE"""),26.51)</f>
        <v>26.51</v>
      </c>
      <c r="F104" s="2">
        <f>IFERROR(__xludf.DUMMYFUNCTION("""COMPUTED_VALUE"""),3.15791335E8)</f>
        <v>315791335</v>
      </c>
      <c r="G104" s="3">
        <f t="shared" si="1"/>
        <v>-0.06325088339</v>
      </c>
    </row>
    <row r="105">
      <c r="A105" s="1">
        <f>IFERROR(__xludf.DUMMYFUNCTION("""COMPUTED_VALUE"""),42362.66666666667)</f>
        <v>42362.66667</v>
      </c>
      <c r="B105" s="2">
        <f>IFERROR(__xludf.DUMMYFUNCTION("""COMPUTED_VALUE"""),26.82)</f>
        <v>26.82</v>
      </c>
      <c r="C105" s="2">
        <f>IFERROR(__xludf.DUMMYFUNCTION("""COMPUTED_VALUE"""),27.25)</f>
        <v>27.25</v>
      </c>
      <c r="D105" s="2">
        <f>IFERROR(__xludf.DUMMYFUNCTION("""COMPUTED_VALUE"""),26.39)</f>
        <v>26.39</v>
      </c>
      <c r="E105" s="2">
        <f>IFERROR(__xludf.DUMMYFUNCTION("""COMPUTED_VALUE"""),27.01)</f>
        <v>27.01</v>
      </c>
      <c r="F105" s="2">
        <f>IFERROR(__xludf.DUMMYFUNCTION("""COMPUTED_VALUE"""),1.26634011E8)</f>
        <v>126634011</v>
      </c>
      <c r="G105" s="3">
        <f t="shared" si="1"/>
        <v>0.01886080724</v>
      </c>
    </row>
    <row r="106">
      <c r="A106" s="1">
        <f>IFERROR(__xludf.DUMMYFUNCTION("""COMPUTED_VALUE"""),42369.66666666667)</f>
        <v>42369.66667</v>
      </c>
      <c r="B106" s="2">
        <f>IFERROR(__xludf.DUMMYFUNCTION("""COMPUTED_VALUE"""),26.9)</f>
        <v>26.9</v>
      </c>
      <c r="C106" s="2">
        <f>IFERROR(__xludf.DUMMYFUNCTION("""COMPUTED_VALUE"""),27.36)</f>
        <v>27.36</v>
      </c>
      <c r="D106" s="2">
        <f>IFERROR(__xludf.DUMMYFUNCTION("""COMPUTED_VALUE"""),26.21)</f>
        <v>26.21</v>
      </c>
      <c r="E106" s="2">
        <f>IFERROR(__xludf.DUMMYFUNCTION("""COMPUTED_VALUE"""),26.32)</f>
        <v>26.32</v>
      </c>
      <c r="F106" s="2">
        <f>IFERROR(__xludf.DUMMYFUNCTION("""COMPUTED_VALUE"""),1.23761546E8)</f>
        <v>123761546</v>
      </c>
      <c r="G106" s="3">
        <f t="shared" si="1"/>
        <v>-0.02554609404</v>
      </c>
    </row>
    <row r="107">
      <c r="A107" s="1">
        <f>IFERROR(__xludf.DUMMYFUNCTION("""COMPUTED_VALUE"""),42377.66666666667)</f>
        <v>42377.66667</v>
      </c>
      <c r="B107" s="2">
        <f>IFERROR(__xludf.DUMMYFUNCTION("""COMPUTED_VALUE"""),25.65)</f>
        <v>25.65</v>
      </c>
      <c r="C107" s="2">
        <f>IFERROR(__xludf.DUMMYFUNCTION("""COMPUTED_VALUE"""),26.46)</f>
        <v>26.46</v>
      </c>
      <c r="D107" s="2">
        <f>IFERROR(__xludf.DUMMYFUNCTION("""COMPUTED_VALUE"""),24.11)</f>
        <v>24.11</v>
      </c>
      <c r="E107" s="2">
        <f>IFERROR(__xludf.DUMMYFUNCTION("""COMPUTED_VALUE"""),24.24)</f>
        <v>24.24</v>
      </c>
      <c r="F107" s="2">
        <f>IFERROR(__xludf.DUMMYFUNCTION("""COMPUTED_VALUE"""),3.43790211E8)</f>
        <v>343790211</v>
      </c>
      <c r="G107" s="3">
        <f t="shared" si="1"/>
        <v>-0.07902735562</v>
      </c>
    </row>
    <row r="108">
      <c r="A108" s="1">
        <f>IFERROR(__xludf.DUMMYFUNCTION("""COMPUTED_VALUE"""),42384.66666666667)</f>
        <v>42384.66667</v>
      </c>
      <c r="B108" s="2">
        <f>IFERROR(__xludf.DUMMYFUNCTION("""COMPUTED_VALUE"""),24.74)</f>
        <v>24.74</v>
      </c>
      <c r="C108" s="2">
        <f>IFERROR(__xludf.DUMMYFUNCTION("""COMPUTED_VALUE"""),25.3)</f>
        <v>25.3</v>
      </c>
      <c r="D108" s="2">
        <f>IFERROR(__xludf.DUMMYFUNCTION("""COMPUTED_VALUE"""),23.84)</f>
        <v>23.84</v>
      </c>
      <c r="E108" s="2">
        <f>IFERROR(__xludf.DUMMYFUNCTION("""COMPUTED_VALUE"""),24.28)</f>
        <v>24.28</v>
      </c>
      <c r="F108" s="2">
        <f>IFERROR(__xludf.DUMMYFUNCTION("""COMPUTED_VALUE"""),3.04337253E8)</f>
        <v>304337253</v>
      </c>
      <c r="G108" s="3">
        <f t="shared" si="1"/>
        <v>0.001650165017</v>
      </c>
    </row>
    <row r="109">
      <c r="A109" s="1">
        <f>IFERROR(__xludf.DUMMYFUNCTION("""COMPUTED_VALUE"""),42391.66666666667)</f>
        <v>42391.66667</v>
      </c>
      <c r="B109" s="2">
        <f>IFERROR(__xludf.DUMMYFUNCTION("""COMPUTED_VALUE"""),24.6)</f>
        <v>24.6</v>
      </c>
      <c r="C109" s="2">
        <f>IFERROR(__xludf.DUMMYFUNCTION("""COMPUTED_VALUE"""),25.37)</f>
        <v>25.37</v>
      </c>
      <c r="D109" s="2">
        <f>IFERROR(__xludf.DUMMYFUNCTION("""COMPUTED_VALUE"""),23.36)</f>
        <v>23.36</v>
      </c>
      <c r="E109" s="2">
        <f>IFERROR(__xludf.DUMMYFUNCTION("""COMPUTED_VALUE"""),25.36)</f>
        <v>25.36</v>
      </c>
      <c r="F109" s="2">
        <f>IFERROR(__xludf.DUMMYFUNCTION("""COMPUTED_VALUE"""),2.43384093E8)</f>
        <v>243384093</v>
      </c>
      <c r="G109" s="3">
        <f t="shared" si="1"/>
        <v>0.04448105437</v>
      </c>
    </row>
    <row r="110">
      <c r="A110" s="1">
        <f>IFERROR(__xludf.DUMMYFUNCTION("""COMPUTED_VALUE"""),42398.66666666667)</f>
        <v>42398.66667</v>
      </c>
      <c r="B110" s="2">
        <f>IFERROR(__xludf.DUMMYFUNCTION("""COMPUTED_VALUE"""),25.38)</f>
        <v>25.38</v>
      </c>
      <c r="C110" s="2">
        <f>IFERROR(__xludf.DUMMYFUNCTION("""COMPUTED_VALUE"""),25.38)</f>
        <v>25.38</v>
      </c>
      <c r="D110" s="2">
        <f>IFERROR(__xludf.DUMMYFUNCTION("""COMPUTED_VALUE"""),23.1)</f>
        <v>23.1</v>
      </c>
      <c r="E110" s="2">
        <f>IFERROR(__xludf.DUMMYFUNCTION("""COMPUTED_VALUE"""),24.34)</f>
        <v>24.34</v>
      </c>
      <c r="F110" s="2">
        <f>IFERROR(__xludf.DUMMYFUNCTION("""COMPUTED_VALUE"""),3.8033653E8)</f>
        <v>380336530</v>
      </c>
      <c r="G110" s="3">
        <f t="shared" si="1"/>
        <v>-0.04022082019</v>
      </c>
    </row>
    <row r="111">
      <c r="A111" s="1">
        <f>IFERROR(__xludf.DUMMYFUNCTION("""COMPUTED_VALUE"""),42405.66666666667)</f>
        <v>42405.66667</v>
      </c>
      <c r="B111" s="2">
        <f>IFERROR(__xludf.DUMMYFUNCTION("""COMPUTED_VALUE"""),24.12)</f>
        <v>24.12</v>
      </c>
      <c r="C111" s="2">
        <f>IFERROR(__xludf.DUMMYFUNCTION("""COMPUTED_VALUE"""),24.33)</f>
        <v>24.33</v>
      </c>
      <c r="D111" s="2">
        <f>IFERROR(__xludf.DUMMYFUNCTION("""COMPUTED_VALUE"""),23.42)</f>
        <v>23.42</v>
      </c>
      <c r="E111" s="2">
        <f>IFERROR(__xludf.DUMMYFUNCTION("""COMPUTED_VALUE"""),23.51)</f>
        <v>23.51</v>
      </c>
      <c r="F111" s="2">
        <f>IFERROR(__xludf.DUMMYFUNCTION("""COMPUTED_VALUE"""),2.17154766E8)</f>
        <v>217154766</v>
      </c>
      <c r="G111" s="3">
        <f t="shared" si="1"/>
        <v>-0.03410024651</v>
      </c>
    </row>
    <row r="112">
      <c r="A112" s="1">
        <f>IFERROR(__xludf.DUMMYFUNCTION("""COMPUTED_VALUE"""),42412.66666666667)</f>
        <v>42412.66667</v>
      </c>
      <c r="B112" s="2">
        <f>IFERROR(__xludf.DUMMYFUNCTION("""COMPUTED_VALUE"""),23.28)</f>
        <v>23.28</v>
      </c>
      <c r="C112" s="2">
        <f>IFERROR(__xludf.DUMMYFUNCTION("""COMPUTED_VALUE"""),24.09)</f>
        <v>24.09</v>
      </c>
      <c r="D112" s="2">
        <f>IFERROR(__xludf.DUMMYFUNCTION("""COMPUTED_VALUE"""),23.15)</f>
        <v>23.15</v>
      </c>
      <c r="E112" s="2">
        <f>IFERROR(__xludf.DUMMYFUNCTION("""COMPUTED_VALUE"""),23.5)</f>
        <v>23.5</v>
      </c>
      <c r="F112" s="2">
        <f>IFERROR(__xludf.DUMMYFUNCTION("""COMPUTED_VALUE"""),2.31122263E8)</f>
        <v>231122263</v>
      </c>
      <c r="G112" s="3">
        <f t="shared" si="1"/>
        <v>-0.0004253509145</v>
      </c>
    </row>
    <row r="113">
      <c r="A113" s="1">
        <f>IFERROR(__xludf.DUMMYFUNCTION("""COMPUTED_VALUE"""),42419.66666666667)</f>
        <v>42419.66667</v>
      </c>
      <c r="B113" s="2">
        <f>IFERROR(__xludf.DUMMYFUNCTION("""COMPUTED_VALUE"""),23.76)</f>
        <v>23.76</v>
      </c>
      <c r="C113" s="2">
        <f>IFERROR(__xludf.DUMMYFUNCTION("""COMPUTED_VALUE"""),24.72)</f>
        <v>24.72</v>
      </c>
      <c r="D113" s="2">
        <f>IFERROR(__xludf.DUMMYFUNCTION("""COMPUTED_VALUE"""),23.65)</f>
        <v>23.65</v>
      </c>
      <c r="E113" s="2">
        <f>IFERROR(__xludf.DUMMYFUNCTION("""COMPUTED_VALUE"""),24.01)</f>
        <v>24.01</v>
      </c>
      <c r="F113" s="2">
        <f>IFERROR(__xludf.DUMMYFUNCTION("""COMPUTED_VALUE"""),1.68316315E8)</f>
        <v>168316315</v>
      </c>
      <c r="G113" s="3">
        <f t="shared" si="1"/>
        <v>0.02170212766</v>
      </c>
    </row>
    <row r="114">
      <c r="A114" s="1">
        <f>IFERROR(__xludf.DUMMYFUNCTION("""COMPUTED_VALUE"""),42426.66666666667)</f>
        <v>42426.66667</v>
      </c>
      <c r="B114" s="2">
        <f>IFERROR(__xludf.DUMMYFUNCTION("""COMPUTED_VALUE"""),24.08)</f>
        <v>24.08</v>
      </c>
      <c r="C114" s="2">
        <f>IFERROR(__xludf.DUMMYFUNCTION("""COMPUTED_VALUE"""),24.51)</f>
        <v>24.51</v>
      </c>
      <c r="D114" s="2">
        <f>IFERROR(__xludf.DUMMYFUNCTION("""COMPUTED_VALUE"""),23.33)</f>
        <v>23.33</v>
      </c>
      <c r="E114" s="2">
        <f>IFERROR(__xludf.DUMMYFUNCTION("""COMPUTED_VALUE"""),24.23)</f>
        <v>24.23</v>
      </c>
      <c r="F114" s="2">
        <f>IFERROR(__xludf.DUMMYFUNCTION("""COMPUTED_VALUE"""),1.59052926E8)</f>
        <v>159052926</v>
      </c>
      <c r="G114" s="3">
        <f t="shared" si="1"/>
        <v>0.009162848813</v>
      </c>
    </row>
    <row r="115">
      <c r="A115" s="1">
        <f>IFERROR(__xludf.DUMMYFUNCTION("""COMPUTED_VALUE"""),42433.66666666667)</f>
        <v>42433.66667</v>
      </c>
      <c r="B115" s="2">
        <f>IFERROR(__xludf.DUMMYFUNCTION("""COMPUTED_VALUE"""),24.22)</f>
        <v>24.22</v>
      </c>
      <c r="C115" s="2">
        <f>IFERROR(__xludf.DUMMYFUNCTION("""COMPUTED_VALUE"""),25.94)</f>
        <v>25.94</v>
      </c>
      <c r="D115" s="2">
        <f>IFERROR(__xludf.DUMMYFUNCTION("""COMPUTED_VALUE"""),24.16)</f>
        <v>24.16</v>
      </c>
      <c r="E115" s="2">
        <f>IFERROR(__xludf.DUMMYFUNCTION("""COMPUTED_VALUE"""),25.75)</f>
        <v>25.75</v>
      </c>
      <c r="F115" s="2">
        <f>IFERROR(__xludf.DUMMYFUNCTION("""COMPUTED_VALUE"""),2.01803826E8)</f>
        <v>201803826</v>
      </c>
      <c r="G115" s="3">
        <f t="shared" si="1"/>
        <v>0.06273215023</v>
      </c>
    </row>
    <row r="116">
      <c r="A116" s="1">
        <f>IFERROR(__xludf.DUMMYFUNCTION("""COMPUTED_VALUE"""),42440.66666666667)</f>
        <v>42440.66667</v>
      </c>
      <c r="B116" s="2">
        <f>IFERROR(__xludf.DUMMYFUNCTION("""COMPUTED_VALUE"""),25.6)</f>
        <v>25.6</v>
      </c>
      <c r="C116" s="2">
        <f>IFERROR(__xludf.DUMMYFUNCTION("""COMPUTED_VALUE"""),25.71)</f>
        <v>25.71</v>
      </c>
      <c r="D116" s="2">
        <f>IFERROR(__xludf.DUMMYFUNCTION("""COMPUTED_VALUE"""),25.04)</f>
        <v>25.04</v>
      </c>
      <c r="E116" s="2">
        <f>IFERROR(__xludf.DUMMYFUNCTION("""COMPUTED_VALUE"""),25.57)</f>
        <v>25.57</v>
      </c>
      <c r="F116" s="2">
        <f>IFERROR(__xludf.DUMMYFUNCTION("""COMPUTED_VALUE"""),1.55601196E8)</f>
        <v>155601196</v>
      </c>
      <c r="G116" s="3">
        <f t="shared" si="1"/>
        <v>-0.006990291262</v>
      </c>
    </row>
    <row r="117">
      <c r="A117" s="1">
        <f>IFERROR(__xludf.DUMMYFUNCTION("""COMPUTED_VALUE"""),42447.66666666667)</f>
        <v>42447.66667</v>
      </c>
      <c r="B117" s="2">
        <f>IFERROR(__xludf.DUMMYFUNCTION("""COMPUTED_VALUE"""),25.48)</f>
        <v>25.48</v>
      </c>
      <c r="C117" s="2">
        <f>IFERROR(__xludf.DUMMYFUNCTION("""COMPUTED_VALUE"""),26.63)</f>
        <v>26.63</v>
      </c>
      <c r="D117" s="2">
        <f>IFERROR(__xludf.DUMMYFUNCTION("""COMPUTED_VALUE"""),25.45)</f>
        <v>25.45</v>
      </c>
      <c r="E117" s="2">
        <f>IFERROR(__xludf.DUMMYFUNCTION("""COMPUTED_VALUE"""),26.48)</f>
        <v>26.48</v>
      </c>
      <c r="F117" s="2">
        <f>IFERROR(__xludf.DUMMYFUNCTION("""COMPUTED_VALUE"""),1.62547204E8)</f>
        <v>162547204</v>
      </c>
      <c r="G117" s="3">
        <f t="shared" si="1"/>
        <v>0.03558858037</v>
      </c>
    </row>
    <row r="118">
      <c r="A118" s="1">
        <f>IFERROR(__xludf.DUMMYFUNCTION("""COMPUTED_VALUE"""),42453.66666666667)</f>
        <v>42453.66667</v>
      </c>
      <c r="B118" s="2">
        <f>IFERROR(__xludf.DUMMYFUNCTION("""COMPUTED_VALUE"""),26.48)</f>
        <v>26.48</v>
      </c>
      <c r="C118" s="2">
        <f>IFERROR(__xludf.DUMMYFUNCTION("""COMPUTED_VALUE"""),26.91)</f>
        <v>26.91</v>
      </c>
      <c r="D118" s="2">
        <f>IFERROR(__xludf.DUMMYFUNCTION("""COMPUTED_VALUE"""),26.22)</f>
        <v>26.22</v>
      </c>
      <c r="E118" s="2">
        <f>IFERROR(__xludf.DUMMYFUNCTION("""COMPUTED_VALUE"""),26.42)</f>
        <v>26.42</v>
      </c>
      <c r="F118" s="2">
        <f>IFERROR(__xludf.DUMMYFUNCTION("""COMPUTED_VALUE"""),1.19783503E8)</f>
        <v>119783503</v>
      </c>
      <c r="G118" s="3">
        <f t="shared" si="1"/>
        <v>-0.002265861027</v>
      </c>
    </row>
    <row r="119">
      <c r="A119" s="1">
        <f>IFERROR(__xludf.DUMMYFUNCTION("""COMPUTED_VALUE"""),42461.66666666667)</f>
        <v>42461.66667</v>
      </c>
      <c r="B119" s="2">
        <f>IFERROR(__xludf.DUMMYFUNCTION("""COMPUTED_VALUE"""),26.5)</f>
        <v>26.5</v>
      </c>
      <c r="C119" s="2">
        <f>IFERROR(__xludf.DUMMYFUNCTION("""COMPUTED_VALUE"""),27.61)</f>
        <v>27.61</v>
      </c>
      <c r="D119" s="2">
        <f>IFERROR(__xludf.DUMMYFUNCTION("""COMPUTED_VALUE"""),26.22)</f>
        <v>26.22</v>
      </c>
      <c r="E119" s="2">
        <f>IFERROR(__xludf.DUMMYFUNCTION("""COMPUTED_VALUE"""),27.5)</f>
        <v>27.5</v>
      </c>
      <c r="F119" s="2">
        <f>IFERROR(__xludf.DUMMYFUNCTION("""COMPUTED_VALUE"""),1.47965003E8)</f>
        <v>147965003</v>
      </c>
      <c r="G119" s="3">
        <f t="shared" si="1"/>
        <v>0.04087812263</v>
      </c>
    </row>
    <row r="120">
      <c r="A120" s="1">
        <f>IFERROR(__xludf.DUMMYFUNCTION("""COMPUTED_VALUE"""),42468.66666666667)</f>
        <v>42468.66667</v>
      </c>
      <c r="B120" s="2">
        <f>IFERROR(__xludf.DUMMYFUNCTION("""COMPUTED_VALUE"""),27.61)</f>
        <v>27.61</v>
      </c>
      <c r="C120" s="2">
        <f>IFERROR(__xludf.DUMMYFUNCTION("""COMPUTED_VALUE"""),28.05)</f>
        <v>28.05</v>
      </c>
      <c r="D120" s="2">
        <f>IFERROR(__xludf.DUMMYFUNCTION("""COMPUTED_VALUE"""),27.03)</f>
        <v>27.03</v>
      </c>
      <c r="E120" s="2">
        <f>IFERROR(__xludf.DUMMYFUNCTION("""COMPUTED_VALUE"""),27.17)</f>
        <v>27.17</v>
      </c>
      <c r="F120" s="2">
        <f>IFERROR(__xludf.DUMMYFUNCTION("""COMPUTED_VALUE"""),1.45722543E8)</f>
        <v>145722543</v>
      </c>
      <c r="G120" s="3">
        <f t="shared" si="1"/>
        <v>-0.012</v>
      </c>
    </row>
    <row r="121">
      <c r="A121" s="1">
        <f>IFERROR(__xludf.DUMMYFUNCTION("""COMPUTED_VALUE"""),42475.66666666667)</f>
        <v>42475.66667</v>
      </c>
      <c r="B121" s="2">
        <f>IFERROR(__xludf.DUMMYFUNCTION("""COMPUTED_VALUE"""),27.24)</f>
        <v>27.24</v>
      </c>
      <c r="C121" s="2">
        <f>IFERROR(__xludf.DUMMYFUNCTION("""COMPUTED_VALUE"""),28.1)</f>
        <v>28.1</v>
      </c>
      <c r="D121" s="2">
        <f>IFERROR(__xludf.DUMMYFUNCTION("""COMPUTED_VALUE"""),27.17)</f>
        <v>27.17</v>
      </c>
      <c r="E121" s="2">
        <f>IFERROR(__xludf.DUMMYFUNCTION("""COMPUTED_VALUE"""),27.46)</f>
        <v>27.46</v>
      </c>
      <c r="F121" s="2">
        <f>IFERROR(__xludf.DUMMYFUNCTION("""COMPUTED_VALUE"""),1.62310051E8)</f>
        <v>162310051</v>
      </c>
      <c r="G121" s="3">
        <f t="shared" si="1"/>
        <v>0.01067353699</v>
      </c>
    </row>
    <row r="122">
      <c r="A122" s="1">
        <f>IFERROR(__xludf.DUMMYFUNCTION("""COMPUTED_VALUE"""),42482.66666666667)</f>
        <v>42482.66667</v>
      </c>
      <c r="B122" s="2">
        <f>IFERROR(__xludf.DUMMYFUNCTION("""COMPUTED_VALUE"""),27.22)</f>
        <v>27.22</v>
      </c>
      <c r="C122" s="2">
        <f>IFERROR(__xludf.DUMMYFUNCTION("""COMPUTED_VALUE"""),27.24)</f>
        <v>27.24</v>
      </c>
      <c r="D122" s="2">
        <f>IFERROR(__xludf.DUMMYFUNCTION("""COMPUTED_VALUE"""),26.16)</f>
        <v>26.16</v>
      </c>
      <c r="E122" s="2">
        <f>IFERROR(__xludf.DUMMYFUNCTION("""COMPUTED_VALUE"""),26.42)</f>
        <v>26.42</v>
      </c>
      <c r="F122" s="2">
        <f>IFERROR(__xludf.DUMMYFUNCTION("""COMPUTED_VALUE"""),1.89053016E8)</f>
        <v>189053016</v>
      </c>
      <c r="G122" s="3">
        <f t="shared" si="1"/>
        <v>-0.03787327021</v>
      </c>
    </row>
    <row r="123">
      <c r="A123" s="1">
        <f>IFERROR(__xludf.DUMMYFUNCTION("""COMPUTED_VALUE"""),42489.66666666667)</f>
        <v>42489.66667</v>
      </c>
      <c r="B123" s="2">
        <f>IFERROR(__xludf.DUMMYFUNCTION("""COMPUTED_VALUE"""),26.25)</f>
        <v>26.25</v>
      </c>
      <c r="C123" s="2">
        <f>IFERROR(__xludf.DUMMYFUNCTION("""COMPUTED_VALUE"""),26.41)</f>
        <v>26.41</v>
      </c>
      <c r="D123" s="2">
        <f>IFERROR(__xludf.DUMMYFUNCTION("""COMPUTED_VALUE"""),23.13)</f>
        <v>23.13</v>
      </c>
      <c r="E123" s="2">
        <f>IFERROR(__xludf.DUMMYFUNCTION("""COMPUTED_VALUE"""),23.44)</f>
        <v>23.44</v>
      </c>
      <c r="F123" s="2">
        <f>IFERROR(__xludf.DUMMYFUNCTION("""COMPUTED_VALUE"""),3.49424063E8)</f>
        <v>349424063</v>
      </c>
      <c r="G123" s="3">
        <f t="shared" si="1"/>
        <v>-0.1127933384</v>
      </c>
    </row>
    <row r="124">
      <c r="A124" s="1">
        <f>IFERROR(__xludf.DUMMYFUNCTION("""COMPUTED_VALUE"""),42496.66666666667)</f>
        <v>42496.66667</v>
      </c>
      <c r="B124" s="2">
        <f>IFERROR(__xludf.DUMMYFUNCTION("""COMPUTED_VALUE"""),23.49)</f>
        <v>23.49</v>
      </c>
      <c r="C124" s="2">
        <f>IFERROR(__xludf.DUMMYFUNCTION("""COMPUTED_VALUE"""),23.98)</f>
        <v>23.98</v>
      </c>
      <c r="D124" s="2">
        <f>IFERROR(__xludf.DUMMYFUNCTION("""COMPUTED_VALUE"""),22.96)</f>
        <v>22.96</v>
      </c>
      <c r="E124" s="2">
        <f>IFERROR(__xludf.DUMMYFUNCTION("""COMPUTED_VALUE"""),23.18)</f>
        <v>23.18</v>
      </c>
      <c r="F124" s="2">
        <f>IFERROR(__xludf.DUMMYFUNCTION("""COMPUTED_VALUE"""),2.25607242E8)</f>
        <v>225607242</v>
      </c>
      <c r="G124" s="3">
        <f t="shared" si="1"/>
        <v>-0.01109215017</v>
      </c>
    </row>
    <row r="125">
      <c r="A125" s="1">
        <f>IFERROR(__xludf.DUMMYFUNCTION("""COMPUTED_VALUE"""),42503.66666666667)</f>
        <v>42503.66667</v>
      </c>
      <c r="B125" s="2">
        <f>IFERROR(__xludf.DUMMYFUNCTION("""COMPUTED_VALUE"""),23.25)</f>
        <v>23.25</v>
      </c>
      <c r="C125" s="2">
        <f>IFERROR(__xludf.DUMMYFUNCTION("""COMPUTED_VALUE"""),23.44)</f>
        <v>23.44</v>
      </c>
      <c r="D125" s="2">
        <f>IFERROR(__xludf.DUMMYFUNCTION("""COMPUTED_VALUE"""),22.37)</f>
        <v>22.37</v>
      </c>
      <c r="E125" s="2">
        <f>IFERROR(__xludf.DUMMYFUNCTION("""COMPUTED_VALUE"""),22.63)</f>
        <v>22.63</v>
      </c>
      <c r="F125" s="2">
        <f>IFERROR(__xludf.DUMMYFUNCTION("""COMPUTED_VALUE"""),2.16049836E8)</f>
        <v>216049836</v>
      </c>
      <c r="G125" s="3">
        <f t="shared" si="1"/>
        <v>-0.02372735116</v>
      </c>
    </row>
    <row r="126">
      <c r="A126" s="1">
        <f>IFERROR(__xludf.DUMMYFUNCTION("""COMPUTED_VALUE"""),42510.66666666667)</f>
        <v>42510.66667</v>
      </c>
      <c r="B126" s="2">
        <f>IFERROR(__xludf.DUMMYFUNCTION("""COMPUTED_VALUE"""),23.1)</f>
        <v>23.1</v>
      </c>
      <c r="C126" s="2">
        <f>IFERROR(__xludf.DUMMYFUNCTION("""COMPUTED_VALUE"""),23.86)</f>
        <v>23.86</v>
      </c>
      <c r="D126" s="2">
        <f>IFERROR(__xludf.DUMMYFUNCTION("""COMPUTED_VALUE"""),22.91)</f>
        <v>22.91</v>
      </c>
      <c r="E126" s="2">
        <f>IFERROR(__xludf.DUMMYFUNCTION("""COMPUTED_VALUE"""),23.81)</f>
        <v>23.81</v>
      </c>
      <c r="F126" s="2">
        <f>IFERROR(__xludf.DUMMYFUNCTION("""COMPUTED_VALUE"""),2.12707154E8)</f>
        <v>212707154</v>
      </c>
      <c r="G126" s="3">
        <f t="shared" si="1"/>
        <v>0.05214317278</v>
      </c>
    </row>
    <row r="127">
      <c r="A127" s="1">
        <f>IFERROR(__xludf.DUMMYFUNCTION("""COMPUTED_VALUE"""),42517.66666666667)</f>
        <v>42517.66667</v>
      </c>
      <c r="B127" s="2">
        <f>IFERROR(__xludf.DUMMYFUNCTION("""COMPUTED_VALUE"""),23.97)</f>
        <v>23.97</v>
      </c>
      <c r="C127" s="2">
        <f>IFERROR(__xludf.DUMMYFUNCTION("""COMPUTED_VALUE"""),25.18)</f>
        <v>25.18</v>
      </c>
      <c r="D127" s="2">
        <f>IFERROR(__xludf.DUMMYFUNCTION("""COMPUTED_VALUE"""),23.92)</f>
        <v>23.92</v>
      </c>
      <c r="E127" s="2">
        <f>IFERROR(__xludf.DUMMYFUNCTION("""COMPUTED_VALUE"""),25.09)</f>
        <v>25.09</v>
      </c>
      <c r="F127" s="2">
        <f>IFERROR(__xludf.DUMMYFUNCTION("""COMPUTED_VALUE"""),2.04473324E8)</f>
        <v>204473324</v>
      </c>
      <c r="G127" s="3">
        <f t="shared" si="1"/>
        <v>0.05375892482</v>
      </c>
    </row>
    <row r="128">
      <c r="A128" s="1">
        <f>IFERROR(__xludf.DUMMYFUNCTION("""COMPUTED_VALUE"""),42524.66666666667)</f>
        <v>42524.66667</v>
      </c>
      <c r="B128" s="2">
        <f>IFERROR(__xludf.DUMMYFUNCTION("""COMPUTED_VALUE"""),24.9)</f>
        <v>24.9</v>
      </c>
      <c r="C128" s="2">
        <f>IFERROR(__xludf.DUMMYFUNCTION("""COMPUTED_VALUE"""),25.1)</f>
        <v>25.1</v>
      </c>
      <c r="D128" s="2">
        <f>IFERROR(__xludf.DUMMYFUNCTION("""COMPUTED_VALUE"""),24.16)</f>
        <v>24.16</v>
      </c>
      <c r="E128" s="2">
        <f>IFERROR(__xludf.DUMMYFUNCTION("""COMPUTED_VALUE"""),24.48)</f>
        <v>24.48</v>
      </c>
      <c r="F128" s="2">
        <f>IFERROR(__xludf.DUMMYFUNCTION("""COMPUTED_VALUE"""),1.40176985E8)</f>
        <v>140176985</v>
      </c>
      <c r="G128" s="3">
        <f t="shared" si="1"/>
        <v>-0.02431247509</v>
      </c>
    </row>
    <row r="129">
      <c r="A129" s="1">
        <f>IFERROR(__xludf.DUMMYFUNCTION("""COMPUTED_VALUE"""),42531.66666666667)</f>
        <v>42531.66667</v>
      </c>
      <c r="B129" s="2">
        <f>IFERROR(__xludf.DUMMYFUNCTION("""COMPUTED_VALUE"""),24.5)</f>
        <v>24.5</v>
      </c>
      <c r="C129" s="2">
        <f>IFERROR(__xludf.DUMMYFUNCTION("""COMPUTED_VALUE"""),25.47)</f>
        <v>25.47</v>
      </c>
      <c r="D129" s="2">
        <f>IFERROR(__xludf.DUMMYFUNCTION("""COMPUTED_VALUE"""),24.39)</f>
        <v>24.39</v>
      </c>
      <c r="E129" s="2">
        <f>IFERROR(__xludf.DUMMYFUNCTION("""COMPUTED_VALUE"""),24.71)</f>
        <v>24.71</v>
      </c>
      <c r="F129" s="2">
        <f>IFERROR(__xludf.DUMMYFUNCTION("""COMPUTED_VALUE"""),1.24864375E8)</f>
        <v>124864375</v>
      </c>
      <c r="G129" s="3">
        <f t="shared" si="1"/>
        <v>0.009395424837</v>
      </c>
    </row>
    <row r="130">
      <c r="A130" s="1">
        <f>IFERROR(__xludf.DUMMYFUNCTION("""COMPUTED_VALUE"""),42538.66666666667)</f>
        <v>42538.66667</v>
      </c>
      <c r="B130" s="2">
        <f>IFERROR(__xludf.DUMMYFUNCTION("""COMPUTED_VALUE"""),24.67)</f>
        <v>24.67</v>
      </c>
      <c r="C130" s="2">
        <f>IFERROR(__xludf.DUMMYFUNCTION("""COMPUTED_VALUE"""),24.78)</f>
        <v>24.78</v>
      </c>
      <c r="D130" s="2">
        <f>IFERROR(__xludf.DUMMYFUNCTION("""COMPUTED_VALUE"""),23.83)</f>
        <v>23.83</v>
      </c>
      <c r="E130" s="2">
        <f>IFERROR(__xludf.DUMMYFUNCTION("""COMPUTED_VALUE"""),23.83)</f>
        <v>23.83</v>
      </c>
      <c r="F130" s="2">
        <f>IFERROR(__xludf.DUMMYFUNCTION("""COMPUTED_VALUE"""),1.91732699E8)</f>
        <v>191732699</v>
      </c>
      <c r="G130" s="3">
        <f t="shared" si="1"/>
        <v>-0.0356131121</v>
      </c>
    </row>
    <row r="131">
      <c r="A131" s="1">
        <f>IFERROR(__xludf.DUMMYFUNCTION("""COMPUTED_VALUE"""),42545.66666666667)</f>
        <v>42545.66667</v>
      </c>
      <c r="B131" s="2">
        <f>IFERROR(__xludf.DUMMYFUNCTION("""COMPUTED_VALUE"""),24.0)</f>
        <v>24</v>
      </c>
      <c r="C131" s="2">
        <f>IFERROR(__xludf.DUMMYFUNCTION("""COMPUTED_VALUE"""),24.22)</f>
        <v>24.22</v>
      </c>
      <c r="D131" s="2">
        <f>IFERROR(__xludf.DUMMYFUNCTION("""COMPUTED_VALUE"""),23.16)</f>
        <v>23.16</v>
      </c>
      <c r="E131" s="2">
        <f>IFERROR(__xludf.DUMMYFUNCTION("""COMPUTED_VALUE"""),23.35)</f>
        <v>23.35</v>
      </c>
      <c r="F131" s="2">
        <f>IFERROR(__xludf.DUMMYFUNCTION("""COMPUTED_VALUE"""),2.06728924E8)</f>
        <v>206728924</v>
      </c>
      <c r="G131" s="3">
        <f t="shared" si="1"/>
        <v>-0.0201426773</v>
      </c>
    </row>
    <row r="132">
      <c r="A132" s="1">
        <f>IFERROR(__xludf.DUMMYFUNCTION("""COMPUTED_VALUE"""),42552.66666666667)</f>
        <v>42552.66667</v>
      </c>
      <c r="B132" s="2">
        <f>IFERROR(__xludf.DUMMYFUNCTION("""COMPUTED_VALUE"""),23.25)</f>
        <v>23.25</v>
      </c>
      <c r="C132" s="2">
        <f>IFERROR(__xludf.DUMMYFUNCTION("""COMPUTED_VALUE"""),24.12)</f>
        <v>24.12</v>
      </c>
      <c r="D132" s="2">
        <f>IFERROR(__xludf.DUMMYFUNCTION("""COMPUTED_VALUE"""),22.88)</f>
        <v>22.88</v>
      </c>
      <c r="E132" s="2">
        <f>IFERROR(__xludf.DUMMYFUNCTION("""COMPUTED_VALUE"""),23.97)</f>
        <v>23.97</v>
      </c>
      <c r="F132" s="2">
        <f>IFERROR(__xludf.DUMMYFUNCTION("""COMPUTED_VALUE"""),1.85461004E8)</f>
        <v>185461004</v>
      </c>
      <c r="G132" s="3">
        <f t="shared" si="1"/>
        <v>0.02655246253</v>
      </c>
    </row>
    <row r="133">
      <c r="A133" s="1">
        <f>IFERROR(__xludf.DUMMYFUNCTION("""COMPUTED_VALUE"""),42559.66666666667)</f>
        <v>42559.66667</v>
      </c>
      <c r="B133" s="2">
        <f>IFERROR(__xludf.DUMMYFUNCTION("""COMPUTED_VALUE"""),23.85)</f>
        <v>23.85</v>
      </c>
      <c r="C133" s="2">
        <f>IFERROR(__xludf.DUMMYFUNCTION("""COMPUTED_VALUE"""),24.22)</f>
        <v>24.22</v>
      </c>
      <c r="D133" s="2">
        <f>IFERROR(__xludf.DUMMYFUNCTION("""COMPUTED_VALUE"""),23.59)</f>
        <v>23.59</v>
      </c>
      <c r="E133" s="2">
        <f>IFERROR(__xludf.DUMMYFUNCTION("""COMPUTED_VALUE"""),24.17)</f>
        <v>24.17</v>
      </c>
      <c r="F133" s="2">
        <f>IFERROR(__xludf.DUMMYFUNCTION("""COMPUTED_VALUE"""),1.12705961E8)</f>
        <v>112705961</v>
      </c>
      <c r="G133" s="3">
        <f t="shared" si="1"/>
        <v>0.008343763037</v>
      </c>
    </row>
    <row r="134">
      <c r="A134" s="1">
        <f>IFERROR(__xludf.DUMMYFUNCTION("""COMPUTED_VALUE"""),42566.66666666667)</f>
        <v>42566.66667</v>
      </c>
      <c r="B134" s="2">
        <f>IFERROR(__xludf.DUMMYFUNCTION("""COMPUTED_VALUE"""),24.19)</f>
        <v>24.19</v>
      </c>
      <c r="C134" s="2">
        <f>IFERROR(__xludf.DUMMYFUNCTION("""COMPUTED_VALUE"""),24.83)</f>
        <v>24.83</v>
      </c>
      <c r="D134" s="2">
        <f>IFERROR(__xludf.DUMMYFUNCTION("""COMPUTED_VALUE"""),24.18)</f>
        <v>24.18</v>
      </c>
      <c r="E134" s="2">
        <f>IFERROR(__xludf.DUMMYFUNCTION("""COMPUTED_VALUE"""),24.7)</f>
        <v>24.7</v>
      </c>
      <c r="F134" s="2">
        <f>IFERROR(__xludf.DUMMYFUNCTION("""COMPUTED_VALUE"""),1.42910566E8)</f>
        <v>142910566</v>
      </c>
      <c r="G134" s="3">
        <f t="shared" si="1"/>
        <v>0.02192800993</v>
      </c>
    </row>
    <row r="135">
      <c r="A135" s="1">
        <f>IFERROR(__xludf.DUMMYFUNCTION("""COMPUTED_VALUE"""),42573.66666666667)</f>
        <v>42573.66667</v>
      </c>
      <c r="B135" s="2">
        <f>IFERROR(__xludf.DUMMYFUNCTION("""COMPUTED_VALUE"""),24.68)</f>
        <v>24.68</v>
      </c>
      <c r="C135" s="2">
        <f>IFERROR(__xludf.DUMMYFUNCTION("""COMPUTED_VALUE"""),25.25)</f>
        <v>25.25</v>
      </c>
      <c r="D135" s="2">
        <f>IFERROR(__xludf.DUMMYFUNCTION("""COMPUTED_VALUE"""),24.58)</f>
        <v>24.58</v>
      </c>
      <c r="E135" s="2">
        <f>IFERROR(__xludf.DUMMYFUNCTION("""COMPUTED_VALUE"""),24.67)</f>
        <v>24.67</v>
      </c>
      <c r="F135" s="2">
        <f>IFERROR(__xludf.DUMMYFUNCTION("""COMPUTED_VALUE"""),1.47565456E8)</f>
        <v>147565456</v>
      </c>
      <c r="G135" s="3">
        <f t="shared" si="1"/>
        <v>-0.001214574899</v>
      </c>
    </row>
    <row r="136">
      <c r="A136" s="1">
        <f>IFERROR(__xludf.DUMMYFUNCTION("""COMPUTED_VALUE"""),42580.66666666667)</f>
        <v>42580.66667</v>
      </c>
      <c r="B136" s="2">
        <f>IFERROR(__xludf.DUMMYFUNCTION("""COMPUTED_VALUE"""),24.56)</f>
        <v>24.56</v>
      </c>
      <c r="C136" s="2">
        <f>IFERROR(__xludf.DUMMYFUNCTION("""COMPUTED_VALUE"""),26.14)</f>
        <v>26.14</v>
      </c>
      <c r="D136" s="2">
        <f>IFERROR(__xludf.DUMMYFUNCTION("""COMPUTED_VALUE"""),24.11)</f>
        <v>24.11</v>
      </c>
      <c r="E136" s="2">
        <f>IFERROR(__xludf.DUMMYFUNCTION("""COMPUTED_VALUE"""),26.05)</f>
        <v>26.05</v>
      </c>
      <c r="F136" s="2">
        <f>IFERROR(__xludf.DUMMYFUNCTION("""COMPUTED_VALUE"""),2.5657109E8)</f>
        <v>256571090</v>
      </c>
      <c r="G136" s="3">
        <f t="shared" si="1"/>
        <v>0.0559383867</v>
      </c>
    </row>
    <row r="137">
      <c r="A137" s="1">
        <f>IFERROR(__xludf.DUMMYFUNCTION("""COMPUTED_VALUE"""),42587.66666666667)</f>
        <v>42587.66667</v>
      </c>
      <c r="B137" s="2">
        <f>IFERROR(__xludf.DUMMYFUNCTION("""COMPUTED_VALUE"""),26.1)</f>
        <v>26.1</v>
      </c>
      <c r="C137" s="2">
        <f>IFERROR(__xludf.DUMMYFUNCTION("""COMPUTED_VALUE"""),26.91)</f>
        <v>26.91</v>
      </c>
      <c r="D137" s="2">
        <f>IFERROR(__xludf.DUMMYFUNCTION("""COMPUTED_VALUE"""),26.0)</f>
        <v>26</v>
      </c>
      <c r="E137" s="2">
        <f>IFERROR(__xludf.DUMMYFUNCTION("""COMPUTED_VALUE"""),26.87)</f>
        <v>26.87</v>
      </c>
      <c r="F137" s="2">
        <f>IFERROR(__xludf.DUMMYFUNCTION("""COMPUTED_VALUE"""),1.7014912E8)</f>
        <v>170149120</v>
      </c>
      <c r="G137" s="3">
        <f t="shared" si="1"/>
        <v>0.03147792706</v>
      </c>
    </row>
    <row r="138">
      <c r="A138" s="1">
        <f>IFERROR(__xludf.DUMMYFUNCTION("""COMPUTED_VALUE"""),42594.66666666667)</f>
        <v>42594.66667</v>
      </c>
      <c r="B138" s="2">
        <f>IFERROR(__xludf.DUMMYFUNCTION("""COMPUTED_VALUE"""),26.88)</f>
        <v>26.88</v>
      </c>
      <c r="C138" s="2">
        <f>IFERROR(__xludf.DUMMYFUNCTION("""COMPUTED_VALUE"""),27.24)</f>
        <v>27.24</v>
      </c>
      <c r="D138" s="2">
        <f>IFERROR(__xludf.DUMMYFUNCTION("""COMPUTED_VALUE"""),26.79)</f>
        <v>26.79</v>
      </c>
      <c r="E138" s="2">
        <f>IFERROR(__xludf.DUMMYFUNCTION("""COMPUTED_VALUE"""),27.05)</f>
        <v>27.05</v>
      </c>
      <c r="F138" s="2">
        <f>IFERROR(__xludf.DUMMYFUNCTION("""COMPUTED_VALUE"""),1.24505869E8)</f>
        <v>124505869</v>
      </c>
      <c r="G138" s="3">
        <f t="shared" si="1"/>
        <v>0.006698920729</v>
      </c>
    </row>
    <row r="139">
      <c r="A139" s="1">
        <f>IFERROR(__xludf.DUMMYFUNCTION("""COMPUTED_VALUE"""),42601.66666666667)</f>
        <v>42601.66667</v>
      </c>
      <c r="B139" s="2">
        <f>IFERROR(__xludf.DUMMYFUNCTION("""COMPUTED_VALUE"""),27.04)</f>
        <v>27.04</v>
      </c>
      <c r="C139" s="2">
        <f>IFERROR(__xludf.DUMMYFUNCTION("""COMPUTED_VALUE"""),27.56)</f>
        <v>27.56</v>
      </c>
      <c r="D139" s="2">
        <f>IFERROR(__xludf.DUMMYFUNCTION("""COMPUTED_VALUE"""),27.02)</f>
        <v>27.02</v>
      </c>
      <c r="E139" s="2">
        <f>IFERROR(__xludf.DUMMYFUNCTION("""COMPUTED_VALUE"""),27.34)</f>
        <v>27.34</v>
      </c>
      <c r="F139" s="2">
        <f>IFERROR(__xludf.DUMMYFUNCTION("""COMPUTED_VALUE"""),1.32371408E8)</f>
        <v>132371408</v>
      </c>
      <c r="G139" s="3">
        <f t="shared" si="1"/>
        <v>0.01072088725</v>
      </c>
    </row>
    <row r="140">
      <c r="A140" s="1">
        <f>IFERROR(__xludf.DUMMYFUNCTION("""COMPUTED_VALUE"""),42608.66666666667)</f>
        <v>42608.66667</v>
      </c>
      <c r="B140" s="2">
        <f>IFERROR(__xludf.DUMMYFUNCTION("""COMPUTED_VALUE"""),27.22)</f>
        <v>27.22</v>
      </c>
      <c r="C140" s="2">
        <f>IFERROR(__xludf.DUMMYFUNCTION("""COMPUTED_VALUE"""),27.33)</f>
        <v>27.33</v>
      </c>
      <c r="D140" s="2">
        <f>IFERROR(__xludf.DUMMYFUNCTION("""COMPUTED_VALUE"""),26.58)</f>
        <v>26.58</v>
      </c>
      <c r="E140" s="2">
        <f>IFERROR(__xludf.DUMMYFUNCTION("""COMPUTED_VALUE"""),26.74)</f>
        <v>26.74</v>
      </c>
      <c r="F140" s="2">
        <f>IFERROR(__xludf.DUMMYFUNCTION("""COMPUTED_VALUE"""),1.23605519E8)</f>
        <v>123605519</v>
      </c>
      <c r="G140" s="3">
        <f t="shared" si="1"/>
        <v>-0.02194586686</v>
      </c>
    </row>
    <row r="141">
      <c r="A141" s="1">
        <f>IFERROR(__xludf.DUMMYFUNCTION("""COMPUTED_VALUE"""),42615.66666666667)</f>
        <v>42615.66667</v>
      </c>
      <c r="B141" s="2">
        <f>IFERROR(__xludf.DUMMYFUNCTION("""COMPUTED_VALUE"""),26.66)</f>
        <v>26.66</v>
      </c>
      <c r="C141" s="2">
        <f>IFERROR(__xludf.DUMMYFUNCTION("""COMPUTED_VALUE"""),27.0)</f>
        <v>27</v>
      </c>
      <c r="D141" s="2">
        <f>IFERROR(__xludf.DUMMYFUNCTION("""COMPUTED_VALUE"""),26.38)</f>
        <v>26.38</v>
      </c>
      <c r="E141" s="2">
        <f>IFERROR(__xludf.DUMMYFUNCTION("""COMPUTED_VALUE"""),26.93)</f>
        <v>26.93</v>
      </c>
      <c r="F141" s="2">
        <f>IFERROR(__xludf.DUMMYFUNCTION("""COMPUTED_VALUE"""),1.33000624E8)</f>
        <v>133000624</v>
      </c>
      <c r="G141" s="3">
        <f t="shared" si="1"/>
        <v>0.007105459985</v>
      </c>
    </row>
    <row r="142">
      <c r="A142" s="1">
        <f>IFERROR(__xludf.DUMMYFUNCTION("""COMPUTED_VALUE"""),42622.66666666667)</f>
        <v>42622.66667</v>
      </c>
      <c r="B142" s="2">
        <f>IFERROR(__xludf.DUMMYFUNCTION("""COMPUTED_VALUE"""),26.98)</f>
        <v>26.98</v>
      </c>
      <c r="C142" s="2">
        <f>IFERROR(__xludf.DUMMYFUNCTION("""COMPUTED_VALUE"""),27.19)</f>
        <v>27.19</v>
      </c>
      <c r="D142" s="2">
        <f>IFERROR(__xludf.DUMMYFUNCTION("""COMPUTED_VALUE"""),25.78)</f>
        <v>25.78</v>
      </c>
      <c r="E142" s="2">
        <f>IFERROR(__xludf.DUMMYFUNCTION("""COMPUTED_VALUE"""),25.78)</f>
        <v>25.78</v>
      </c>
      <c r="F142" s="2">
        <f>IFERROR(__xludf.DUMMYFUNCTION("""COMPUTED_VALUE"""),1.68803729E8)</f>
        <v>168803729</v>
      </c>
      <c r="G142" s="3">
        <f t="shared" si="1"/>
        <v>-0.04270330486</v>
      </c>
    </row>
    <row r="143">
      <c r="A143" s="1">
        <f>IFERROR(__xludf.DUMMYFUNCTION("""COMPUTED_VALUE"""),42629.66666666667)</f>
        <v>42629.66667</v>
      </c>
      <c r="B143" s="2">
        <f>IFERROR(__xludf.DUMMYFUNCTION("""COMPUTED_VALUE"""),25.66)</f>
        <v>25.66</v>
      </c>
      <c r="C143" s="2">
        <f>IFERROR(__xludf.DUMMYFUNCTION("""COMPUTED_VALUE"""),29.03)</f>
        <v>29.03</v>
      </c>
      <c r="D143" s="2">
        <f>IFERROR(__xludf.DUMMYFUNCTION("""COMPUTED_VALUE"""),25.63)</f>
        <v>25.63</v>
      </c>
      <c r="E143" s="2">
        <f>IFERROR(__xludf.DUMMYFUNCTION("""COMPUTED_VALUE"""),28.73)</f>
        <v>28.73</v>
      </c>
      <c r="F143" s="2">
        <f>IFERROR(__xludf.DUMMYFUNCTION("""COMPUTED_VALUE"""),3.90309366E8)</f>
        <v>390309366</v>
      </c>
      <c r="G143" s="3">
        <f t="shared" si="1"/>
        <v>0.1144297905</v>
      </c>
    </row>
    <row r="144">
      <c r="A144" s="1">
        <f>IFERROR(__xludf.DUMMYFUNCTION("""COMPUTED_VALUE"""),42636.66666666667)</f>
        <v>42636.66667</v>
      </c>
      <c r="B144" s="2">
        <f>IFERROR(__xludf.DUMMYFUNCTION("""COMPUTED_VALUE"""),28.8)</f>
        <v>28.8</v>
      </c>
      <c r="C144" s="2">
        <f>IFERROR(__xludf.DUMMYFUNCTION("""COMPUTED_VALUE"""),29.05)</f>
        <v>29.05</v>
      </c>
      <c r="D144" s="2">
        <f>IFERROR(__xludf.DUMMYFUNCTION("""COMPUTED_VALUE"""),27.89)</f>
        <v>27.89</v>
      </c>
      <c r="E144" s="2">
        <f>IFERROR(__xludf.DUMMYFUNCTION("""COMPUTED_VALUE"""),28.18)</f>
        <v>28.18</v>
      </c>
      <c r="F144" s="2">
        <f>IFERROR(__xludf.DUMMYFUNCTION("""COMPUTED_VALUE"""),2.01095635E8)</f>
        <v>201095635</v>
      </c>
      <c r="G144" s="3">
        <f t="shared" si="1"/>
        <v>-0.01914375218</v>
      </c>
    </row>
    <row r="145">
      <c r="A145" s="1">
        <f>IFERROR(__xludf.DUMMYFUNCTION("""COMPUTED_VALUE"""),42643.66666666667)</f>
        <v>42643.66667</v>
      </c>
      <c r="B145" s="2">
        <f>IFERROR(__xludf.DUMMYFUNCTION("""COMPUTED_VALUE"""),27.91)</f>
        <v>27.91</v>
      </c>
      <c r="C145" s="2">
        <f>IFERROR(__xludf.DUMMYFUNCTION("""COMPUTED_VALUE"""),28.66)</f>
        <v>28.66</v>
      </c>
      <c r="D145" s="2">
        <f>IFERROR(__xludf.DUMMYFUNCTION("""COMPUTED_VALUE"""),27.89)</f>
        <v>27.89</v>
      </c>
      <c r="E145" s="2">
        <f>IFERROR(__xludf.DUMMYFUNCTION("""COMPUTED_VALUE"""),28.26)</f>
        <v>28.26</v>
      </c>
      <c r="F145" s="2">
        <f>IFERROR(__xludf.DUMMYFUNCTION("""COMPUTED_VALUE"""),1.56384035E8)</f>
        <v>156384035</v>
      </c>
      <c r="G145" s="3">
        <f t="shared" si="1"/>
        <v>0.002838892832</v>
      </c>
    </row>
    <row r="146">
      <c r="A146" s="1">
        <f>IFERROR(__xludf.DUMMYFUNCTION("""COMPUTED_VALUE"""),42650.66666666667)</f>
        <v>42650.66667</v>
      </c>
      <c r="B146" s="2">
        <f>IFERROR(__xludf.DUMMYFUNCTION("""COMPUTED_VALUE"""),28.18)</f>
        <v>28.18</v>
      </c>
      <c r="C146" s="2">
        <f>IFERROR(__xludf.DUMMYFUNCTION("""COMPUTED_VALUE"""),28.64)</f>
        <v>28.64</v>
      </c>
      <c r="D146" s="2">
        <f>IFERROR(__xludf.DUMMYFUNCTION("""COMPUTED_VALUE"""),28.07)</f>
        <v>28.07</v>
      </c>
      <c r="E146" s="2">
        <f>IFERROR(__xludf.DUMMYFUNCTION("""COMPUTED_VALUE"""),28.52)</f>
        <v>28.52</v>
      </c>
      <c r="F146" s="2">
        <f>IFERROR(__xludf.DUMMYFUNCTION("""COMPUTED_VALUE"""),1.2602944E8)</f>
        <v>126029440</v>
      </c>
      <c r="G146" s="3">
        <f t="shared" si="1"/>
        <v>0.009200283086</v>
      </c>
    </row>
    <row r="147">
      <c r="A147" s="1">
        <f>IFERROR(__xludf.DUMMYFUNCTION("""COMPUTED_VALUE"""),42657.66666666667)</f>
        <v>42657.66667</v>
      </c>
      <c r="B147" s="2">
        <f>IFERROR(__xludf.DUMMYFUNCTION("""COMPUTED_VALUE"""),28.76)</f>
        <v>28.76</v>
      </c>
      <c r="C147" s="2">
        <f>IFERROR(__xludf.DUMMYFUNCTION("""COMPUTED_VALUE"""),29.67)</f>
        <v>29.67</v>
      </c>
      <c r="D147" s="2">
        <f>IFERROR(__xludf.DUMMYFUNCTION("""COMPUTED_VALUE"""),28.68)</f>
        <v>28.68</v>
      </c>
      <c r="E147" s="2">
        <f>IFERROR(__xludf.DUMMYFUNCTION("""COMPUTED_VALUE"""),29.41)</f>
        <v>29.41</v>
      </c>
      <c r="F147" s="2">
        <f>IFERROR(__xludf.DUMMYFUNCTION("""COMPUTED_VALUE"""),2.08708383E8)</f>
        <v>208708383</v>
      </c>
      <c r="G147" s="3">
        <f t="shared" si="1"/>
        <v>0.03120617111</v>
      </c>
    </row>
    <row r="148">
      <c r="A148" s="1">
        <f>IFERROR(__xludf.DUMMYFUNCTION("""COMPUTED_VALUE"""),42664.66666666667)</f>
        <v>42664.66667</v>
      </c>
      <c r="B148" s="2">
        <f>IFERROR(__xludf.DUMMYFUNCTION("""COMPUTED_VALUE"""),29.33)</f>
        <v>29.33</v>
      </c>
      <c r="C148" s="2">
        <f>IFERROR(__xludf.DUMMYFUNCTION("""COMPUTED_VALUE"""),29.55)</f>
        <v>29.55</v>
      </c>
      <c r="D148" s="2">
        <f>IFERROR(__xludf.DUMMYFUNCTION("""COMPUTED_VALUE"""),28.45)</f>
        <v>28.45</v>
      </c>
      <c r="E148" s="2">
        <f>IFERROR(__xludf.DUMMYFUNCTION("""COMPUTED_VALUE"""),29.15)</f>
        <v>29.15</v>
      </c>
      <c r="F148" s="2">
        <f>IFERROR(__xludf.DUMMYFUNCTION("""COMPUTED_VALUE"""),1.15531434E8)</f>
        <v>115531434</v>
      </c>
      <c r="G148" s="3">
        <f t="shared" si="1"/>
        <v>-0.008840530432</v>
      </c>
    </row>
    <row r="149">
      <c r="A149" s="1">
        <f>IFERROR(__xludf.DUMMYFUNCTION("""COMPUTED_VALUE"""),42671.66666666667)</f>
        <v>42671.66667</v>
      </c>
      <c r="B149" s="2">
        <f>IFERROR(__xludf.DUMMYFUNCTION("""COMPUTED_VALUE"""),29.28)</f>
        <v>29.28</v>
      </c>
      <c r="C149" s="2">
        <f>IFERROR(__xludf.DUMMYFUNCTION("""COMPUTED_VALUE"""),29.59)</f>
        <v>29.59</v>
      </c>
      <c r="D149" s="2">
        <f>IFERROR(__xludf.DUMMYFUNCTION("""COMPUTED_VALUE"""),28.33)</f>
        <v>28.33</v>
      </c>
      <c r="E149" s="2">
        <f>IFERROR(__xludf.DUMMYFUNCTION("""COMPUTED_VALUE"""),28.43)</f>
        <v>28.43</v>
      </c>
      <c r="F149" s="2">
        <f>IFERROR(__xludf.DUMMYFUNCTION("""COMPUTED_VALUE"""),2.10225569E8)</f>
        <v>210225569</v>
      </c>
      <c r="G149" s="3">
        <f t="shared" si="1"/>
        <v>-0.02469982847</v>
      </c>
    </row>
    <row r="150">
      <c r="A150" s="1">
        <f>IFERROR(__xludf.DUMMYFUNCTION("""COMPUTED_VALUE"""),42678.66666666667)</f>
        <v>42678.66667</v>
      </c>
      <c r="B150" s="2">
        <f>IFERROR(__xludf.DUMMYFUNCTION("""COMPUTED_VALUE"""),28.41)</f>
        <v>28.41</v>
      </c>
      <c r="C150" s="2">
        <f>IFERROR(__xludf.DUMMYFUNCTION("""COMPUTED_VALUE"""),28.56)</f>
        <v>28.56</v>
      </c>
      <c r="D150" s="2">
        <f>IFERROR(__xludf.DUMMYFUNCTION("""COMPUTED_VALUE"""),27.03)</f>
        <v>27.03</v>
      </c>
      <c r="E150" s="2">
        <f>IFERROR(__xludf.DUMMYFUNCTION("""COMPUTED_VALUE"""),27.21)</f>
        <v>27.21</v>
      </c>
      <c r="F150" s="2">
        <f>IFERROR(__xludf.DUMMYFUNCTION("""COMPUTED_VALUE"""),1.56346518E8)</f>
        <v>156346518</v>
      </c>
      <c r="G150" s="3">
        <f t="shared" si="1"/>
        <v>-0.04291241646</v>
      </c>
    </row>
    <row r="151">
      <c r="A151" s="1">
        <f>IFERROR(__xludf.DUMMYFUNCTION("""COMPUTED_VALUE"""),42685.66666666667)</f>
        <v>42685.66667</v>
      </c>
      <c r="B151" s="2">
        <f>IFERROR(__xludf.DUMMYFUNCTION("""COMPUTED_VALUE"""),27.52)</f>
        <v>27.52</v>
      </c>
      <c r="C151" s="2">
        <f>IFERROR(__xludf.DUMMYFUNCTION("""COMPUTED_VALUE"""),27.93)</f>
        <v>27.93</v>
      </c>
      <c r="D151" s="2">
        <f>IFERROR(__xludf.DUMMYFUNCTION("""COMPUTED_VALUE"""),26.46)</f>
        <v>26.46</v>
      </c>
      <c r="E151" s="2">
        <f>IFERROR(__xludf.DUMMYFUNCTION("""COMPUTED_VALUE"""),27.11)</f>
        <v>27.11</v>
      </c>
      <c r="F151" s="2">
        <f>IFERROR(__xludf.DUMMYFUNCTION("""COMPUTED_VALUE"""),2.07268979E8)</f>
        <v>207268979</v>
      </c>
      <c r="G151" s="3">
        <f t="shared" si="1"/>
        <v>-0.003675119441</v>
      </c>
    </row>
    <row r="152">
      <c r="A152" s="1">
        <f>IFERROR(__xludf.DUMMYFUNCTION("""COMPUTED_VALUE"""),42692.66666666667)</f>
        <v>42692.66667</v>
      </c>
      <c r="B152" s="2">
        <f>IFERROR(__xludf.DUMMYFUNCTION("""COMPUTED_VALUE"""),26.93)</f>
        <v>26.93</v>
      </c>
      <c r="C152" s="2">
        <f>IFERROR(__xludf.DUMMYFUNCTION("""COMPUTED_VALUE"""),27.64)</f>
        <v>27.64</v>
      </c>
      <c r="D152" s="2">
        <f>IFERROR(__xludf.DUMMYFUNCTION("""COMPUTED_VALUE"""),26.02)</f>
        <v>26.02</v>
      </c>
      <c r="E152" s="2">
        <f>IFERROR(__xludf.DUMMYFUNCTION("""COMPUTED_VALUE"""),27.52)</f>
        <v>27.52</v>
      </c>
      <c r="F152" s="2">
        <f>IFERROR(__xludf.DUMMYFUNCTION("""COMPUTED_VALUE"""),1.98341456E8)</f>
        <v>198341456</v>
      </c>
      <c r="G152" s="3">
        <f t="shared" si="1"/>
        <v>0.01512357064</v>
      </c>
    </row>
    <row r="153">
      <c r="A153" s="1">
        <f>IFERROR(__xludf.DUMMYFUNCTION("""COMPUTED_VALUE"""),42699.66666666667)</f>
        <v>42699.66667</v>
      </c>
      <c r="B153" s="2">
        <f>IFERROR(__xludf.DUMMYFUNCTION("""COMPUTED_VALUE"""),27.53)</f>
        <v>27.53</v>
      </c>
      <c r="C153" s="2">
        <f>IFERROR(__xludf.DUMMYFUNCTION("""COMPUTED_VALUE"""),28.11)</f>
        <v>28.11</v>
      </c>
      <c r="D153" s="2">
        <f>IFERROR(__xludf.DUMMYFUNCTION("""COMPUTED_VALUE"""),27.5)</f>
        <v>27.5</v>
      </c>
      <c r="E153" s="2">
        <f>IFERROR(__xludf.DUMMYFUNCTION("""COMPUTED_VALUE"""),27.95)</f>
        <v>27.95</v>
      </c>
      <c r="F153" s="2">
        <f>IFERROR(__xludf.DUMMYFUNCTION("""COMPUTED_VALUE"""),9.4132421E7)</f>
        <v>94132421</v>
      </c>
      <c r="G153" s="3">
        <f t="shared" si="1"/>
        <v>0.015625</v>
      </c>
    </row>
    <row r="154">
      <c r="A154" s="1">
        <f>IFERROR(__xludf.DUMMYFUNCTION("""COMPUTED_VALUE"""),42706.66666666667)</f>
        <v>42706.66667</v>
      </c>
      <c r="B154" s="2">
        <f>IFERROR(__xludf.DUMMYFUNCTION("""COMPUTED_VALUE"""),27.86)</f>
        <v>27.86</v>
      </c>
      <c r="C154" s="2">
        <f>IFERROR(__xludf.DUMMYFUNCTION("""COMPUTED_VALUE"""),28.12)</f>
        <v>28.12</v>
      </c>
      <c r="D154" s="2">
        <f>IFERROR(__xludf.DUMMYFUNCTION("""COMPUTED_VALUE"""),27.21)</f>
        <v>27.21</v>
      </c>
      <c r="E154" s="2">
        <f>IFERROR(__xludf.DUMMYFUNCTION("""COMPUTED_VALUE"""),27.48)</f>
        <v>27.48</v>
      </c>
      <c r="F154" s="2">
        <f>IFERROR(__xludf.DUMMYFUNCTION("""COMPUTED_VALUE"""),1.5549985E8)</f>
        <v>155499850</v>
      </c>
      <c r="G154" s="3">
        <f t="shared" si="1"/>
        <v>-0.0168157424</v>
      </c>
    </row>
    <row r="155">
      <c r="A155" s="1">
        <f>IFERROR(__xludf.DUMMYFUNCTION("""COMPUTED_VALUE"""),42713.66666666667)</f>
        <v>42713.66667</v>
      </c>
      <c r="B155" s="2">
        <f>IFERROR(__xludf.DUMMYFUNCTION("""COMPUTED_VALUE"""),27.5)</f>
        <v>27.5</v>
      </c>
      <c r="C155" s="2">
        <f>IFERROR(__xludf.DUMMYFUNCTION("""COMPUTED_VALUE"""),28.68)</f>
        <v>28.68</v>
      </c>
      <c r="D155" s="2">
        <f>IFERROR(__xludf.DUMMYFUNCTION("""COMPUTED_VALUE"""),27.06)</f>
        <v>27.06</v>
      </c>
      <c r="E155" s="2">
        <f>IFERROR(__xludf.DUMMYFUNCTION("""COMPUTED_VALUE"""),28.49)</f>
        <v>28.49</v>
      </c>
      <c r="F155" s="2">
        <f>IFERROR(__xludf.DUMMYFUNCTION("""COMPUTED_VALUE"""),1.51989664E8)</f>
        <v>151989664</v>
      </c>
      <c r="G155" s="3">
        <f t="shared" si="1"/>
        <v>0.03675400291</v>
      </c>
    </row>
    <row r="156">
      <c r="A156" s="1">
        <f>IFERROR(__xludf.DUMMYFUNCTION("""COMPUTED_VALUE"""),42720.66666666667)</f>
        <v>42720.66667</v>
      </c>
      <c r="B156" s="2">
        <f>IFERROR(__xludf.DUMMYFUNCTION("""COMPUTED_VALUE"""),28.32)</f>
        <v>28.32</v>
      </c>
      <c r="C156" s="2">
        <f>IFERROR(__xludf.DUMMYFUNCTION("""COMPUTED_VALUE"""),29.18)</f>
        <v>29.18</v>
      </c>
      <c r="D156" s="2">
        <f>IFERROR(__xludf.DUMMYFUNCTION("""COMPUTED_VALUE"""),28.12)</f>
        <v>28.12</v>
      </c>
      <c r="E156" s="2">
        <f>IFERROR(__xludf.DUMMYFUNCTION("""COMPUTED_VALUE"""),28.99)</f>
        <v>28.99</v>
      </c>
      <c r="F156" s="2">
        <f>IFERROR(__xludf.DUMMYFUNCTION("""COMPUTED_VALUE"""),1.950157E8)</f>
        <v>195015700</v>
      </c>
      <c r="G156" s="3">
        <f t="shared" si="1"/>
        <v>0.01755001755</v>
      </c>
    </row>
    <row r="157">
      <c r="A157" s="1">
        <f>IFERROR(__xludf.DUMMYFUNCTION("""COMPUTED_VALUE"""),42727.66666666667)</f>
        <v>42727.66667</v>
      </c>
      <c r="B157" s="2">
        <f>IFERROR(__xludf.DUMMYFUNCTION("""COMPUTED_VALUE"""),28.95)</f>
        <v>28.95</v>
      </c>
      <c r="C157" s="2">
        <f>IFERROR(__xludf.DUMMYFUNCTION("""COMPUTED_VALUE"""),29.38)</f>
        <v>29.38</v>
      </c>
      <c r="D157" s="2">
        <f>IFERROR(__xludf.DUMMYFUNCTION("""COMPUTED_VALUE"""),28.9)</f>
        <v>28.9</v>
      </c>
      <c r="E157" s="2">
        <f>IFERROR(__xludf.DUMMYFUNCTION("""COMPUTED_VALUE"""),29.13)</f>
        <v>29.13</v>
      </c>
      <c r="F157" s="2">
        <f>IFERROR(__xludf.DUMMYFUNCTION("""COMPUTED_VALUE"""),1.13322891E8)</f>
        <v>113322891</v>
      </c>
      <c r="G157" s="3">
        <f t="shared" si="1"/>
        <v>0.004829251466</v>
      </c>
    </row>
    <row r="158">
      <c r="A158" s="1">
        <f>IFERROR(__xludf.DUMMYFUNCTION("""COMPUTED_VALUE"""),42734.66666666667)</f>
        <v>42734.66667</v>
      </c>
      <c r="B158" s="2">
        <f>IFERROR(__xludf.DUMMYFUNCTION("""COMPUTED_VALUE"""),29.13)</f>
        <v>29.13</v>
      </c>
      <c r="C158" s="2">
        <f>IFERROR(__xludf.DUMMYFUNCTION("""COMPUTED_VALUE"""),29.5)</f>
        <v>29.5</v>
      </c>
      <c r="D158" s="2">
        <f>IFERROR(__xludf.DUMMYFUNCTION("""COMPUTED_VALUE"""),28.86)</f>
        <v>28.86</v>
      </c>
      <c r="E158" s="2">
        <f>IFERROR(__xludf.DUMMYFUNCTION("""COMPUTED_VALUE"""),28.96)</f>
        <v>28.96</v>
      </c>
      <c r="F158" s="2">
        <f>IFERROR(__xludf.DUMMYFUNCTION("""COMPUTED_VALUE"""),8.4828531E7)</f>
        <v>84828531</v>
      </c>
      <c r="G158" s="3">
        <f t="shared" si="1"/>
        <v>-0.005835907999</v>
      </c>
    </row>
    <row r="159">
      <c r="A159" s="1">
        <f>IFERROR(__xludf.DUMMYFUNCTION("""COMPUTED_VALUE"""),42741.66666666667)</f>
        <v>42741.66667</v>
      </c>
      <c r="B159" s="2">
        <f>IFERROR(__xludf.DUMMYFUNCTION("""COMPUTED_VALUE"""),28.95)</f>
        <v>28.95</v>
      </c>
      <c r="C159" s="2">
        <f>IFERROR(__xludf.DUMMYFUNCTION("""COMPUTED_VALUE"""),29.54)</f>
        <v>29.54</v>
      </c>
      <c r="D159" s="2">
        <f>IFERROR(__xludf.DUMMYFUNCTION("""COMPUTED_VALUE"""),28.69)</f>
        <v>28.69</v>
      </c>
      <c r="E159" s="2">
        <f>IFERROR(__xludf.DUMMYFUNCTION("""COMPUTED_VALUE"""),29.48)</f>
        <v>29.48</v>
      </c>
      <c r="F159" s="2">
        <f>IFERROR(__xludf.DUMMYFUNCTION("""COMPUTED_VALUE"""),1.03845468E8)</f>
        <v>103845468</v>
      </c>
      <c r="G159" s="3">
        <f t="shared" si="1"/>
        <v>0.0179558011</v>
      </c>
    </row>
    <row r="160">
      <c r="A160" s="1">
        <f>IFERROR(__xludf.DUMMYFUNCTION("""COMPUTED_VALUE"""),42748.66666666667)</f>
        <v>42748.66667</v>
      </c>
      <c r="B160" s="2">
        <f>IFERROR(__xludf.DUMMYFUNCTION("""COMPUTED_VALUE"""),29.49)</f>
        <v>29.49</v>
      </c>
      <c r="C160" s="2">
        <f>IFERROR(__xludf.DUMMYFUNCTION("""COMPUTED_VALUE"""),29.98)</f>
        <v>29.98</v>
      </c>
      <c r="D160" s="2">
        <f>IFERROR(__xludf.DUMMYFUNCTION("""COMPUTED_VALUE"""),29.49)</f>
        <v>29.49</v>
      </c>
      <c r="E160" s="2">
        <f>IFERROR(__xludf.DUMMYFUNCTION("""COMPUTED_VALUE"""),29.76)</f>
        <v>29.76</v>
      </c>
      <c r="F160" s="2">
        <f>IFERROR(__xludf.DUMMYFUNCTION("""COMPUTED_VALUE"""),1.3881076E8)</f>
        <v>138810760</v>
      </c>
      <c r="G160" s="3">
        <f t="shared" si="1"/>
        <v>0.009497964722</v>
      </c>
    </row>
    <row r="161">
      <c r="A161" s="1">
        <f>IFERROR(__xludf.DUMMYFUNCTION("""COMPUTED_VALUE"""),42755.66666666667)</f>
        <v>42755.66667</v>
      </c>
      <c r="B161" s="2">
        <f>IFERROR(__xludf.DUMMYFUNCTION("""COMPUTED_VALUE"""),29.59)</f>
        <v>29.59</v>
      </c>
      <c r="C161" s="2">
        <f>IFERROR(__xludf.DUMMYFUNCTION("""COMPUTED_VALUE"""),30.13)</f>
        <v>30.13</v>
      </c>
      <c r="D161" s="2">
        <f>IFERROR(__xludf.DUMMYFUNCTION("""COMPUTED_VALUE"""),29.56)</f>
        <v>29.56</v>
      </c>
      <c r="E161" s="2">
        <f>IFERROR(__xludf.DUMMYFUNCTION("""COMPUTED_VALUE"""),30.0)</f>
        <v>30</v>
      </c>
      <c r="F161" s="2">
        <f>IFERROR(__xludf.DUMMYFUNCTION("""COMPUTED_VALUE"""),1.16347987E8)</f>
        <v>116347987</v>
      </c>
      <c r="G161" s="3">
        <f t="shared" si="1"/>
        <v>0.008064516129</v>
      </c>
    </row>
    <row r="162">
      <c r="A162" s="1">
        <f>IFERROR(__xludf.DUMMYFUNCTION("""COMPUTED_VALUE"""),42762.66666666667)</f>
        <v>42762.66667</v>
      </c>
      <c r="B162" s="2">
        <f>IFERROR(__xludf.DUMMYFUNCTION("""COMPUTED_VALUE"""),30.0)</f>
        <v>30</v>
      </c>
      <c r="C162" s="2">
        <f>IFERROR(__xludf.DUMMYFUNCTION("""COMPUTED_VALUE"""),30.61)</f>
        <v>30.61</v>
      </c>
      <c r="D162" s="2">
        <f>IFERROR(__xludf.DUMMYFUNCTION("""COMPUTED_VALUE"""),29.88)</f>
        <v>29.88</v>
      </c>
      <c r="E162" s="2">
        <f>IFERROR(__xludf.DUMMYFUNCTION("""COMPUTED_VALUE"""),30.49)</f>
        <v>30.49</v>
      </c>
      <c r="F162" s="2">
        <f>IFERROR(__xludf.DUMMYFUNCTION("""COMPUTED_VALUE"""),1.24748449E8)</f>
        <v>124748449</v>
      </c>
      <c r="G162" s="3">
        <f t="shared" si="1"/>
        <v>0.01633333333</v>
      </c>
    </row>
    <row r="163">
      <c r="A163" s="1">
        <f>IFERROR(__xludf.DUMMYFUNCTION("""COMPUTED_VALUE"""),42769.66666666667)</f>
        <v>42769.66667</v>
      </c>
      <c r="B163" s="2">
        <f>IFERROR(__xludf.DUMMYFUNCTION("""COMPUTED_VALUE"""),30.23)</f>
        <v>30.23</v>
      </c>
      <c r="C163" s="2">
        <f>IFERROR(__xludf.DUMMYFUNCTION("""COMPUTED_VALUE"""),32.62)</f>
        <v>32.62</v>
      </c>
      <c r="D163" s="2">
        <f>IFERROR(__xludf.DUMMYFUNCTION("""COMPUTED_VALUE"""),30.16)</f>
        <v>30.16</v>
      </c>
      <c r="E163" s="2">
        <f>IFERROR(__xludf.DUMMYFUNCTION("""COMPUTED_VALUE"""),32.27)</f>
        <v>32.27</v>
      </c>
      <c r="F163" s="2">
        <f>IFERROR(__xludf.DUMMYFUNCTION("""COMPUTED_VALUE"""),2.49781248E8)</f>
        <v>249781248</v>
      </c>
      <c r="G163" s="3">
        <f t="shared" si="1"/>
        <v>0.05837979665</v>
      </c>
    </row>
    <row r="164">
      <c r="A164" s="1">
        <f>IFERROR(__xludf.DUMMYFUNCTION("""COMPUTED_VALUE"""),42776.66666666667)</f>
        <v>42776.66667</v>
      </c>
      <c r="B164" s="2">
        <f>IFERROR(__xludf.DUMMYFUNCTION("""COMPUTED_VALUE"""),32.28)</f>
        <v>32.28</v>
      </c>
      <c r="C164" s="2">
        <f>IFERROR(__xludf.DUMMYFUNCTION("""COMPUTED_VALUE"""),33.24)</f>
        <v>33.24</v>
      </c>
      <c r="D164" s="2">
        <f>IFERROR(__xludf.DUMMYFUNCTION("""COMPUTED_VALUE"""),32.23)</f>
        <v>32.23</v>
      </c>
      <c r="E164" s="2">
        <f>IFERROR(__xludf.DUMMYFUNCTION("""COMPUTED_VALUE"""),33.03)</f>
        <v>33.03</v>
      </c>
      <c r="F164" s="2">
        <f>IFERROR(__xludf.DUMMYFUNCTION("""COMPUTED_VALUE"""),1.36449154E8)</f>
        <v>136449154</v>
      </c>
      <c r="G164" s="3">
        <f t="shared" si="1"/>
        <v>0.02355128602</v>
      </c>
    </row>
    <row r="165">
      <c r="A165" s="1">
        <f>IFERROR(__xludf.DUMMYFUNCTION("""COMPUTED_VALUE"""),42783.66666666667)</f>
        <v>42783.66667</v>
      </c>
      <c r="B165" s="2">
        <f>IFERROR(__xludf.DUMMYFUNCTION("""COMPUTED_VALUE"""),33.27)</f>
        <v>33.27</v>
      </c>
      <c r="C165" s="2">
        <f>IFERROR(__xludf.DUMMYFUNCTION("""COMPUTED_VALUE"""),34.07)</f>
        <v>34.07</v>
      </c>
      <c r="D165" s="2">
        <f>IFERROR(__xludf.DUMMYFUNCTION("""COMPUTED_VALUE"""),33.19)</f>
        <v>33.19</v>
      </c>
      <c r="E165" s="2">
        <f>IFERROR(__xludf.DUMMYFUNCTION("""COMPUTED_VALUE"""),33.93)</f>
        <v>33.93</v>
      </c>
      <c r="F165" s="2">
        <f>IFERROR(__xludf.DUMMYFUNCTION("""COMPUTED_VALUE"""),1.36667496E8)</f>
        <v>136667496</v>
      </c>
      <c r="G165" s="3">
        <f t="shared" si="1"/>
        <v>0.0272479564</v>
      </c>
    </row>
    <row r="166">
      <c r="A166" s="1">
        <f>IFERROR(__xludf.DUMMYFUNCTION("""COMPUTED_VALUE"""),42790.66666666667)</f>
        <v>42790.66667</v>
      </c>
      <c r="B166" s="2">
        <f>IFERROR(__xludf.DUMMYFUNCTION("""COMPUTED_VALUE"""),34.06)</f>
        <v>34.06</v>
      </c>
      <c r="C166" s="2">
        <f>IFERROR(__xludf.DUMMYFUNCTION("""COMPUTED_VALUE"""),34.37)</f>
        <v>34.37</v>
      </c>
      <c r="D166" s="2">
        <f>IFERROR(__xludf.DUMMYFUNCTION("""COMPUTED_VALUE"""),33.82)</f>
        <v>33.82</v>
      </c>
      <c r="E166" s="2">
        <f>IFERROR(__xludf.DUMMYFUNCTION("""COMPUTED_VALUE"""),34.17)</f>
        <v>34.17</v>
      </c>
      <c r="F166" s="2">
        <f>IFERROR(__xludf.DUMMYFUNCTION("""COMPUTED_VALUE"""),8.7908859E7)</f>
        <v>87908859</v>
      </c>
      <c r="G166" s="3">
        <f t="shared" si="1"/>
        <v>0.007073386384</v>
      </c>
    </row>
    <row r="167">
      <c r="A167" s="1">
        <f>IFERROR(__xludf.DUMMYFUNCTION("""COMPUTED_VALUE"""),42797.66666666667)</f>
        <v>42797.66667</v>
      </c>
      <c r="B167" s="2">
        <f>IFERROR(__xludf.DUMMYFUNCTION("""COMPUTED_VALUE"""),34.28)</f>
        <v>34.28</v>
      </c>
      <c r="C167" s="2">
        <f>IFERROR(__xludf.DUMMYFUNCTION("""COMPUTED_VALUE"""),35.07)</f>
        <v>35.07</v>
      </c>
      <c r="D167" s="2">
        <f>IFERROR(__xludf.DUMMYFUNCTION("""COMPUTED_VALUE"""),34.07)</f>
        <v>34.07</v>
      </c>
      <c r="E167" s="2">
        <f>IFERROR(__xludf.DUMMYFUNCTION("""COMPUTED_VALUE"""),34.95)</f>
        <v>34.95</v>
      </c>
      <c r="F167" s="2">
        <f>IFERROR(__xludf.DUMMYFUNCTION("""COMPUTED_VALUE"""),1.27936976E8)</f>
        <v>127936976</v>
      </c>
      <c r="G167" s="3">
        <f t="shared" si="1"/>
        <v>0.02282704126</v>
      </c>
    </row>
    <row r="168">
      <c r="A168" s="1">
        <f>IFERROR(__xludf.DUMMYFUNCTION("""COMPUTED_VALUE"""),42804.66666666667)</f>
        <v>42804.66667</v>
      </c>
      <c r="B168" s="2">
        <f>IFERROR(__xludf.DUMMYFUNCTION("""COMPUTED_VALUE"""),34.84)</f>
        <v>34.84</v>
      </c>
      <c r="C168" s="2">
        <f>IFERROR(__xludf.DUMMYFUNCTION("""COMPUTED_VALUE"""),34.99)</f>
        <v>34.99</v>
      </c>
      <c r="D168" s="2">
        <f>IFERROR(__xludf.DUMMYFUNCTION("""COMPUTED_VALUE"""),34.26)</f>
        <v>34.26</v>
      </c>
      <c r="E168" s="2">
        <f>IFERROR(__xludf.DUMMYFUNCTION("""COMPUTED_VALUE"""),34.78)</f>
        <v>34.78</v>
      </c>
      <c r="F168" s="2">
        <f>IFERROR(__xludf.DUMMYFUNCTION("""COMPUTED_VALUE"""),9.9672282E7)</f>
        <v>99672282</v>
      </c>
      <c r="G168" s="3">
        <f t="shared" si="1"/>
        <v>-0.004864091559</v>
      </c>
    </row>
    <row r="169">
      <c r="A169" s="1">
        <f>IFERROR(__xludf.DUMMYFUNCTION("""COMPUTED_VALUE"""),42811.66666666667)</f>
        <v>42811.66667</v>
      </c>
      <c r="B169" s="2">
        <f>IFERROR(__xludf.DUMMYFUNCTION("""COMPUTED_VALUE"""),34.79)</f>
        <v>34.79</v>
      </c>
      <c r="C169" s="2">
        <f>IFERROR(__xludf.DUMMYFUNCTION("""COMPUTED_VALUE"""),35.26)</f>
        <v>35.26</v>
      </c>
      <c r="D169" s="2">
        <f>IFERROR(__xludf.DUMMYFUNCTION("""COMPUTED_VALUE"""),34.71)</f>
        <v>34.71</v>
      </c>
      <c r="E169" s="2">
        <f>IFERROR(__xludf.DUMMYFUNCTION("""COMPUTED_VALUE"""),35.0)</f>
        <v>35</v>
      </c>
      <c r="F169" s="2">
        <f>IFERROR(__xludf.DUMMYFUNCTION("""COMPUTED_VALUE"""),1.21539506E8)</f>
        <v>121539506</v>
      </c>
      <c r="G169" s="3">
        <f t="shared" si="1"/>
        <v>0.006325474411</v>
      </c>
    </row>
    <row r="170">
      <c r="A170" s="1">
        <f>IFERROR(__xludf.DUMMYFUNCTION("""COMPUTED_VALUE"""),42818.66666666667)</f>
        <v>42818.66667</v>
      </c>
      <c r="B170" s="2">
        <f>IFERROR(__xludf.DUMMYFUNCTION("""COMPUTED_VALUE"""),35.1)</f>
        <v>35.1</v>
      </c>
      <c r="C170" s="2">
        <f>IFERROR(__xludf.DUMMYFUNCTION("""COMPUTED_VALUE"""),35.7)</f>
        <v>35.7</v>
      </c>
      <c r="D170" s="2">
        <f>IFERROR(__xludf.DUMMYFUNCTION("""COMPUTED_VALUE"""),34.93)</f>
        <v>34.93</v>
      </c>
      <c r="E170" s="2">
        <f>IFERROR(__xludf.DUMMYFUNCTION("""COMPUTED_VALUE"""),35.16)</f>
        <v>35.16</v>
      </c>
      <c r="F170" s="2">
        <f>IFERROR(__xludf.DUMMYFUNCTION("""COMPUTED_VALUE"""),1.29673979E8)</f>
        <v>129673979</v>
      </c>
      <c r="G170" s="3">
        <f t="shared" si="1"/>
        <v>0.004571428571</v>
      </c>
    </row>
    <row r="171">
      <c r="A171" s="1">
        <f>IFERROR(__xludf.DUMMYFUNCTION("""COMPUTED_VALUE"""),42825.66666666667)</f>
        <v>42825.66667</v>
      </c>
      <c r="B171" s="2">
        <f>IFERROR(__xludf.DUMMYFUNCTION("""COMPUTED_VALUE"""),34.85)</f>
        <v>34.85</v>
      </c>
      <c r="C171" s="2">
        <f>IFERROR(__xludf.DUMMYFUNCTION("""COMPUTED_VALUE"""),36.13)</f>
        <v>36.13</v>
      </c>
      <c r="D171" s="2">
        <f>IFERROR(__xludf.DUMMYFUNCTION("""COMPUTED_VALUE"""),34.66)</f>
        <v>34.66</v>
      </c>
      <c r="E171" s="2">
        <f>IFERROR(__xludf.DUMMYFUNCTION("""COMPUTED_VALUE"""),35.92)</f>
        <v>35.92</v>
      </c>
      <c r="F171" s="2">
        <f>IFERROR(__xludf.DUMMYFUNCTION("""COMPUTED_VALUE"""),1.27008757E8)</f>
        <v>127008757</v>
      </c>
      <c r="G171" s="3">
        <f t="shared" si="1"/>
        <v>0.02161547213</v>
      </c>
    </row>
    <row r="172">
      <c r="A172" s="1">
        <f>IFERROR(__xludf.DUMMYFUNCTION("""COMPUTED_VALUE"""),42832.66666666667)</f>
        <v>42832.66667</v>
      </c>
      <c r="B172" s="2">
        <f>IFERROR(__xludf.DUMMYFUNCTION("""COMPUTED_VALUE"""),35.93)</f>
        <v>35.93</v>
      </c>
      <c r="C172" s="2">
        <f>IFERROR(__xludf.DUMMYFUNCTION("""COMPUTED_VALUE"""),36.37)</f>
        <v>36.37</v>
      </c>
      <c r="D172" s="2">
        <f>IFERROR(__xludf.DUMMYFUNCTION("""COMPUTED_VALUE"""),35.76)</f>
        <v>35.76</v>
      </c>
      <c r="E172" s="2">
        <f>IFERROR(__xludf.DUMMYFUNCTION("""COMPUTED_VALUE"""),35.84)</f>
        <v>35.84</v>
      </c>
      <c r="F172" s="2">
        <f>IFERROR(__xludf.DUMMYFUNCTION("""COMPUTED_VALUE"""),1.05416154E8)</f>
        <v>105416154</v>
      </c>
      <c r="G172" s="3">
        <f t="shared" si="1"/>
        <v>-0.002227171492</v>
      </c>
    </row>
    <row r="173">
      <c r="A173" s="1">
        <f>IFERROR(__xludf.DUMMYFUNCTION("""COMPUTED_VALUE"""),42838.66666666667)</f>
        <v>42838.66667</v>
      </c>
      <c r="B173" s="2">
        <f>IFERROR(__xludf.DUMMYFUNCTION("""COMPUTED_VALUE"""),35.9)</f>
        <v>35.9</v>
      </c>
      <c r="C173" s="2">
        <f>IFERROR(__xludf.DUMMYFUNCTION("""COMPUTED_VALUE"""),35.97)</f>
        <v>35.97</v>
      </c>
      <c r="D173" s="2">
        <f>IFERROR(__xludf.DUMMYFUNCTION("""COMPUTED_VALUE"""),35.02)</f>
        <v>35.02</v>
      </c>
      <c r="E173" s="2">
        <f>IFERROR(__xludf.DUMMYFUNCTION("""COMPUTED_VALUE"""),35.26)</f>
        <v>35.26</v>
      </c>
      <c r="F173" s="2">
        <f>IFERROR(__xludf.DUMMYFUNCTION("""COMPUTED_VALUE"""),8.7485653E7)</f>
        <v>87485653</v>
      </c>
      <c r="G173" s="3">
        <f t="shared" si="1"/>
        <v>-0.01618303571</v>
      </c>
    </row>
    <row r="174">
      <c r="A174" s="1">
        <f>IFERROR(__xludf.DUMMYFUNCTION("""COMPUTED_VALUE"""),42846.66666666667)</f>
        <v>42846.66667</v>
      </c>
      <c r="B174" s="2">
        <f>IFERROR(__xludf.DUMMYFUNCTION("""COMPUTED_VALUE"""),35.37)</f>
        <v>35.37</v>
      </c>
      <c r="C174" s="2">
        <f>IFERROR(__xludf.DUMMYFUNCTION("""COMPUTED_VALUE"""),35.73)</f>
        <v>35.73</v>
      </c>
      <c r="D174" s="2">
        <f>IFERROR(__xludf.DUMMYFUNCTION("""COMPUTED_VALUE"""),35.11)</f>
        <v>35.11</v>
      </c>
      <c r="E174" s="2">
        <f>IFERROR(__xludf.DUMMYFUNCTION("""COMPUTED_VALUE"""),35.57)</f>
        <v>35.57</v>
      </c>
      <c r="F174" s="2">
        <f>IFERROR(__xludf.DUMMYFUNCTION("""COMPUTED_VALUE"""),8.9248503E7)</f>
        <v>89248503</v>
      </c>
      <c r="G174" s="3">
        <f t="shared" si="1"/>
        <v>0.008791832104</v>
      </c>
    </row>
    <row r="175">
      <c r="A175" s="1">
        <f>IFERROR(__xludf.DUMMYFUNCTION("""COMPUTED_VALUE"""),42853.66666666667)</f>
        <v>42853.66667</v>
      </c>
      <c r="B175" s="2">
        <f>IFERROR(__xludf.DUMMYFUNCTION("""COMPUTED_VALUE"""),35.88)</f>
        <v>35.88</v>
      </c>
      <c r="C175" s="2">
        <f>IFERROR(__xludf.DUMMYFUNCTION("""COMPUTED_VALUE"""),36.23)</f>
        <v>36.23</v>
      </c>
      <c r="D175" s="2">
        <f>IFERROR(__xludf.DUMMYFUNCTION("""COMPUTED_VALUE"""),35.8)</f>
        <v>35.8</v>
      </c>
      <c r="E175" s="2">
        <f>IFERROR(__xludf.DUMMYFUNCTION("""COMPUTED_VALUE"""),35.91)</f>
        <v>35.91</v>
      </c>
      <c r="F175" s="2">
        <f>IFERROR(__xludf.DUMMYFUNCTION("""COMPUTED_VALUE"""),9.115378E7)</f>
        <v>91153780</v>
      </c>
      <c r="G175" s="3">
        <f t="shared" si="1"/>
        <v>0.009558616812</v>
      </c>
    </row>
    <row r="176">
      <c r="A176" s="1">
        <f>IFERROR(__xludf.DUMMYFUNCTION("""COMPUTED_VALUE"""),42860.66666666667)</f>
        <v>42860.66667</v>
      </c>
      <c r="B176" s="2">
        <f>IFERROR(__xludf.DUMMYFUNCTION("""COMPUTED_VALUE"""),36.28)</f>
        <v>36.28</v>
      </c>
      <c r="C176" s="2">
        <f>IFERROR(__xludf.DUMMYFUNCTION("""COMPUTED_VALUE"""),37.24)</f>
        <v>37.24</v>
      </c>
      <c r="D176" s="2">
        <f>IFERROR(__xludf.DUMMYFUNCTION("""COMPUTED_VALUE"""),36.07)</f>
        <v>36.07</v>
      </c>
      <c r="E176" s="2">
        <f>IFERROR(__xludf.DUMMYFUNCTION("""COMPUTED_VALUE"""),37.24)</f>
        <v>37.24</v>
      </c>
      <c r="F176" s="2">
        <f>IFERROR(__xludf.DUMMYFUNCTION("""COMPUTED_VALUE"""),1.75351768E8)</f>
        <v>175351768</v>
      </c>
      <c r="G176" s="3">
        <f t="shared" si="1"/>
        <v>0.03703703704</v>
      </c>
    </row>
    <row r="177">
      <c r="A177" s="1">
        <f>IFERROR(__xludf.DUMMYFUNCTION("""COMPUTED_VALUE"""),42867.66666666667)</f>
        <v>42867.66667</v>
      </c>
      <c r="B177" s="2">
        <f>IFERROR(__xludf.DUMMYFUNCTION("""COMPUTED_VALUE"""),37.26)</f>
        <v>37.26</v>
      </c>
      <c r="C177" s="2">
        <f>IFERROR(__xludf.DUMMYFUNCTION("""COMPUTED_VALUE"""),39.1)</f>
        <v>39.1</v>
      </c>
      <c r="D177" s="2">
        <f>IFERROR(__xludf.DUMMYFUNCTION("""COMPUTED_VALUE"""),37.26)</f>
        <v>37.26</v>
      </c>
      <c r="E177" s="2">
        <f>IFERROR(__xludf.DUMMYFUNCTION("""COMPUTED_VALUE"""),39.03)</f>
        <v>39.03</v>
      </c>
      <c r="F177" s="2">
        <f>IFERROR(__xludf.DUMMYFUNCTION("""COMPUTED_VALUE"""),1.73470543E8)</f>
        <v>173470543</v>
      </c>
      <c r="G177" s="3">
        <f t="shared" si="1"/>
        <v>0.04806659506</v>
      </c>
    </row>
    <row r="178">
      <c r="A178" s="1">
        <f>IFERROR(__xludf.DUMMYFUNCTION("""COMPUTED_VALUE"""),42874.66666666667)</f>
        <v>42874.66667</v>
      </c>
      <c r="B178" s="2">
        <f>IFERROR(__xludf.DUMMYFUNCTION("""COMPUTED_VALUE"""),39.0)</f>
        <v>39</v>
      </c>
      <c r="C178" s="2">
        <f>IFERROR(__xludf.DUMMYFUNCTION("""COMPUTED_VALUE"""),39.16)</f>
        <v>39.16</v>
      </c>
      <c r="D178" s="2">
        <f>IFERROR(__xludf.DUMMYFUNCTION("""COMPUTED_VALUE"""),37.43)</f>
        <v>37.43</v>
      </c>
      <c r="E178" s="2">
        <f>IFERROR(__xludf.DUMMYFUNCTION("""COMPUTED_VALUE"""),38.27)</f>
        <v>38.27</v>
      </c>
      <c r="F178" s="2">
        <f>IFERROR(__xludf.DUMMYFUNCTION("""COMPUTED_VALUE"""),1.57354878E8)</f>
        <v>157354878</v>
      </c>
      <c r="G178" s="3">
        <f t="shared" si="1"/>
        <v>-0.01947220087</v>
      </c>
    </row>
    <row r="179">
      <c r="A179" s="1">
        <f>IFERROR(__xludf.DUMMYFUNCTION("""COMPUTED_VALUE"""),42881.66666666667)</f>
        <v>42881.66667</v>
      </c>
      <c r="B179" s="2">
        <f>IFERROR(__xludf.DUMMYFUNCTION("""COMPUTED_VALUE"""),38.5)</f>
        <v>38.5</v>
      </c>
      <c r="C179" s="2">
        <f>IFERROR(__xludf.DUMMYFUNCTION("""COMPUTED_VALUE"""),38.73)</f>
        <v>38.73</v>
      </c>
      <c r="D179" s="2">
        <f>IFERROR(__xludf.DUMMYFUNCTION("""COMPUTED_VALUE"""),38.17)</f>
        <v>38.17</v>
      </c>
      <c r="E179" s="2">
        <f>IFERROR(__xludf.DUMMYFUNCTION("""COMPUTED_VALUE"""),38.4)</f>
        <v>38.4</v>
      </c>
      <c r="F179" s="2">
        <f>IFERROR(__xludf.DUMMYFUNCTION("""COMPUTED_VALUE"""),1.03267697E8)</f>
        <v>103267697</v>
      </c>
      <c r="G179" s="3">
        <f t="shared" si="1"/>
        <v>0.003396916645</v>
      </c>
    </row>
    <row r="180">
      <c r="A180" s="1">
        <f>IFERROR(__xludf.DUMMYFUNCTION("""COMPUTED_VALUE"""),42888.66666666667)</f>
        <v>42888.66667</v>
      </c>
      <c r="B180" s="2">
        <f>IFERROR(__xludf.DUMMYFUNCTION("""COMPUTED_VALUE"""),38.35)</f>
        <v>38.35</v>
      </c>
      <c r="C180" s="2">
        <f>IFERROR(__xludf.DUMMYFUNCTION("""COMPUTED_VALUE"""),38.86)</f>
        <v>38.86</v>
      </c>
      <c r="D180" s="2">
        <f>IFERROR(__xludf.DUMMYFUNCTION("""COMPUTED_VALUE"""),38.06)</f>
        <v>38.06</v>
      </c>
      <c r="E180" s="2">
        <f>IFERROR(__xludf.DUMMYFUNCTION("""COMPUTED_VALUE"""),38.86)</f>
        <v>38.86</v>
      </c>
      <c r="F180" s="2">
        <f>IFERROR(__xludf.DUMMYFUNCTION("""COMPUTED_VALUE"""),8.8752818E7)</f>
        <v>88752818</v>
      </c>
      <c r="G180" s="3">
        <f t="shared" si="1"/>
        <v>0.01197916667</v>
      </c>
    </row>
    <row r="181">
      <c r="A181" s="1">
        <f>IFERROR(__xludf.DUMMYFUNCTION("""COMPUTED_VALUE"""),42895.66666666667)</f>
        <v>42895.66667</v>
      </c>
      <c r="B181" s="2">
        <f>IFERROR(__xludf.DUMMYFUNCTION("""COMPUTED_VALUE"""),38.59)</f>
        <v>38.59</v>
      </c>
      <c r="C181" s="2">
        <f>IFERROR(__xludf.DUMMYFUNCTION("""COMPUTED_VALUE"""),38.99)</f>
        <v>38.99</v>
      </c>
      <c r="D181" s="2">
        <f>IFERROR(__xludf.DUMMYFUNCTION("""COMPUTED_VALUE"""),36.51)</f>
        <v>36.51</v>
      </c>
      <c r="E181" s="2">
        <f>IFERROR(__xludf.DUMMYFUNCTION("""COMPUTED_VALUE"""),37.24)</f>
        <v>37.24</v>
      </c>
      <c r="F181" s="2">
        <f>IFERROR(__xludf.DUMMYFUNCTION("""COMPUTED_VALUE"""),1.5915969E8)</f>
        <v>159159690</v>
      </c>
      <c r="G181" s="3">
        <f t="shared" si="1"/>
        <v>-0.04168811117</v>
      </c>
    </row>
    <row r="182">
      <c r="A182" s="1">
        <f>IFERROR(__xludf.DUMMYFUNCTION("""COMPUTED_VALUE"""),42902.66666666667)</f>
        <v>42902.66667</v>
      </c>
      <c r="B182" s="2">
        <f>IFERROR(__xludf.DUMMYFUNCTION("""COMPUTED_VALUE"""),36.44)</f>
        <v>36.44</v>
      </c>
      <c r="C182" s="2">
        <f>IFERROR(__xludf.DUMMYFUNCTION("""COMPUTED_VALUE"""),36.88)</f>
        <v>36.88</v>
      </c>
      <c r="D182" s="2">
        <f>IFERROR(__xludf.DUMMYFUNCTION("""COMPUTED_VALUE"""),35.55)</f>
        <v>35.55</v>
      </c>
      <c r="E182" s="2">
        <f>IFERROR(__xludf.DUMMYFUNCTION("""COMPUTED_VALUE"""),35.57)</f>
        <v>35.57</v>
      </c>
      <c r="F182" s="2">
        <f>IFERROR(__xludf.DUMMYFUNCTION("""COMPUTED_VALUE"""),2.20530473E8)</f>
        <v>220530473</v>
      </c>
      <c r="G182" s="3">
        <f t="shared" si="1"/>
        <v>-0.04484425349</v>
      </c>
    </row>
    <row r="183">
      <c r="A183" s="1">
        <f>IFERROR(__xludf.DUMMYFUNCTION("""COMPUTED_VALUE"""),42909.66666666667)</f>
        <v>42909.66667</v>
      </c>
      <c r="B183" s="2">
        <f>IFERROR(__xludf.DUMMYFUNCTION("""COMPUTED_VALUE"""),35.92)</f>
        <v>35.92</v>
      </c>
      <c r="C183" s="2">
        <f>IFERROR(__xludf.DUMMYFUNCTION("""COMPUTED_VALUE"""),36.79)</f>
        <v>36.79</v>
      </c>
      <c r="D183" s="2">
        <f>IFERROR(__xludf.DUMMYFUNCTION("""COMPUTED_VALUE"""),35.92)</f>
        <v>35.92</v>
      </c>
      <c r="E183" s="2">
        <f>IFERROR(__xludf.DUMMYFUNCTION("""COMPUTED_VALUE"""),36.57)</f>
        <v>36.57</v>
      </c>
      <c r="F183" s="2">
        <f>IFERROR(__xludf.DUMMYFUNCTION("""COMPUTED_VALUE"""),1.33252911E8)</f>
        <v>133252911</v>
      </c>
      <c r="G183" s="3">
        <f t="shared" si="1"/>
        <v>0.02811357886</v>
      </c>
    </row>
    <row r="184">
      <c r="A184" s="1">
        <f>IFERROR(__xludf.DUMMYFUNCTION("""COMPUTED_VALUE"""),42916.66666666667)</f>
        <v>42916.66667</v>
      </c>
      <c r="B184" s="2">
        <f>IFERROR(__xludf.DUMMYFUNCTION("""COMPUTED_VALUE"""),36.79)</f>
        <v>36.79</v>
      </c>
      <c r="C184" s="2">
        <f>IFERROR(__xludf.DUMMYFUNCTION("""COMPUTED_VALUE"""),37.07)</f>
        <v>37.07</v>
      </c>
      <c r="D184" s="2">
        <f>IFERROR(__xludf.DUMMYFUNCTION("""COMPUTED_VALUE"""),35.57)</f>
        <v>35.57</v>
      </c>
      <c r="E184" s="2">
        <f>IFERROR(__xludf.DUMMYFUNCTION("""COMPUTED_VALUE"""),36.01)</f>
        <v>36.01</v>
      </c>
      <c r="F184" s="2">
        <f>IFERROR(__xludf.DUMMYFUNCTION("""COMPUTED_VALUE"""),1.27060159E8)</f>
        <v>127060159</v>
      </c>
      <c r="G184" s="3">
        <f t="shared" si="1"/>
        <v>-0.01531309817</v>
      </c>
    </row>
    <row r="185">
      <c r="A185" s="1">
        <f>IFERROR(__xludf.DUMMYFUNCTION("""COMPUTED_VALUE"""),42923.66666666667)</f>
        <v>42923.66667</v>
      </c>
      <c r="B185" s="2">
        <f>IFERROR(__xludf.DUMMYFUNCTION("""COMPUTED_VALUE"""),36.22)</f>
        <v>36.22</v>
      </c>
      <c r="C185" s="2">
        <f>IFERROR(__xludf.DUMMYFUNCTION("""COMPUTED_VALUE"""),36.33)</f>
        <v>36.33</v>
      </c>
      <c r="D185" s="2">
        <f>IFERROR(__xludf.DUMMYFUNCTION("""COMPUTED_VALUE"""),35.6)</f>
        <v>35.6</v>
      </c>
      <c r="E185" s="2">
        <f>IFERROR(__xludf.DUMMYFUNCTION("""COMPUTED_VALUE"""),36.05)</f>
        <v>36.05</v>
      </c>
      <c r="F185" s="2">
        <f>IFERROR(__xludf.DUMMYFUNCTION("""COMPUTED_VALUE"""),7.9177899E7)</f>
        <v>79177899</v>
      </c>
      <c r="G185" s="3">
        <f t="shared" si="1"/>
        <v>0.001110802555</v>
      </c>
    </row>
    <row r="186">
      <c r="A186" s="1">
        <f>IFERROR(__xludf.DUMMYFUNCTION("""COMPUTED_VALUE"""),42930.66666666667)</f>
        <v>42930.66667</v>
      </c>
      <c r="B186" s="2">
        <f>IFERROR(__xludf.DUMMYFUNCTION("""COMPUTED_VALUE"""),36.03)</f>
        <v>36.03</v>
      </c>
      <c r="C186" s="2">
        <f>IFERROR(__xludf.DUMMYFUNCTION("""COMPUTED_VALUE"""),37.33)</f>
        <v>37.33</v>
      </c>
      <c r="D186" s="2">
        <f>IFERROR(__xludf.DUMMYFUNCTION("""COMPUTED_VALUE"""),35.84)</f>
        <v>35.84</v>
      </c>
      <c r="E186" s="2">
        <f>IFERROR(__xludf.DUMMYFUNCTION("""COMPUTED_VALUE"""),37.26)</f>
        <v>37.26</v>
      </c>
      <c r="F186" s="2">
        <f>IFERROR(__xludf.DUMMYFUNCTION("""COMPUTED_VALUE"""),1.11088384E8)</f>
        <v>111088384</v>
      </c>
      <c r="G186" s="3">
        <f t="shared" si="1"/>
        <v>0.03356449376</v>
      </c>
    </row>
    <row r="187">
      <c r="A187" s="1">
        <f>IFERROR(__xludf.DUMMYFUNCTION("""COMPUTED_VALUE"""),42937.66666666667)</f>
        <v>42937.66667</v>
      </c>
      <c r="B187" s="2">
        <f>IFERROR(__xludf.DUMMYFUNCTION("""COMPUTED_VALUE"""),37.21)</f>
        <v>37.21</v>
      </c>
      <c r="C187" s="2">
        <f>IFERROR(__xludf.DUMMYFUNCTION("""COMPUTED_VALUE"""),37.94)</f>
        <v>37.94</v>
      </c>
      <c r="D187" s="2">
        <f>IFERROR(__xludf.DUMMYFUNCTION("""COMPUTED_VALUE"""),37.14)</f>
        <v>37.14</v>
      </c>
      <c r="E187" s="2">
        <f>IFERROR(__xludf.DUMMYFUNCTION("""COMPUTED_VALUE"""),37.57)</f>
        <v>37.57</v>
      </c>
      <c r="F187" s="2">
        <f>IFERROR(__xludf.DUMMYFUNCTION("""COMPUTED_VALUE"""),1.06081595E8)</f>
        <v>106081595</v>
      </c>
      <c r="G187" s="3">
        <f t="shared" si="1"/>
        <v>0.008319914117</v>
      </c>
    </row>
    <row r="188">
      <c r="A188" s="1">
        <f>IFERROR(__xludf.DUMMYFUNCTION("""COMPUTED_VALUE"""),42944.66666666667)</f>
        <v>42944.66667</v>
      </c>
      <c r="B188" s="2">
        <f>IFERROR(__xludf.DUMMYFUNCTION("""COMPUTED_VALUE"""),37.65)</f>
        <v>37.65</v>
      </c>
      <c r="C188" s="2">
        <f>IFERROR(__xludf.DUMMYFUNCTION("""COMPUTED_VALUE"""),38.5)</f>
        <v>38.5</v>
      </c>
      <c r="D188" s="2">
        <f>IFERROR(__xludf.DUMMYFUNCTION("""COMPUTED_VALUE"""),36.83)</f>
        <v>36.83</v>
      </c>
      <c r="E188" s="2">
        <f>IFERROR(__xludf.DUMMYFUNCTION("""COMPUTED_VALUE"""),37.38)</f>
        <v>37.38</v>
      </c>
      <c r="F188" s="2">
        <f>IFERROR(__xludf.DUMMYFUNCTION("""COMPUTED_VALUE"""),1.05818033E8)</f>
        <v>105818033</v>
      </c>
      <c r="G188" s="3">
        <f t="shared" si="1"/>
        <v>-0.005057226511</v>
      </c>
    </row>
    <row r="189">
      <c r="A189" s="1">
        <f>IFERROR(__xludf.DUMMYFUNCTION("""COMPUTED_VALUE"""),42951.66666666667)</f>
        <v>42951.66667</v>
      </c>
      <c r="B189" s="2">
        <f>IFERROR(__xludf.DUMMYFUNCTION("""COMPUTED_VALUE"""),37.48)</f>
        <v>37.48</v>
      </c>
      <c r="C189" s="2">
        <f>IFERROR(__xludf.DUMMYFUNCTION("""COMPUTED_VALUE"""),39.94)</f>
        <v>39.94</v>
      </c>
      <c r="D189" s="2">
        <f>IFERROR(__xludf.DUMMYFUNCTION("""COMPUTED_VALUE"""),37.03)</f>
        <v>37.03</v>
      </c>
      <c r="E189" s="2">
        <f>IFERROR(__xludf.DUMMYFUNCTION("""COMPUTED_VALUE"""),39.1)</f>
        <v>39.1</v>
      </c>
      <c r="F189" s="2">
        <f>IFERROR(__xludf.DUMMYFUNCTION("""COMPUTED_VALUE"""),1.72808513E8)</f>
        <v>172808513</v>
      </c>
      <c r="G189" s="3">
        <f t="shared" si="1"/>
        <v>0.04601391118</v>
      </c>
    </row>
    <row r="190">
      <c r="A190" s="1">
        <f>IFERROR(__xludf.DUMMYFUNCTION("""COMPUTED_VALUE"""),42958.66666666667)</f>
        <v>42958.66667</v>
      </c>
      <c r="B190" s="2">
        <f>IFERROR(__xludf.DUMMYFUNCTION("""COMPUTED_VALUE"""),39.27)</f>
        <v>39.27</v>
      </c>
      <c r="C190" s="2">
        <f>IFERROR(__xludf.DUMMYFUNCTION("""COMPUTED_VALUE"""),40.46)</f>
        <v>40.46</v>
      </c>
      <c r="D190" s="2">
        <f>IFERROR(__xludf.DUMMYFUNCTION("""COMPUTED_VALUE"""),38.66)</f>
        <v>38.66</v>
      </c>
      <c r="E190" s="2">
        <f>IFERROR(__xludf.DUMMYFUNCTION("""COMPUTED_VALUE"""),39.37)</f>
        <v>39.37</v>
      </c>
      <c r="F190" s="2">
        <f>IFERROR(__xludf.DUMMYFUNCTION("""COMPUTED_VALUE"""),1.51269116E8)</f>
        <v>151269116</v>
      </c>
      <c r="G190" s="3">
        <f t="shared" si="1"/>
        <v>0.006905370844</v>
      </c>
    </row>
    <row r="191">
      <c r="A191" s="1">
        <f>IFERROR(__xludf.DUMMYFUNCTION("""COMPUTED_VALUE"""),42965.66666666667)</f>
        <v>42965.66667</v>
      </c>
      <c r="B191" s="2">
        <f>IFERROR(__xludf.DUMMYFUNCTION("""COMPUTED_VALUE"""),39.83)</f>
        <v>39.83</v>
      </c>
      <c r="C191" s="2">
        <f>IFERROR(__xludf.DUMMYFUNCTION("""COMPUTED_VALUE"""),40.63)</f>
        <v>40.63</v>
      </c>
      <c r="D191" s="2">
        <f>IFERROR(__xludf.DUMMYFUNCTION("""COMPUTED_VALUE"""),39.18)</f>
        <v>39.18</v>
      </c>
      <c r="E191" s="2">
        <f>IFERROR(__xludf.DUMMYFUNCTION("""COMPUTED_VALUE"""),39.38)</f>
        <v>39.38</v>
      </c>
      <c r="F191" s="2">
        <f>IFERROR(__xludf.DUMMYFUNCTION("""COMPUTED_VALUE"""),1.34628467E8)</f>
        <v>134628467</v>
      </c>
      <c r="G191" s="3">
        <f t="shared" si="1"/>
        <v>0.000254000508</v>
      </c>
    </row>
    <row r="192">
      <c r="A192" s="1">
        <f>IFERROR(__xludf.DUMMYFUNCTION("""COMPUTED_VALUE"""),42972.66666666667)</f>
        <v>42972.66667</v>
      </c>
      <c r="B192" s="2">
        <f>IFERROR(__xludf.DUMMYFUNCTION("""COMPUTED_VALUE"""),39.38)</f>
        <v>39.38</v>
      </c>
      <c r="C192" s="2">
        <f>IFERROR(__xludf.DUMMYFUNCTION("""COMPUTED_VALUE"""),40.19)</f>
        <v>40.19</v>
      </c>
      <c r="D192" s="2">
        <f>IFERROR(__xludf.DUMMYFUNCTION("""COMPUTED_VALUE"""),38.78)</f>
        <v>38.78</v>
      </c>
      <c r="E192" s="2">
        <f>IFERROR(__xludf.DUMMYFUNCTION("""COMPUTED_VALUE"""),39.97)</f>
        <v>39.97</v>
      </c>
      <c r="F192" s="2">
        <f>IFERROR(__xludf.DUMMYFUNCTION("""COMPUTED_VALUE"""),1.12671175E8)</f>
        <v>112671175</v>
      </c>
      <c r="G192" s="3">
        <f t="shared" si="1"/>
        <v>0.01498222448</v>
      </c>
    </row>
    <row r="193">
      <c r="A193" s="1">
        <f>IFERROR(__xludf.DUMMYFUNCTION("""COMPUTED_VALUE"""),42979.66666666667)</f>
        <v>42979.66667</v>
      </c>
      <c r="B193" s="2">
        <f>IFERROR(__xludf.DUMMYFUNCTION("""COMPUTED_VALUE"""),40.03)</f>
        <v>40.03</v>
      </c>
      <c r="C193" s="2">
        <f>IFERROR(__xludf.DUMMYFUNCTION("""COMPUTED_VALUE"""),41.24)</f>
        <v>41.24</v>
      </c>
      <c r="D193" s="2">
        <f>IFERROR(__xludf.DUMMYFUNCTION("""COMPUTED_VALUE"""),39.98)</f>
        <v>39.98</v>
      </c>
      <c r="E193" s="2">
        <f>IFERROR(__xludf.DUMMYFUNCTION("""COMPUTED_VALUE"""),41.01)</f>
        <v>41.01</v>
      </c>
      <c r="F193" s="2">
        <f>IFERROR(__xludf.DUMMYFUNCTION("""COMPUTED_VALUE"""),1.26128613E8)</f>
        <v>126128613</v>
      </c>
      <c r="G193" s="3">
        <f t="shared" si="1"/>
        <v>0.02601951464</v>
      </c>
    </row>
    <row r="194">
      <c r="A194" s="1">
        <f>IFERROR(__xludf.DUMMYFUNCTION("""COMPUTED_VALUE"""),42986.66666666667)</f>
        <v>42986.66667</v>
      </c>
      <c r="B194" s="2">
        <f>IFERROR(__xludf.DUMMYFUNCTION("""COMPUTED_VALUE"""),40.94)</f>
        <v>40.94</v>
      </c>
      <c r="C194" s="2">
        <f>IFERROR(__xludf.DUMMYFUNCTION("""COMPUTED_VALUE"""),41.06)</f>
        <v>41.06</v>
      </c>
      <c r="D194" s="2">
        <f>IFERROR(__xludf.DUMMYFUNCTION("""COMPUTED_VALUE"""),39.63)</f>
        <v>39.63</v>
      </c>
      <c r="E194" s="2">
        <f>IFERROR(__xludf.DUMMYFUNCTION("""COMPUTED_VALUE"""),39.66)</f>
        <v>39.66</v>
      </c>
      <c r="F194" s="2">
        <f>IFERROR(__xludf.DUMMYFUNCTION("""COMPUTED_VALUE"""),1.01728077E8)</f>
        <v>101728077</v>
      </c>
      <c r="G194" s="3">
        <f t="shared" si="1"/>
        <v>-0.03291880029</v>
      </c>
    </row>
    <row r="195">
      <c r="A195" s="1">
        <f>IFERROR(__xludf.DUMMYFUNCTION("""COMPUTED_VALUE"""),42993.66666666667)</f>
        <v>42993.66667</v>
      </c>
      <c r="B195" s="2">
        <f>IFERROR(__xludf.DUMMYFUNCTION("""COMPUTED_VALUE"""),40.13)</f>
        <v>40.13</v>
      </c>
      <c r="C195" s="2">
        <f>IFERROR(__xludf.DUMMYFUNCTION("""COMPUTED_VALUE"""),40.99)</f>
        <v>40.99</v>
      </c>
      <c r="D195" s="2">
        <f>IFERROR(__xludf.DUMMYFUNCTION("""COMPUTED_VALUE"""),39.48)</f>
        <v>39.48</v>
      </c>
      <c r="E195" s="2">
        <f>IFERROR(__xludf.DUMMYFUNCTION("""COMPUTED_VALUE"""),39.97)</f>
        <v>39.97</v>
      </c>
      <c r="F195" s="2">
        <f>IFERROR(__xludf.DUMMYFUNCTION("""COMPUTED_VALUE"""),2.21077556E8)</f>
        <v>221077556</v>
      </c>
      <c r="G195" s="3">
        <f t="shared" si="1"/>
        <v>0.007816439738</v>
      </c>
    </row>
    <row r="196">
      <c r="A196" s="1">
        <f>IFERROR(__xludf.DUMMYFUNCTION("""COMPUTED_VALUE"""),43000.66666666667)</f>
        <v>43000.66667</v>
      </c>
      <c r="B196" s="2">
        <f>IFERROR(__xludf.DUMMYFUNCTION("""COMPUTED_VALUE"""),40.03)</f>
        <v>40.03</v>
      </c>
      <c r="C196" s="2">
        <f>IFERROR(__xludf.DUMMYFUNCTION("""COMPUTED_VALUE"""),40.13)</f>
        <v>40.13</v>
      </c>
      <c r="D196" s="2">
        <f>IFERROR(__xludf.DUMMYFUNCTION("""COMPUTED_VALUE"""),37.64)</f>
        <v>37.64</v>
      </c>
      <c r="E196" s="2">
        <f>IFERROR(__xludf.DUMMYFUNCTION("""COMPUTED_VALUE"""),37.97)</f>
        <v>37.97</v>
      </c>
      <c r="F196" s="2">
        <f>IFERROR(__xludf.DUMMYFUNCTION("""COMPUTED_VALUE"""),1.86188535E8)</f>
        <v>186188535</v>
      </c>
      <c r="G196" s="3">
        <f t="shared" si="1"/>
        <v>-0.05003752815</v>
      </c>
    </row>
    <row r="197">
      <c r="A197" s="1">
        <f>IFERROR(__xludf.DUMMYFUNCTION("""COMPUTED_VALUE"""),43007.66666666667)</f>
        <v>43007.66667</v>
      </c>
      <c r="B197" s="2">
        <f>IFERROR(__xludf.DUMMYFUNCTION("""COMPUTED_VALUE"""),37.5)</f>
        <v>37.5</v>
      </c>
      <c r="C197" s="2">
        <f>IFERROR(__xludf.DUMMYFUNCTION("""COMPUTED_VALUE"""),38.68)</f>
        <v>38.68</v>
      </c>
      <c r="D197" s="2">
        <f>IFERROR(__xludf.DUMMYFUNCTION("""COMPUTED_VALUE"""),37.29)</f>
        <v>37.29</v>
      </c>
      <c r="E197" s="2">
        <f>IFERROR(__xludf.DUMMYFUNCTION("""COMPUTED_VALUE"""),38.53)</f>
        <v>38.53</v>
      </c>
      <c r="F197" s="2">
        <f>IFERROR(__xludf.DUMMYFUNCTION("""COMPUTED_VALUE"""),1.54856873E8)</f>
        <v>154856873</v>
      </c>
      <c r="G197" s="3">
        <f t="shared" si="1"/>
        <v>0.01474848565</v>
      </c>
    </row>
    <row r="198">
      <c r="A198" s="1">
        <f>IFERROR(__xludf.DUMMYFUNCTION("""COMPUTED_VALUE"""),43014.66666666667)</f>
        <v>43014.66667</v>
      </c>
      <c r="B198" s="2">
        <f>IFERROR(__xludf.DUMMYFUNCTION("""COMPUTED_VALUE"""),38.57)</f>
        <v>38.57</v>
      </c>
      <c r="C198" s="2">
        <f>IFERROR(__xludf.DUMMYFUNCTION("""COMPUTED_VALUE"""),38.87)</f>
        <v>38.87</v>
      </c>
      <c r="D198" s="2">
        <f>IFERROR(__xludf.DUMMYFUNCTION("""COMPUTED_VALUE"""),38.12)</f>
        <v>38.12</v>
      </c>
      <c r="E198" s="2">
        <f>IFERROR(__xludf.DUMMYFUNCTION("""COMPUTED_VALUE"""),38.83)</f>
        <v>38.83</v>
      </c>
      <c r="F198" s="2">
        <f>IFERROR(__xludf.DUMMYFUNCTION("""COMPUTED_VALUE"""),9.3784212E7)</f>
        <v>93784212</v>
      </c>
      <c r="G198" s="3">
        <f t="shared" si="1"/>
        <v>0.00778614067</v>
      </c>
    </row>
    <row r="199">
      <c r="A199" s="1">
        <f>IFERROR(__xludf.DUMMYFUNCTION("""COMPUTED_VALUE"""),43021.66666666667)</f>
        <v>43021.66667</v>
      </c>
      <c r="B199" s="2">
        <f>IFERROR(__xludf.DUMMYFUNCTION("""COMPUTED_VALUE"""),38.95)</f>
        <v>38.95</v>
      </c>
      <c r="C199" s="2">
        <f>IFERROR(__xludf.DUMMYFUNCTION("""COMPUTED_VALUE"""),39.5)</f>
        <v>39.5</v>
      </c>
      <c r="D199" s="2">
        <f>IFERROR(__xludf.DUMMYFUNCTION("""COMPUTED_VALUE"""),38.78)</f>
        <v>38.78</v>
      </c>
      <c r="E199" s="2">
        <f>IFERROR(__xludf.DUMMYFUNCTION("""COMPUTED_VALUE"""),39.25)</f>
        <v>39.25</v>
      </c>
      <c r="F199" s="2">
        <f>IFERROR(__xludf.DUMMYFUNCTION("""COMPUTED_VALUE"""),8.1304819E7)</f>
        <v>81304819</v>
      </c>
      <c r="G199" s="3">
        <f t="shared" si="1"/>
        <v>0.01081637909</v>
      </c>
    </row>
    <row r="200">
      <c r="A200" s="1">
        <f>IFERROR(__xludf.DUMMYFUNCTION("""COMPUTED_VALUE"""),43028.66666666667)</f>
        <v>43028.66667</v>
      </c>
      <c r="B200" s="2">
        <f>IFERROR(__xludf.DUMMYFUNCTION("""COMPUTED_VALUE"""),39.48)</f>
        <v>39.48</v>
      </c>
      <c r="C200" s="2">
        <f>IFERROR(__xludf.DUMMYFUNCTION("""COMPUTED_VALUE"""),40.22)</f>
        <v>40.22</v>
      </c>
      <c r="D200" s="2">
        <f>IFERROR(__xludf.DUMMYFUNCTION("""COMPUTED_VALUE"""),38.76)</f>
        <v>38.76</v>
      </c>
      <c r="E200" s="2">
        <f>IFERROR(__xludf.DUMMYFUNCTION("""COMPUTED_VALUE"""),39.06)</f>
        <v>39.06</v>
      </c>
      <c r="F200" s="2">
        <f>IFERROR(__xludf.DUMMYFUNCTION("""COMPUTED_VALUE"""),1.26051203E8)</f>
        <v>126051203</v>
      </c>
      <c r="G200" s="3">
        <f t="shared" si="1"/>
        <v>-0.004840764331</v>
      </c>
    </row>
    <row r="201">
      <c r="A201" s="1">
        <f>IFERROR(__xludf.DUMMYFUNCTION("""COMPUTED_VALUE"""),43035.66666666667)</f>
        <v>43035.66667</v>
      </c>
      <c r="B201" s="2">
        <f>IFERROR(__xludf.DUMMYFUNCTION("""COMPUTED_VALUE"""),39.22)</f>
        <v>39.22</v>
      </c>
      <c r="C201" s="2">
        <f>IFERROR(__xludf.DUMMYFUNCTION("""COMPUTED_VALUE"""),40.9)</f>
        <v>40.9</v>
      </c>
      <c r="D201" s="2">
        <f>IFERROR(__xludf.DUMMYFUNCTION("""COMPUTED_VALUE"""),38.82)</f>
        <v>38.82</v>
      </c>
      <c r="E201" s="2">
        <f>IFERROR(__xludf.DUMMYFUNCTION("""COMPUTED_VALUE"""),40.76)</f>
        <v>40.76</v>
      </c>
      <c r="F201" s="2">
        <f>IFERROR(__xludf.DUMMYFUNCTION("""COMPUTED_VALUE"""),1.22403284E8)</f>
        <v>122403284</v>
      </c>
      <c r="G201" s="3">
        <f t="shared" si="1"/>
        <v>0.04352278546</v>
      </c>
    </row>
    <row r="202">
      <c r="A202" s="1">
        <f>IFERROR(__xludf.DUMMYFUNCTION("""COMPUTED_VALUE"""),43042.66666666667)</f>
        <v>43042.66667</v>
      </c>
      <c r="B202" s="2">
        <f>IFERROR(__xludf.DUMMYFUNCTION("""COMPUTED_VALUE"""),40.97)</f>
        <v>40.97</v>
      </c>
      <c r="C202" s="2">
        <f>IFERROR(__xludf.DUMMYFUNCTION("""COMPUTED_VALUE"""),43.57)</f>
        <v>43.57</v>
      </c>
      <c r="D202" s="2">
        <f>IFERROR(__xludf.DUMMYFUNCTION("""COMPUTED_VALUE"""),40.93)</f>
        <v>40.93</v>
      </c>
      <c r="E202" s="2">
        <f>IFERROR(__xludf.DUMMYFUNCTION("""COMPUTED_VALUE"""),43.13)</f>
        <v>43.13</v>
      </c>
      <c r="F202" s="2">
        <f>IFERROR(__xludf.DUMMYFUNCTION("""COMPUTED_VALUE"""),2.15177366E8)</f>
        <v>215177366</v>
      </c>
      <c r="G202" s="3">
        <f t="shared" si="1"/>
        <v>0.05814524043</v>
      </c>
    </row>
    <row r="203">
      <c r="A203" s="1">
        <f>IFERROR(__xludf.DUMMYFUNCTION("""COMPUTED_VALUE"""),43049.66666666667)</f>
        <v>43049.66667</v>
      </c>
      <c r="B203" s="2">
        <f>IFERROR(__xludf.DUMMYFUNCTION("""COMPUTED_VALUE"""),43.09)</f>
        <v>43.09</v>
      </c>
      <c r="C203" s="2">
        <f>IFERROR(__xludf.DUMMYFUNCTION("""COMPUTED_VALUE"""),44.06)</f>
        <v>44.06</v>
      </c>
      <c r="D203" s="2">
        <f>IFERROR(__xludf.DUMMYFUNCTION("""COMPUTED_VALUE"""),42.93)</f>
        <v>42.93</v>
      </c>
      <c r="E203" s="2">
        <f>IFERROR(__xludf.DUMMYFUNCTION("""COMPUTED_VALUE"""),43.67)</f>
        <v>43.67</v>
      </c>
      <c r="F203" s="2">
        <f>IFERROR(__xludf.DUMMYFUNCTION("""COMPUTED_VALUE"""),1.38425414E8)</f>
        <v>138425414</v>
      </c>
      <c r="G203" s="3">
        <f t="shared" si="1"/>
        <v>0.0125202875</v>
      </c>
    </row>
    <row r="204">
      <c r="A204" s="1">
        <f>IFERROR(__xludf.DUMMYFUNCTION("""COMPUTED_VALUE"""),43056.66666666667)</f>
        <v>43056.66667</v>
      </c>
      <c r="B204" s="2">
        <f>IFERROR(__xludf.DUMMYFUNCTION("""COMPUTED_VALUE"""),43.38)</f>
        <v>43.38</v>
      </c>
      <c r="C204" s="2">
        <f>IFERROR(__xludf.DUMMYFUNCTION("""COMPUTED_VALUE"""),43.63)</f>
        <v>43.63</v>
      </c>
      <c r="D204" s="2">
        <f>IFERROR(__xludf.DUMMYFUNCTION("""COMPUTED_VALUE"""),42.1)</f>
        <v>42.1</v>
      </c>
      <c r="E204" s="2">
        <f>IFERROR(__xludf.DUMMYFUNCTION("""COMPUTED_VALUE"""),42.54)</f>
        <v>42.54</v>
      </c>
      <c r="F204" s="2">
        <f>IFERROR(__xludf.DUMMYFUNCTION("""COMPUTED_VALUE"""),1.16459665E8)</f>
        <v>116459665</v>
      </c>
      <c r="G204" s="3">
        <f t="shared" si="1"/>
        <v>-0.02587588734</v>
      </c>
    </row>
    <row r="205">
      <c r="A205" s="1">
        <f>IFERROR(__xludf.DUMMYFUNCTION("""COMPUTED_VALUE"""),43063.54166666667)</f>
        <v>43063.54167</v>
      </c>
      <c r="B205" s="2">
        <f>IFERROR(__xludf.DUMMYFUNCTION("""COMPUTED_VALUE"""),42.57)</f>
        <v>42.57</v>
      </c>
      <c r="C205" s="2">
        <f>IFERROR(__xludf.DUMMYFUNCTION("""COMPUTED_VALUE"""),43.88)</f>
        <v>43.88</v>
      </c>
      <c r="D205" s="2">
        <f>IFERROR(__xludf.DUMMYFUNCTION("""COMPUTED_VALUE"""),42.39)</f>
        <v>42.39</v>
      </c>
      <c r="E205" s="2">
        <f>IFERROR(__xludf.DUMMYFUNCTION("""COMPUTED_VALUE"""),43.74)</f>
        <v>43.74</v>
      </c>
      <c r="F205" s="2">
        <f>IFERROR(__xludf.DUMMYFUNCTION("""COMPUTED_VALUE"""),8.100934E7)</f>
        <v>81009340</v>
      </c>
      <c r="G205" s="3">
        <f t="shared" si="1"/>
        <v>0.02820874471</v>
      </c>
    </row>
    <row r="206">
      <c r="A206" s="1">
        <f>IFERROR(__xludf.DUMMYFUNCTION("""COMPUTED_VALUE"""),43070.66666666667)</f>
        <v>43070.66667</v>
      </c>
      <c r="B206" s="2">
        <f>IFERROR(__xludf.DUMMYFUNCTION("""COMPUTED_VALUE"""),43.76)</f>
        <v>43.76</v>
      </c>
      <c r="C206" s="2">
        <f>IFERROR(__xludf.DUMMYFUNCTION("""COMPUTED_VALUE"""),43.77)</f>
        <v>43.77</v>
      </c>
      <c r="D206" s="2">
        <f>IFERROR(__xludf.DUMMYFUNCTION("""COMPUTED_VALUE"""),41.79)</f>
        <v>41.79</v>
      </c>
      <c r="E206" s="2">
        <f>IFERROR(__xludf.DUMMYFUNCTION("""COMPUTED_VALUE"""),42.76)</f>
        <v>42.76</v>
      </c>
      <c r="F206" s="2">
        <f>IFERROR(__xludf.DUMMYFUNCTION("""COMPUTED_VALUE"""),1.70098474E8)</f>
        <v>170098474</v>
      </c>
      <c r="G206" s="3">
        <f t="shared" si="1"/>
        <v>-0.02240512117</v>
      </c>
    </row>
    <row r="207">
      <c r="A207" s="1">
        <f>IFERROR(__xludf.DUMMYFUNCTION("""COMPUTED_VALUE"""),43077.66666666667)</f>
        <v>43077.66667</v>
      </c>
      <c r="B207" s="2">
        <f>IFERROR(__xludf.DUMMYFUNCTION("""COMPUTED_VALUE"""),43.12)</f>
        <v>43.12</v>
      </c>
      <c r="C207" s="2">
        <f>IFERROR(__xludf.DUMMYFUNCTION("""COMPUTED_VALUE"""),43.16)</f>
        <v>43.16</v>
      </c>
      <c r="D207" s="2">
        <f>IFERROR(__xludf.DUMMYFUNCTION("""COMPUTED_VALUE"""),41.62)</f>
        <v>41.62</v>
      </c>
      <c r="E207" s="2">
        <f>IFERROR(__xludf.DUMMYFUNCTION("""COMPUTED_VALUE"""),42.34)</f>
        <v>42.34</v>
      </c>
      <c r="F207" s="2">
        <f>IFERROR(__xludf.DUMMYFUNCTION("""COMPUTED_VALUE"""),1.37481078E8)</f>
        <v>137481078</v>
      </c>
      <c r="G207" s="3">
        <f t="shared" si="1"/>
        <v>-0.009822263798</v>
      </c>
    </row>
    <row r="208">
      <c r="A208" s="1">
        <f>IFERROR(__xludf.DUMMYFUNCTION("""COMPUTED_VALUE"""),43084.66666666667)</f>
        <v>43084.66667</v>
      </c>
      <c r="B208" s="2">
        <f>IFERROR(__xludf.DUMMYFUNCTION("""COMPUTED_VALUE"""),42.3)</f>
        <v>42.3</v>
      </c>
      <c r="C208" s="2">
        <f>IFERROR(__xludf.DUMMYFUNCTION("""COMPUTED_VALUE"""),43.54)</f>
        <v>43.54</v>
      </c>
      <c r="D208" s="2">
        <f>IFERROR(__xludf.DUMMYFUNCTION("""COMPUTED_VALUE"""),42.2)</f>
        <v>42.2</v>
      </c>
      <c r="E208" s="2">
        <f>IFERROR(__xludf.DUMMYFUNCTION("""COMPUTED_VALUE"""),43.49)</f>
        <v>43.49</v>
      </c>
      <c r="F208" s="2">
        <f>IFERROR(__xludf.DUMMYFUNCTION("""COMPUTED_VALUE"""),1.39147284E8)</f>
        <v>139147284</v>
      </c>
      <c r="G208" s="3">
        <f t="shared" si="1"/>
        <v>0.027161077</v>
      </c>
    </row>
    <row r="209">
      <c r="A209" s="1">
        <f>IFERROR(__xludf.DUMMYFUNCTION("""COMPUTED_VALUE"""),43091.66666666667)</f>
        <v>43091.66667</v>
      </c>
      <c r="B209" s="2">
        <f>IFERROR(__xludf.DUMMYFUNCTION("""COMPUTED_VALUE"""),43.72)</f>
        <v>43.72</v>
      </c>
      <c r="C209" s="2">
        <f>IFERROR(__xludf.DUMMYFUNCTION("""COMPUTED_VALUE"""),44.3)</f>
        <v>44.3</v>
      </c>
      <c r="D209" s="2">
        <f>IFERROR(__xludf.DUMMYFUNCTION("""COMPUTED_VALUE"""),43.31)</f>
        <v>43.31</v>
      </c>
      <c r="E209" s="2">
        <f>IFERROR(__xludf.DUMMYFUNCTION("""COMPUTED_VALUE"""),43.75)</f>
        <v>43.75</v>
      </c>
      <c r="F209" s="2">
        <f>IFERROR(__xludf.DUMMYFUNCTION("""COMPUTED_VALUE"""),1.1763255E8)</f>
        <v>117632550</v>
      </c>
      <c r="G209" s="3">
        <f t="shared" si="1"/>
        <v>0.005978385836</v>
      </c>
    </row>
    <row r="210">
      <c r="A210" s="1">
        <f>IFERROR(__xludf.DUMMYFUNCTION("""COMPUTED_VALUE"""),43098.66666666667)</f>
        <v>43098.66667</v>
      </c>
      <c r="B210" s="2">
        <f>IFERROR(__xludf.DUMMYFUNCTION("""COMPUTED_VALUE"""),42.7)</f>
        <v>42.7</v>
      </c>
      <c r="C210" s="2">
        <f>IFERROR(__xludf.DUMMYFUNCTION("""COMPUTED_VALUE"""),42.96)</f>
        <v>42.96</v>
      </c>
      <c r="D210" s="2">
        <f>IFERROR(__xludf.DUMMYFUNCTION("""COMPUTED_VALUE"""),42.31)</f>
        <v>42.31</v>
      </c>
      <c r="E210" s="2">
        <f>IFERROR(__xludf.DUMMYFUNCTION("""COMPUTED_VALUE"""),42.31)</f>
        <v>42.31</v>
      </c>
      <c r="F210" s="2">
        <f>IFERROR(__xludf.DUMMYFUNCTION("""COMPUTED_VALUE"""),9.7163858E7)</f>
        <v>97163858</v>
      </c>
      <c r="G210" s="3">
        <f t="shared" si="1"/>
        <v>-0.03291428571</v>
      </c>
    </row>
    <row r="211">
      <c r="A211" s="1">
        <f>IFERROR(__xludf.DUMMYFUNCTION("""COMPUTED_VALUE"""),43105.66666666667)</f>
        <v>43105.66667</v>
      </c>
      <c r="B211" s="2">
        <f>IFERROR(__xludf.DUMMYFUNCTION("""COMPUTED_VALUE"""),42.54)</f>
        <v>42.54</v>
      </c>
      <c r="C211" s="2">
        <f>IFERROR(__xludf.DUMMYFUNCTION("""COMPUTED_VALUE"""),43.84)</f>
        <v>43.84</v>
      </c>
      <c r="D211" s="2">
        <f>IFERROR(__xludf.DUMMYFUNCTION("""COMPUTED_VALUE"""),42.32)</f>
        <v>42.32</v>
      </c>
      <c r="E211" s="2">
        <f>IFERROR(__xludf.DUMMYFUNCTION("""COMPUTED_VALUE"""),43.75)</f>
        <v>43.75</v>
      </c>
      <c r="F211" s="2">
        <f>IFERROR(__xludf.DUMMYFUNCTION("""COMPUTED_VALUE"""),1.01168448E8)</f>
        <v>101168448</v>
      </c>
      <c r="G211" s="3">
        <f t="shared" si="1"/>
        <v>0.03403450721</v>
      </c>
    </row>
    <row r="212">
      <c r="A212" s="1">
        <f>IFERROR(__xludf.DUMMYFUNCTION("""COMPUTED_VALUE"""),43112.66666666667)</f>
        <v>43112.66667</v>
      </c>
      <c r="B212" s="2">
        <f>IFERROR(__xludf.DUMMYFUNCTION("""COMPUTED_VALUE"""),43.59)</f>
        <v>43.59</v>
      </c>
      <c r="C212" s="2">
        <f>IFERROR(__xludf.DUMMYFUNCTION("""COMPUTED_VALUE"""),44.34)</f>
        <v>44.34</v>
      </c>
      <c r="D212" s="2">
        <f>IFERROR(__xludf.DUMMYFUNCTION("""COMPUTED_VALUE"""),43.25)</f>
        <v>43.25</v>
      </c>
      <c r="E212" s="2">
        <f>IFERROR(__xludf.DUMMYFUNCTION("""COMPUTED_VALUE"""),44.27)</f>
        <v>44.27</v>
      </c>
      <c r="F212" s="2">
        <f>IFERROR(__xludf.DUMMYFUNCTION("""COMPUTED_VALUE"""),1.10197467E8)</f>
        <v>110197467</v>
      </c>
      <c r="G212" s="3">
        <f t="shared" si="1"/>
        <v>0.01188571429</v>
      </c>
    </row>
    <row r="213">
      <c r="A213" s="1">
        <f>IFERROR(__xludf.DUMMYFUNCTION("""COMPUTED_VALUE"""),43119.66666666667)</f>
        <v>43119.66667</v>
      </c>
      <c r="B213" s="2">
        <f>IFERROR(__xludf.DUMMYFUNCTION("""COMPUTED_VALUE"""),44.48)</f>
        <v>44.48</v>
      </c>
      <c r="C213" s="2">
        <f>IFERROR(__xludf.DUMMYFUNCTION("""COMPUTED_VALUE"""),45.03)</f>
        <v>45.03</v>
      </c>
      <c r="D213" s="2">
        <f>IFERROR(__xludf.DUMMYFUNCTION("""COMPUTED_VALUE"""),43.77)</f>
        <v>43.77</v>
      </c>
      <c r="E213" s="2">
        <f>IFERROR(__xludf.DUMMYFUNCTION("""COMPUTED_VALUE"""),44.62)</f>
        <v>44.62</v>
      </c>
      <c r="F213" s="2">
        <f>IFERROR(__xludf.DUMMYFUNCTION("""COMPUTED_VALUE"""),1.27571202E8)</f>
        <v>127571202</v>
      </c>
      <c r="G213" s="3">
        <f t="shared" si="1"/>
        <v>0.007906031172</v>
      </c>
    </row>
    <row r="214">
      <c r="A214" s="1">
        <f>IFERROR(__xludf.DUMMYFUNCTION("""COMPUTED_VALUE"""),43126.66666666667)</f>
        <v>43126.66667</v>
      </c>
      <c r="B214" s="2">
        <f>IFERROR(__xludf.DUMMYFUNCTION("""COMPUTED_VALUE"""),44.33)</f>
        <v>44.33</v>
      </c>
      <c r="C214" s="2">
        <f>IFERROR(__xludf.DUMMYFUNCTION("""COMPUTED_VALUE"""),44.86)</f>
        <v>44.86</v>
      </c>
      <c r="D214" s="2">
        <f>IFERROR(__xludf.DUMMYFUNCTION("""COMPUTED_VALUE"""),42.52)</f>
        <v>42.52</v>
      </c>
      <c r="E214" s="2">
        <f>IFERROR(__xludf.DUMMYFUNCTION("""COMPUTED_VALUE"""),42.88)</f>
        <v>42.88</v>
      </c>
      <c r="F214" s="2">
        <f>IFERROR(__xludf.DUMMYFUNCTION("""COMPUTED_VALUE"""),1.91574802E8)</f>
        <v>191574802</v>
      </c>
      <c r="G214" s="3">
        <f t="shared" si="1"/>
        <v>-0.03899596593</v>
      </c>
    </row>
    <row r="215">
      <c r="A215" s="1">
        <f>IFERROR(__xludf.DUMMYFUNCTION("""COMPUTED_VALUE"""),43133.66666666667)</f>
        <v>43133.66667</v>
      </c>
      <c r="B215" s="2">
        <f>IFERROR(__xludf.DUMMYFUNCTION("""COMPUTED_VALUE"""),42.54)</f>
        <v>42.54</v>
      </c>
      <c r="C215" s="2">
        <f>IFERROR(__xludf.DUMMYFUNCTION("""COMPUTED_VALUE"""),42.54)</f>
        <v>42.54</v>
      </c>
      <c r="D215" s="2">
        <f>IFERROR(__xludf.DUMMYFUNCTION("""COMPUTED_VALUE"""),40.03)</f>
        <v>40.03</v>
      </c>
      <c r="E215" s="2">
        <f>IFERROR(__xludf.DUMMYFUNCTION("""COMPUTED_VALUE"""),40.13)</f>
        <v>40.13</v>
      </c>
      <c r="F215" s="2">
        <f>IFERROR(__xludf.DUMMYFUNCTION("""COMPUTED_VALUE"""),2.62992133E8)</f>
        <v>262992133</v>
      </c>
      <c r="G215" s="3">
        <f t="shared" si="1"/>
        <v>-0.06413246269</v>
      </c>
    </row>
    <row r="216">
      <c r="A216" s="1">
        <f>IFERROR(__xludf.DUMMYFUNCTION("""COMPUTED_VALUE"""),43140.66666666667)</f>
        <v>43140.66667</v>
      </c>
      <c r="B216" s="2">
        <f>IFERROR(__xludf.DUMMYFUNCTION("""COMPUTED_VALUE"""),39.78)</f>
        <v>39.78</v>
      </c>
      <c r="C216" s="2">
        <f>IFERROR(__xludf.DUMMYFUNCTION("""COMPUTED_VALUE"""),40.97)</f>
        <v>40.97</v>
      </c>
      <c r="D216" s="2">
        <f>IFERROR(__xludf.DUMMYFUNCTION("""COMPUTED_VALUE"""),37.56)</f>
        <v>37.56</v>
      </c>
      <c r="E216" s="2">
        <f>IFERROR(__xludf.DUMMYFUNCTION("""COMPUTED_VALUE"""),39.1)</f>
        <v>39.1</v>
      </c>
      <c r="F216" s="2">
        <f>IFERROR(__xludf.DUMMYFUNCTION("""COMPUTED_VALUE"""),3.17654064E8)</f>
        <v>317654064</v>
      </c>
      <c r="G216" s="3">
        <f t="shared" si="1"/>
        <v>-0.0256665836</v>
      </c>
    </row>
    <row r="217">
      <c r="A217" s="1">
        <f>IFERROR(__xludf.DUMMYFUNCTION("""COMPUTED_VALUE"""),43147.66666666667)</f>
        <v>43147.66667</v>
      </c>
      <c r="B217" s="2">
        <f>IFERROR(__xludf.DUMMYFUNCTION("""COMPUTED_VALUE"""),39.63)</f>
        <v>39.63</v>
      </c>
      <c r="C217" s="2">
        <f>IFERROR(__xludf.DUMMYFUNCTION("""COMPUTED_VALUE"""),43.71)</f>
        <v>43.71</v>
      </c>
      <c r="D217" s="2">
        <f>IFERROR(__xludf.DUMMYFUNCTION("""COMPUTED_VALUE"""),39.38)</f>
        <v>39.38</v>
      </c>
      <c r="E217" s="2">
        <f>IFERROR(__xludf.DUMMYFUNCTION("""COMPUTED_VALUE"""),43.11)</f>
        <v>43.11</v>
      </c>
      <c r="F217" s="2">
        <f>IFERROR(__xludf.DUMMYFUNCTION("""COMPUTED_VALUE"""),2.25336897E8)</f>
        <v>225336897</v>
      </c>
      <c r="G217" s="3">
        <f t="shared" si="1"/>
        <v>0.1025575448</v>
      </c>
    </row>
    <row r="218">
      <c r="A218" s="1">
        <f>IFERROR(__xludf.DUMMYFUNCTION("""COMPUTED_VALUE"""),43154.66666666667)</f>
        <v>43154.66667</v>
      </c>
      <c r="B218" s="2">
        <f>IFERROR(__xludf.DUMMYFUNCTION("""COMPUTED_VALUE"""),43.01)</f>
        <v>43.01</v>
      </c>
      <c r="C218" s="2">
        <f>IFERROR(__xludf.DUMMYFUNCTION("""COMPUTED_VALUE"""),43.91)</f>
        <v>43.91</v>
      </c>
      <c r="D218" s="2">
        <f>IFERROR(__xludf.DUMMYFUNCTION("""COMPUTED_VALUE"""),42.75)</f>
        <v>42.75</v>
      </c>
      <c r="E218" s="2">
        <f>IFERROR(__xludf.DUMMYFUNCTION("""COMPUTED_VALUE"""),43.88)</f>
        <v>43.88</v>
      </c>
      <c r="F218" s="2">
        <f>IFERROR(__xludf.DUMMYFUNCTION("""COMPUTED_VALUE"""),1.36206463E8)</f>
        <v>136206463</v>
      </c>
      <c r="G218" s="3">
        <f t="shared" si="1"/>
        <v>0.01786128508</v>
      </c>
    </row>
    <row r="219">
      <c r="A219" s="1">
        <f>IFERROR(__xludf.DUMMYFUNCTION("""COMPUTED_VALUE"""),43161.66666666667)</f>
        <v>43161.66667</v>
      </c>
      <c r="B219" s="2">
        <f>IFERROR(__xludf.DUMMYFUNCTION("""COMPUTED_VALUE"""),44.09)</f>
        <v>44.09</v>
      </c>
      <c r="C219" s="2">
        <f>IFERROR(__xludf.DUMMYFUNCTION("""COMPUTED_VALUE"""),45.15)</f>
        <v>45.15</v>
      </c>
      <c r="D219" s="2">
        <f>IFERROR(__xludf.DUMMYFUNCTION("""COMPUTED_VALUE"""),43.11)</f>
        <v>43.11</v>
      </c>
      <c r="E219" s="2">
        <f>IFERROR(__xludf.DUMMYFUNCTION("""COMPUTED_VALUE"""),44.05)</f>
        <v>44.05</v>
      </c>
      <c r="F219" s="2">
        <f>IFERROR(__xludf.DUMMYFUNCTION("""COMPUTED_VALUE"""),2.02128357E8)</f>
        <v>202128357</v>
      </c>
      <c r="G219" s="3">
        <f t="shared" si="1"/>
        <v>0.00387420237</v>
      </c>
    </row>
    <row r="220">
      <c r="A220" s="1">
        <f>IFERROR(__xludf.DUMMYFUNCTION("""COMPUTED_VALUE"""),43168.66666666667)</f>
        <v>43168.66667</v>
      </c>
      <c r="B220" s="2">
        <f>IFERROR(__xludf.DUMMYFUNCTION("""COMPUTED_VALUE"""),43.8)</f>
        <v>43.8</v>
      </c>
      <c r="C220" s="2">
        <f>IFERROR(__xludf.DUMMYFUNCTION("""COMPUTED_VALUE"""),45.0)</f>
        <v>45</v>
      </c>
      <c r="D220" s="2">
        <f>IFERROR(__xludf.DUMMYFUNCTION("""COMPUTED_VALUE"""),43.57)</f>
        <v>43.57</v>
      </c>
      <c r="E220" s="2">
        <f>IFERROR(__xludf.DUMMYFUNCTION("""COMPUTED_VALUE"""),45.0)</f>
        <v>45</v>
      </c>
      <c r="F220" s="2">
        <f>IFERROR(__xludf.DUMMYFUNCTION("""COMPUTED_VALUE"""),1.39852603E8)</f>
        <v>139852603</v>
      </c>
      <c r="G220" s="3">
        <f t="shared" si="1"/>
        <v>0.02156640182</v>
      </c>
    </row>
    <row r="221">
      <c r="A221" s="1">
        <f>IFERROR(__xludf.DUMMYFUNCTION("""COMPUTED_VALUE"""),43175.66666666667)</f>
        <v>43175.66667</v>
      </c>
      <c r="B221" s="2">
        <f>IFERROR(__xludf.DUMMYFUNCTION("""COMPUTED_VALUE"""),45.07)</f>
        <v>45.07</v>
      </c>
      <c r="C221" s="2">
        <f>IFERROR(__xludf.DUMMYFUNCTION("""COMPUTED_VALUE"""),45.88)</f>
        <v>45.88</v>
      </c>
      <c r="D221" s="2">
        <f>IFERROR(__xludf.DUMMYFUNCTION("""COMPUTED_VALUE"""),44.41)</f>
        <v>44.41</v>
      </c>
      <c r="E221" s="2">
        <f>IFERROR(__xludf.DUMMYFUNCTION("""COMPUTED_VALUE"""),44.51)</f>
        <v>44.51</v>
      </c>
      <c r="F221" s="2">
        <f>IFERROR(__xludf.DUMMYFUNCTION("""COMPUTED_VALUE"""),1.55417452E8)</f>
        <v>155417452</v>
      </c>
      <c r="G221" s="3">
        <f t="shared" si="1"/>
        <v>-0.01088888889</v>
      </c>
    </row>
    <row r="222">
      <c r="A222" s="1">
        <f>IFERROR(__xludf.DUMMYFUNCTION("""COMPUTED_VALUE"""),43182.66666666667)</f>
        <v>43182.66667</v>
      </c>
      <c r="B222" s="2">
        <f>IFERROR(__xludf.DUMMYFUNCTION("""COMPUTED_VALUE"""),44.33)</f>
        <v>44.33</v>
      </c>
      <c r="C222" s="2">
        <f>IFERROR(__xludf.DUMMYFUNCTION("""COMPUTED_VALUE"""),44.37)</f>
        <v>44.37</v>
      </c>
      <c r="D222" s="2">
        <f>IFERROR(__xludf.DUMMYFUNCTION("""COMPUTED_VALUE"""),41.24)</f>
        <v>41.24</v>
      </c>
      <c r="E222" s="2">
        <f>IFERROR(__xludf.DUMMYFUNCTION("""COMPUTED_VALUE"""),41.24)</f>
        <v>41.24</v>
      </c>
      <c r="F222" s="2">
        <f>IFERROR(__xludf.DUMMYFUNCTION("""COMPUTED_VALUE"""),1.72670607E8)</f>
        <v>172670607</v>
      </c>
      <c r="G222" s="3">
        <f t="shared" si="1"/>
        <v>-0.07346663671</v>
      </c>
    </row>
    <row r="223">
      <c r="A223" s="1">
        <f>IFERROR(__xludf.DUMMYFUNCTION("""COMPUTED_VALUE"""),43188.66666666667)</f>
        <v>43188.66667</v>
      </c>
      <c r="B223" s="2">
        <f>IFERROR(__xludf.DUMMYFUNCTION("""COMPUTED_VALUE"""),42.02)</f>
        <v>42.02</v>
      </c>
      <c r="C223" s="2">
        <f>IFERROR(__xludf.DUMMYFUNCTION("""COMPUTED_VALUE"""),43.79)</f>
        <v>43.79</v>
      </c>
      <c r="D223" s="2">
        <f>IFERROR(__xludf.DUMMYFUNCTION("""COMPUTED_VALUE"""),41.3)</f>
        <v>41.3</v>
      </c>
      <c r="E223" s="2">
        <f>IFERROR(__xludf.DUMMYFUNCTION("""COMPUTED_VALUE"""),41.95)</f>
        <v>41.95</v>
      </c>
      <c r="F223" s="2">
        <f>IFERROR(__xludf.DUMMYFUNCTION("""COMPUTED_VALUE"""),1.58530865E8)</f>
        <v>158530865</v>
      </c>
      <c r="G223" s="3">
        <f t="shared" si="1"/>
        <v>0.01721629486</v>
      </c>
    </row>
    <row r="224">
      <c r="A224" s="1">
        <f>IFERROR(__xludf.DUMMYFUNCTION("""COMPUTED_VALUE"""),43196.66666666667)</f>
        <v>43196.66667</v>
      </c>
      <c r="B224" s="2">
        <f>IFERROR(__xludf.DUMMYFUNCTION("""COMPUTED_VALUE"""),41.97)</f>
        <v>41.97</v>
      </c>
      <c r="C224" s="2">
        <f>IFERROR(__xludf.DUMMYFUNCTION("""COMPUTED_VALUE"""),43.56)</f>
        <v>43.56</v>
      </c>
      <c r="D224" s="2">
        <f>IFERROR(__xludf.DUMMYFUNCTION("""COMPUTED_VALUE"""),41.12)</f>
        <v>41.12</v>
      </c>
      <c r="E224" s="2">
        <f>IFERROR(__xludf.DUMMYFUNCTION("""COMPUTED_VALUE"""),42.1)</f>
        <v>42.1</v>
      </c>
      <c r="F224" s="2">
        <f>IFERROR(__xludf.DUMMYFUNCTION("""COMPUTED_VALUE"""),1.64408813E8)</f>
        <v>164408813</v>
      </c>
      <c r="G224" s="3">
        <f t="shared" si="1"/>
        <v>0.00357568534</v>
      </c>
    </row>
    <row r="225">
      <c r="A225" s="1">
        <f>IFERROR(__xludf.DUMMYFUNCTION("""COMPUTED_VALUE"""),43203.66666666667)</f>
        <v>43203.66667</v>
      </c>
      <c r="B225" s="2">
        <f>IFERROR(__xludf.DUMMYFUNCTION("""COMPUTED_VALUE"""),42.47)</f>
        <v>42.47</v>
      </c>
      <c r="C225" s="2">
        <f>IFERROR(__xludf.DUMMYFUNCTION("""COMPUTED_VALUE"""),43.96)</f>
        <v>43.96</v>
      </c>
      <c r="D225" s="2">
        <f>IFERROR(__xludf.DUMMYFUNCTION("""COMPUTED_VALUE"""),42.46)</f>
        <v>42.46</v>
      </c>
      <c r="E225" s="2">
        <f>IFERROR(__xludf.DUMMYFUNCTION("""COMPUTED_VALUE"""),43.68)</f>
        <v>43.68</v>
      </c>
      <c r="F225" s="2">
        <f>IFERROR(__xludf.DUMMYFUNCTION("""COMPUTED_VALUE"""),1.28077139E8)</f>
        <v>128077139</v>
      </c>
      <c r="G225" s="3">
        <f t="shared" si="1"/>
        <v>0.03752969121</v>
      </c>
    </row>
    <row r="226">
      <c r="A226" s="1">
        <f>IFERROR(__xludf.DUMMYFUNCTION("""COMPUTED_VALUE"""),43210.66666666667)</f>
        <v>43210.66667</v>
      </c>
      <c r="B226" s="2">
        <f>IFERROR(__xludf.DUMMYFUNCTION("""COMPUTED_VALUE"""),43.76)</f>
        <v>43.76</v>
      </c>
      <c r="C226" s="2">
        <f>IFERROR(__xludf.DUMMYFUNCTION("""COMPUTED_VALUE"""),44.73)</f>
        <v>44.73</v>
      </c>
      <c r="D226" s="2">
        <f>IFERROR(__xludf.DUMMYFUNCTION("""COMPUTED_VALUE"""),41.36)</f>
        <v>41.36</v>
      </c>
      <c r="E226" s="2">
        <f>IFERROR(__xludf.DUMMYFUNCTION("""COMPUTED_VALUE"""),41.43)</f>
        <v>41.43</v>
      </c>
      <c r="F226" s="2">
        <f>IFERROR(__xludf.DUMMYFUNCTION("""COMPUTED_VALUE"""),1.6923834E8)</f>
        <v>169238340</v>
      </c>
      <c r="G226" s="3">
        <f t="shared" si="1"/>
        <v>-0.05151098901</v>
      </c>
    </row>
    <row r="227">
      <c r="A227" s="1">
        <f>IFERROR(__xludf.DUMMYFUNCTION("""COMPUTED_VALUE"""),43217.66666666667)</f>
        <v>43217.66667</v>
      </c>
      <c r="B227" s="2">
        <f>IFERROR(__xludf.DUMMYFUNCTION("""COMPUTED_VALUE"""),41.71)</f>
        <v>41.71</v>
      </c>
      <c r="C227" s="2">
        <f>IFERROR(__xludf.DUMMYFUNCTION("""COMPUTED_VALUE"""),41.73)</f>
        <v>41.73</v>
      </c>
      <c r="D227" s="2">
        <f>IFERROR(__xludf.DUMMYFUNCTION("""COMPUTED_VALUE"""),40.16)</f>
        <v>40.16</v>
      </c>
      <c r="E227" s="2">
        <f>IFERROR(__xludf.DUMMYFUNCTION("""COMPUTED_VALUE"""),40.58)</f>
        <v>40.58</v>
      </c>
      <c r="F227" s="2">
        <f>IFERROR(__xludf.DUMMYFUNCTION("""COMPUTED_VALUE"""),1.62208431E8)</f>
        <v>162208431</v>
      </c>
      <c r="G227" s="3">
        <f t="shared" si="1"/>
        <v>-0.02051653391</v>
      </c>
    </row>
    <row r="228">
      <c r="A228" s="1">
        <f>IFERROR(__xludf.DUMMYFUNCTION("""COMPUTED_VALUE"""),43224.66666666667)</f>
        <v>43224.66667</v>
      </c>
      <c r="B228" s="2">
        <f>IFERROR(__xludf.DUMMYFUNCTION("""COMPUTED_VALUE"""),40.53)</f>
        <v>40.53</v>
      </c>
      <c r="C228" s="2">
        <f>IFERROR(__xludf.DUMMYFUNCTION("""COMPUTED_VALUE"""),46.06)</f>
        <v>46.06</v>
      </c>
      <c r="D228" s="2">
        <f>IFERROR(__xludf.DUMMYFUNCTION("""COMPUTED_VALUE"""),40.46)</f>
        <v>40.46</v>
      </c>
      <c r="E228" s="2">
        <f>IFERROR(__xludf.DUMMYFUNCTION("""COMPUTED_VALUE"""),45.96)</f>
        <v>45.96</v>
      </c>
      <c r="F228" s="2">
        <f>IFERROR(__xludf.DUMMYFUNCTION("""COMPUTED_VALUE"""),2.52805668E8)</f>
        <v>252805668</v>
      </c>
      <c r="G228" s="3">
        <f t="shared" si="1"/>
        <v>0.1325776244</v>
      </c>
    </row>
    <row r="229">
      <c r="A229" s="1">
        <f>IFERROR(__xludf.DUMMYFUNCTION("""COMPUTED_VALUE"""),43231.66666666667)</f>
        <v>43231.66667</v>
      </c>
      <c r="B229" s="2">
        <f>IFERROR(__xludf.DUMMYFUNCTION("""COMPUTED_VALUE"""),46.3)</f>
        <v>46.3</v>
      </c>
      <c r="C229" s="2">
        <f>IFERROR(__xludf.DUMMYFUNCTION("""COMPUTED_VALUE"""),47.59)</f>
        <v>47.59</v>
      </c>
      <c r="D229" s="2">
        <f>IFERROR(__xludf.DUMMYFUNCTION("""COMPUTED_VALUE"""),45.92)</f>
        <v>45.92</v>
      </c>
      <c r="E229" s="2">
        <f>IFERROR(__xludf.DUMMYFUNCTION("""COMPUTED_VALUE"""),47.15)</f>
        <v>47.15</v>
      </c>
      <c r="F229" s="2">
        <f>IFERROR(__xludf.DUMMYFUNCTION("""COMPUTED_VALUE"""),1.48266951E8)</f>
        <v>148266951</v>
      </c>
      <c r="G229" s="3">
        <f t="shared" si="1"/>
        <v>0.02589208007</v>
      </c>
    </row>
    <row r="230">
      <c r="A230" s="1">
        <f>IFERROR(__xludf.DUMMYFUNCTION("""COMPUTED_VALUE"""),43238.66666666667)</f>
        <v>43238.66667</v>
      </c>
      <c r="B230" s="2">
        <f>IFERROR(__xludf.DUMMYFUNCTION("""COMPUTED_VALUE"""),47.25)</f>
        <v>47.25</v>
      </c>
      <c r="C230" s="2">
        <f>IFERROR(__xludf.DUMMYFUNCTION("""COMPUTED_VALUE"""),47.38)</f>
        <v>47.38</v>
      </c>
      <c r="D230" s="2">
        <f>IFERROR(__xludf.DUMMYFUNCTION("""COMPUTED_VALUE"""),46.28)</f>
        <v>46.28</v>
      </c>
      <c r="E230" s="2">
        <f>IFERROR(__xludf.DUMMYFUNCTION("""COMPUTED_VALUE"""),46.58)</f>
        <v>46.58</v>
      </c>
      <c r="F230" s="2">
        <f>IFERROR(__xludf.DUMMYFUNCTION("""COMPUTED_VALUE"""),9.9248752E7)</f>
        <v>99248752</v>
      </c>
      <c r="G230" s="3">
        <f t="shared" si="1"/>
        <v>-0.01208907741</v>
      </c>
    </row>
    <row r="231">
      <c r="A231" s="1">
        <f>IFERROR(__xludf.DUMMYFUNCTION("""COMPUTED_VALUE"""),43245.66666666667)</f>
        <v>43245.66667</v>
      </c>
      <c r="B231" s="2">
        <f>IFERROR(__xludf.DUMMYFUNCTION("""COMPUTED_VALUE"""),47.0)</f>
        <v>47</v>
      </c>
      <c r="C231" s="2">
        <f>IFERROR(__xludf.DUMMYFUNCTION("""COMPUTED_VALUE"""),47.41)</f>
        <v>47.41</v>
      </c>
      <c r="D231" s="2">
        <f>IFERROR(__xludf.DUMMYFUNCTION("""COMPUTED_VALUE"""),46.44)</f>
        <v>46.44</v>
      </c>
      <c r="E231" s="2">
        <f>IFERROR(__xludf.DUMMYFUNCTION("""COMPUTED_VALUE"""),47.15)</f>
        <v>47.15</v>
      </c>
      <c r="F231" s="2">
        <f>IFERROR(__xludf.DUMMYFUNCTION("""COMPUTED_VALUE"""),9.4394844E7)</f>
        <v>94394844</v>
      </c>
      <c r="G231" s="3">
        <f t="shared" si="1"/>
        <v>0.01223701159</v>
      </c>
    </row>
    <row r="232">
      <c r="A232" s="1">
        <f>IFERROR(__xludf.DUMMYFUNCTION("""COMPUTED_VALUE"""),43252.66666666667)</f>
        <v>43252.66667</v>
      </c>
      <c r="B232" s="2">
        <f>IFERROR(__xludf.DUMMYFUNCTION("""COMPUTED_VALUE"""),46.9)</f>
        <v>46.9</v>
      </c>
      <c r="C232" s="2">
        <f>IFERROR(__xludf.DUMMYFUNCTION("""COMPUTED_VALUE"""),47.57)</f>
        <v>47.57</v>
      </c>
      <c r="D232" s="2">
        <f>IFERROR(__xludf.DUMMYFUNCTION("""COMPUTED_VALUE"""),46.54)</f>
        <v>46.54</v>
      </c>
      <c r="E232" s="2">
        <f>IFERROR(__xludf.DUMMYFUNCTION("""COMPUTED_VALUE"""),47.56)</f>
        <v>47.56</v>
      </c>
      <c r="F232" s="2">
        <f>IFERROR(__xludf.DUMMYFUNCTION("""COMPUTED_VALUE"""),9.2129925E7)</f>
        <v>92129925</v>
      </c>
      <c r="G232" s="3">
        <f t="shared" si="1"/>
        <v>0.008695652174</v>
      </c>
    </row>
    <row r="233">
      <c r="A233" s="1">
        <f>IFERROR(__xludf.DUMMYFUNCTION("""COMPUTED_VALUE"""),43259.66666666667)</f>
        <v>43259.66667</v>
      </c>
      <c r="B233" s="2">
        <f>IFERROR(__xludf.DUMMYFUNCTION("""COMPUTED_VALUE"""),47.91)</f>
        <v>47.91</v>
      </c>
      <c r="C233" s="2">
        <f>IFERROR(__xludf.DUMMYFUNCTION("""COMPUTED_VALUE"""),48.55)</f>
        <v>48.55</v>
      </c>
      <c r="D233" s="2">
        <f>IFERROR(__xludf.DUMMYFUNCTION("""COMPUTED_VALUE"""),47.44)</f>
        <v>47.44</v>
      </c>
      <c r="E233" s="2">
        <f>IFERROR(__xludf.DUMMYFUNCTION("""COMPUTED_VALUE"""),47.93)</f>
        <v>47.93</v>
      </c>
      <c r="F233" s="2">
        <f>IFERROR(__xludf.DUMMYFUNCTION("""COMPUTED_VALUE"""),1.16769735E8)</f>
        <v>116769735</v>
      </c>
      <c r="G233" s="3">
        <f t="shared" si="1"/>
        <v>0.007779646762</v>
      </c>
    </row>
    <row r="234">
      <c r="A234" s="1">
        <f>IFERROR(__xludf.DUMMYFUNCTION("""COMPUTED_VALUE"""),43266.66666666667)</f>
        <v>43266.66667</v>
      </c>
      <c r="B234" s="2">
        <f>IFERROR(__xludf.DUMMYFUNCTION("""COMPUTED_VALUE"""),47.84)</f>
        <v>47.84</v>
      </c>
      <c r="C234" s="2">
        <f>IFERROR(__xludf.DUMMYFUNCTION("""COMPUTED_VALUE"""),48.22)</f>
        <v>48.22</v>
      </c>
      <c r="D234" s="2">
        <f>IFERROR(__xludf.DUMMYFUNCTION("""COMPUTED_VALUE"""),47.07)</f>
        <v>47.07</v>
      </c>
      <c r="E234" s="2">
        <f>IFERROR(__xludf.DUMMYFUNCTION("""COMPUTED_VALUE"""),47.21)</f>
        <v>47.21</v>
      </c>
      <c r="F234" s="2">
        <f>IFERROR(__xludf.DUMMYFUNCTION("""COMPUTED_VALUE"""),1.40187228E8)</f>
        <v>140187228</v>
      </c>
      <c r="G234" s="3">
        <f t="shared" si="1"/>
        <v>-0.01502190695</v>
      </c>
    </row>
    <row r="235">
      <c r="A235" s="1">
        <f>IFERROR(__xludf.DUMMYFUNCTION("""COMPUTED_VALUE"""),43273.66666666667)</f>
        <v>43273.66667</v>
      </c>
      <c r="B235" s="2">
        <f>IFERROR(__xludf.DUMMYFUNCTION("""COMPUTED_VALUE"""),46.97)</f>
        <v>46.97</v>
      </c>
      <c r="C235" s="2">
        <f>IFERROR(__xludf.DUMMYFUNCTION("""COMPUTED_VALUE"""),47.31)</f>
        <v>47.31</v>
      </c>
      <c r="D235" s="2">
        <f>IFERROR(__xludf.DUMMYFUNCTION("""COMPUTED_VALUE"""),45.86)</f>
        <v>45.86</v>
      </c>
      <c r="E235" s="2">
        <f>IFERROR(__xludf.DUMMYFUNCTION("""COMPUTED_VALUE"""),46.23)</f>
        <v>46.23</v>
      </c>
      <c r="F235" s="2">
        <f>IFERROR(__xludf.DUMMYFUNCTION("""COMPUTED_VALUE"""),1.25604366E8)</f>
        <v>125604366</v>
      </c>
      <c r="G235" s="3">
        <f t="shared" si="1"/>
        <v>-0.02075831392</v>
      </c>
    </row>
    <row r="236">
      <c r="A236" s="1">
        <f>IFERROR(__xludf.DUMMYFUNCTION("""COMPUTED_VALUE"""),43280.66666666667)</f>
        <v>43280.66667</v>
      </c>
      <c r="B236" s="2">
        <f>IFERROR(__xludf.DUMMYFUNCTION("""COMPUTED_VALUE"""),45.85)</f>
        <v>45.85</v>
      </c>
      <c r="C236" s="2">
        <f>IFERROR(__xludf.DUMMYFUNCTION("""COMPUTED_VALUE"""),46.82)</f>
        <v>46.82</v>
      </c>
      <c r="D236" s="2">
        <f>IFERROR(__xludf.DUMMYFUNCTION("""COMPUTED_VALUE"""),45.18)</f>
        <v>45.18</v>
      </c>
      <c r="E236" s="2">
        <f>IFERROR(__xludf.DUMMYFUNCTION("""COMPUTED_VALUE"""),46.28)</f>
        <v>46.28</v>
      </c>
      <c r="F236" s="2">
        <f>IFERROR(__xludf.DUMMYFUNCTION("""COMPUTED_VALUE"""),1.21620526E8)</f>
        <v>121620526</v>
      </c>
      <c r="G236" s="3">
        <f t="shared" si="1"/>
        <v>0.001081548778</v>
      </c>
    </row>
    <row r="237">
      <c r="A237" s="1">
        <f>IFERROR(__xludf.DUMMYFUNCTION("""COMPUTED_VALUE"""),43287.66666666667)</f>
        <v>43287.66667</v>
      </c>
      <c r="B237" s="2">
        <f>IFERROR(__xludf.DUMMYFUNCTION("""COMPUTED_VALUE"""),45.96)</f>
        <v>45.96</v>
      </c>
      <c r="C237" s="2">
        <f>IFERROR(__xludf.DUMMYFUNCTION("""COMPUTED_VALUE"""),47.11)</f>
        <v>47.11</v>
      </c>
      <c r="D237" s="2">
        <f>IFERROR(__xludf.DUMMYFUNCTION("""COMPUTED_VALUE"""),45.86)</f>
        <v>45.86</v>
      </c>
      <c r="E237" s="2">
        <f>IFERROR(__xludf.DUMMYFUNCTION("""COMPUTED_VALUE"""),46.99)</f>
        <v>46.99</v>
      </c>
      <c r="F237" s="2">
        <f>IFERROR(__xludf.DUMMYFUNCTION("""COMPUTED_VALUE"""),6.5775642E7)</f>
        <v>65775642</v>
      </c>
      <c r="G237" s="3">
        <f t="shared" si="1"/>
        <v>0.01534140017</v>
      </c>
    </row>
    <row r="238">
      <c r="A238" s="1">
        <f>IFERROR(__xludf.DUMMYFUNCTION("""COMPUTED_VALUE"""),43294.66666666667)</f>
        <v>43294.66667</v>
      </c>
      <c r="B238" s="2">
        <f>IFERROR(__xludf.DUMMYFUNCTION("""COMPUTED_VALUE"""),47.38)</f>
        <v>47.38</v>
      </c>
      <c r="C238" s="2">
        <f>IFERROR(__xludf.DUMMYFUNCTION("""COMPUTED_VALUE"""),47.96)</f>
        <v>47.96</v>
      </c>
      <c r="D238" s="2">
        <f>IFERROR(__xludf.DUMMYFUNCTION("""COMPUTED_VALUE"""),46.9)</f>
        <v>46.9</v>
      </c>
      <c r="E238" s="2">
        <f>IFERROR(__xludf.DUMMYFUNCTION("""COMPUTED_VALUE"""),47.83)</f>
        <v>47.83</v>
      </c>
      <c r="F238" s="2">
        <f>IFERROR(__xludf.DUMMYFUNCTION("""COMPUTED_VALUE"""),8.5088176E7)</f>
        <v>85088176</v>
      </c>
      <c r="G238" s="3">
        <f t="shared" si="1"/>
        <v>0.01787614386</v>
      </c>
    </row>
    <row r="239">
      <c r="A239" s="1">
        <f>IFERROR(__xludf.DUMMYFUNCTION("""COMPUTED_VALUE"""),43301.66666666667)</f>
        <v>43301.66667</v>
      </c>
      <c r="B239" s="2">
        <f>IFERROR(__xludf.DUMMYFUNCTION("""COMPUTED_VALUE"""),47.88)</f>
        <v>47.88</v>
      </c>
      <c r="C239" s="2">
        <f>IFERROR(__xludf.DUMMYFUNCTION("""COMPUTED_VALUE"""),48.16)</f>
        <v>48.16</v>
      </c>
      <c r="D239" s="2">
        <f>IFERROR(__xludf.DUMMYFUNCTION("""COMPUTED_VALUE"""),47.3)</f>
        <v>47.3</v>
      </c>
      <c r="E239" s="2">
        <f>IFERROR(__xludf.DUMMYFUNCTION("""COMPUTED_VALUE"""),47.86)</f>
        <v>47.86</v>
      </c>
      <c r="F239" s="2">
        <f>IFERROR(__xludf.DUMMYFUNCTION("""COMPUTED_VALUE"""),8.7963808E7)</f>
        <v>87963808</v>
      </c>
      <c r="G239" s="3">
        <f t="shared" si="1"/>
        <v>0.0006272214092</v>
      </c>
    </row>
    <row r="240">
      <c r="A240" s="1">
        <f>IFERROR(__xludf.DUMMYFUNCTION("""COMPUTED_VALUE"""),43308.66666666667)</f>
        <v>43308.66667</v>
      </c>
      <c r="B240" s="2">
        <f>IFERROR(__xludf.DUMMYFUNCTION("""COMPUTED_VALUE"""),47.95)</f>
        <v>47.95</v>
      </c>
      <c r="C240" s="2">
        <f>IFERROR(__xludf.DUMMYFUNCTION("""COMPUTED_VALUE"""),48.99)</f>
        <v>48.99</v>
      </c>
      <c r="D240" s="2">
        <f>IFERROR(__xludf.DUMMYFUNCTION("""COMPUTED_VALUE"""),47.53)</f>
        <v>47.53</v>
      </c>
      <c r="E240" s="2">
        <f>IFERROR(__xludf.DUMMYFUNCTION("""COMPUTED_VALUE"""),47.75)</f>
        <v>47.75</v>
      </c>
      <c r="F240" s="2">
        <f>IFERROR(__xludf.DUMMYFUNCTION("""COMPUTED_VALUE"""),7.8788663E7)</f>
        <v>78788663</v>
      </c>
      <c r="G240" s="3">
        <f t="shared" si="1"/>
        <v>-0.002298370247</v>
      </c>
    </row>
    <row r="241">
      <c r="A241" s="1">
        <f>IFERROR(__xludf.DUMMYFUNCTION("""COMPUTED_VALUE"""),43315.66666666667)</f>
        <v>43315.66667</v>
      </c>
      <c r="B241" s="2">
        <f>IFERROR(__xludf.DUMMYFUNCTION("""COMPUTED_VALUE"""),47.98)</f>
        <v>47.98</v>
      </c>
      <c r="C241" s="2">
        <f>IFERROR(__xludf.DUMMYFUNCTION("""COMPUTED_VALUE"""),52.19)</f>
        <v>52.19</v>
      </c>
      <c r="D241" s="2">
        <f>IFERROR(__xludf.DUMMYFUNCTION("""COMPUTED_VALUE"""),47.27)</f>
        <v>47.27</v>
      </c>
      <c r="E241" s="2">
        <f>IFERROR(__xludf.DUMMYFUNCTION("""COMPUTED_VALUE"""),52.0)</f>
        <v>52</v>
      </c>
      <c r="F241" s="2">
        <f>IFERROR(__xludf.DUMMYFUNCTION("""COMPUTED_VALUE"""),2.24189697E8)</f>
        <v>224189697</v>
      </c>
      <c r="G241" s="3">
        <f t="shared" si="1"/>
        <v>0.0890052356</v>
      </c>
    </row>
    <row r="242">
      <c r="A242" s="1">
        <f>IFERROR(__xludf.DUMMYFUNCTION("""COMPUTED_VALUE"""),43322.66666666667)</f>
        <v>43322.66667</v>
      </c>
      <c r="B242" s="2">
        <f>IFERROR(__xludf.DUMMYFUNCTION("""COMPUTED_VALUE"""),52.0)</f>
        <v>52</v>
      </c>
      <c r="C242" s="2">
        <f>IFERROR(__xludf.DUMMYFUNCTION("""COMPUTED_VALUE"""),52.45)</f>
        <v>52.45</v>
      </c>
      <c r="D242" s="2">
        <f>IFERROR(__xludf.DUMMYFUNCTION("""COMPUTED_VALUE"""),51.13)</f>
        <v>51.13</v>
      </c>
      <c r="E242" s="2">
        <f>IFERROR(__xludf.DUMMYFUNCTION("""COMPUTED_VALUE"""),51.88)</f>
        <v>51.88</v>
      </c>
      <c r="F242" s="2">
        <f>IFERROR(__xludf.DUMMYFUNCTION("""COMPUTED_VALUE"""),1.21642089E8)</f>
        <v>121642089</v>
      </c>
      <c r="G242" s="3">
        <f t="shared" si="1"/>
        <v>-0.002307692308</v>
      </c>
    </row>
    <row r="243">
      <c r="A243" s="1">
        <f>IFERROR(__xludf.DUMMYFUNCTION("""COMPUTED_VALUE"""),43329.66666666667)</f>
        <v>43329.66667</v>
      </c>
      <c r="B243" s="2">
        <f>IFERROR(__xludf.DUMMYFUNCTION("""COMPUTED_VALUE"""),51.93)</f>
        <v>51.93</v>
      </c>
      <c r="C243" s="2">
        <f>IFERROR(__xludf.DUMMYFUNCTION("""COMPUTED_VALUE"""),54.49)</f>
        <v>54.49</v>
      </c>
      <c r="D243" s="2">
        <f>IFERROR(__xludf.DUMMYFUNCTION("""COMPUTED_VALUE"""),51.93)</f>
        <v>51.93</v>
      </c>
      <c r="E243" s="2">
        <f>IFERROR(__xludf.DUMMYFUNCTION("""COMPUTED_VALUE"""),54.4)</f>
        <v>54.4</v>
      </c>
      <c r="F243" s="2">
        <f>IFERROR(__xludf.DUMMYFUNCTION("""COMPUTED_VALUE"""),1.39373818E8)</f>
        <v>139373818</v>
      </c>
      <c r="G243" s="3">
        <f t="shared" si="1"/>
        <v>0.04857363146</v>
      </c>
    </row>
    <row r="244">
      <c r="A244" s="1">
        <f>IFERROR(__xludf.DUMMYFUNCTION("""COMPUTED_VALUE"""),43336.66666666667)</f>
        <v>43336.66667</v>
      </c>
      <c r="B244" s="2">
        <f>IFERROR(__xludf.DUMMYFUNCTION("""COMPUTED_VALUE"""),54.53)</f>
        <v>54.53</v>
      </c>
      <c r="C244" s="2">
        <f>IFERROR(__xludf.DUMMYFUNCTION("""COMPUTED_VALUE"""),54.8)</f>
        <v>54.8</v>
      </c>
      <c r="D244" s="2">
        <f>IFERROR(__xludf.DUMMYFUNCTION("""COMPUTED_VALUE"""),53.46)</f>
        <v>53.46</v>
      </c>
      <c r="E244" s="2">
        <f>IFERROR(__xludf.DUMMYFUNCTION("""COMPUTED_VALUE"""),54.04)</f>
        <v>54.04</v>
      </c>
      <c r="F244" s="2">
        <f>IFERROR(__xludf.DUMMYFUNCTION("""COMPUTED_VALUE"""),1.12825161E8)</f>
        <v>112825161</v>
      </c>
      <c r="G244" s="3">
        <f t="shared" si="1"/>
        <v>-0.006617647059</v>
      </c>
    </row>
    <row r="245">
      <c r="A245" s="1">
        <f>IFERROR(__xludf.DUMMYFUNCTION("""COMPUTED_VALUE"""),43343.66666666667)</f>
        <v>43343.66667</v>
      </c>
      <c r="B245" s="2">
        <f>IFERROR(__xludf.DUMMYFUNCTION("""COMPUTED_VALUE"""),54.29)</f>
        <v>54.29</v>
      </c>
      <c r="C245" s="2">
        <f>IFERROR(__xludf.DUMMYFUNCTION("""COMPUTED_VALUE"""),57.22)</f>
        <v>57.22</v>
      </c>
      <c r="D245" s="2">
        <f>IFERROR(__xludf.DUMMYFUNCTION("""COMPUTED_VALUE"""),54.08)</f>
        <v>54.08</v>
      </c>
      <c r="E245" s="2">
        <f>IFERROR(__xludf.DUMMYFUNCTION("""COMPUTED_VALUE"""),56.91)</f>
        <v>56.91</v>
      </c>
      <c r="F245" s="2">
        <f>IFERROR(__xludf.DUMMYFUNCTION("""COMPUTED_VALUE"""),1.62690645E8)</f>
        <v>162690645</v>
      </c>
      <c r="G245" s="3">
        <f t="shared" si="1"/>
        <v>0.05310880829</v>
      </c>
    </row>
    <row r="246">
      <c r="A246" s="1">
        <f>IFERROR(__xludf.DUMMYFUNCTION("""COMPUTED_VALUE"""),43350.66666666667)</f>
        <v>43350.66667</v>
      </c>
      <c r="B246" s="2">
        <f>IFERROR(__xludf.DUMMYFUNCTION("""COMPUTED_VALUE"""),57.1)</f>
        <v>57.1</v>
      </c>
      <c r="C246" s="2">
        <f>IFERROR(__xludf.DUMMYFUNCTION("""COMPUTED_VALUE"""),57.42)</f>
        <v>57.42</v>
      </c>
      <c r="D246" s="2">
        <f>IFERROR(__xludf.DUMMYFUNCTION("""COMPUTED_VALUE"""),55.18)</f>
        <v>55.18</v>
      </c>
      <c r="E246" s="2">
        <f>IFERROR(__xludf.DUMMYFUNCTION("""COMPUTED_VALUE"""),55.33)</f>
        <v>55.33</v>
      </c>
      <c r="F246" s="2">
        <f>IFERROR(__xludf.DUMMYFUNCTION("""COMPUTED_VALUE"""),1.32632878E8)</f>
        <v>132632878</v>
      </c>
      <c r="G246" s="3">
        <f t="shared" si="1"/>
        <v>-0.02776313477</v>
      </c>
    </row>
    <row r="247">
      <c r="A247" s="1">
        <f>IFERROR(__xludf.DUMMYFUNCTION("""COMPUTED_VALUE"""),43357.66666666667)</f>
        <v>43357.66667</v>
      </c>
      <c r="B247" s="2">
        <f>IFERROR(__xludf.DUMMYFUNCTION("""COMPUTED_VALUE"""),55.24)</f>
        <v>55.24</v>
      </c>
      <c r="C247" s="2">
        <f>IFERROR(__xludf.DUMMYFUNCTION("""COMPUTED_VALUE"""),57.09)</f>
        <v>57.09</v>
      </c>
      <c r="D247" s="2">
        <f>IFERROR(__xludf.DUMMYFUNCTION("""COMPUTED_VALUE"""),54.12)</f>
        <v>54.12</v>
      </c>
      <c r="E247" s="2">
        <f>IFERROR(__xludf.DUMMYFUNCTION("""COMPUTED_VALUE"""),55.96)</f>
        <v>55.96</v>
      </c>
      <c r="F247" s="2">
        <f>IFERROR(__xludf.DUMMYFUNCTION("""COMPUTED_VALUE"""),1.98249908E8)</f>
        <v>198249908</v>
      </c>
      <c r="G247" s="3">
        <f t="shared" si="1"/>
        <v>0.01138622809</v>
      </c>
    </row>
    <row r="248">
      <c r="A248" s="1">
        <f>IFERROR(__xludf.DUMMYFUNCTION("""COMPUTED_VALUE"""),43364.66666666667)</f>
        <v>43364.66667</v>
      </c>
      <c r="B248" s="2">
        <f>IFERROR(__xludf.DUMMYFUNCTION("""COMPUTED_VALUE"""),55.54)</f>
        <v>55.54</v>
      </c>
      <c r="C248" s="2">
        <f>IFERROR(__xludf.DUMMYFUNCTION("""COMPUTED_VALUE"""),55.74)</f>
        <v>55.74</v>
      </c>
      <c r="D248" s="2">
        <f>IFERROR(__xludf.DUMMYFUNCTION("""COMPUTED_VALUE"""),53.83)</f>
        <v>53.83</v>
      </c>
      <c r="E248" s="2">
        <f>IFERROR(__xludf.DUMMYFUNCTION("""COMPUTED_VALUE"""),54.42)</f>
        <v>54.42</v>
      </c>
      <c r="F248" s="2">
        <f>IFERROR(__xludf.DUMMYFUNCTION("""COMPUTED_VALUE"""),2.1874622E8)</f>
        <v>218746220</v>
      </c>
      <c r="G248" s="3">
        <f t="shared" si="1"/>
        <v>-0.0275196569</v>
      </c>
    </row>
    <row r="249">
      <c r="A249" s="1">
        <f>IFERROR(__xludf.DUMMYFUNCTION("""COMPUTED_VALUE"""),43371.66666666667)</f>
        <v>43371.66667</v>
      </c>
      <c r="B249" s="2">
        <f>IFERROR(__xludf.DUMMYFUNCTION("""COMPUTED_VALUE"""),54.21)</f>
        <v>54.21</v>
      </c>
      <c r="C249" s="2">
        <f>IFERROR(__xludf.DUMMYFUNCTION("""COMPUTED_VALUE"""),56.61)</f>
        <v>56.61</v>
      </c>
      <c r="D249" s="2">
        <f>IFERROR(__xludf.DUMMYFUNCTION("""COMPUTED_VALUE"""),54.16)</f>
        <v>54.16</v>
      </c>
      <c r="E249" s="2">
        <f>IFERROR(__xludf.DUMMYFUNCTION("""COMPUTED_VALUE"""),56.44)</f>
        <v>56.44</v>
      </c>
      <c r="F249" s="2">
        <f>IFERROR(__xludf.DUMMYFUNCTION("""COMPUTED_VALUE"""),1.29343034E8)</f>
        <v>129343034</v>
      </c>
      <c r="G249" s="3">
        <f t="shared" si="1"/>
        <v>0.03711870636</v>
      </c>
    </row>
    <row r="250">
      <c r="A250" s="1">
        <f>IFERROR(__xludf.DUMMYFUNCTION("""COMPUTED_VALUE"""),43378.66666666667)</f>
        <v>43378.66667</v>
      </c>
      <c r="B250" s="2">
        <f>IFERROR(__xludf.DUMMYFUNCTION("""COMPUTED_VALUE"""),56.99)</f>
        <v>56.99</v>
      </c>
      <c r="C250" s="2">
        <f>IFERROR(__xludf.DUMMYFUNCTION("""COMPUTED_VALUE"""),58.37)</f>
        <v>58.37</v>
      </c>
      <c r="D250" s="2">
        <f>IFERROR(__xludf.DUMMYFUNCTION("""COMPUTED_VALUE"""),55.15)</f>
        <v>55.15</v>
      </c>
      <c r="E250" s="2">
        <f>IFERROR(__xludf.DUMMYFUNCTION("""COMPUTED_VALUE"""),56.07)</f>
        <v>56.07</v>
      </c>
      <c r="F250" s="2">
        <f>IFERROR(__xludf.DUMMYFUNCTION("""COMPUTED_VALUE"""),1.42666234E8)</f>
        <v>142666234</v>
      </c>
      <c r="G250" s="3">
        <f t="shared" si="1"/>
        <v>-0.006555634302</v>
      </c>
    </row>
    <row r="251">
      <c r="A251" s="1">
        <f>IFERROR(__xludf.DUMMYFUNCTION("""COMPUTED_VALUE"""),43385.66666666667)</f>
        <v>43385.66667</v>
      </c>
      <c r="B251" s="2">
        <f>IFERROR(__xludf.DUMMYFUNCTION("""COMPUTED_VALUE"""),55.55)</f>
        <v>55.55</v>
      </c>
      <c r="C251" s="2">
        <f>IFERROR(__xludf.DUMMYFUNCTION("""COMPUTED_VALUE"""),56.82)</f>
        <v>56.82</v>
      </c>
      <c r="D251" s="2">
        <f>IFERROR(__xludf.DUMMYFUNCTION("""COMPUTED_VALUE"""),53.08)</f>
        <v>53.08</v>
      </c>
      <c r="E251" s="2">
        <f>IFERROR(__xludf.DUMMYFUNCTION("""COMPUTED_VALUE"""),55.53)</f>
        <v>55.53</v>
      </c>
      <c r="F251" s="2">
        <f>IFERROR(__xludf.DUMMYFUNCTION("""COMPUTED_VALUE"""),1.92007749E8)</f>
        <v>192007749</v>
      </c>
      <c r="G251" s="3">
        <f t="shared" si="1"/>
        <v>-0.00963081862</v>
      </c>
    </row>
    <row r="252">
      <c r="A252" s="1">
        <f>IFERROR(__xludf.DUMMYFUNCTION("""COMPUTED_VALUE"""),43392.66666666667)</f>
        <v>43392.66667</v>
      </c>
      <c r="B252" s="2">
        <f>IFERROR(__xludf.DUMMYFUNCTION("""COMPUTED_VALUE"""),55.29)</f>
        <v>55.29</v>
      </c>
      <c r="C252" s="2">
        <f>IFERROR(__xludf.DUMMYFUNCTION("""COMPUTED_VALUE"""),55.75)</f>
        <v>55.75</v>
      </c>
      <c r="D252" s="2">
        <f>IFERROR(__xludf.DUMMYFUNCTION("""COMPUTED_VALUE"""),53.25)</f>
        <v>53.25</v>
      </c>
      <c r="E252" s="2">
        <f>IFERROR(__xludf.DUMMYFUNCTION("""COMPUTED_VALUE"""),54.83)</f>
        <v>54.83</v>
      </c>
      <c r="F252" s="2">
        <f>IFERROR(__xludf.DUMMYFUNCTION("""COMPUTED_VALUE"""),1.48520408E8)</f>
        <v>148520408</v>
      </c>
      <c r="G252" s="3">
        <f t="shared" si="1"/>
        <v>-0.01260579867</v>
      </c>
    </row>
    <row r="253">
      <c r="A253" s="1">
        <f>IFERROR(__xludf.DUMMYFUNCTION("""COMPUTED_VALUE"""),43399.66666666667)</f>
        <v>43399.66667</v>
      </c>
      <c r="B253" s="2">
        <f>IFERROR(__xludf.DUMMYFUNCTION("""COMPUTED_VALUE"""),54.95)</f>
        <v>54.95</v>
      </c>
      <c r="C253" s="2">
        <f>IFERROR(__xludf.DUMMYFUNCTION("""COMPUTED_VALUE"""),56.06)</f>
        <v>56.06</v>
      </c>
      <c r="D253" s="2">
        <f>IFERROR(__xludf.DUMMYFUNCTION("""COMPUTED_VALUE"""),53.17)</f>
        <v>53.17</v>
      </c>
      <c r="E253" s="2">
        <f>IFERROR(__xludf.DUMMYFUNCTION("""COMPUTED_VALUE"""),54.08)</f>
        <v>54.08</v>
      </c>
      <c r="F253" s="2">
        <f>IFERROR(__xludf.DUMMYFUNCTION("""COMPUTED_VALUE"""),1.85599234E8)</f>
        <v>185599234</v>
      </c>
      <c r="G253" s="3">
        <f t="shared" si="1"/>
        <v>-0.01367864308</v>
      </c>
    </row>
    <row r="254">
      <c r="A254" s="1">
        <f>IFERROR(__xludf.DUMMYFUNCTION("""COMPUTED_VALUE"""),43406.66666666667)</f>
        <v>43406.66667</v>
      </c>
      <c r="B254" s="2">
        <f>IFERROR(__xludf.DUMMYFUNCTION("""COMPUTED_VALUE"""),54.8)</f>
        <v>54.8</v>
      </c>
      <c r="C254" s="2">
        <f>IFERROR(__xludf.DUMMYFUNCTION("""COMPUTED_VALUE"""),55.59)</f>
        <v>55.59</v>
      </c>
      <c r="D254" s="2">
        <f>IFERROR(__xludf.DUMMYFUNCTION("""COMPUTED_VALUE"""),51.36)</f>
        <v>51.36</v>
      </c>
      <c r="E254" s="2">
        <f>IFERROR(__xludf.DUMMYFUNCTION("""COMPUTED_VALUE"""),51.87)</f>
        <v>51.87</v>
      </c>
      <c r="F254" s="2">
        <f>IFERROR(__xludf.DUMMYFUNCTION("""COMPUTED_VALUE"""),2.70606277E8)</f>
        <v>270606277</v>
      </c>
      <c r="G254" s="3">
        <f t="shared" si="1"/>
        <v>-0.04086538462</v>
      </c>
    </row>
    <row r="255">
      <c r="A255" s="1">
        <f>IFERROR(__xludf.DUMMYFUNCTION("""COMPUTED_VALUE"""),43413.66666666667)</f>
        <v>43413.66667</v>
      </c>
      <c r="B255" s="2">
        <f>IFERROR(__xludf.DUMMYFUNCTION("""COMPUTED_VALUE"""),51.08)</f>
        <v>51.08</v>
      </c>
      <c r="C255" s="2">
        <f>IFERROR(__xludf.DUMMYFUNCTION("""COMPUTED_VALUE"""),52.53)</f>
        <v>52.53</v>
      </c>
      <c r="D255" s="2">
        <f>IFERROR(__xludf.DUMMYFUNCTION("""COMPUTED_VALUE"""),49.54)</f>
        <v>49.54</v>
      </c>
      <c r="E255" s="2">
        <f>IFERROR(__xludf.DUMMYFUNCTION("""COMPUTED_VALUE"""),51.12)</f>
        <v>51.12</v>
      </c>
      <c r="F255" s="2">
        <f>IFERROR(__xludf.DUMMYFUNCTION("""COMPUTED_VALUE"""),1.9119937E8)</f>
        <v>191199370</v>
      </c>
      <c r="G255" s="3">
        <f t="shared" si="1"/>
        <v>-0.01445922499</v>
      </c>
    </row>
    <row r="256">
      <c r="A256" s="1">
        <f>IFERROR(__xludf.DUMMYFUNCTION("""COMPUTED_VALUE"""),43420.66666666667)</f>
        <v>43420.66667</v>
      </c>
      <c r="B256" s="2">
        <f>IFERROR(__xludf.DUMMYFUNCTION("""COMPUTED_VALUE"""),49.75)</f>
        <v>49.75</v>
      </c>
      <c r="C256" s="2">
        <f>IFERROR(__xludf.DUMMYFUNCTION("""COMPUTED_VALUE"""),49.96)</f>
        <v>49.96</v>
      </c>
      <c r="D256" s="2">
        <f>IFERROR(__xludf.DUMMYFUNCTION("""COMPUTED_VALUE"""),46.48)</f>
        <v>46.48</v>
      </c>
      <c r="E256" s="2">
        <f>IFERROR(__xludf.DUMMYFUNCTION("""COMPUTED_VALUE"""),48.38)</f>
        <v>48.38</v>
      </c>
      <c r="F256" s="2">
        <f>IFERROR(__xludf.DUMMYFUNCTION("""COMPUTED_VALUE"""),2.42226465E8)</f>
        <v>242226465</v>
      </c>
      <c r="G256" s="3">
        <f t="shared" si="1"/>
        <v>-0.05359937402</v>
      </c>
    </row>
    <row r="257">
      <c r="A257" s="1">
        <f>IFERROR(__xludf.DUMMYFUNCTION("""COMPUTED_VALUE"""),43427.54166666667)</f>
        <v>43427.54167</v>
      </c>
      <c r="B257" s="2">
        <f>IFERROR(__xludf.DUMMYFUNCTION("""COMPUTED_VALUE"""),47.5)</f>
        <v>47.5</v>
      </c>
      <c r="C257" s="2">
        <f>IFERROR(__xludf.DUMMYFUNCTION("""COMPUTED_VALUE"""),47.68)</f>
        <v>47.68</v>
      </c>
      <c r="D257" s="2">
        <f>IFERROR(__xludf.DUMMYFUNCTION("""COMPUTED_VALUE"""),43.03)</f>
        <v>43.03</v>
      </c>
      <c r="E257" s="2">
        <f>IFERROR(__xludf.DUMMYFUNCTION("""COMPUTED_VALUE"""),43.07)</f>
        <v>43.07</v>
      </c>
      <c r="F257" s="2">
        <f>IFERROR(__xludf.DUMMYFUNCTION("""COMPUTED_VALUE"""),1.64494301E8)</f>
        <v>164494301</v>
      </c>
      <c r="G257" s="3">
        <f t="shared" si="1"/>
        <v>-0.1097560976</v>
      </c>
    </row>
    <row r="258">
      <c r="A258" s="1">
        <f>IFERROR(__xludf.DUMMYFUNCTION("""COMPUTED_VALUE"""),43434.66666666667)</f>
        <v>43434.66667</v>
      </c>
      <c r="B258" s="2">
        <f>IFERROR(__xludf.DUMMYFUNCTION("""COMPUTED_VALUE"""),43.56)</f>
        <v>43.56</v>
      </c>
      <c r="C258" s="2">
        <f>IFERROR(__xludf.DUMMYFUNCTION("""COMPUTED_VALUE"""),45.7)</f>
        <v>45.7</v>
      </c>
      <c r="D258" s="2">
        <f>IFERROR(__xludf.DUMMYFUNCTION("""COMPUTED_VALUE"""),42.57)</f>
        <v>42.57</v>
      </c>
      <c r="E258" s="2">
        <f>IFERROR(__xludf.DUMMYFUNCTION("""COMPUTED_VALUE"""),44.65)</f>
        <v>44.65</v>
      </c>
      <c r="F258" s="2">
        <f>IFERROR(__xludf.DUMMYFUNCTION("""COMPUTED_VALUE"""),2.13749977E8)</f>
        <v>213749977</v>
      </c>
      <c r="G258" s="3">
        <f t="shared" si="1"/>
        <v>0.03668446715</v>
      </c>
    </row>
    <row r="259">
      <c r="A259" s="1">
        <f>IFERROR(__xludf.DUMMYFUNCTION("""COMPUTED_VALUE"""),43441.66666666667)</f>
        <v>43441.66667</v>
      </c>
      <c r="B259" s="2">
        <f>IFERROR(__xludf.DUMMYFUNCTION("""COMPUTED_VALUE"""),46.12)</f>
        <v>46.12</v>
      </c>
      <c r="C259" s="2">
        <f>IFERROR(__xludf.DUMMYFUNCTION("""COMPUTED_VALUE"""),46.24)</f>
        <v>46.24</v>
      </c>
      <c r="D259" s="2">
        <f>IFERROR(__xludf.DUMMYFUNCTION("""COMPUTED_VALUE"""),42.08)</f>
        <v>42.08</v>
      </c>
      <c r="E259" s="2">
        <f>IFERROR(__xludf.DUMMYFUNCTION("""COMPUTED_VALUE"""),42.12)</f>
        <v>42.12</v>
      </c>
      <c r="F259" s="2">
        <f>IFERROR(__xludf.DUMMYFUNCTION("""COMPUTED_VALUE"""),1.67522325E8)</f>
        <v>167522325</v>
      </c>
      <c r="G259" s="3">
        <f t="shared" si="1"/>
        <v>-0.05666293393</v>
      </c>
    </row>
    <row r="260">
      <c r="A260" s="1">
        <f>IFERROR(__xludf.DUMMYFUNCTION("""COMPUTED_VALUE"""),43448.66666666667)</f>
        <v>43448.66667</v>
      </c>
      <c r="B260" s="2">
        <f>IFERROR(__xludf.DUMMYFUNCTION("""COMPUTED_VALUE"""),41.25)</f>
        <v>41.25</v>
      </c>
      <c r="C260" s="2">
        <f>IFERROR(__xludf.DUMMYFUNCTION("""COMPUTED_VALUE"""),43.14)</f>
        <v>43.14</v>
      </c>
      <c r="D260" s="2">
        <f>IFERROR(__xludf.DUMMYFUNCTION("""COMPUTED_VALUE"""),40.83)</f>
        <v>40.83</v>
      </c>
      <c r="E260" s="2">
        <f>IFERROR(__xludf.DUMMYFUNCTION("""COMPUTED_VALUE"""),41.37)</f>
        <v>41.37</v>
      </c>
      <c r="F260" s="2">
        <f>IFERROR(__xludf.DUMMYFUNCTION("""COMPUTED_VALUE"""),2.1753687E8)</f>
        <v>217536870</v>
      </c>
      <c r="G260" s="3">
        <f t="shared" si="1"/>
        <v>-0.01780626781</v>
      </c>
    </row>
    <row r="261">
      <c r="A261" s="1">
        <f>IFERROR(__xludf.DUMMYFUNCTION("""COMPUTED_VALUE"""),43455.66666666667)</f>
        <v>43455.66667</v>
      </c>
      <c r="B261" s="2">
        <f>IFERROR(__xludf.DUMMYFUNCTION("""COMPUTED_VALUE"""),41.36)</f>
        <v>41.36</v>
      </c>
      <c r="C261" s="2">
        <f>IFERROR(__xludf.DUMMYFUNCTION("""COMPUTED_VALUE"""),42.09)</f>
        <v>42.09</v>
      </c>
      <c r="D261" s="2">
        <f>IFERROR(__xludf.DUMMYFUNCTION("""COMPUTED_VALUE"""),37.41)</f>
        <v>37.41</v>
      </c>
      <c r="E261" s="2">
        <f>IFERROR(__xludf.DUMMYFUNCTION("""COMPUTED_VALUE"""),37.68)</f>
        <v>37.68</v>
      </c>
      <c r="F261" s="2">
        <f>IFERROR(__xludf.DUMMYFUNCTION("""COMPUTED_VALUE"""),2.87694081E8)</f>
        <v>287694081</v>
      </c>
      <c r="G261" s="3">
        <f t="shared" si="1"/>
        <v>-0.08919506889</v>
      </c>
    </row>
    <row r="262">
      <c r="A262" s="1">
        <f>IFERROR(__xludf.DUMMYFUNCTION("""COMPUTED_VALUE"""),43462.66666666667)</f>
        <v>43462.66667</v>
      </c>
      <c r="B262" s="2">
        <f>IFERROR(__xludf.DUMMYFUNCTION("""COMPUTED_VALUE"""),37.04)</f>
        <v>37.04</v>
      </c>
      <c r="C262" s="2">
        <f>IFERROR(__xludf.DUMMYFUNCTION("""COMPUTED_VALUE"""),39.63)</f>
        <v>39.63</v>
      </c>
      <c r="D262" s="2">
        <f>IFERROR(__xludf.DUMMYFUNCTION("""COMPUTED_VALUE"""),36.65)</f>
        <v>36.65</v>
      </c>
      <c r="E262" s="2">
        <f>IFERROR(__xludf.DUMMYFUNCTION("""COMPUTED_VALUE"""),39.06)</f>
        <v>39.06</v>
      </c>
      <c r="F262" s="2">
        <f>IFERROR(__xludf.DUMMYFUNCTION("""COMPUTED_VALUE"""),1.91160265E8)</f>
        <v>191160265</v>
      </c>
      <c r="G262" s="3">
        <f t="shared" si="1"/>
        <v>0.03662420382</v>
      </c>
    </row>
    <row r="263">
      <c r="A263" s="1">
        <f>IFERROR(__xludf.DUMMYFUNCTION("""COMPUTED_VALUE"""),43469.66666666667)</f>
        <v>43469.66667</v>
      </c>
      <c r="B263" s="2">
        <f>IFERROR(__xludf.DUMMYFUNCTION("""COMPUTED_VALUE"""),39.63)</f>
        <v>39.63</v>
      </c>
      <c r="C263" s="2">
        <f>IFERROR(__xludf.DUMMYFUNCTION("""COMPUTED_VALUE"""),39.84)</f>
        <v>39.84</v>
      </c>
      <c r="D263" s="2">
        <f>IFERROR(__xludf.DUMMYFUNCTION("""COMPUTED_VALUE"""),35.5)</f>
        <v>35.5</v>
      </c>
      <c r="E263" s="2">
        <f>IFERROR(__xludf.DUMMYFUNCTION("""COMPUTED_VALUE"""),37.07)</f>
        <v>37.07</v>
      </c>
      <c r="F263" s="2">
        <f>IFERROR(__xludf.DUMMYFUNCTION("""COMPUTED_VALUE"""),2.21962468E8)</f>
        <v>221962468</v>
      </c>
      <c r="G263" s="3">
        <f t="shared" si="1"/>
        <v>-0.05094726062</v>
      </c>
    </row>
    <row r="264">
      <c r="A264" s="1">
        <f>IFERROR(__xludf.DUMMYFUNCTION("""COMPUTED_VALUE"""),43476.66666666667)</f>
        <v>43476.66667</v>
      </c>
      <c r="B264" s="2">
        <f>IFERROR(__xludf.DUMMYFUNCTION("""COMPUTED_VALUE"""),37.17)</f>
        <v>37.17</v>
      </c>
      <c r="C264" s="2">
        <f>IFERROR(__xludf.DUMMYFUNCTION("""COMPUTED_VALUE"""),38.63)</f>
        <v>38.63</v>
      </c>
      <c r="D264" s="2">
        <f>IFERROR(__xludf.DUMMYFUNCTION("""COMPUTED_VALUE"""),36.48)</f>
        <v>36.48</v>
      </c>
      <c r="E264" s="2">
        <f>IFERROR(__xludf.DUMMYFUNCTION("""COMPUTED_VALUE"""),38.07)</f>
        <v>38.07</v>
      </c>
      <c r="F264" s="2">
        <f>IFERROR(__xludf.DUMMYFUNCTION("""COMPUTED_VALUE"""),2.0370607E8)</f>
        <v>203706070</v>
      </c>
      <c r="G264" s="3">
        <f t="shared" si="1"/>
        <v>0.02697599137</v>
      </c>
    </row>
    <row r="265">
      <c r="A265" s="1">
        <f>IFERROR(__xludf.DUMMYFUNCTION("""COMPUTED_VALUE"""),43483.66666666667)</f>
        <v>43483.66667</v>
      </c>
      <c r="B265" s="2">
        <f>IFERROR(__xludf.DUMMYFUNCTION("""COMPUTED_VALUE"""),37.71)</f>
        <v>37.71</v>
      </c>
      <c r="C265" s="2">
        <f>IFERROR(__xludf.DUMMYFUNCTION("""COMPUTED_VALUE"""),39.47)</f>
        <v>39.47</v>
      </c>
      <c r="D265" s="2">
        <f>IFERROR(__xludf.DUMMYFUNCTION("""COMPUTED_VALUE"""),37.31)</f>
        <v>37.31</v>
      </c>
      <c r="E265" s="2">
        <f>IFERROR(__xludf.DUMMYFUNCTION("""COMPUTED_VALUE"""),39.21)</f>
        <v>39.21</v>
      </c>
      <c r="F265" s="2">
        <f>IFERROR(__xludf.DUMMYFUNCTION("""COMPUTED_VALUE"""),1.55291399E8)</f>
        <v>155291399</v>
      </c>
      <c r="G265" s="3">
        <f t="shared" si="1"/>
        <v>0.02994483846</v>
      </c>
    </row>
    <row r="266">
      <c r="A266" s="1">
        <f>IFERROR(__xludf.DUMMYFUNCTION("""COMPUTED_VALUE"""),43490.66666666667)</f>
        <v>43490.66667</v>
      </c>
      <c r="B266" s="2">
        <f>IFERROR(__xludf.DUMMYFUNCTION("""COMPUTED_VALUE"""),39.1)</f>
        <v>39.1</v>
      </c>
      <c r="C266" s="2">
        <f>IFERROR(__xludf.DUMMYFUNCTION("""COMPUTED_VALUE"""),39.53)</f>
        <v>39.53</v>
      </c>
      <c r="D266" s="2">
        <f>IFERROR(__xludf.DUMMYFUNCTION("""COMPUTED_VALUE"""),37.92)</f>
        <v>37.92</v>
      </c>
      <c r="E266" s="2">
        <f>IFERROR(__xludf.DUMMYFUNCTION("""COMPUTED_VALUE"""),39.44)</f>
        <v>39.44</v>
      </c>
      <c r="F266" s="2">
        <f>IFERROR(__xludf.DUMMYFUNCTION("""COMPUTED_VALUE"""),1.12513982E8)</f>
        <v>112513982</v>
      </c>
      <c r="G266" s="3">
        <f t="shared" si="1"/>
        <v>0.005865850548</v>
      </c>
    </row>
    <row r="267">
      <c r="A267" s="1">
        <f>IFERROR(__xludf.DUMMYFUNCTION("""COMPUTED_VALUE"""),43497.66666666667)</f>
        <v>43497.66667</v>
      </c>
      <c r="B267" s="2">
        <f>IFERROR(__xludf.DUMMYFUNCTION("""COMPUTED_VALUE"""),38.95)</f>
        <v>38.95</v>
      </c>
      <c r="C267" s="2">
        <f>IFERROR(__xludf.DUMMYFUNCTION("""COMPUTED_VALUE"""),42.25)</f>
        <v>42.25</v>
      </c>
      <c r="D267" s="2">
        <f>IFERROR(__xludf.DUMMYFUNCTION("""COMPUTED_VALUE"""),38.42)</f>
        <v>38.42</v>
      </c>
      <c r="E267" s="2">
        <f>IFERROR(__xludf.DUMMYFUNCTION("""COMPUTED_VALUE"""),41.63)</f>
        <v>41.63</v>
      </c>
      <c r="F267" s="2">
        <f>IFERROR(__xludf.DUMMYFUNCTION("""COMPUTED_VALUE"""),2.02296864E8)</f>
        <v>202296864</v>
      </c>
      <c r="G267" s="3">
        <f t="shared" si="1"/>
        <v>0.05552738337</v>
      </c>
    </row>
    <row r="268">
      <c r="A268" s="1">
        <f>IFERROR(__xludf.DUMMYFUNCTION("""COMPUTED_VALUE"""),43504.66666666667)</f>
        <v>43504.66667</v>
      </c>
      <c r="B268" s="2">
        <f>IFERROR(__xludf.DUMMYFUNCTION("""COMPUTED_VALUE"""),41.85)</f>
        <v>41.85</v>
      </c>
      <c r="C268" s="2">
        <f>IFERROR(__xludf.DUMMYFUNCTION("""COMPUTED_VALUE"""),43.89)</f>
        <v>43.89</v>
      </c>
      <c r="D268" s="2">
        <f>IFERROR(__xludf.DUMMYFUNCTION("""COMPUTED_VALUE"""),41.82)</f>
        <v>41.82</v>
      </c>
      <c r="E268" s="2">
        <f>IFERROR(__xludf.DUMMYFUNCTION("""COMPUTED_VALUE"""),42.6)</f>
        <v>42.6</v>
      </c>
      <c r="F268" s="2">
        <f>IFERROR(__xludf.DUMMYFUNCTION("""COMPUTED_VALUE"""),1.51398457E8)</f>
        <v>151398457</v>
      </c>
      <c r="G268" s="3">
        <f t="shared" si="1"/>
        <v>0.02330050444</v>
      </c>
    </row>
    <row r="269">
      <c r="A269" s="1">
        <f>IFERROR(__xludf.DUMMYFUNCTION("""COMPUTED_VALUE"""),43511.66666666667)</f>
        <v>43511.66667</v>
      </c>
      <c r="B269" s="2">
        <f>IFERROR(__xludf.DUMMYFUNCTION("""COMPUTED_VALUE"""),42.76)</f>
        <v>42.76</v>
      </c>
      <c r="C269" s="2">
        <f>IFERROR(__xludf.DUMMYFUNCTION("""COMPUTED_VALUE"""),43.12)</f>
        <v>43.12</v>
      </c>
      <c r="D269" s="2">
        <f>IFERROR(__xludf.DUMMYFUNCTION("""COMPUTED_VALUE"""),42.31)</f>
        <v>42.31</v>
      </c>
      <c r="E269" s="2">
        <f>IFERROR(__xludf.DUMMYFUNCTION("""COMPUTED_VALUE"""),42.61)</f>
        <v>42.61</v>
      </c>
      <c r="F269" s="2">
        <f>IFERROR(__xludf.DUMMYFUNCTION("""COMPUTED_VALUE"""),1.12229742E8)</f>
        <v>112229742</v>
      </c>
      <c r="G269" s="3">
        <f t="shared" si="1"/>
        <v>0.000234741784</v>
      </c>
    </row>
    <row r="270">
      <c r="A270" s="1">
        <f>IFERROR(__xludf.DUMMYFUNCTION("""COMPUTED_VALUE"""),43518.66666666667)</f>
        <v>43518.66667</v>
      </c>
      <c r="B270" s="2">
        <f>IFERROR(__xludf.DUMMYFUNCTION("""COMPUTED_VALUE"""),42.43)</f>
        <v>42.43</v>
      </c>
      <c r="C270" s="2">
        <f>IFERROR(__xludf.DUMMYFUNCTION("""COMPUTED_VALUE"""),43.33)</f>
        <v>43.33</v>
      </c>
      <c r="D270" s="2">
        <f>IFERROR(__xludf.DUMMYFUNCTION("""COMPUTED_VALUE"""),42.37)</f>
        <v>42.37</v>
      </c>
      <c r="E270" s="2">
        <f>IFERROR(__xludf.DUMMYFUNCTION("""COMPUTED_VALUE"""),43.24)</f>
        <v>43.24</v>
      </c>
      <c r="F270" s="2">
        <f>IFERROR(__xludf.DUMMYFUNCTION("""COMPUTED_VALUE"""),8.1250012E7)</f>
        <v>81250012</v>
      </c>
      <c r="G270" s="3">
        <f t="shared" si="1"/>
        <v>0.01478526168</v>
      </c>
    </row>
    <row r="271">
      <c r="A271" s="1">
        <f>IFERROR(__xludf.DUMMYFUNCTION("""COMPUTED_VALUE"""),43525.66666666667)</f>
        <v>43525.66667</v>
      </c>
      <c r="B271" s="2">
        <f>IFERROR(__xludf.DUMMYFUNCTION("""COMPUTED_VALUE"""),43.54)</f>
        <v>43.54</v>
      </c>
      <c r="C271" s="2">
        <f>IFERROR(__xludf.DUMMYFUNCTION("""COMPUTED_VALUE"""),43.97)</f>
        <v>43.97</v>
      </c>
      <c r="D271" s="2">
        <f>IFERROR(__xludf.DUMMYFUNCTION("""COMPUTED_VALUE"""),43.18)</f>
        <v>43.18</v>
      </c>
      <c r="E271" s="2">
        <f>IFERROR(__xludf.DUMMYFUNCTION("""COMPUTED_VALUE"""),43.74)</f>
        <v>43.74</v>
      </c>
      <c r="F271" s="2">
        <f>IFERROR(__xludf.DUMMYFUNCTION("""COMPUTED_VALUE"""),1.20880541E8)</f>
        <v>120880541</v>
      </c>
      <c r="G271" s="3">
        <f t="shared" si="1"/>
        <v>0.01156336725</v>
      </c>
    </row>
    <row r="272">
      <c r="A272" s="1">
        <f>IFERROR(__xludf.DUMMYFUNCTION("""COMPUTED_VALUE"""),43532.66666666667)</f>
        <v>43532.66667</v>
      </c>
      <c r="B272" s="2">
        <f>IFERROR(__xludf.DUMMYFUNCTION("""COMPUTED_VALUE"""),43.92)</f>
        <v>43.92</v>
      </c>
      <c r="C272" s="2">
        <f>IFERROR(__xludf.DUMMYFUNCTION("""COMPUTED_VALUE"""),44.44)</f>
        <v>44.44</v>
      </c>
      <c r="D272" s="2">
        <f>IFERROR(__xludf.DUMMYFUNCTION("""COMPUTED_VALUE"""),42.38)</f>
        <v>42.38</v>
      </c>
      <c r="E272" s="2">
        <f>IFERROR(__xludf.DUMMYFUNCTION("""COMPUTED_VALUE"""),43.23)</f>
        <v>43.23</v>
      </c>
      <c r="F272" s="2">
        <f>IFERROR(__xludf.DUMMYFUNCTION("""COMPUTED_VALUE"""),1.16779738E8)</f>
        <v>116779738</v>
      </c>
      <c r="G272" s="3">
        <f t="shared" si="1"/>
        <v>-0.01165980796</v>
      </c>
    </row>
    <row r="273">
      <c r="A273" s="1">
        <f>IFERROR(__xludf.DUMMYFUNCTION("""COMPUTED_VALUE"""),43539.66666666667)</f>
        <v>43539.66667</v>
      </c>
      <c r="B273" s="2">
        <f>IFERROR(__xludf.DUMMYFUNCTION("""COMPUTED_VALUE"""),43.87)</f>
        <v>43.87</v>
      </c>
      <c r="C273" s="2">
        <f>IFERROR(__xludf.DUMMYFUNCTION("""COMPUTED_VALUE"""),46.83)</f>
        <v>46.83</v>
      </c>
      <c r="D273" s="2">
        <f>IFERROR(__xludf.DUMMYFUNCTION("""COMPUTED_VALUE"""),43.84)</f>
        <v>43.84</v>
      </c>
      <c r="E273" s="2">
        <f>IFERROR(__xludf.DUMMYFUNCTION("""COMPUTED_VALUE"""),46.53)</f>
        <v>46.53</v>
      </c>
      <c r="F273" s="2">
        <f>IFERROR(__xludf.DUMMYFUNCTION("""COMPUTED_VALUE"""),1.58133562E8)</f>
        <v>158133562</v>
      </c>
      <c r="G273" s="3">
        <f t="shared" si="1"/>
        <v>0.07633587786</v>
      </c>
    </row>
    <row r="274">
      <c r="A274" s="1">
        <f>IFERROR(__xludf.DUMMYFUNCTION("""COMPUTED_VALUE"""),43546.66666666667)</f>
        <v>43546.66667</v>
      </c>
      <c r="B274" s="2">
        <f>IFERROR(__xludf.DUMMYFUNCTION("""COMPUTED_VALUE"""),46.45)</f>
        <v>46.45</v>
      </c>
      <c r="C274" s="2">
        <f>IFERROR(__xludf.DUMMYFUNCTION("""COMPUTED_VALUE"""),49.42)</f>
        <v>49.42</v>
      </c>
      <c r="D274" s="2">
        <f>IFERROR(__xludf.DUMMYFUNCTION("""COMPUTED_VALUE"""),46.18)</f>
        <v>46.18</v>
      </c>
      <c r="E274" s="2">
        <f>IFERROR(__xludf.DUMMYFUNCTION("""COMPUTED_VALUE"""),47.76)</f>
        <v>47.76</v>
      </c>
      <c r="F274" s="2">
        <f>IFERROR(__xludf.DUMMYFUNCTION("""COMPUTED_VALUE"""),1.82343335E8)</f>
        <v>182343335</v>
      </c>
      <c r="G274" s="3">
        <f t="shared" si="1"/>
        <v>0.02643455835</v>
      </c>
    </row>
    <row r="275">
      <c r="A275" s="1">
        <f>IFERROR(__xludf.DUMMYFUNCTION("""COMPUTED_VALUE"""),43553.66666666667)</f>
        <v>43553.66667</v>
      </c>
      <c r="B275" s="2">
        <f>IFERROR(__xludf.DUMMYFUNCTION("""COMPUTED_VALUE"""),47.88)</f>
        <v>47.88</v>
      </c>
      <c r="C275" s="2">
        <f>IFERROR(__xludf.DUMMYFUNCTION("""COMPUTED_VALUE"""),48.22)</f>
        <v>48.22</v>
      </c>
      <c r="D275" s="2">
        <f>IFERROR(__xludf.DUMMYFUNCTION("""COMPUTED_VALUE"""),46.15)</f>
        <v>46.15</v>
      </c>
      <c r="E275" s="2">
        <f>IFERROR(__xludf.DUMMYFUNCTION("""COMPUTED_VALUE"""),47.49)</f>
        <v>47.49</v>
      </c>
      <c r="F275" s="2">
        <f>IFERROR(__xludf.DUMMYFUNCTION("""COMPUTED_VALUE"""),1.67838582E8)</f>
        <v>167838582</v>
      </c>
      <c r="G275" s="3">
        <f t="shared" si="1"/>
        <v>-0.005653266332</v>
      </c>
    </row>
    <row r="276">
      <c r="A276" s="1">
        <f>IFERROR(__xludf.DUMMYFUNCTION("""COMPUTED_VALUE"""),43560.66666666667)</f>
        <v>43560.66667</v>
      </c>
      <c r="B276" s="2">
        <f>IFERROR(__xludf.DUMMYFUNCTION("""COMPUTED_VALUE"""),47.91)</f>
        <v>47.91</v>
      </c>
      <c r="C276" s="2">
        <f>IFERROR(__xludf.DUMMYFUNCTION("""COMPUTED_VALUE"""),49.28)</f>
        <v>49.28</v>
      </c>
      <c r="D276" s="2">
        <f>IFERROR(__xludf.DUMMYFUNCTION("""COMPUTED_VALUE"""),47.1)</f>
        <v>47.1</v>
      </c>
      <c r="E276" s="2">
        <f>IFERROR(__xludf.DUMMYFUNCTION("""COMPUTED_VALUE"""),49.25)</f>
        <v>49.25</v>
      </c>
      <c r="F276" s="2">
        <f>IFERROR(__xludf.DUMMYFUNCTION("""COMPUTED_VALUE"""),1.11540445E8)</f>
        <v>111540445</v>
      </c>
      <c r="G276" s="3">
        <f t="shared" si="1"/>
        <v>0.03706043378</v>
      </c>
    </row>
    <row r="277">
      <c r="A277" s="1">
        <f>IFERROR(__xludf.DUMMYFUNCTION("""COMPUTED_VALUE"""),43567.66666666667)</f>
        <v>43567.66667</v>
      </c>
      <c r="B277" s="2">
        <f>IFERROR(__xludf.DUMMYFUNCTION("""COMPUTED_VALUE"""),49.11)</f>
        <v>49.11</v>
      </c>
      <c r="C277" s="2">
        <f>IFERROR(__xludf.DUMMYFUNCTION("""COMPUTED_VALUE"""),50.71)</f>
        <v>50.71</v>
      </c>
      <c r="D277" s="2">
        <f>IFERROR(__xludf.DUMMYFUNCTION("""COMPUTED_VALUE"""),49.05)</f>
        <v>49.05</v>
      </c>
      <c r="E277" s="2">
        <f>IFERROR(__xludf.DUMMYFUNCTION("""COMPUTED_VALUE"""),49.72)</f>
        <v>49.72</v>
      </c>
      <c r="F277" s="2">
        <f>IFERROR(__xludf.DUMMYFUNCTION("""COMPUTED_VALUE"""),1.32006698E8)</f>
        <v>132006698</v>
      </c>
      <c r="G277" s="3">
        <f t="shared" si="1"/>
        <v>0.009543147208</v>
      </c>
    </row>
    <row r="278">
      <c r="A278" s="1">
        <f>IFERROR(__xludf.DUMMYFUNCTION("""COMPUTED_VALUE"""),43573.66666666667)</f>
        <v>43573.66667</v>
      </c>
      <c r="B278" s="2">
        <f>IFERROR(__xludf.DUMMYFUNCTION("""COMPUTED_VALUE"""),49.65)</f>
        <v>49.65</v>
      </c>
      <c r="C278" s="2">
        <f>IFERROR(__xludf.DUMMYFUNCTION("""COMPUTED_VALUE"""),51.04)</f>
        <v>51.04</v>
      </c>
      <c r="D278" s="2">
        <f>IFERROR(__xludf.DUMMYFUNCTION("""COMPUTED_VALUE"""),49.5)</f>
        <v>49.5</v>
      </c>
      <c r="E278" s="2">
        <f>IFERROR(__xludf.DUMMYFUNCTION("""COMPUTED_VALUE"""),50.97)</f>
        <v>50.97</v>
      </c>
      <c r="F278" s="2">
        <f>IFERROR(__xludf.DUMMYFUNCTION("""COMPUTED_VALUE"""),9.6335577E7)</f>
        <v>96335577</v>
      </c>
      <c r="G278" s="3">
        <f t="shared" si="1"/>
        <v>0.02514078842</v>
      </c>
    </row>
    <row r="279">
      <c r="A279" s="1">
        <f>IFERROR(__xludf.DUMMYFUNCTION("""COMPUTED_VALUE"""),43581.66666666667)</f>
        <v>43581.66667</v>
      </c>
      <c r="B279" s="2">
        <f>IFERROR(__xludf.DUMMYFUNCTION("""COMPUTED_VALUE"""),50.71)</f>
        <v>50.71</v>
      </c>
      <c r="C279" s="2">
        <f>IFERROR(__xludf.DUMMYFUNCTION("""COMPUTED_VALUE"""),52.12)</f>
        <v>52.12</v>
      </c>
      <c r="D279" s="2">
        <f>IFERROR(__xludf.DUMMYFUNCTION("""COMPUTED_VALUE"""),50.53)</f>
        <v>50.53</v>
      </c>
      <c r="E279" s="2">
        <f>IFERROR(__xludf.DUMMYFUNCTION("""COMPUTED_VALUE"""),51.08)</f>
        <v>51.08</v>
      </c>
      <c r="F279" s="2">
        <f>IFERROR(__xludf.DUMMYFUNCTION("""COMPUTED_VALUE"""),9.7495453E7)</f>
        <v>97495453</v>
      </c>
      <c r="G279" s="3">
        <f t="shared" si="1"/>
        <v>0.002158132235</v>
      </c>
    </row>
    <row r="280">
      <c r="A280" s="1">
        <f>IFERROR(__xludf.DUMMYFUNCTION("""COMPUTED_VALUE"""),43588.66666666667)</f>
        <v>43588.66667</v>
      </c>
      <c r="B280" s="2">
        <f>IFERROR(__xludf.DUMMYFUNCTION("""COMPUTED_VALUE"""),51.1)</f>
        <v>51.1</v>
      </c>
      <c r="C280" s="2">
        <f>IFERROR(__xludf.DUMMYFUNCTION("""COMPUTED_VALUE"""),53.83)</f>
        <v>53.83</v>
      </c>
      <c r="D280" s="2">
        <f>IFERROR(__xludf.DUMMYFUNCTION("""COMPUTED_VALUE"""),49.78)</f>
        <v>49.78</v>
      </c>
      <c r="E280" s="2">
        <f>IFERROR(__xludf.DUMMYFUNCTION("""COMPUTED_VALUE"""),52.94)</f>
        <v>52.94</v>
      </c>
      <c r="F280" s="2">
        <f>IFERROR(__xludf.DUMMYFUNCTION("""COMPUTED_VALUE"""),1.86455669E8)</f>
        <v>186455669</v>
      </c>
      <c r="G280" s="3">
        <f t="shared" si="1"/>
        <v>0.03641346907</v>
      </c>
    </row>
    <row r="281">
      <c r="A281" s="1">
        <f>IFERROR(__xludf.DUMMYFUNCTION("""COMPUTED_VALUE"""),43595.66666666667)</f>
        <v>43595.66667</v>
      </c>
      <c r="B281" s="2">
        <f>IFERROR(__xludf.DUMMYFUNCTION("""COMPUTED_VALUE"""),51.07)</f>
        <v>51.07</v>
      </c>
      <c r="C281" s="2">
        <f>IFERROR(__xludf.DUMMYFUNCTION("""COMPUTED_VALUE"""),52.21)</f>
        <v>52.21</v>
      </c>
      <c r="D281" s="2">
        <f>IFERROR(__xludf.DUMMYFUNCTION("""COMPUTED_VALUE"""),48.19)</f>
        <v>48.19</v>
      </c>
      <c r="E281" s="2">
        <f>IFERROR(__xludf.DUMMYFUNCTION("""COMPUTED_VALUE"""),49.3)</f>
        <v>49.3</v>
      </c>
      <c r="F281" s="2">
        <f>IFERROR(__xludf.DUMMYFUNCTION("""COMPUTED_VALUE"""),1.73663634E8)</f>
        <v>173663634</v>
      </c>
      <c r="G281" s="3">
        <f t="shared" si="1"/>
        <v>-0.06875708349</v>
      </c>
    </row>
    <row r="282">
      <c r="A282" s="1">
        <f>IFERROR(__xludf.DUMMYFUNCTION("""COMPUTED_VALUE"""),43602.66666666667)</f>
        <v>43602.66667</v>
      </c>
      <c r="B282" s="2">
        <f>IFERROR(__xludf.DUMMYFUNCTION("""COMPUTED_VALUE"""),46.93)</f>
        <v>46.93</v>
      </c>
      <c r="C282" s="2">
        <f>IFERROR(__xludf.DUMMYFUNCTION("""COMPUTED_VALUE"""),48.12)</f>
        <v>48.12</v>
      </c>
      <c r="D282" s="2">
        <f>IFERROR(__xludf.DUMMYFUNCTION("""COMPUTED_VALUE"""),45.71)</f>
        <v>45.71</v>
      </c>
      <c r="E282" s="2">
        <f>IFERROR(__xludf.DUMMYFUNCTION("""COMPUTED_VALUE"""),47.25)</f>
        <v>47.25</v>
      </c>
      <c r="F282" s="2">
        <f>IFERROR(__xludf.DUMMYFUNCTION("""COMPUTED_VALUE"""),1.86415472E8)</f>
        <v>186415472</v>
      </c>
      <c r="G282" s="3">
        <f t="shared" si="1"/>
        <v>-0.0415821501</v>
      </c>
    </row>
    <row r="283">
      <c r="A283" s="1">
        <f>IFERROR(__xludf.DUMMYFUNCTION("""COMPUTED_VALUE"""),43609.66666666667)</f>
        <v>43609.66667</v>
      </c>
      <c r="B283" s="2">
        <f>IFERROR(__xludf.DUMMYFUNCTION("""COMPUTED_VALUE"""),45.88)</f>
        <v>45.88</v>
      </c>
      <c r="C283" s="2">
        <f>IFERROR(__xludf.DUMMYFUNCTION("""COMPUTED_VALUE"""),47.0)</f>
        <v>47</v>
      </c>
      <c r="D283" s="2">
        <f>IFERROR(__xludf.DUMMYFUNCTION("""COMPUTED_VALUE"""),44.45)</f>
        <v>44.45</v>
      </c>
      <c r="E283" s="2">
        <f>IFERROR(__xludf.DUMMYFUNCTION("""COMPUTED_VALUE"""),44.74)</f>
        <v>44.74</v>
      </c>
      <c r="F283" s="2">
        <f>IFERROR(__xludf.DUMMYFUNCTION("""COMPUTED_VALUE"""),1.56970116E8)</f>
        <v>156970116</v>
      </c>
      <c r="G283" s="3">
        <f t="shared" si="1"/>
        <v>-0.05312169312</v>
      </c>
    </row>
    <row r="284">
      <c r="A284" s="1">
        <f>IFERROR(__xludf.DUMMYFUNCTION("""COMPUTED_VALUE"""),43616.66666666667)</f>
        <v>43616.66667</v>
      </c>
      <c r="B284" s="2">
        <f>IFERROR(__xludf.DUMMYFUNCTION("""COMPUTED_VALUE"""),44.73)</f>
        <v>44.73</v>
      </c>
      <c r="C284" s="2">
        <f>IFERROR(__xludf.DUMMYFUNCTION("""COMPUTED_VALUE"""),45.15)</f>
        <v>45.15</v>
      </c>
      <c r="D284" s="2">
        <f>IFERROR(__xludf.DUMMYFUNCTION("""COMPUTED_VALUE"""),43.75)</f>
        <v>43.75</v>
      </c>
      <c r="E284" s="2">
        <f>IFERROR(__xludf.DUMMYFUNCTION("""COMPUTED_VALUE"""),43.77)</f>
        <v>43.77</v>
      </c>
      <c r="F284" s="2">
        <f>IFERROR(__xludf.DUMMYFUNCTION("""COMPUTED_VALUE"""),1.04691321E8)</f>
        <v>104691321</v>
      </c>
      <c r="G284" s="3">
        <f t="shared" si="1"/>
        <v>-0.02168082253</v>
      </c>
    </row>
    <row r="285">
      <c r="A285" s="1">
        <f>IFERROR(__xludf.DUMMYFUNCTION("""COMPUTED_VALUE"""),43623.66666666667)</f>
        <v>43623.66667</v>
      </c>
      <c r="B285" s="2">
        <f>IFERROR(__xludf.DUMMYFUNCTION("""COMPUTED_VALUE"""),43.9)</f>
        <v>43.9</v>
      </c>
      <c r="C285" s="2">
        <f>IFERROR(__xludf.DUMMYFUNCTION("""COMPUTED_VALUE"""),47.98)</f>
        <v>47.98</v>
      </c>
      <c r="D285" s="2">
        <f>IFERROR(__xludf.DUMMYFUNCTION("""COMPUTED_VALUE"""),42.57)</f>
        <v>42.57</v>
      </c>
      <c r="E285" s="2">
        <f>IFERROR(__xludf.DUMMYFUNCTION("""COMPUTED_VALUE"""),47.54)</f>
        <v>47.54</v>
      </c>
      <c r="F285" s="2">
        <f>IFERROR(__xludf.DUMMYFUNCTION("""COMPUTED_VALUE"""),1.54348161E8)</f>
        <v>154348161</v>
      </c>
      <c r="G285" s="3">
        <f t="shared" si="1"/>
        <v>0.08613205392</v>
      </c>
    </row>
    <row r="286">
      <c r="A286" s="1">
        <f>IFERROR(__xludf.DUMMYFUNCTION("""COMPUTED_VALUE"""),43630.66666666667)</f>
        <v>43630.66667</v>
      </c>
      <c r="B286" s="2">
        <f>IFERROR(__xludf.DUMMYFUNCTION("""COMPUTED_VALUE"""),47.95)</f>
        <v>47.95</v>
      </c>
      <c r="C286" s="2">
        <f>IFERROR(__xludf.DUMMYFUNCTION("""COMPUTED_VALUE"""),49.2)</f>
        <v>49.2</v>
      </c>
      <c r="D286" s="2">
        <f>IFERROR(__xludf.DUMMYFUNCTION("""COMPUTED_VALUE"""),47.58)</f>
        <v>47.58</v>
      </c>
      <c r="E286" s="2">
        <f>IFERROR(__xludf.DUMMYFUNCTION("""COMPUTED_VALUE"""),48.19)</f>
        <v>48.19</v>
      </c>
      <c r="F286" s="2">
        <f>IFERROR(__xludf.DUMMYFUNCTION("""COMPUTED_VALUE"""),1.11843021E8)</f>
        <v>111843021</v>
      </c>
      <c r="G286" s="3">
        <f t="shared" si="1"/>
        <v>0.01367269668</v>
      </c>
    </row>
    <row r="287">
      <c r="A287" s="1">
        <f>IFERROR(__xludf.DUMMYFUNCTION("""COMPUTED_VALUE"""),43637.66666666667)</f>
        <v>43637.66667</v>
      </c>
      <c r="B287" s="2">
        <f>IFERROR(__xludf.DUMMYFUNCTION("""COMPUTED_VALUE"""),48.23)</f>
        <v>48.23</v>
      </c>
      <c r="C287" s="2">
        <f>IFERROR(__xludf.DUMMYFUNCTION("""COMPUTED_VALUE"""),50.21)</f>
        <v>50.21</v>
      </c>
      <c r="D287" s="2">
        <f>IFERROR(__xludf.DUMMYFUNCTION("""COMPUTED_VALUE"""),48.04)</f>
        <v>48.04</v>
      </c>
      <c r="E287" s="2">
        <f>IFERROR(__xludf.DUMMYFUNCTION("""COMPUTED_VALUE"""),49.7)</f>
        <v>49.7</v>
      </c>
      <c r="F287" s="2">
        <f>IFERROR(__xludf.DUMMYFUNCTION("""COMPUTED_VALUE"""),1.3165896E8)</f>
        <v>131658960</v>
      </c>
      <c r="G287" s="3">
        <f t="shared" si="1"/>
        <v>0.03133430172</v>
      </c>
    </row>
    <row r="288">
      <c r="A288" s="1">
        <f>IFERROR(__xludf.DUMMYFUNCTION("""COMPUTED_VALUE"""),43644.66666666667)</f>
        <v>43644.66667</v>
      </c>
      <c r="B288" s="2">
        <f>IFERROR(__xludf.DUMMYFUNCTION("""COMPUTED_VALUE"""),49.64)</f>
        <v>49.64</v>
      </c>
      <c r="C288" s="2">
        <f>IFERROR(__xludf.DUMMYFUNCTION("""COMPUTED_VALUE"""),50.39)</f>
        <v>50.39</v>
      </c>
      <c r="D288" s="2">
        <f>IFERROR(__xludf.DUMMYFUNCTION("""COMPUTED_VALUE"""),48.82)</f>
        <v>48.82</v>
      </c>
      <c r="E288" s="2">
        <f>IFERROR(__xludf.DUMMYFUNCTION("""COMPUTED_VALUE"""),49.48)</f>
        <v>49.48</v>
      </c>
      <c r="F288" s="2">
        <f>IFERROR(__xludf.DUMMYFUNCTION("""COMPUTED_VALUE"""),1.17368626E8)</f>
        <v>117368626</v>
      </c>
      <c r="G288" s="3">
        <f t="shared" si="1"/>
        <v>-0.004426559356</v>
      </c>
    </row>
    <row r="289">
      <c r="A289" s="1">
        <f>IFERROR(__xludf.DUMMYFUNCTION("""COMPUTED_VALUE"""),43651.66666666667)</f>
        <v>43651.66667</v>
      </c>
      <c r="B289" s="2">
        <f>IFERROR(__xludf.DUMMYFUNCTION("""COMPUTED_VALUE"""),50.79)</f>
        <v>50.79</v>
      </c>
      <c r="C289" s="2">
        <f>IFERROR(__xludf.DUMMYFUNCTION("""COMPUTED_VALUE"""),51.27)</f>
        <v>51.27</v>
      </c>
      <c r="D289" s="2">
        <f>IFERROR(__xludf.DUMMYFUNCTION("""COMPUTED_VALUE"""),50.16)</f>
        <v>50.16</v>
      </c>
      <c r="E289" s="2">
        <f>IFERROR(__xludf.DUMMYFUNCTION("""COMPUTED_VALUE"""),51.06)</f>
        <v>51.06</v>
      </c>
      <c r="F289" s="2">
        <f>IFERROR(__xludf.DUMMYFUNCTION("""COMPUTED_VALUE"""),7.2879519E7)</f>
        <v>72879519</v>
      </c>
      <c r="G289" s="3">
        <f t="shared" si="1"/>
        <v>0.03193209378</v>
      </c>
    </row>
    <row r="290">
      <c r="A290" s="1">
        <f>IFERROR(__xludf.DUMMYFUNCTION("""COMPUTED_VALUE"""),43658.66666666667)</f>
        <v>43658.66667</v>
      </c>
      <c r="B290" s="2">
        <f>IFERROR(__xludf.DUMMYFUNCTION("""COMPUTED_VALUE"""),50.2)</f>
        <v>50.2</v>
      </c>
      <c r="C290" s="2">
        <f>IFERROR(__xludf.DUMMYFUNCTION("""COMPUTED_VALUE"""),51.1)</f>
        <v>51.1</v>
      </c>
      <c r="D290" s="2">
        <f>IFERROR(__xludf.DUMMYFUNCTION("""COMPUTED_VALUE"""),49.6)</f>
        <v>49.6</v>
      </c>
      <c r="E290" s="2">
        <f>IFERROR(__xludf.DUMMYFUNCTION("""COMPUTED_VALUE"""),50.83)</f>
        <v>50.83</v>
      </c>
      <c r="F290" s="2">
        <f>IFERROR(__xludf.DUMMYFUNCTION("""COMPUTED_VALUE"""),1.01600835E8)</f>
        <v>101600835</v>
      </c>
      <c r="G290" s="3">
        <f t="shared" si="1"/>
        <v>-0.004504504505</v>
      </c>
    </row>
    <row r="291">
      <c r="A291" s="1">
        <f>IFERROR(__xludf.DUMMYFUNCTION("""COMPUTED_VALUE"""),43665.66666666667)</f>
        <v>43665.66667</v>
      </c>
      <c r="B291" s="2">
        <f>IFERROR(__xludf.DUMMYFUNCTION("""COMPUTED_VALUE"""),51.02)</f>
        <v>51.02</v>
      </c>
      <c r="C291" s="2">
        <f>IFERROR(__xludf.DUMMYFUNCTION("""COMPUTED_VALUE"""),51.63)</f>
        <v>51.63</v>
      </c>
      <c r="D291" s="2">
        <f>IFERROR(__xludf.DUMMYFUNCTION("""COMPUTED_VALUE"""),50.59)</f>
        <v>50.59</v>
      </c>
      <c r="E291" s="2">
        <f>IFERROR(__xludf.DUMMYFUNCTION("""COMPUTED_VALUE"""),50.65)</f>
        <v>50.65</v>
      </c>
      <c r="F291" s="2">
        <f>IFERROR(__xludf.DUMMYFUNCTION("""COMPUTED_VALUE"""),8.7433154E7)</f>
        <v>87433154</v>
      </c>
      <c r="G291" s="3">
        <f t="shared" si="1"/>
        <v>-0.003541215817</v>
      </c>
    </row>
    <row r="292">
      <c r="A292" s="1">
        <f>IFERROR(__xludf.DUMMYFUNCTION("""COMPUTED_VALUE"""),43672.66666666667)</f>
        <v>43672.66667</v>
      </c>
      <c r="B292" s="2">
        <f>IFERROR(__xludf.DUMMYFUNCTION("""COMPUTED_VALUE"""),50.91)</f>
        <v>50.91</v>
      </c>
      <c r="C292" s="2">
        <f>IFERROR(__xludf.DUMMYFUNCTION("""COMPUTED_VALUE"""),52.43)</f>
        <v>52.43</v>
      </c>
      <c r="D292" s="2">
        <f>IFERROR(__xludf.DUMMYFUNCTION("""COMPUTED_VALUE"""),50.9)</f>
        <v>50.9</v>
      </c>
      <c r="E292" s="2">
        <f>IFERROR(__xludf.DUMMYFUNCTION("""COMPUTED_VALUE"""),51.94)</f>
        <v>51.94</v>
      </c>
      <c r="F292" s="2">
        <f>IFERROR(__xludf.DUMMYFUNCTION("""COMPUTED_VALUE"""),8.7153145E7)</f>
        <v>87153145</v>
      </c>
      <c r="G292" s="3">
        <f t="shared" si="1"/>
        <v>0.02546890424</v>
      </c>
    </row>
    <row r="293">
      <c r="A293" s="1">
        <f>IFERROR(__xludf.DUMMYFUNCTION("""COMPUTED_VALUE"""),43679.66666666667)</f>
        <v>43679.66667</v>
      </c>
      <c r="B293" s="2">
        <f>IFERROR(__xludf.DUMMYFUNCTION("""COMPUTED_VALUE"""),52.12)</f>
        <v>52.12</v>
      </c>
      <c r="C293" s="2">
        <f>IFERROR(__xludf.DUMMYFUNCTION("""COMPUTED_VALUE"""),55.34)</f>
        <v>55.34</v>
      </c>
      <c r="D293" s="2">
        <f>IFERROR(__xludf.DUMMYFUNCTION("""COMPUTED_VALUE"""),50.41)</f>
        <v>50.41</v>
      </c>
      <c r="E293" s="2">
        <f>IFERROR(__xludf.DUMMYFUNCTION("""COMPUTED_VALUE"""),51.01)</f>
        <v>51.01</v>
      </c>
      <c r="F293" s="2">
        <f>IFERROR(__xludf.DUMMYFUNCTION("""COMPUTED_VALUE"""),2.19770512E8)</f>
        <v>219770512</v>
      </c>
      <c r="G293" s="3">
        <f t="shared" si="1"/>
        <v>-0.01790527532</v>
      </c>
    </row>
    <row r="294">
      <c r="A294" s="1">
        <f>IFERROR(__xludf.DUMMYFUNCTION("""COMPUTED_VALUE"""),43686.66666666667)</f>
        <v>43686.66667</v>
      </c>
      <c r="B294" s="2">
        <f>IFERROR(__xludf.DUMMYFUNCTION("""COMPUTED_VALUE"""),49.5)</f>
        <v>49.5</v>
      </c>
      <c r="C294" s="2">
        <f>IFERROR(__xludf.DUMMYFUNCTION("""COMPUTED_VALUE"""),50.88)</f>
        <v>50.88</v>
      </c>
      <c r="D294" s="2">
        <f>IFERROR(__xludf.DUMMYFUNCTION("""COMPUTED_VALUE"""),48.15)</f>
        <v>48.15</v>
      </c>
      <c r="E294" s="2">
        <f>IFERROR(__xludf.DUMMYFUNCTION("""COMPUTED_VALUE"""),50.25)</f>
        <v>50.25</v>
      </c>
      <c r="F294" s="2">
        <f>IFERROR(__xludf.DUMMYFUNCTION("""COMPUTED_VALUE"""),1.73211425E8)</f>
        <v>173211425</v>
      </c>
      <c r="G294" s="3">
        <f t="shared" si="1"/>
        <v>-0.0148990394</v>
      </c>
    </row>
    <row r="295">
      <c r="A295" s="1">
        <f>IFERROR(__xludf.DUMMYFUNCTION("""COMPUTED_VALUE"""),43693.66666666667)</f>
        <v>43693.66667</v>
      </c>
      <c r="B295" s="2">
        <f>IFERROR(__xludf.DUMMYFUNCTION("""COMPUTED_VALUE"""),49.91)</f>
        <v>49.91</v>
      </c>
      <c r="C295" s="2">
        <f>IFERROR(__xludf.DUMMYFUNCTION("""COMPUTED_VALUE"""),53.04)</f>
        <v>53.04</v>
      </c>
      <c r="D295" s="2">
        <f>IFERROR(__xludf.DUMMYFUNCTION("""COMPUTED_VALUE"""),49.79)</f>
        <v>49.79</v>
      </c>
      <c r="E295" s="2">
        <f>IFERROR(__xludf.DUMMYFUNCTION("""COMPUTED_VALUE"""),51.63)</f>
        <v>51.63</v>
      </c>
      <c r="F295" s="2">
        <f>IFERROR(__xludf.DUMMYFUNCTION("""COMPUTED_VALUE"""),1.63266105E8)</f>
        <v>163266105</v>
      </c>
      <c r="G295" s="3">
        <f t="shared" si="1"/>
        <v>0.02746268657</v>
      </c>
    </row>
    <row r="296">
      <c r="A296" s="1">
        <f>IFERROR(__xludf.DUMMYFUNCTION("""COMPUTED_VALUE"""),43700.66666666667)</f>
        <v>43700.66667</v>
      </c>
      <c r="B296" s="2">
        <f>IFERROR(__xludf.DUMMYFUNCTION("""COMPUTED_VALUE"""),52.66)</f>
        <v>52.66</v>
      </c>
      <c r="C296" s="2">
        <f>IFERROR(__xludf.DUMMYFUNCTION("""COMPUTED_VALUE"""),53.61)</f>
        <v>53.61</v>
      </c>
      <c r="D296" s="2">
        <f>IFERROR(__xludf.DUMMYFUNCTION("""COMPUTED_VALUE"""),50.25)</f>
        <v>50.25</v>
      </c>
      <c r="E296" s="2">
        <f>IFERROR(__xludf.DUMMYFUNCTION("""COMPUTED_VALUE"""),50.66)</f>
        <v>50.66</v>
      </c>
      <c r="F296" s="2">
        <f>IFERROR(__xludf.DUMMYFUNCTION("""COMPUTED_VALUE"""),1.42066853E8)</f>
        <v>142066853</v>
      </c>
      <c r="G296" s="3">
        <f t="shared" si="1"/>
        <v>-0.01878752663</v>
      </c>
    </row>
    <row r="297">
      <c r="A297" s="1">
        <f>IFERROR(__xludf.DUMMYFUNCTION("""COMPUTED_VALUE"""),43707.66666666667)</f>
        <v>43707.66667</v>
      </c>
      <c r="B297" s="2">
        <f>IFERROR(__xludf.DUMMYFUNCTION("""COMPUTED_VALUE"""),51.47)</f>
        <v>51.47</v>
      </c>
      <c r="C297" s="2">
        <f>IFERROR(__xludf.DUMMYFUNCTION("""COMPUTED_VALUE"""),52.61)</f>
        <v>52.61</v>
      </c>
      <c r="D297" s="2">
        <f>IFERROR(__xludf.DUMMYFUNCTION("""COMPUTED_VALUE"""),50.83)</f>
        <v>50.83</v>
      </c>
      <c r="E297" s="2">
        <f>IFERROR(__xludf.DUMMYFUNCTION("""COMPUTED_VALUE"""),52.19)</f>
        <v>52.19</v>
      </c>
      <c r="F297" s="2">
        <f>IFERROR(__xludf.DUMMYFUNCTION("""COMPUTED_VALUE"""),1.10091319E8)</f>
        <v>110091319</v>
      </c>
      <c r="G297" s="3">
        <f t="shared" si="1"/>
        <v>0.03020134228</v>
      </c>
    </row>
    <row r="298">
      <c r="A298" s="1">
        <f>IFERROR(__xludf.DUMMYFUNCTION("""COMPUTED_VALUE"""),43714.66666666667)</f>
        <v>43714.66667</v>
      </c>
      <c r="B298" s="2">
        <f>IFERROR(__xludf.DUMMYFUNCTION("""COMPUTED_VALUE"""),51.61)</f>
        <v>51.61</v>
      </c>
      <c r="C298" s="2">
        <f>IFERROR(__xludf.DUMMYFUNCTION("""COMPUTED_VALUE"""),53.61)</f>
        <v>53.61</v>
      </c>
      <c r="D298" s="2">
        <f>IFERROR(__xludf.DUMMYFUNCTION("""COMPUTED_VALUE"""),51.06)</f>
        <v>51.06</v>
      </c>
      <c r="E298" s="2">
        <f>IFERROR(__xludf.DUMMYFUNCTION("""COMPUTED_VALUE"""),53.32)</f>
        <v>53.32</v>
      </c>
      <c r="F298" s="2">
        <f>IFERROR(__xludf.DUMMYFUNCTION("""COMPUTED_VALUE"""),8.2585672E7)</f>
        <v>82585672</v>
      </c>
      <c r="G298" s="3">
        <f t="shared" si="1"/>
        <v>0.02165165741</v>
      </c>
    </row>
    <row r="299">
      <c r="A299" s="1">
        <f>IFERROR(__xludf.DUMMYFUNCTION("""COMPUTED_VALUE"""),43721.66666666667)</f>
        <v>43721.66667</v>
      </c>
      <c r="B299" s="2">
        <f>IFERROR(__xludf.DUMMYFUNCTION("""COMPUTED_VALUE"""),53.71)</f>
        <v>53.71</v>
      </c>
      <c r="C299" s="2">
        <f>IFERROR(__xludf.DUMMYFUNCTION("""COMPUTED_VALUE"""),56.61)</f>
        <v>56.61</v>
      </c>
      <c r="D299" s="2">
        <f>IFERROR(__xludf.DUMMYFUNCTION("""COMPUTED_VALUE"""),52.77)</f>
        <v>52.77</v>
      </c>
      <c r="E299" s="2">
        <f>IFERROR(__xludf.DUMMYFUNCTION("""COMPUTED_VALUE"""),54.69)</f>
        <v>54.69</v>
      </c>
      <c r="F299" s="2">
        <f>IFERROR(__xludf.DUMMYFUNCTION("""COMPUTED_VALUE"""),1.75366943E8)</f>
        <v>175366943</v>
      </c>
      <c r="G299" s="3">
        <f t="shared" si="1"/>
        <v>0.02569392348</v>
      </c>
    </row>
    <row r="300">
      <c r="A300" s="1">
        <f>IFERROR(__xludf.DUMMYFUNCTION("""COMPUTED_VALUE"""),43728.66666666667)</f>
        <v>43728.66667</v>
      </c>
      <c r="B300" s="2">
        <f>IFERROR(__xludf.DUMMYFUNCTION("""COMPUTED_VALUE"""),54.43)</f>
        <v>54.43</v>
      </c>
      <c r="C300" s="2">
        <f>IFERROR(__xludf.DUMMYFUNCTION("""COMPUTED_VALUE"""),55.94)</f>
        <v>55.94</v>
      </c>
      <c r="D300" s="2">
        <f>IFERROR(__xludf.DUMMYFUNCTION("""COMPUTED_VALUE"""),54.37)</f>
        <v>54.37</v>
      </c>
      <c r="E300" s="2">
        <f>IFERROR(__xludf.DUMMYFUNCTION("""COMPUTED_VALUE"""),54.43)</f>
        <v>54.43</v>
      </c>
      <c r="F300" s="2">
        <f>IFERROR(__xludf.DUMMYFUNCTION("""COMPUTED_VALUE"""),1.45352672E8)</f>
        <v>145352672</v>
      </c>
      <c r="G300" s="3">
        <f t="shared" si="1"/>
        <v>-0.004754068385</v>
      </c>
    </row>
    <row r="301">
      <c r="A301" s="1">
        <f>IFERROR(__xludf.DUMMYFUNCTION("""COMPUTED_VALUE"""),43735.66666666667)</f>
        <v>43735.66667</v>
      </c>
      <c r="B301" s="2">
        <f>IFERROR(__xludf.DUMMYFUNCTION("""COMPUTED_VALUE"""),54.74)</f>
        <v>54.74</v>
      </c>
      <c r="C301" s="2">
        <f>IFERROR(__xludf.DUMMYFUNCTION("""COMPUTED_VALUE"""),55.62)</f>
        <v>55.62</v>
      </c>
      <c r="D301" s="2">
        <f>IFERROR(__xludf.DUMMYFUNCTION("""COMPUTED_VALUE"""),54.29)</f>
        <v>54.29</v>
      </c>
      <c r="E301" s="2">
        <f>IFERROR(__xludf.DUMMYFUNCTION("""COMPUTED_VALUE"""),54.71)</f>
        <v>54.71</v>
      </c>
      <c r="F301" s="2">
        <f>IFERROR(__xludf.DUMMYFUNCTION("""COMPUTED_VALUE"""),1.17784618E8)</f>
        <v>117784618</v>
      </c>
      <c r="G301" s="3">
        <f t="shared" si="1"/>
        <v>0.005144221936</v>
      </c>
    </row>
    <row r="302">
      <c r="A302" s="1">
        <f>IFERROR(__xludf.DUMMYFUNCTION("""COMPUTED_VALUE"""),43742.66666666667)</f>
        <v>43742.66667</v>
      </c>
      <c r="B302" s="2">
        <f>IFERROR(__xludf.DUMMYFUNCTION("""COMPUTED_VALUE"""),55.23)</f>
        <v>55.23</v>
      </c>
      <c r="C302" s="2">
        <f>IFERROR(__xludf.DUMMYFUNCTION("""COMPUTED_VALUE"""),57.06)</f>
        <v>57.06</v>
      </c>
      <c r="D302" s="2">
        <f>IFERROR(__xludf.DUMMYFUNCTION("""COMPUTED_VALUE"""),53.78)</f>
        <v>53.78</v>
      </c>
      <c r="E302" s="2">
        <f>IFERROR(__xludf.DUMMYFUNCTION("""COMPUTED_VALUE"""),56.75)</f>
        <v>56.75</v>
      </c>
      <c r="F302" s="2">
        <f>IFERROR(__xludf.DUMMYFUNCTION("""COMPUTED_VALUE"""),1.63381242E8)</f>
        <v>163381242</v>
      </c>
      <c r="G302" s="3">
        <f t="shared" si="1"/>
        <v>0.03728751599</v>
      </c>
    </row>
    <row r="303">
      <c r="A303" s="1">
        <f>IFERROR(__xludf.DUMMYFUNCTION("""COMPUTED_VALUE"""),43749.66666666667)</f>
        <v>43749.66667</v>
      </c>
      <c r="B303" s="2">
        <f>IFERROR(__xludf.DUMMYFUNCTION("""COMPUTED_VALUE"""),56.57)</f>
        <v>56.57</v>
      </c>
      <c r="C303" s="2">
        <f>IFERROR(__xludf.DUMMYFUNCTION("""COMPUTED_VALUE"""),59.41)</f>
        <v>59.41</v>
      </c>
      <c r="D303" s="2">
        <f>IFERROR(__xludf.DUMMYFUNCTION("""COMPUTED_VALUE"""),56.08)</f>
        <v>56.08</v>
      </c>
      <c r="E303" s="2">
        <f>IFERROR(__xludf.DUMMYFUNCTION("""COMPUTED_VALUE"""),59.05)</f>
        <v>59.05</v>
      </c>
      <c r="F303" s="2">
        <f>IFERROR(__xludf.DUMMYFUNCTION("""COMPUTED_VALUE"""),1.50154587E8)</f>
        <v>150154587</v>
      </c>
      <c r="G303" s="3">
        <f t="shared" si="1"/>
        <v>0.04052863436</v>
      </c>
    </row>
    <row r="304">
      <c r="A304" s="1">
        <f>IFERROR(__xludf.DUMMYFUNCTION("""COMPUTED_VALUE"""),43756.66666666667)</f>
        <v>43756.66667</v>
      </c>
      <c r="B304" s="2">
        <f>IFERROR(__xludf.DUMMYFUNCTION("""COMPUTED_VALUE"""),58.73)</f>
        <v>58.73</v>
      </c>
      <c r="C304" s="2">
        <f>IFERROR(__xludf.DUMMYFUNCTION("""COMPUTED_VALUE"""),59.53)</f>
        <v>59.53</v>
      </c>
      <c r="D304" s="2">
        <f>IFERROR(__xludf.DUMMYFUNCTION("""COMPUTED_VALUE"""),58.3)</f>
        <v>58.3</v>
      </c>
      <c r="E304" s="2">
        <f>IFERROR(__xludf.DUMMYFUNCTION("""COMPUTED_VALUE"""),59.1)</f>
        <v>59.1</v>
      </c>
      <c r="F304" s="2">
        <f>IFERROR(__xludf.DUMMYFUNCTION("""COMPUTED_VALUE"""),1.08390724E8)</f>
        <v>108390724</v>
      </c>
      <c r="G304" s="3">
        <f t="shared" si="1"/>
        <v>0.0008467400508</v>
      </c>
    </row>
    <row r="305">
      <c r="A305" s="1">
        <f>IFERROR(__xludf.DUMMYFUNCTION("""COMPUTED_VALUE"""),43763.66666666667)</f>
        <v>43763.66667</v>
      </c>
      <c r="B305" s="2">
        <f>IFERROR(__xludf.DUMMYFUNCTION("""COMPUTED_VALUE"""),59.38)</f>
        <v>59.38</v>
      </c>
      <c r="C305" s="2">
        <f>IFERROR(__xludf.DUMMYFUNCTION("""COMPUTED_VALUE"""),61.68)</f>
        <v>61.68</v>
      </c>
      <c r="D305" s="2">
        <f>IFERROR(__xludf.DUMMYFUNCTION("""COMPUTED_VALUE"""),59.33)</f>
        <v>59.33</v>
      </c>
      <c r="E305" s="2">
        <f>IFERROR(__xludf.DUMMYFUNCTION("""COMPUTED_VALUE"""),61.65)</f>
        <v>61.65</v>
      </c>
      <c r="F305" s="2">
        <f>IFERROR(__xludf.DUMMYFUNCTION("""COMPUTED_VALUE"""),1.0126958E8)</f>
        <v>101269580</v>
      </c>
      <c r="G305" s="3">
        <f t="shared" si="1"/>
        <v>0.04314720812</v>
      </c>
    </row>
    <row r="306">
      <c r="A306" s="1">
        <f>IFERROR(__xludf.DUMMYFUNCTION("""COMPUTED_VALUE"""),43770.66666666667)</f>
        <v>43770.66667</v>
      </c>
      <c r="B306" s="2">
        <f>IFERROR(__xludf.DUMMYFUNCTION("""COMPUTED_VALUE"""),61.86)</f>
        <v>61.86</v>
      </c>
      <c r="C306" s="2">
        <f>IFERROR(__xludf.DUMMYFUNCTION("""COMPUTED_VALUE"""),63.98)</f>
        <v>63.98</v>
      </c>
      <c r="D306" s="2">
        <f>IFERROR(__xludf.DUMMYFUNCTION("""COMPUTED_VALUE"""),59.32)</f>
        <v>59.32</v>
      </c>
      <c r="E306" s="2">
        <f>IFERROR(__xludf.DUMMYFUNCTION("""COMPUTED_VALUE"""),63.96)</f>
        <v>63.96</v>
      </c>
      <c r="F306" s="2">
        <f>IFERROR(__xludf.DUMMYFUNCTION("""COMPUTED_VALUE"""),1.63555484E8)</f>
        <v>163555484</v>
      </c>
      <c r="G306" s="3">
        <f t="shared" si="1"/>
        <v>0.03746958637</v>
      </c>
    </row>
    <row r="307">
      <c r="A307" s="1">
        <f>IFERROR(__xludf.DUMMYFUNCTION("""COMPUTED_VALUE"""),43777.66666666667)</f>
        <v>43777.66667</v>
      </c>
      <c r="B307" s="2">
        <f>IFERROR(__xludf.DUMMYFUNCTION("""COMPUTED_VALUE"""),64.33)</f>
        <v>64.33</v>
      </c>
      <c r="C307" s="2">
        <f>IFERROR(__xludf.DUMMYFUNCTION("""COMPUTED_VALUE"""),65.11)</f>
        <v>65.11</v>
      </c>
      <c r="D307" s="2">
        <f>IFERROR(__xludf.DUMMYFUNCTION("""COMPUTED_VALUE"""),63.84)</f>
        <v>63.84</v>
      </c>
      <c r="E307" s="2">
        <f>IFERROR(__xludf.DUMMYFUNCTION("""COMPUTED_VALUE"""),65.04)</f>
        <v>65.04</v>
      </c>
      <c r="F307" s="2">
        <f>IFERROR(__xludf.DUMMYFUNCTION("""COMPUTED_VALUE"""),1.06014081E8)</f>
        <v>106014081</v>
      </c>
      <c r="G307" s="3">
        <f t="shared" si="1"/>
        <v>0.01688555347</v>
      </c>
    </row>
    <row r="308">
      <c r="A308" s="1">
        <f>IFERROR(__xludf.DUMMYFUNCTION("""COMPUTED_VALUE"""),43784.66666666667)</f>
        <v>43784.66667</v>
      </c>
      <c r="B308" s="2">
        <f>IFERROR(__xludf.DUMMYFUNCTION("""COMPUTED_VALUE"""),64.58)</f>
        <v>64.58</v>
      </c>
      <c r="C308" s="2">
        <f>IFERROR(__xludf.DUMMYFUNCTION("""COMPUTED_VALUE"""),66.44)</f>
        <v>66.44</v>
      </c>
      <c r="D308" s="2">
        <f>IFERROR(__xludf.DUMMYFUNCTION("""COMPUTED_VALUE"""),64.57)</f>
        <v>64.57</v>
      </c>
      <c r="E308" s="2">
        <f>IFERROR(__xludf.DUMMYFUNCTION("""COMPUTED_VALUE"""),66.44)</f>
        <v>66.44</v>
      </c>
      <c r="F308" s="2">
        <f>IFERROR(__xludf.DUMMYFUNCTION("""COMPUTED_VALUE"""),1.156615E8)</f>
        <v>115661500</v>
      </c>
      <c r="G308" s="3">
        <f t="shared" si="1"/>
        <v>0.02152521525</v>
      </c>
    </row>
    <row r="309">
      <c r="A309" s="1">
        <f>IFERROR(__xludf.DUMMYFUNCTION("""COMPUTED_VALUE"""),43791.66666666667)</f>
        <v>43791.66667</v>
      </c>
      <c r="B309" s="2">
        <f>IFERROR(__xludf.DUMMYFUNCTION("""COMPUTED_VALUE"""),66.45)</f>
        <v>66.45</v>
      </c>
      <c r="C309" s="2">
        <f>IFERROR(__xludf.DUMMYFUNCTION("""COMPUTED_VALUE"""),67.0)</f>
        <v>67</v>
      </c>
      <c r="D309" s="2">
        <f>IFERROR(__xludf.DUMMYFUNCTION("""COMPUTED_VALUE"""),65.1)</f>
        <v>65.1</v>
      </c>
      <c r="E309" s="2">
        <f>IFERROR(__xludf.DUMMYFUNCTION("""COMPUTED_VALUE"""),65.44)</f>
        <v>65.44</v>
      </c>
      <c r="F309" s="2">
        <f>IFERROR(__xludf.DUMMYFUNCTION("""COMPUTED_VALUE"""),1.14060454E8)</f>
        <v>114060454</v>
      </c>
      <c r="G309" s="3">
        <f t="shared" si="1"/>
        <v>-0.01505117399</v>
      </c>
    </row>
    <row r="310">
      <c r="A310" s="1">
        <f>IFERROR(__xludf.DUMMYFUNCTION("""COMPUTED_VALUE"""),43798.54166666667)</f>
        <v>43798.54167</v>
      </c>
      <c r="B310" s="2">
        <f>IFERROR(__xludf.DUMMYFUNCTION("""COMPUTED_VALUE"""),65.68)</f>
        <v>65.68</v>
      </c>
      <c r="C310" s="2">
        <f>IFERROR(__xludf.DUMMYFUNCTION("""COMPUTED_VALUE"""),67.0)</f>
        <v>67</v>
      </c>
      <c r="D310" s="2">
        <f>IFERROR(__xludf.DUMMYFUNCTION("""COMPUTED_VALUE"""),65.63)</f>
        <v>65.63</v>
      </c>
      <c r="E310" s="2">
        <f>IFERROR(__xludf.DUMMYFUNCTION("""COMPUTED_VALUE"""),66.81)</f>
        <v>66.81</v>
      </c>
      <c r="F310" s="2">
        <f>IFERROR(__xludf.DUMMYFUNCTION("""COMPUTED_VALUE"""),7.5404884E7)</f>
        <v>75404884</v>
      </c>
      <c r="G310" s="3">
        <f t="shared" si="1"/>
        <v>0.02093520782</v>
      </c>
    </row>
    <row r="311">
      <c r="A311" s="1">
        <f>IFERROR(__xludf.DUMMYFUNCTION("""COMPUTED_VALUE"""),43805.66666666667)</f>
        <v>43805.66667</v>
      </c>
      <c r="B311" s="2">
        <f>IFERROR(__xludf.DUMMYFUNCTION("""COMPUTED_VALUE"""),66.82)</f>
        <v>66.82</v>
      </c>
      <c r="C311" s="2">
        <f>IFERROR(__xludf.DUMMYFUNCTION("""COMPUTED_VALUE"""),67.75)</f>
        <v>67.75</v>
      </c>
      <c r="D311" s="2">
        <f>IFERROR(__xludf.DUMMYFUNCTION("""COMPUTED_VALUE"""),64.07)</f>
        <v>64.07</v>
      </c>
      <c r="E311" s="2">
        <f>IFERROR(__xludf.DUMMYFUNCTION("""COMPUTED_VALUE"""),67.68)</f>
        <v>67.68</v>
      </c>
      <c r="F311" s="2">
        <f>IFERROR(__xludf.DUMMYFUNCTION("""COMPUTED_VALUE"""),1.15090042E8)</f>
        <v>115090042</v>
      </c>
      <c r="G311" s="3">
        <f t="shared" si="1"/>
        <v>0.01302200269</v>
      </c>
    </row>
    <row r="312">
      <c r="A312" s="1">
        <f>IFERROR(__xludf.DUMMYFUNCTION("""COMPUTED_VALUE"""),43812.66666666667)</f>
        <v>43812.66667</v>
      </c>
      <c r="B312" s="2">
        <f>IFERROR(__xludf.DUMMYFUNCTION("""COMPUTED_VALUE"""),67.5)</f>
        <v>67.5</v>
      </c>
      <c r="C312" s="2">
        <f>IFERROR(__xludf.DUMMYFUNCTION("""COMPUTED_VALUE"""),68.83)</f>
        <v>68.83</v>
      </c>
      <c r="D312" s="2">
        <f>IFERROR(__xludf.DUMMYFUNCTION("""COMPUTED_VALUE"""),66.23)</f>
        <v>66.23</v>
      </c>
      <c r="E312" s="2">
        <f>IFERROR(__xludf.DUMMYFUNCTION("""COMPUTED_VALUE"""),68.79)</f>
        <v>68.79</v>
      </c>
      <c r="F312" s="2">
        <f>IFERROR(__xludf.DUMMYFUNCTION("""COMPUTED_VALUE"""),1.42408267E8)</f>
        <v>142408267</v>
      </c>
      <c r="G312" s="3">
        <f t="shared" si="1"/>
        <v>0.01640070922</v>
      </c>
    </row>
    <row r="313">
      <c r="A313" s="1">
        <f>IFERROR(__xludf.DUMMYFUNCTION("""COMPUTED_VALUE"""),43819.66666666667)</f>
        <v>43819.66667</v>
      </c>
      <c r="B313" s="2">
        <f>IFERROR(__xludf.DUMMYFUNCTION("""COMPUTED_VALUE"""),69.25)</f>
        <v>69.25</v>
      </c>
      <c r="C313" s="2">
        <f>IFERROR(__xludf.DUMMYFUNCTION("""COMPUTED_VALUE"""),70.66)</f>
        <v>70.66</v>
      </c>
      <c r="D313" s="2">
        <f>IFERROR(__xludf.DUMMYFUNCTION("""COMPUTED_VALUE"""),69.25)</f>
        <v>69.25</v>
      </c>
      <c r="E313" s="2">
        <f>IFERROR(__xludf.DUMMYFUNCTION("""COMPUTED_VALUE"""),69.86)</f>
        <v>69.86</v>
      </c>
      <c r="F313" s="2">
        <f>IFERROR(__xludf.DUMMYFUNCTION("""COMPUTED_VALUE"""),1.8334128E8)</f>
        <v>183341280</v>
      </c>
      <c r="G313" s="3">
        <f t="shared" si="1"/>
        <v>0.01555458642</v>
      </c>
    </row>
    <row r="314">
      <c r="A314" s="1">
        <f>IFERROR(__xludf.DUMMYFUNCTION("""COMPUTED_VALUE"""),43826.66666666667)</f>
        <v>43826.66667</v>
      </c>
      <c r="B314" s="2">
        <f>IFERROR(__xludf.DUMMYFUNCTION("""COMPUTED_VALUE"""),70.13)</f>
        <v>70.13</v>
      </c>
      <c r="C314" s="2">
        <f>IFERROR(__xludf.DUMMYFUNCTION("""COMPUTED_VALUE"""),73.49)</f>
        <v>73.49</v>
      </c>
      <c r="D314" s="2">
        <f>IFERROR(__xludf.DUMMYFUNCTION("""COMPUTED_VALUE"""),70.09)</f>
        <v>70.09</v>
      </c>
      <c r="E314" s="2">
        <f>IFERROR(__xludf.DUMMYFUNCTION("""COMPUTED_VALUE"""),72.45)</f>
        <v>72.45</v>
      </c>
      <c r="F314" s="2">
        <f>IFERROR(__xludf.DUMMYFUNCTION("""COMPUTED_VALUE"""),9.6724537E7)</f>
        <v>96724537</v>
      </c>
      <c r="G314" s="3">
        <f t="shared" si="1"/>
        <v>0.0370741483</v>
      </c>
    </row>
    <row r="315">
      <c r="A315" s="1">
        <f>IFERROR(__xludf.DUMMYFUNCTION("""COMPUTED_VALUE"""),43833.66666666667)</f>
        <v>43833.66667</v>
      </c>
      <c r="B315" s="2">
        <f>IFERROR(__xludf.DUMMYFUNCTION("""COMPUTED_VALUE"""),72.36)</f>
        <v>72.36</v>
      </c>
      <c r="C315" s="2">
        <f>IFERROR(__xludf.DUMMYFUNCTION("""COMPUTED_VALUE"""),75.15)</f>
        <v>75.15</v>
      </c>
      <c r="D315" s="2">
        <f>IFERROR(__xludf.DUMMYFUNCTION("""COMPUTED_VALUE"""),71.31)</f>
        <v>71.31</v>
      </c>
      <c r="E315" s="2">
        <f>IFERROR(__xludf.DUMMYFUNCTION("""COMPUTED_VALUE"""),74.36)</f>
        <v>74.36</v>
      </c>
      <c r="F315" s="2">
        <f>IFERROR(__xludf.DUMMYFUNCTION("""COMPUTED_VALUE"""),1.31852981E8)</f>
        <v>131852981</v>
      </c>
      <c r="G315" s="3">
        <f t="shared" si="1"/>
        <v>0.02636300897</v>
      </c>
    </row>
    <row r="316">
      <c r="A316" s="1">
        <f>IFERROR(__xludf.DUMMYFUNCTION("""COMPUTED_VALUE"""),43840.66666666667)</f>
        <v>43840.66667</v>
      </c>
      <c r="B316" s="2">
        <f>IFERROR(__xludf.DUMMYFUNCTION("""COMPUTED_VALUE"""),73.45)</f>
        <v>73.45</v>
      </c>
      <c r="C316" s="2">
        <f>IFERROR(__xludf.DUMMYFUNCTION("""COMPUTED_VALUE"""),78.17)</f>
        <v>78.17</v>
      </c>
      <c r="D316" s="2">
        <f>IFERROR(__xludf.DUMMYFUNCTION("""COMPUTED_VALUE"""),73.19)</f>
        <v>73.19</v>
      </c>
      <c r="E316" s="2">
        <f>IFERROR(__xludf.DUMMYFUNCTION("""COMPUTED_VALUE"""),77.58)</f>
        <v>77.58</v>
      </c>
      <c r="F316" s="2">
        <f>IFERROR(__xludf.DUMMYFUNCTION("""COMPUTED_VALUE"""),1.68452059E8)</f>
        <v>168452059</v>
      </c>
      <c r="G316" s="3">
        <f t="shared" si="1"/>
        <v>0.043302851</v>
      </c>
    </row>
    <row r="317">
      <c r="A317" s="1">
        <f>IFERROR(__xludf.DUMMYFUNCTION("""COMPUTED_VALUE"""),43847.66666666667)</f>
        <v>43847.66667</v>
      </c>
      <c r="B317" s="2">
        <f>IFERROR(__xludf.DUMMYFUNCTION("""COMPUTED_VALUE"""),77.91)</f>
        <v>77.91</v>
      </c>
      <c r="C317" s="2">
        <f>IFERROR(__xludf.DUMMYFUNCTION("""COMPUTED_VALUE"""),79.69)</f>
        <v>79.69</v>
      </c>
      <c r="D317" s="2">
        <f>IFERROR(__xludf.DUMMYFUNCTION("""COMPUTED_VALUE"""),77.39)</f>
        <v>77.39</v>
      </c>
      <c r="E317" s="2">
        <f>IFERROR(__xludf.DUMMYFUNCTION("""COMPUTED_VALUE"""),79.68)</f>
        <v>79.68</v>
      </c>
      <c r="F317" s="2">
        <f>IFERROR(__xludf.DUMMYFUNCTION("""COMPUTED_VALUE"""),1.63317432E8)</f>
        <v>163317432</v>
      </c>
      <c r="G317" s="3">
        <f t="shared" si="1"/>
        <v>0.02706883217</v>
      </c>
    </row>
    <row r="318">
      <c r="A318" s="1">
        <f>IFERROR(__xludf.DUMMYFUNCTION("""COMPUTED_VALUE"""),43854.66666666667)</f>
        <v>43854.66667</v>
      </c>
      <c r="B318" s="2">
        <f>IFERROR(__xludf.DUMMYFUNCTION("""COMPUTED_VALUE"""),79.3)</f>
        <v>79.3</v>
      </c>
      <c r="C318" s="2">
        <f>IFERROR(__xludf.DUMMYFUNCTION("""COMPUTED_VALUE"""),80.83)</f>
        <v>80.83</v>
      </c>
      <c r="D318" s="2">
        <f>IFERROR(__xludf.DUMMYFUNCTION("""COMPUTED_VALUE"""),78.91)</f>
        <v>78.91</v>
      </c>
      <c r="E318" s="2">
        <f>IFERROR(__xludf.DUMMYFUNCTION("""COMPUTED_VALUE"""),79.58)</f>
        <v>79.58</v>
      </c>
      <c r="F318" s="2">
        <f>IFERROR(__xludf.DUMMYFUNCTION("""COMPUTED_VALUE"""),1.15921302E8)</f>
        <v>115921302</v>
      </c>
      <c r="G318" s="3">
        <f t="shared" si="1"/>
        <v>-0.00125502008</v>
      </c>
    </row>
    <row r="319">
      <c r="A319" s="1">
        <f>IFERROR(__xludf.DUMMYFUNCTION("""COMPUTED_VALUE"""),43861.66666666667)</f>
        <v>43861.66667</v>
      </c>
      <c r="B319" s="2">
        <f>IFERROR(__xludf.DUMMYFUNCTION("""COMPUTED_VALUE"""),77.52)</f>
        <v>77.52</v>
      </c>
      <c r="C319" s="2">
        <f>IFERROR(__xludf.DUMMYFUNCTION("""COMPUTED_VALUE"""),81.96)</f>
        <v>81.96</v>
      </c>
      <c r="D319" s="2">
        <f>IFERROR(__xludf.DUMMYFUNCTION("""COMPUTED_VALUE"""),76.22)</f>
        <v>76.22</v>
      </c>
      <c r="E319" s="2">
        <f>IFERROR(__xludf.DUMMYFUNCTION("""COMPUTED_VALUE"""),77.38)</f>
        <v>77.38</v>
      </c>
      <c r="F319" s="2">
        <f>IFERROR(__xludf.DUMMYFUNCTION("""COMPUTED_VALUE"""),2.16776323E8)</f>
        <v>216776323</v>
      </c>
      <c r="G319" s="3">
        <f t="shared" si="1"/>
        <v>-0.02764513697</v>
      </c>
    </row>
    <row r="320">
      <c r="A320" s="1">
        <f>IFERROR(__xludf.DUMMYFUNCTION("""COMPUTED_VALUE"""),43868.66666666667)</f>
        <v>43868.66667</v>
      </c>
      <c r="B320" s="2">
        <f>IFERROR(__xludf.DUMMYFUNCTION("""COMPUTED_VALUE"""),76.08)</f>
        <v>76.08</v>
      </c>
      <c r="C320" s="2">
        <f>IFERROR(__xludf.DUMMYFUNCTION("""COMPUTED_VALUE"""),81.31)</f>
        <v>81.31</v>
      </c>
      <c r="D320" s="2">
        <f>IFERROR(__xludf.DUMMYFUNCTION("""COMPUTED_VALUE"""),75.56)</f>
        <v>75.56</v>
      </c>
      <c r="E320" s="2">
        <f>IFERROR(__xludf.DUMMYFUNCTION("""COMPUTED_VALUE"""),80.01)</f>
        <v>80.01</v>
      </c>
      <c r="F320" s="2">
        <f>IFERROR(__xludf.DUMMYFUNCTION("""COMPUTED_VALUE"""),1.6313465E8)</f>
        <v>163134650</v>
      </c>
      <c r="G320" s="3">
        <f t="shared" si="1"/>
        <v>0.03398811062</v>
      </c>
    </row>
    <row r="321">
      <c r="A321" s="1">
        <f>IFERROR(__xludf.DUMMYFUNCTION("""COMPUTED_VALUE"""),43875.66666666667)</f>
        <v>43875.66667</v>
      </c>
      <c r="B321" s="2">
        <f>IFERROR(__xludf.DUMMYFUNCTION("""COMPUTED_VALUE"""),78.55)</f>
        <v>78.55</v>
      </c>
      <c r="C321" s="2">
        <f>IFERROR(__xludf.DUMMYFUNCTION("""COMPUTED_VALUE"""),81.81)</f>
        <v>81.81</v>
      </c>
      <c r="D321" s="2">
        <f>IFERROR(__xludf.DUMMYFUNCTION("""COMPUTED_VALUE"""),78.46)</f>
        <v>78.46</v>
      </c>
      <c r="E321" s="2">
        <f>IFERROR(__xludf.DUMMYFUNCTION("""COMPUTED_VALUE"""),81.24)</f>
        <v>81.24</v>
      </c>
      <c r="F321" s="2">
        <f>IFERROR(__xludf.DUMMYFUNCTION("""COMPUTED_VALUE"""),1.23065907E8)</f>
        <v>123065907</v>
      </c>
      <c r="G321" s="3">
        <f t="shared" si="1"/>
        <v>0.01537307837</v>
      </c>
    </row>
    <row r="322">
      <c r="A322" s="1">
        <f>IFERROR(__xludf.DUMMYFUNCTION("""COMPUTED_VALUE"""),43882.66666666667)</f>
        <v>43882.66667</v>
      </c>
      <c r="B322" s="2">
        <f>IFERROR(__xludf.DUMMYFUNCTION("""COMPUTED_VALUE"""),78.84)</f>
        <v>78.84</v>
      </c>
      <c r="C322" s="2">
        <f>IFERROR(__xludf.DUMMYFUNCTION("""COMPUTED_VALUE"""),81.16)</f>
        <v>81.16</v>
      </c>
      <c r="D322" s="2">
        <f>IFERROR(__xludf.DUMMYFUNCTION("""COMPUTED_VALUE"""),77.63)</f>
        <v>77.63</v>
      </c>
      <c r="E322" s="2">
        <f>IFERROR(__xludf.DUMMYFUNCTION("""COMPUTED_VALUE"""),78.26)</f>
        <v>78.26</v>
      </c>
      <c r="F322" s="2">
        <f>IFERROR(__xludf.DUMMYFUNCTION("""COMPUTED_VALUE"""),1.1925444E8)</f>
        <v>119254440</v>
      </c>
      <c r="G322" s="3">
        <f t="shared" si="1"/>
        <v>-0.03668143772</v>
      </c>
    </row>
    <row r="323">
      <c r="A323" s="1">
        <f>IFERROR(__xludf.DUMMYFUNCTION("""COMPUTED_VALUE"""),43889.66666666667)</f>
        <v>43889.66667</v>
      </c>
      <c r="B323" s="2">
        <f>IFERROR(__xludf.DUMMYFUNCTION("""COMPUTED_VALUE"""),74.32)</f>
        <v>74.32</v>
      </c>
      <c r="C323" s="2">
        <f>IFERROR(__xludf.DUMMYFUNCTION("""COMPUTED_VALUE"""),76.05)</f>
        <v>76.05</v>
      </c>
      <c r="D323" s="2">
        <f>IFERROR(__xludf.DUMMYFUNCTION("""COMPUTED_VALUE"""),64.09)</f>
        <v>64.09</v>
      </c>
      <c r="E323" s="2">
        <f>IFERROR(__xludf.DUMMYFUNCTION("""COMPUTED_VALUE"""),68.34)</f>
        <v>68.34</v>
      </c>
      <c r="F323" s="2">
        <f>IFERROR(__xludf.DUMMYFUNCTION("""COMPUTED_VALUE"""),3.49768234E8)</f>
        <v>349768234</v>
      </c>
      <c r="G323" s="3">
        <f t="shared" si="1"/>
        <v>-0.126756964</v>
      </c>
    </row>
    <row r="324">
      <c r="A324" s="1">
        <f>IFERROR(__xludf.DUMMYFUNCTION("""COMPUTED_VALUE"""),43896.66666666667)</f>
        <v>43896.66667</v>
      </c>
      <c r="B324" s="2">
        <f>IFERROR(__xludf.DUMMYFUNCTION("""COMPUTED_VALUE"""),70.57)</f>
        <v>70.57</v>
      </c>
      <c r="C324" s="2">
        <f>IFERROR(__xludf.DUMMYFUNCTION("""COMPUTED_VALUE"""),76.0)</f>
        <v>76</v>
      </c>
      <c r="D324" s="2">
        <f>IFERROR(__xludf.DUMMYFUNCTION("""COMPUTED_VALUE"""),69.43)</f>
        <v>69.43</v>
      </c>
      <c r="E324" s="2">
        <f>IFERROR(__xludf.DUMMYFUNCTION("""COMPUTED_VALUE"""),72.26)</f>
        <v>72.26</v>
      </c>
      <c r="F324" s="2">
        <f>IFERROR(__xludf.DUMMYFUNCTION("""COMPUTED_VALUE"""),3.23450224E8)</f>
        <v>323450224</v>
      </c>
      <c r="G324" s="3">
        <f t="shared" si="1"/>
        <v>0.05736025754</v>
      </c>
    </row>
    <row r="325">
      <c r="A325" s="1">
        <f>IFERROR(__xludf.DUMMYFUNCTION("""COMPUTED_VALUE"""),43903.66666666667)</f>
        <v>43903.66667</v>
      </c>
      <c r="B325" s="2">
        <f>IFERROR(__xludf.DUMMYFUNCTION("""COMPUTED_VALUE"""),65.94)</f>
        <v>65.94</v>
      </c>
      <c r="C325" s="2">
        <f>IFERROR(__xludf.DUMMYFUNCTION("""COMPUTED_VALUE"""),71.61)</f>
        <v>71.61</v>
      </c>
      <c r="D325" s="2">
        <f>IFERROR(__xludf.DUMMYFUNCTION("""COMPUTED_VALUE"""),62.0)</f>
        <v>62</v>
      </c>
      <c r="E325" s="2">
        <f>IFERROR(__xludf.DUMMYFUNCTION("""COMPUTED_VALUE"""),69.49)</f>
        <v>69.49</v>
      </c>
      <c r="F325" s="2">
        <f>IFERROR(__xludf.DUMMYFUNCTION("""COMPUTED_VALUE"""),4.04405247E8)</f>
        <v>404405247</v>
      </c>
      <c r="G325" s="3">
        <f t="shared" si="1"/>
        <v>-0.03833379463</v>
      </c>
    </row>
    <row r="326">
      <c r="A326" s="1">
        <f>IFERROR(__xludf.DUMMYFUNCTION("""COMPUTED_VALUE"""),43910.66666666667)</f>
        <v>43910.66667</v>
      </c>
      <c r="B326" s="2">
        <f>IFERROR(__xludf.DUMMYFUNCTION("""COMPUTED_VALUE"""),60.49)</f>
        <v>60.49</v>
      </c>
      <c r="C326" s="2">
        <f>IFERROR(__xludf.DUMMYFUNCTION("""COMPUTED_VALUE"""),64.77)</f>
        <v>64.77</v>
      </c>
      <c r="D326" s="2">
        <f>IFERROR(__xludf.DUMMYFUNCTION("""COMPUTED_VALUE"""),57.0)</f>
        <v>57</v>
      </c>
      <c r="E326" s="2">
        <f>IFERROR(__xludf.DUMMYFUNCTION("""COMPUTED_VALUE"""),57.31)</f>
        <v>57.31</v>
      </c>
      <c r="F326" s="2">
        <f>IFERROR(__xludf.DUMMYFUNCTION("""COMPUTED_VALUE"""),4.05065837E8)</f>
        <v>405065837</v>
      </c>
      <c r="G326" s="3">
        <f t="shared" si="1"/>
        <v>-0.1752770183</v>
      </c>
    </row>
    <row r="327">
      <c r="A327" s="1">
        <f>IFERROR(__xludf.DUMMYFUNCTION("""COMPUTED_VALUE"""),43917.66666666667)</f>
        <v>43917.66667</v>
      </c>
      <c r="B327" s="2">
        <f>IFERROR(__xludf.DUMMYFUNCTION("""COMPUTED_VALUE"""),57.02)</f>
        <v>57.02</v>
      </c>
      <c r="C327" s="2">
        <f>IFERROR(__xludf.DUMMYFUNCTION("""COMPUTED_VALUE"""),64.67)</f>
        <v>64.67</v>
      </c>
      <c r="D327" s="2">
        <f>IFERROR(__xludf.DUMMYFUNCTION("""COMPUTED_VALUE"""),53.15)</f>
        <v>53.15</v>
      </c>
      <c r="E327" s="2">
        <f>IFERROR(__xludf.DUMMYFUNCTION("""COMPUTED_VALUE"""),61.94)</f>
        <v>61.94</v>
      </c>
      <c r="F327" s="2">
        <f>IFERROR(__xludf.DUMMYFUNCTION("""COMPUTED_VALUE"""),3.46165813E8)</f>
        <v>346165813</v>
      </c>
      <c r="G327" s="3">
        <f t="shared" si="1"/>
        <v>0.08078869307</v>
      </c>
    </row>
    <row r="328">
      <c r="A328" s="1">
        <f>IFERROR(__xludf.DUMMYFUNCTION("""COMPUTED_VALUE"""),43924.66666666667)</f>
        <v>43924.66667</v>
      </c>
      <c r="B328" s="2">
        <f>IFERROR(__xludf.DUMMYFUNCTION("""COMPUTED_VALUE"""),62.69)</f>
        <v>62.69</v>
      </c>
      <c r="C328" s="2">
        <f>IFERROR(__xludf.DUMMYFUNCTION("""COMPUTED_VALUE"""),65.62)</f>
        <v>65.62</v>
      </c>
      <c r="D328" s="2">
        <f>IFERROR(__xludf.DUMMYFUNCTION("""COMPUTED_VALUE"""),59.23)</f>
        <v>59.23</v>
      </c>
      <c r="E328" s="2">
        <f>IFERROR(__xludf.DUMMYFUNCTION("""COMPUTED_VALUE"""),60.35)</f>
        <v>60.35</v>
      </c>
      <c r="F328" s="2">
        <f>IFERROR(__xludf.DUMMYFUNCTION("""COMPUTED_VALUE"""),2.09252759E8)</f>
        <v>209252759</v>
      </c>
      <c r="G328" s="3">
        <f t="shared" si="1"/>
        <v>-0.02567000323</v>
      </c>
    </row>
    <row r="329">
      <c r="A329" s="1">
        <f>IFERROR(__xludf.DUMMYFUNCTION("""COMPUTED_VALUE"""),43930.66666666667)</f>
        <v>43930.66667</v>
      </c>
      <c r="B329" s="2">
        <f>IFERROR(__xludf.DUMMYFUNCTION("""COMPUTED_VALUE"""),62.73)</f>
        <v>62.73</v>
      </c>
      <c r="C329" s="2">
        <f>IFERROR(__xludf.DUMMYFUNCTION("""COMPUTED_VALUE"""),67.93)</f>
        <v>67.93</v>
      </c>
      <c r="D329" s="2">
        <f>IFERROR(__xludf.DUMMYFUNCTION("""COMPUTED_VALUE"""),62.35)</f>
        <v>62.35</v>
      </c>
      <c r="E329" s="2">
        <f>IFERROR(__xludf.DUMMYFUNCTION("""COMPUTED_VALUE"""),67.0)</f>
        <v>67</v>
      </c>
      <c r="F329" s="2">
        <f>IFERROR(__xludf.DUMMYFUNCTION("""COMPUTED_VALUE"""),1.83929846E8)</f>
        <v>183929846</v>
      </c>
      <c r="G329" s="3">
        <f t="shared" si="1"/>
        <v>0.1101905551</v>
      </c>
    </row>
    <row r="330">
      <c r="A330" s="1">
        <f>IFERROR(__xludf.DUMMYFUNCTION("""COMPUTED_VALUE"""),43938.66666666667)</f>
        <v>43938.66667</v>
      </c>
      <c r="B330" s="2">
        <f>IFERROR(__xludf.DUMMYFUNCTION("""COMPUTED_VALUE"""),67.08)</f>
        <v>67.08</v>
      </c>
      <c r="C330" s="2">
        <f>IFERROR(__xludf.DUMMYFUNCTION("""COMPUTED_VALUE"""),72.06)</f>
        <v>72.06</v>
      </c>
      <c r="D330" s="2">
        <f>IFERROR(__xludf.DUMMYFUNCTION("""COMPUTED_VALUE"""),66.46)</f>
        <v>66.46</v>
      </c>
      <c r="E330" s="2">
        <f>IFERROR(__xludf.DUMMYFUNCTION("""COMPUTED_VALUE"""),70.7)</f>
        <v>70.7</v>
      </c>
      <c r="F330" s="2">
        <f>IFERROR(__xludf.DUMMYFUNCTION("""COMPUTED_VALUE"""),2.07386812E8)</f>
        <v>207386812</v>
      </c>
      <c r="G330" s="3">
        <f t="shared" si="1"/>
        <v>0.0552238806</v>
      </c>
    </row>
    <row r="331">
      <c r="A331" s="1">
        <f>IFERROR(__xludf.DUMMYFUNCTION("""COMPUTED_VALUE"""),43945.66666666667)</f>
        <v>43945.66667</v>
      </c>
      <c r="B331" s="2">
        <f>IFERROR(__xludf.DUMMYFUNCTION("""COMPUTED_VALUE"""),69.49)</f>
        <v>69.49</v>
      </c>
      <c r="C331" s="2">
        <f>IFERROR(__xludf.DUMMYFUNCTION("""COMPUTED_VALUE"""),70.75)</f>
        <v>70.75</v>
      </c>
      <c r="D331" s="2">
        <f>IFERROR(__xludf.DUMMYFUNCTION("""COMPUTED_VALUE"""),66.36)</f>
        <v>66.36</v>
      </c>
      <c r="E331" s="2">
        <f>IFERROR(__xludf.DUMMYFUNCTION("""COMPUTED_VALUE"""),70.74)</f>
        <v>70.74</v>
      </c>
      <c r="F331" s="2">
        <f>IFERROR(__xludf.DUMMYFUNCTION("""COMPUTED_VALUE"""),1.6984675E8)</f>
        <v>169846750</v>
      </c>
      <c r="G331" s="3">
        <f t="shared" si="1"/>
        <v>0.0005657708628</v>
      </c>
    </row>
    <row r="332">
      <c r="A332" s="1">
        <f>IFERROR(__xludf.DUMMYFUNCTION("""COMPUTED_VALUE"""),43952.66666666667)</f>
        <v>43952.66667</v>
      </c>
      <c r="B332" s="2">
        <f>IFERROR(__xludf.DUMMYFUNCTION("""COMPUTED_VALUE"""),70.45)</f>
        <v>70.45</v>
      </c>
      <c r="C332" s="2">
        <f>IFERROR(__xludf.DUMMYFUNCTION("""COMPUTED_VALUE"""),74.75)</f>
        <v>74.75</v>
      </c>
      <c r="D332" s="2">
        <f>IFERROR(__xludf.DUMMYFUNCTION("""COMPUTED_VALUE"""),69.55)</f>
        <v>69.55</v>
      </c>
      <c r="E332" s="2">
        <f>IFERROR(__xludf.DUMMYFUNCTION("""COMPUTED_VALUE"""),72.27)</f>
        <v>72.27</v>
      </c>
      <c r="F332" s="2">
        <f>IFERROR(__xludf.DUMMYFUNCTION("""COMPUTED_VALUE"""),1.97513427E8)</f>
        <v>197513427</v>
      </c>
      <c r="G332" s="3">
        <f t="shared" si="1"/>
        <v>0.02162849873</v>
      </c>
    </row>
    <row r="333">
      <c r="A333" s="1">
        <f>IFERROR(__xludf.DUMMYFUNCTION("""COMPUTED_VALUE"""),43959.66666666667)</f>
        <v>43959.66667</v>
      </c>
      <c r="B333" s="2">
        <f>IFERROR(__xludf.DUMMYFUNCTION("""COMPUTED_VALUE"""),72.29)</f>
        <v>72.29</v>
      </c>
      <c r="C333" s="2">
        <f>IFERROR(__xludf.DUMMYFUNCTION("""COMPUTED_VALUE"""),77.59)</f>
        <v>77.59</v>
      </c>
      <c r="D333" s="2">
        <f>IFERROR(__xludf.DUMMYFUNCTION("""COMPUTED_VALUE"""),71.58)</f>
        <v>71.58</v>
      </c>
      <c r="E333" s="2">
        <f>IFERROR(__xludf.DUMMYFUNCTION("""COMPUTED_VALUE"""),77.53)</f>
        <v>77.53</v>
      </c>
      <c r="F333" s="2">
        <f>IFERROR(__xludf.DUMMYFUNCTION("""COMPUTED_VALUE"""),1.68228968E8)</f>
        <v>168228968</v>
      </c>
      <c r="G333" s="3">
        <f t="shared" si="1"/>
        <v>0.07278262073</v>
      </c>
    </row>
    <row r="334">
      <c r="A334" s="1">
        <f>IFERROR(__xludf.DUMMYFUNCTION("""COMPUTED_VALUE"""),43966.66666666667)</f>
        <v>43966.66667</v>
      </c>
      <c r="B334" s="2">
        <f>IFERROR(__xludf.DUMMYFUNCTION("""COMPUTED_VALUE"""),77.03)</f>
        <v>77.03</v>
      </c>
      <c r="C334" s="2">
        <f>IFERROR(__xludf.DUMMYFUNCTION("""COMPUTED_VALUE"""),79.92)</f>
        <v>79.92</v>
      </c>
      <c r="D334" s="2">
        <f>IFERROR(__xludf.DUMMYFUNCTION("""COMPUTED_VALUE"""),75.05)</f>
        <v>75.05</v>
      </c>
      <c r="E334" s="2">
        <f>IFERROR(__xludf.DUMMYFUNCTION("""COMPUTED_VALUE"""),76.93)</f>
        <v>76.93</v>
      </c>
      <c r="F334" s="2">
        <f>IFERROR(__xludf.DUMMYFUNCTION("""COMPUTED_VALUE"""),2.08536826E8)</f>
        <v>208536826</v>
      </c>
      <c r="G334" s="3">
        <f t="shared" si="1"/>
        <v>-0.007738939765</v>
      </c>
    </row>
    <row r="335">
      <c r="A335" s="1">
        <f>IFERROR(__xludf.DUMMYFUNCTION("""COMPUTED_VALUE"""),43973.66666666667)</f>
        <v>43973.66667</v>
      </c>
      <c r="B335" s="2">
        <f>IFERROR(__xludf.DUMMYFUNCTION("""COMPUTED_VALUE"""),78.29)</f>
        <v>78.29</v>
      </c>
      <c r="C335" s="2">
        <f>IFERROR(__xludf.DUMMYFUNCTION("""COMPUTED_VALUE"""),80.22)</f>
        <v>80.22</v>
      </c>
      <c r="D335" s="2">
        <f>IFERROR(__xludf.DUMMYFUNCTION("""COMPUTED_VALUE"""),77.58)</f>
        <v>77.58</v>
      </c>
      <c r="E335" s="2">
        <f>IFERROR(__xludf.DUMMYFUNCTION("""COMPUTED_VALUE"""),79.72)</f>
        <v>79.72</v>
      </c>
      <c r="F335" s="2">
        <f>IFERROR(__xludf.DUMMYFUNCTION("""COMPUTED_VALUE"""),1.3327469E8)</f>
        <v>133274690</v>
      </c>
      <c r="G335" s="3">
        <f t="shared" si="1"/>
        <v>0.03626673599</v>
      </c>
    </row>
    <row r="336">
      <c r="A336" s="1">
        <f>IFERROR(__xludf.DUMMYFUNCTION("""COMPUTED_VALUE"""),43980.66666666667)</f>
        <v>43980.66667</v>
      </c>
      <c r="B336" s="2">
        <f>IFERROR(__xludf.DUMMYFUNCTION("""COMPUTED_VALUE"""),80.88)</f>
        <v>80.88</v>
      </c>
      <c r="C336" s="2">
        <f>IFERROR(__xludf.DUMMYFUNCTION("""COMPUTED_VALUE"""),81.06)</f>
        <v>81.06</v>
      </c>
      <c r="D336" s="2">
        <f>IFERROR(__xludf.DUMMYFUNCTION("""COMPUTED_VALUE"""),78.27)</f>
        <v>78.27</v>
      </c>
      <c r="E336" s="2">
        <f>IFERROR(__xludf.DUMMYFUNCTION("""COMPUTED_VALUE"""),79.49)</f>
        <v>79.49</v>
      </c>
      <c r="F336" s="2">
        <f>IFERROR(__xludf.DUMMYFUNCTION("""COMPUTED_VALUE"""),1.31465363E8)</f>
        <v>131465363</v>
      </c>
      <c r="G336" s="3">
        <f t="shared" si="1"/>
        <v>-0.002885097842</v>
      </c>
    </row>
    <row r="337">
      <c r="A337" s="1">
        <f>IFERROR(__xludf.DUMMYFUNCTION("""COMPUTED_VALUE"""),43987.66666666667)</f>
        <v>43987.66667</v>
      </c>
      <c r="B337" s="2">
        <f>IFERROR(__xludf.DUMMYFUNCTION("""COMPUTED_VALUE"""),79.44)</f>
        <v>79.44</v>
      </c>
      <c r="C337" s="2">
        <f>IFERROR(__xludf.DUMMYFUNCTION("""COMPUTED_VALUE"""),82.94)</f>
        <v>82.94</v>
      </c>
      <c r="D337" s="2">
        <f>IFERROR(__xludf.DUMMYFUNCTION("""COMPUTED_VALUE"""),79.3)</f>
        <v>79.3</v>
      </c>
      <c r="E337" s="2">
        <f>IFERROR(__xludf.DUMMYFUNCTION("""COMPUTED_VALUE"""),82.88)</f>
        <v>82.88</v>
      </c>
      <c r="F337" s="2">
        <f>IFERROR(__xludf.DUMMYFUNCTION("""COMPUTED_VALUE"""),1.24490802E8)</f>
        <v>124490802</v>
      </c>
      <c r="G337" s="3">
        <f t="shared" si="1"/>
        <v>0.04264687382</v>
      </c>
    </row>
    <row r="338">
      <c r="A338" s="1">
        <f>IFERROR(__xludf.DUMMYFUNCTION("""COMPUTED_VALUE"""),43994.66666666667)</f>
        <v>43994.66667</v>
      </c>
      <c r="B338" s="2">
        <f>IFERROR(__xludf.DUMMYFUNCTION("""COMPUTED_VALUE"""),82.56)</f>
        <v>82.56</v>
      </c>
      <c r="C338" s="2">
        <f>IFERROR(__xludf.DUMMYFUNCTION("""COMPUTED_VALUE"""),88.69)</f>
        <v>88.69</v>
      </c>
      <c r="D338" s="2">
        <f>IFERROR(__xludf.DUMMYFUNCTION("""COMPUTED_VALUE"""),81.83)</f>
        <v>81.83</v>
      </c>
      <c r="E338" s="2">
        <f>IFERROR(__xludf.DUMMYFUNCTION("""COMPUTED_VALUE"""),84.7)</f>
        <v>84.7</v>
      </c>
      <c r="F338" s="2">
        <f>IFERROR(__xludf.DUMMYFUNCTION("""COMPUTED_VALUE"""),2.02956789E8)</f>
        <v>202956789</v>
      </c>
      <c r="G338" s="3">
        <f t="shared" si="1"/>
        <v>0.02195945946</v>
      </c>
    </row>
    <row r="339">
      <c r="A339" s="1">
        <f>IFERROR(__xludf.DUMMYFUNCTION("""COMPUTED_VALUE"""),44001.66666666667)</f>
        <v>44001.66667</v>
      </c>
      <c r="B339" s="2">
        <f>IFERROR(__xludf.DUMMYFUNCTION("""COMPUTED_VALUE"""),83.31)</f>
        <v>83.31</v>
      </c>
      <c r="C339" s="2">
        <f>IFERROR(__xludf.DUMMYFUNCTION("""COMPUTED_VALUE"""),89.14)</f>
        <v>89.14</v>
      </c>
      <c r="D339" s="2">
        <f>IFERROR(__xludf.DUMMYFUNCTION("""COMPUTED_VALUE"""),83.15)</f>
        <v>83.15</v>
      </c>
      <c r="E339" s="2">
        <f>IFERROR(__xludf.DUMMYFUNCTION("""COMPUTED_VALUE"""),87.43)</f>
        <v>87.43</v>
      </c>
      <c r="F339" s="2">
        <f>IFERROR(__xludf.DUMMYFUNCTION("""COMPUTED_VALUE"""),1.94985086E8)</f>
        <v>194985086</v>
      </c>
      <c r="G339" s="3">
        <f t="shared" si="1"/>
        <v>0.03223140496</v>
      </c>
    </row>
    <row r="340">
      <c r="A340" s="1">
        <f>IFERROR(__xludf.DUMMYFUNCTION("""COMPUTED_VALUE"""),44008.66666666667)</f>
        <v>44008.66667</v>
      </c>
      <c r="B340" s="2">
        <f>IFERROR(__xludf.DUMMYFUNCTION("""COMPUTED_VALUE"""),87.84)</f>
        <v>87.84</v>
      </c>
      <c r="C340" s="2">
        <f>IFERROR(__xludf.DUMMYFUNCTION("""COMPUTED_VALUE"""),93.1)</f>
        <v>93.1</v>
      </c>
      <c r="D340" s="2">
        <f>IFERROR(__xludf.DUMMYFUNCTION("""COMPUTED_VALUE"""),87.79)</f>
        <v>87.79</v>
      </c>
      <c r="E340" s="2">
        <f>IFERROR(__xludf.DUMMYFUNCTION("""COMPUTED_VALUE"""),88.41)</f>
        <v>88.41</v>
      </c>
      <c r="F340" s="2">
        <f>IFERROR(__xludf.DUMMYFUNCTION("""COMPUTED_VALUE"""),2.20750873E8)</f>
        <v>220750873</v>
      </c>
      <c r="G340" s="3">
        <f t="shared" si="1"/>
        <v>0.01120896717</v>
      </c>
    </row>
    <row r="341">
      <c r="A341" s="1">
        <f>IFERROR(__xludf.DUMMYFUNCTION("""COMPUTED_VALUE"""),44014.66666666667)</f>
        <v>44014.66667</v>
      </c>
      <c r="B341" s="2">
        <f>IFERROR(__xludf.DUMMYFUNCTION("""COMPUTED_VALUE"""),88.31)</f>
        <v>88.31</v>
      </c>
      <c r="C341" s="2">
        <f>IFERROR(__xludf.DUMMYFUNCTION("""COMPUTED_VALUE"""),92.62)</f>
        <v>92.62</v>
      </c>
      <c r="D341" s="2">
        <f>IFERROR(__xludf.DUMMYFUNCTION("""COMPUTED_VALUE"""),87.82)</f>
        <v>87.82</v>
      </c>
      <c r="E341" s="2">
        <f>IFERROR(__xludf.DUMMYFUNCTION("""COMPUTED_VALUE"""),91.03)</f>
        <v>91.03</v>
      </c>
      <c r="F341" s="2">
        <f>IFERROR(__xludf.DUMMYFUNCTION("""COMPUTED_VALUE"""),1.23912016E8)</f>
        <v>123912016</v>
      </c>
      <c r="G341" s="3">
        <f t="shared" si="1"/>
        <v>0.02963465671</v>
      </c>
    </row>
    <row r="342">
      <c r="A342" s="1">
        <f>IFERROR(__xludf.DUMMYFUNCTION("""COMPUTED_VALUE"""),44022.66666666667)</f>
        <v>44022.66667</v>
      </c>
      <c r="B342" s="2">
        <f>IFERROR(__xludf.DUMMYFUNCTION("""COMPUTED_VALUE"""),92.5)</f>
        <v>92.5</v>
      </c>
      <c r="C342" s="2">
        <f>IFERROR(__xludf.DUMMYFUNCTION("""COMPUTED_VALUE"""),96.32)</f>
        <v>96.32</v>
      </c>
      <c r="D342" s="2">
        <f>IFERROR(__xludf.DUMMYFUNCTION("""COMPUTED_VALUE"""),92.47)</f>
        <v>92.47</v>
      </c>
      <c r="E342" s="2">
        <f>IFERROR(__xludf.DUMMYFUNCTION("""COMPUTED_VALUE"""),95.92)</f>
        <v>95.92</v>
      </c>
      <c r="F342" s="2">
        <f>IFERROR(__xludf.DUMMYFUNCTION("""COMPUTED_VALUE"""),1.41017979E8)</f>
        <v>141017979</v>
      </c>
      <c r="G342" s="3">
        <f t="shared" si="1"/>
        <v>0.05371855432</v>
      </c>
    </row>
    <row r="343">
      <c r="A343" s="1">
        <f>IFERROR(__xludf.DUMMYFUNCTION("""COMPUTED_VALUE"""),44029.66666666667)</f>
        <v>44029.66667</v>
      </c>
      <c r="B343" s="2">
        <f>IFERROR(__xludf.DUMMYFUNCTION("""COMPUTED_VALUE"""),97.27)</f>
        <v>97.27</v>
      </c>
      <c r="C343" s="2">
        <f>IFERROR(__xludf.DUMMYFUNCTION("""COMPUTED_VALUE"""),99.96)</f>
        <v>99.96</v>
      </c>
      <c r="D343" s="2">
        <f>IFERROR(__xludf.DUMMYFUNCTION("""COMPUTED_VALUE"""),93.88)</f>
        <v>93.88</v>
      </c>
      <c r="E343" s="2">
        <f>IFERROR(__xludf.DUMMYFUNCTION("""COMPUTED_VALUE"""),96.33)</f>
        <v>96.33</v>
      </c>
      <c r="F343" s="2">
        <f>IFERROR(__xludf.DUMMYFUNCTION("""COMPUTED_VALUE"""),1.79650252E8)</f>
        <v>179650252</v>
      </c>
      <c r="G343" s="3">
        <f t="shared" si="1"/>
        <v>0.004274395329</v>
      </c>
    </row>
    <row r="344">
      <c r="A344" s="1">
        <f>IFERROR(__xludf.DUMMYFUNCTION("""COMPUTED_VALUE"""),44036.66666666667)</f>
        <v>44036.66667</v>
      </c>
      <c r="B344" s="2">
        <f>IFERROR(__xludf.DUMMYFUNCTION("""COMPUTED_VALUE"""),96.42)</f>
        <v>96.42</v>
      </c>
      <c r="C344" s="2">
        <f>IFERROR(__xludf.DUMMYFUNCTION("""COMPUTED_VALUE"""),99.25)</f>
        <v>99.25</v>
      </c>
      <c r="D344" s="2">
        <f>IFERROR(__xludf.DUMMYFUNCTION("""COMPUTED_VALUE"""),89.15)</f>
        <v>89.15</v>
      </c>
      <c r="E344" s="2">
        <f>IFERROR(__xludf.DUMMYFUNCTION("""COMPUTED_VALUE"""),92.62)</f>
        <v>92.62</v>
      </c>
      <c r="F344" s="2">
        <f>IFERROR(__xludf.DUMMYFUNCTION("""COMPUTED_VALUE"""),1.66352173E8)</f>
        <v>166352173</v>
      </c>
      <c r="G344" s="3">
        <f t="shared" si="1"/>
        <v>-0.03851344337</v>
      </c>
    </row>
    <row r="345">
      <c r="A345" s="1">
        <f>IFERROR(__xludf.DUMMYFUNCTION("""COMPUTED_VALUE"""),44043.66666666667)</f>
        <v>44043.66667</v>
      </c>
      <c r="B345" s="2">
        <f>IFERROR(__xludf.DUMMYFUNCTION("""COMPUTED_VALUE"""),93.71)</f>
        <v>93.71</v>
      </c>
      <c r="C345" s="2">
        <f>IFERROR(__xludf.DUMMYFUNCTION("""COMPUTED_VALUE"""),106.42)</f>
        <v>106.42</v>
      </c>
      <c r="D345" s="2">
        <f>IFERROR(__xludf.DUMMYFUNCTION("""COMPUTED_VALUE"""),93.25)</f>
        <v>93.25</v>
      </c>
      <c r="E345" s="2">
        <f>IFERROR(__xludf.DUMMYFUNCTION("""COMPUTED_VALUE"""),106.26)</f>
        <v>106.26</v>
      </c>
      <c r="F345" s="2">
        <f>IFERROR(__xludf.DUMMYFUNCTION("""COMPUTED_VALUE"""),2.11898609E8)</f>
        <v>211898609</v>
      </c>
      <c r="G345" s="3">
        <f t="shared" si="1"/>
        <v>0.1472684086</v>
      </c>
    </row>
    <row r="346">
      <c r="A346" s="1">
        <f>IFERROR(__xludf.DUMMYFUNCTION("""COMPUTED_VALUE"""),44050.66666666667)</f>
        <v>44050.66667</v>
      </c>
      <c r="B346" s="2">
        <f>IFERROR(__xludf.DUMMYFUNCTION("""COMPUTED_VALUE"""),108.2)</f>
        <v>108.2</v>
      </c>
      <c r="C346" s="2">
        <f>IFERROR(__xludf.DUMMYFUNCTION("""COMPUTED_VALUE"""),114.41)</f>
        <v>114.41</v>
      </c>
      <c r="D346" s="2">
        <f>IFERROR(__xludf.DUMMYFUNCTION("""COMPUTED_VALUE"""),107.89)</f>
        <v>107.89</v>
      </c>
      <c r="E346" s="2">
        <f>IFERROR(__xludf.DUMMYFUNCTION("""COMPUTED_VALUE"""),111.11)</f>
        <v>111.11</v>
      </c>
      <c r="F346" s="2">
        <f>IFERROR(__xludf.DUMMYFUNCTION("""COMPUTED_VALUE"""),2.50852555E8)</f>
        <v>250852555</v>
      </c>
      <c r="G346" s="3">
        <f t="shared" si="1"/>
        <v>0.04564276303</v>
      </c>
    </row>
    <row r="347">
      <c r="A347" s="1">
        <f>IFERROR(__xludf.DUMMYFUNCTION("""COMPUTED_VALUE"""),44057.66666666667)</f>
        <v>44057.66667</v>
      </c>
      <c r="B347" s="2">
        <f>IFERROR(__xludf.DUMMYFUNCTION("""COMPUTED_VALUE"""),112.6)</f>
        <v>112.6</v>
      </c>
      <c r="C347" s="2">
        <f>IFERROR(__xludf.DUMMYFUNCTION("""COMPUTED_VALUE"""),116.04)</f>
        <v>116.04</v>
      </c>
      <c r="D347" s="2">
        <f>IFERROR(__xludf.DUMMYFUNCTION("""COMPUTED_VALUE"""),109.11)</f>
        <v>109.11</v>
      </c>
      <c r="E347" s="2">
        <f>IFERROR(__xludf.DUMMYFUNCTION("""COMPUTED_VALUE"""),114.91)</f>
        <v>114.91</v>
      </c>
      <c r="F347" s="2">
        <f>IFERROR(__xludf.DUMMYFUNCTION("""COMPUTED_VALUE"""),2.35474473E8)</f>
        <v>235474473</v>
      </c>
      <c r="G347" s="3">
        <f t="shared" si="1"/>
        <v>0.034200342</v>
      </c>
    </row>
    <row r="348">
      <c r="A348" s="1">
        <f>IFERROR(__xludf.DUMMYFUNCTION("""COMPUTED_VALUE"""),44064.66666666667)</f>
        <v>44064.66667</v>
      </c>
      <c r="B348" s="2">
        <f>IFERROR(__xludf.DUMMYFUNCTION("""COMPUTED_VALUE"""),116.06)</f>
        <v>116.06</v>
      </c>
      <c r="C348" s="2">
        <f>IFERROR(__xludf.DUMMYFUNCTION("""COMPUTED_VALUE"""),124.87)</f>
        <v>124.87</v>
      </c>
      <c r="D348" s="2">
        <f>IFERROR(__xludf.DUMMYFUNCTION("""COMPUTED_VALUE"""),113.96)</f>
        <v>113.96</v>
      </c>
      <c r="E348" s="2">
        <f>IFERROR(__xludf.DUMMYFUNCTION("""COMPUTED_VALUE"""),124.37)</f>
        <v>124.37</v>
      </c>
      <c r="F348" s="2">
        <f>IFERROR(__xludf.DUMMYFUNCTION("""COMPUTED_VALUE"""),2.08923705E8)</f>
        <v>208923705</v>
      </c>
      <c r="G348" s="3">
        <f t="shared" si="1"/>
        <v>0.08232529806</v>
      </c>
    </row>
    <row r="349">
      <c r="A349" s="1">
        <f>IFERROR(__xludf.DUMMYFUNCTION("""COMPUTED_VALUE"""),44071.66666666667)</f>
        <v>44071.66667</v>
      </c>
      <c r="B349" s="2">
        <f>IFERROR(__xludf.DUMMYFUNCTION("""COMPUTED_VALUE"""),128.7)</f>
        <v>128.7</v>
      </c>
      <c r="C349" s="2">
        <f>IFERROR(__xludf.DUMMYFUNCTION("""COMPUTED_VALUE"""),128.79)</f>
        <v>128.79</v>
      </c>
      <c r="D349" s="2">
        <f>IFERROR(__xludf.DUMMYFUNCTION("""COMPUTED_VALUE"""),123.05)</f>
        <v>123.05</v>
      </c>
      <c r="E349" s="2">
        <f>IFERROR(__xludf.DUMMYFUNCTION("""COMPUTED_VALUE"""),124.81)</f>
        <v>124.81</v>
      </c>
      <c r="F349" s="2">
        <f>IFERROR(__xludf.DUMMYFUNCTION("""COMPUTED_VALUE"""),2.65909531E8)</f>
        <v>265909531</v>
      </c>
      <c r="G349" s="3">
        <f t="shared" si="1"/>
        <v>0.003537830667</v>
      </c>
    </row>
    <row r="350">
      <c r="A350" s="1">
        <f>IFERROR(__xludf.DUMMYFUNCTION("""COMPUTED_VALUE"""),44078.66666666667)</f>
        <v>44078.66667</v>
      </c>
      <c r="B350" s="2">
        <f>IFERROR(__xludf.DUMMYFUNCTION("""COMPUTED_VALUE"""),127.58)</f>
        <v>127.58</v>
      </c>
      <c r="C350" s="2">
        <f>IFERROR(__xludf.DUMMYFUNCTION("""COMPUTED_VALUE"""),137.98)</f>
        <v>137.98</v>
      </c>
      <c r="D350" s="2">
        <f>IFERROR(__xludf.DUMMYFUNCTION("""COMPUTED_VALUE"""),110.89)</f>
        <v>110.89</v>
      </c>
      <c r="E350" s="2">
        <f>IFERROR(__xludf.DUMMYFUNCTION("""COMPUTED_VALUE"""),120.96)</f>
        <v>120.96</v>
      </c>
      <c r="F350" s="2">
        <f>IFERROR(__xludf.DUMMYFUNCTION("""COMPUTED_VALUE"""),1.168498624E9)</f>
        <v>1168498624</v>
      </c>
      <c r="G350" s="3">
        <f t="shared" si="1"/>
        <v>-0.03084688727</v>
      </c>
    </row>
    <row r="351">
      <c r="A351" s="1">
        <f>IFERROR(__xludf.DUMMYFUNCTION("""COMPUTED_VALUE"""),44085.66666666667)</f>
        <v>44085.66667</v>
      </c>
      <c r="B351" s="2">
        <f>IFERROR(__xludf.DUMMYFUNCTION("""COMPUTED_VALUE"""),113.95)</f>
        <v>113.95</v>
      </c>
      <c r="C351" s="2">
        <f>IFERROR(__xludf.DUMMYFUNCTION("""COMPUTED_VALUE"""),120.5)</f>
        <v>120.5</v>
      </c>
      <c r="D351" s="2">
        <f>IFERROR(__xludf.DUMMYFUNCTION("""COMPUTED_VALUE"""),110.0)</f>
        <v>110</v>
      </c>
      <c r="E351" s="2">
        <f>IFERROR(__xludf.DUMMYFUNCTION("""COMPUTED_VALUE"""),112.0)</f>
        <v>112</v>
      </c>
      <c r="F351" s="2">
        <f>IFERROR(__xludf.DUMMYFUNCTION("""COMPUTED_VALUE"""),7.71441734E8)</f>
        <v>771441734</v>
      </c>
      <c r="G351" s="3">
        <f t="shared" si="1"/>
        <v>-0.07407407407</v>
      </c>
    </row>
    <row r="352">
      <c r="A352" s="1">
        <f>IFERROR(__xludf.DUMMYFUNCTION("""COMPUTED_VALUE"""),44092.66666666667)</f>
        <v>44092.66667</v>
      </c>
      <c r="B352" s="2">
        <f>IFERROR(__xludf.DUMMYFUNCTION("""COMPUTED_VALUE"""),114.72)</f>
        <v>114.72</v>
      </c>
      <c r="C352" s="2">
        <f>IFERROR(__xludf.DUMMYFUNCTION("""COMPUTED_VALUE"""),118.83)</f>
        <v>118.83</v>
      </c>
      <c r="D352" s="2">
        <f>IFERROR(__xludf.DUMMYFUNCTION("""COMPUTED_VALUE"""),106.09)</f>
        <v>106.09</v>
      </c>
      <c r="E352" s="2">
        <f>IFERROR(__xludf.DUMMYFUNCTION("""COMPUTED_VALUE"""),106.84)</f>
        <v>106.84</v>
      </c>
      <c r="F352" s="2">
        <f>IFERROR(__xludf.DUMMYFUNCTION("""COMPUTED_VALUE"""),9.44934651E8)</f>
        <v>944934651</v>
      </c>
      <c r="G352" s="3">
        <f t="shared" si="1"/>
        <v>-0.04607142857</v>
      </c>
    </row>
    <row r="353">
      <c r="A353" s="1">
        <f>IFERROR(__xludf.DUMMYFUNCTION("""COMPUTED_VALUE"""),44099.66666666667)</f>
        <v>44099.66667</v>
      </c>
      <c r="B353" s="2">
        <f>IFERROR(__xludf.DUMMYFUNCTION("""COMPUTED_VALUE"""),104.54)</f>
        <v>104.54</v>
      </c>
      <c r="C353" s="2">
        <f>IFERROR(__xludf.DUMMYFUNCTION("""COMPUTED_VALUE"""),112.86)</f>
        <v>112.86</v>
      </c>
      <c r="D353" s="2">
        <f>IFERROR(__xludf.DUMMYFUNCTION("""COMPUTED_VALUE"""),103.1)</f>
        <v>103.1</v>
      </c>
      <c r="E353" s="2">
        <f>IFERROR(__xludf.DUMMYFUNCTION("""COMPUTED_VALUE"""),112.28)</f>
        <v>112.28</v>
      </c>
      <c r="F353" s="2">
        <f>IFERROR(__xludf.DUMMYFUNCTION("""COMPUTED_VALUE"""),8.47212649E8)</f>
        <v>847212649</v>
      </c>
      <c r="G353" s="3">
        <f t="shared" si="1"/>
        <v>0.05091725945</v>
      </c>
    </row>
    <row r="354">
      <c r="A354" s="1">
        <f>IFERROR(__xludf.DUMMYFUNCTION("""COMPUTED_VALUE"""),44106.66666666667)</f>
        <v>44106.66667</v>
      </c>
      <c r="B354" s="2">
        <f>IFERROR(__xludf.DUMMYFUNCTION("""COMPUTED_VALUE"""),115.01)</f>
        <v>115.01</v>
      </c>
      <c r="C354" s="2">
        <f>IFERROR(__xludf.DUMMYFUNCTION("""COMPUTED_VALUE"""),117.72)</f>
        <v>117.72</v>
      </c>
      <c r="D354" s="2">
        <f>IFERROR(__xludf.DUMMYFUNCTION("""COMPUTED_VALUE"""),112.22)</f>
        <v>112.22</v>
      </c>
      <c r="E354" s="2">
        <f>IFERROR(__xludf.DUMMYFUNCTION("""COMPUTED_VALUE"""),113.02)</f>
        <v>113.02</v>
      </c>
      <c r="F354" s="2">
        <f>IFERROR(__xludf.DUMMYFUNCTION("""COMPUTED_VALUE"""),6.41240539E8)</f>
        <v>641240539</v>
      </c>
      <c r="G354" s="3">
        <f t="shared" si="1"/>
        <v>0.006590666192</v>
      </c>
    </row>
    <row r="355">
      <c r="A355" s="1">
        <f>IFERROR(__xludf.DUMMYFUNCTION("""COMPUTED_VALUE"""),44113.66666666667)</f>
        <v>44113.66667</v>
      </c>
      <c r="B355" s="2">
        <f>IFERROR(__xludf.DUMMYFUNCTION("""COMPUTED_VALUE"""),113.91)</f>
        <v>113.91</v>
      </c>
      <c r="C355" s="2">
        <f>IFERROR(__xludf.DUMMYFUNCTION("""COMPUTED_VALUE"""),117.0)</f>
        <v>117</v>
      </c>
      <c r="D355" s="2">
        <f>IFERROR(__xludf.DUMMYFUNCTION("""COMPUTED_VALUE"""),112.25)</f>
        <v>112.25</v>
      </c>
      <c r="E355" s="2">
        <f>IFERROR(__xludf.DUMMYFUNCTION("""COMPUTED_VALUE"""),116.97)</f>
        <v>116.97</v>
      </c>
      <c r="F355" s="2">
        <f>IFERROR(__xludf.DUMMYFUNCTION("""COMPUTED_VALUE"""),5.48575054E8)</f>
        <v>548575054</v>
      </c>
      <c r="G355" s="3">
        <f t="shared" si="1"/>
        <v>0.03494956645</v>
      </c>
    </row>
    <row r="356">
      <c r="A356" s="1">
        <f>IFERROR(__xludf.DUMMYFUNCTION("""COMPUTED_VALUE"""),44120.66666666667)</f>
        <v>44120.66667</v>
      </c>
      <c r="B356" s="2">
        <f>IFERROR(__xludf.DUMMYFUNCTION("""COMPUTED_VALUE"""),120.06)</f>
        <v>120.06</v>
      </c>
      <c r="C356" s="2">
        <f>IFERROR(__xludf.DUMMYFUNCTION("""COMPUTED_VALUE"""),125.39)</f>
        <v>125.39</v>
      </c>
      <c r="D356" s="2">
        <f>IFERROR(__xludf.DUMMYFUNCTION("""COMPUTED_VALUE"""),118.15)</f>
        <v>118.15</v>
      </c>
      <c r="E356" s="2">
        <f>IFERROR(__xludf.DUMMYFUNCTION("""COMPUTED_VALUE"""),119.02)</f>
        <v>119.02</v>
      </c>
      <c r="F356" s="2">
        <f>IFERROR(__xludf.DUMMYFUNCTION("""COMPUTED_VALUE"""),8.81572555E8)</f>
        <v>881572555</v>
      </c>
      <c r="G356" s="3">
        <f t="shared" si="1"/>
        <v>0.01752586133</v>
      </c>
    </row>
    <row r="357">
      <c r="A357" s="1">
        <f>IFERROR(__xludf.DUMMYFUNCTION("""COMPUTED_VALUE"""),44127.66666666667)</f>
        <v>44127.66667</v>
      </c>
      <c r="B357" s="2">
        <f>IFERROR(__xludf.DUMMYFUNCTION("""COMPUTED_VALUE"""),119.96)</f>
        <v>119.96</v>
      </c>
      <c r="C357" s="2">
        <f>IFERROR(__xludf.DUMMYFUNCTION("""COMPUTED_VALUE"""),120.42)</f>
        <v>120.42</v>
      </c>
      <c r="D357" s="2">
        <f>IFERROR(__xludf.DUMMYFUNCTION("""COMPUTED_VALUE"""),114.28)</f>
        <v>114.28</v>
      </c>
      <c r="E357" s="2">
        <f>IFERROR(__xludf.DUMMYFUNCTION("""COMPUTED_VALUE"""),115.04)</f>
        <v>115.04</v>
      </c>
      <c r="F357" s="2">
        <f>IFERROR(__xludf.DUMMYFUNCTION("""COMPUTED_VALUE"""),5.19569644E8)</f>
        <v>519569644</v>
      </c>
      <c r="G357" s="3">
        <f t="shared" si="1"/>
        <v>-0.03343975802</v>
      </c>
    </row>
    <row r="358">
      <c r="A358" s="1">
        <f>IFERROR(__xludf.DUMMYFUNCTION("""COMPUTED_VALUE"""),44134.66666666667)</f>
        <v>44134.66667</v>
      </c>
      <c r="B358" s="2">
        <f>IFERROR(__xludf.DUMMYFUNCTION("""COMPUTED_VALUE"""),114.01)</f>
        <v>114.01</v>
      </c>
      <c r="C358" s="2">
        <f>IFERROR(__xludf.DUMMYFUNCTION("""COMPUTED_VALUE"""),117.28)</f>
        <v>117.28</v>
      </c>
      <c r="D358" s="2">
        <f>IFERROR(__xludf.DUMMYFUNCTION("""COMPUTED_VALUE"""),107.72)</f>
        <v>107.72</v>
      </c>
      <c r="E358" s="2">
        <f>IFERROR(__xludf.DUMMYFUNCTION("""COMPUTED_VALUE"""),108.86)</f>
        <v>108.86</v>
      </c>
      <c r="F358" s="2">
        <f>IFERROR(__xludf.DUMMYFUNCTION("""COMPUTED_VALUE"""),6.84767901E8)</f>
        <v>684767901</v>
      </c>
      <c r="G358" s="3">
        <f t="shared" si="1"/>
        <v>-0.05372044506</v>
      </c>
    </row>
    <row r="359">
      <c r="A359" s="1">
        <f>IFERROR(__xludf.DUMMYFUNCTION("""COMPUTED_VALUE"""),44141.66666666667)</f>
        <v>44141.66667</v>
      </c>
      <c r="B359" s="2">
        <f>IFERROR(__xludf.DUMMYFUNCTION("""COMPUTED_VALUE"""),109.11)</f>
        <v>109.11</v>
      </c>
      <c r="C359" s="2">
        <f>IFERROR(__xludf.DUMMYFUNCTION("""COMPUTED_VALUE"""),119.62)</f>
        <v>119.62</v>
      </c>
      <c r="D359" s="2">
        <f>IFERROR(__xludf.DUMMYFUNCTION("""COMPUTED_VALUE"""),107.32)</f>
        <v>107.32</v>
      </c>
      <c r="E359" s="2">
        <f>IFERROR(__xludf.DUMMYFUNCTION("""COMPUTED_VALUE"""),118.69)</f>
        <v>118.69</v>
      </c>
      <c r="F359" s="2">
        <f>IFERROR(__xludf.DUMMYFUNCTION("""COMPUTED_VALUE"""),6.09571825E8)</f>
        <v>609571825</v>
      </c>
      <c r="G359" s="3">
        <f t="shared" si="1"/>
        <v>0.09029946721</v>
      </c>
    </row>
    <row r="360">
      <c r="A360" s="1">
        <f>IFERROR(__xludf.DUMMYFUNCTION("""COMPUTED_VALUE"""),44148.66666666667)</f>
        <v>44148.66667</v>
      </c>
      <c r="B360" s="2">
        <f>IFERROR(__xludf.DUMMYFUNCTION("""COMPUTED_VALUE"""),120.5)</f>
        <v>120.5</v>
      </c>
      <c r="C360" s="2">
        <f>IFERROR(__xludf.DUMMYFUNCTION("""COMPUTED_VALUE"""),121.99)</f>
        <v>121.99</v>
      </c>
      <c r="D360" s="2">
        <f>IFERROR(__xludf.DUMMYFUNCTION("""COMPUTED_VALUE"""),114.13)</f>
        <v>114.13</v>
      </c>
      <c r="E360" s="2">
        <f>IFERROR(__xludf.DUMMYFUNCTION("""COMPUTED_VALUE"""),119.26)</f>
        <v>119.26</v>
      </c>
      <c r="F360" s="2">
        <f>IFERROR(__xludf.DUMMYFUNCTION("""COMPUTED_VALUE"""),5.89872919E8)</f>
        <v>589872919</v>
      </c>
      <c r="G360" s="3">
        <f t="shared" si="1"/>
        <v>0.004802426489</v>
      </c>
    </row>
    <row r="361">
      <c r="A361" s="1">
        <f>IFERROR(__xludf.DUMMYFUNCTION("""COMPUTED_VALUE"""),44155.66666666667)</f>
        <v>44155.66667</v>
      </c>
      <c r="B361" s="2">
        <f>IFERROR(__xludf.DUMMYFUNCTION("""COMPUTED_VALUE"""),118.92)</f>
        <v>118.92</v>
      </c>
      <c r="C361" s="2">
        <f>IFERROR(__xludf.DUMMYFUNCTION("""COMPUTED_VALUE"""),120.99)</f>
        <v>120.99</v>
      </c>
      <c r="D361" s="2">
        <f>IFERROR(__xludf.DUMMYFUNCTION("""COMPUTED_VALUE"""),116.81)</f>
        <v>116.81</v>
      </c>
      <c r="E361" s="2">
        <f>IFERROR(__xludf.DUMMYFUNCTION("""COMPUTED_VALUE"""),117.34)</f>
        <v>117.34</v>
      </c>
      <c r="F361" s="2">
        <f>IFERROR(__xludf.DUMMYFUNCTION("""COMPUTED_VALUE"""),3.89493361E8)</f>
        <v>389493361</v>
      </c>
      <c r="G361" s="3">
        <f t="shared" si="1"/>
        <v>-0.01609927889</v>
      </c>
    </row>
    <row r="362">
      <c r="A362" s="1">
        <f>IFERROR(__xludf.DUMMYFUNCTION("""COMPUTED_VALUE"""),44162.54166666667)</f>
        <v>44162.54167</v>
      </c>
      <c r="B362" s="2">
        <f>IFERROR(__xludf.DUMMYFUNCTION("""COMPUTED_VALUE"""),117.18)</f>
        <v>117.18</v>
      </c>
      <c r="C362" s="2">
        <f>IFERROR(__xludf.DUMMYFUNCTION("""COMPUTED_VALUE"""),117.62)</f>
        <v>117.62</v>
      </c>
      <c r="D362" s="2">
        <f>IFERROR(__xludf.DUMMYFUNCTION("""COMPUTED_VALUE"""),112.59)</f>
        <v>112.59</v>
      </c>
      <c r="E362" s="2">
        <f>IFERROR(__xludf.DUMMYFUNCTION("""COMPUTED_VALUE"""),116.59)</f>
        <v>116.59</v>
      </c>
      <c r="F362" s="2">
        <f>IFERROR(__xludf.DUMMYFUNCTION("""COMPUTED_VALUE"""),3.65024101E8)</f>
        <v>365024101</v>
      </c>
      <c r="G362" s="3">
        <f t="shared" si="1"/>
        <v>-0.006391682291</v>
      </c>
    </row>
    <row r="363">
      <c r="A363" s="1">
        <f>IFERROR(__xludf.DUMMYFUNCTION("""COMPUTED_VALUE"""),44169.66666666667)</f>
        <v>44169.66667</v>
      </c>
      <c r="B363" s="2">
        <f>IFERROR(__xludf.DUMMYFUNCTION("""COMPUTED_VALUE"""),116.97)</f>
        <v>116.97</v>
      </c>
      <c r="C363" s="2">
        <f>IFERROR(__xludf.DUMMYFUNCTION("""COMPUTED_VALUE"""),123.78)</f>
        <v>123.78</v>
      </c>
      <c r="D363" s="2">
        <f>IFERROR(__xludf.DUMMYFUNCTION("""COMPUTED_VALUE"""),116.81)</f>
        <v>116.81</v>
      </c>
      <c r="E363" s="2">
        <f>IFERROR(__xludf.DUMMYFUNCTION("""COMPUTED_VALUE"""),122.25)</f>
        <v>122.25</v>
      </c>
      <c r="F363" s="2">
        <f>IFERROR(__xludf.DUMMYFUNCTION("""COMPUTED_VALUE"""),5.43809225E8)</f>
        <v>543809225</v>
      </c>
      <c r="G363" s="3">
        <f t="shared" si="1"/>
        <v>0.04854618749</v>
      </c>
    </row>
    <row r="364">
      <c r="A364" s="1">
        <f>IFERROR(__xludf.DUMMYFUNCTION("""COMPUTED_VALUE"""),44176.66666666667)</f>
        <v>44176.66667</v>
      </c>
      <c r="B364" s="2">
        <f>IFERROR(__xludf.DUMMYFUNCTION("""COMPUTED_VALUE"""),122.31)</f>
        <v>122.31</v>
      </c>
      <c r="C364" s="2">
        <f>IFERROR(__xludf.DUMMYFUNCTION("""COMPUTED_VALUE"""),125.95)</f>
        <v>125.95</v>
      </c>
      <c r="D364" s="2">
        <f>IFERROR(__xludf.DUMMYFUNCTION("""COMPUTED_VALUE"""),120.15)</f>
        <v>120.15</v>
      </c>
      <c r="E364" s="2">
        <f>IFERROR(__xludf.DUMMYFUNCTION("""COMPUTED_VALUE"""),122.41)</f>
        <v>122.41</v>
      </c>
      <c r="F364" s="2">
        <f>IFERROR(__xludf.DUMMYFUNCTION("""COMPUTED_VALUE"""),4.52278651E8)</f>
        <v>452278651</v>
      </c>
      <c r="G364" s="3">
        <f t="shared" si="1"/>
        <v>0.001308793456</v>
      </c>
    </row>
    <row r="365">
      <c r="A365" s="1">
        <f>IFERROR(__xludf.DUMMYFUNCTION("""COMPUTED_VALUE"""),44183.66666666667)</f>
        <v>44183.66667</v>
      </c>
      <c r="B365" s="2">
        <f>IFERROR(__xludf.DUMMYFUNCTION("""COMPUTED_VALUE"""),122.6)</f>
        <v>122.6</v>
      </c>
      <c r="C365" s="2">
        <f>IFERROR(__xludf.DUMMYFUNCTION("""COMPUTED_VALUE"""),129.58)</f>
        <v>129.58</v>
      </c>
      <c r="D365" s="2">
        <f>IFERROR(__xludf.DUMMYFUNCTION("""COMPUTED_VALUE"""),121.54)</f>
        <v>121.54</v>
      </c>
      <c r="E365" s="2">
        <f>IFERROR(__xludf.DUMMYFUNCTION("""COMPUTED_VALUE"""),126.66)</f>
        <v>126.66</v>
      </c>
      <c r="F365" s="2">
        <f>IFERROR(__xludf.DUMMYFUNCTION("""COMPUTED_VALUE"""),6.21758148E8)</f>
        <v>621758148</v>
      </c>
      <c r="G365" s="3">
        <f t="shared" si="1"/>
        <v>0.03471938567</v>
      </c>
    </row>
    <row r="366">
      <c r="A366" s="1">
        <f>IFERROR(__xludf.DUMMYFUNCTION("""COMPUTED_VALUE"""),44189.54166666667)</f>
        <v>44189.54167</v>
      </c>
      <c r="B366" s="2">
        <f>IFERROR(__xludf.DUMMYFUNCTION("""COMPUTED_VALUE"""),125.02)</f>
        <v>125.02</v>
      </c>
      <c r="C366" s="2">
        <f>IFERROR(__xludf.DUMMYFUNCTION("""COMPUTED_VALUE"""),134.41)</f>
        <v>134.41</v>
      </c>
      <c r="D366" s="2">
        <f>IFERROR(__xludf.DUMMYFUNCTION("""COMPUTED_VALUE"""),123.45)</f>
        <v>123.45</v>
      </c>
      <c r="E366" s="2">
        <f>IFERROR(__xludf.DUMMYFUNCTION("""COMPUTED_VALUE"""),131.97)</f>
        <v>131.97</v>
      </c>
      <c r="F366" s="2">
        <f>IFERROR(__xludf.DUMMYFUNCTION("""COMPUTED_VALUE"""),4.33757134E8)</f>
        <v>433757134</v>
      </c>
      <c r="G366" s="3">
        <f t="shared" si="1"/>
        <v>0.04192325912</v>
      </c>
    </row>
    <row r="367">
      <c r="A367" s="1">
        <f>IFERROR(__xludf.DUMMYFUNCTION("""COMPUTED_VALUE"""),44196.66666666667)</f>
        <v>44196.66667</v>
      </c>
      <c r="B367" s="2">
        <f>IFERROR(__xludf.DUMMYFUNCTION("""COMPUTED_VALUE"""),133.99)</f>
        <v>133.99</v>
      </c>
      <c r="C367" s="2">
        <f>IFERROR(__xludf.DUMMYFUNCTION("""COMPUTED_VALUE"""),138.79)</f>
        <v>138.79</v>
      </c>
      <c r="D367" s="2">
        <f>IFERROR(__xludf.DUMMYFUNCTION("""COMPUTED_VALUE"""),131.72)</f>
        <v>131.72</v>
      </c>
      <c r="E367" s="2">
        <f>IFERROR(__xludf.DUMMYFUNCTION("""COMPUTED_VALUE"""),132.69)</f>
        <v>132.69</v>
      </c>
      <c r="F367" s="2">
        <f>IFERROR(__xludf.DUMMYFUNCTION("""COMPUTED_VALUE"""),4.41102271E8)</f>
        <v>441102271</v>
      </c>
      <c r="G367" s="3">
        <f t="shared" si="1"/>
        <v>0.005455785406</v>
      </c>
    </row>
    <row r="368">
      <c r="A368" s="1"/>
      <c r="G368" s="3"/>
    </row>
    <row r="369">
      <c r="A369" s="1"/>
      <c r="G369" s="3"/>
    </row>
    <row r="370">
      <c r="A370" s="1"/>
      <c r="G370" s="3"/>
    </row>
    <row r="371">
      <c r="A371" s="1"/>
      <c r="G371" s="3"/>
    </row>
    <row r="372">
      <c r="A372" s="1"/>
      <c r="G372" s="3"/>
    </row>
    <row r="373">
      <c r="A373" s="1"/>
      <c r="G373" s="3"/>
    </row>
    <row r="374">
      <c r="A374" s="1"/>
      <c r="G374" s="3"/>
    </row>
    <row r="375">
      <c r="A375" s="1"/>
      <c r="G375" s="3"/>
    </row>
    <row r="376">
      <c r="A376" s="1"/>
      <c r="G376" s="3"/>
    </row>
    <row r="377">
      <c r="A377" s="1"/>
      <c r="G377" s="3"/>
    </row>
    <row r="378">
      <c r="A378" s="1"/>
      <c r="G378" s="3"/>
    </row>
    <row r="379">
      <c r="A379" s="1"/>
      <c r="G379" s="3"/>
    </row>
    <row r="380">
      <c r="A380" s="1"/>
      <c r="G380" s="3"/>
    </row>
    <row r="381">
      <c r="A381" s="1"/>
      <c r="G381" s="3"/>
    </row>
    <row r="382">
      <c r="A382" s="1"/>
      <c r="G382" s="3"/>
    </row>
    <row r="383">
      <c r="A383" s="1"/>
      <c r="G383" s="3"/>
    </row>
    <row r="384">
      <c r="A384" s="1"/>
      <c r="G384" s="3"/>
    </row>
    <row r="385">
      <c r="A385" s="1"/>
      <c r="G385" s="3"/>
    </row>
    <row r="386">
      <c r="A386" s="1"/>
      <c r="G386" s="3"/>
    </row>
    <row r="387">
      <c r="A387" s="1"/>
      <c r="G387" s="3"/>
    </row>
    <row r="388">
      <c r="A388" s="1"/>
      <c r="G388" s="3"/>
    </row>
    <row r="389">
      <c r="A389" s="1"/>
      <c r="G389" s="3"/>
    </row>
    <row r="390">
      <c r="A390" s="1"/>
      <c r="G390" s="3"/>
    </row>
    <row r="391">
      <c r="A391" s="1"/>
      <c r="G391" s="3"/>
    </row>
    <row r="392">
      <c r="A392" s="1"/>
      <c r="G392" s="3"/>
    </row>
    <row r="393">
      <c r="A393" s="1"/>
      <c r="G393" s="3"/>
    </row>
    <row r="394">
      <c r="A394" s="1"/>
      <c r="G394" s="3"/>
    </row>
    <row r="395">
      <c r="A395" s="1"/>
      <c r="G395" s="3"/>
    </row>
    <row r="396">
      <c r="A396" s="1"/>
      <c r="G396" s="3"/>
    </row>
    <row r="397">
      <c r="A397" s="1"/>
      <c r="G397" s="3"/>
    </row>
    <row r="398">
      <c r="A398" s="1"/>
      <c r="G398" s="3"/>
    </row>
    <row r="399">
      <c r="A399" s="1"/>
      <c r="G399" s="3"/>
    </row>
    <row r="400">
      <c r="A400" s="1"/>
      <c r="G400" s="3"/>
    </row>
    <row r="401">
      <c r="A401" s="1"/>
      <c r="G401" s="3"/>
    </row>
    <row r="402">
      <c r="A402" s="1"/>
      <c r="G402" s="3"/>
    </row>
    <row r="403">
      <c r="A403" s="1"/>
      <c r="G403" s="3"/>
    </row>
    <row r="404">
      <c r="A404" s="1"/>
      <c r="G404" s="3"/>
    </row>
    <row r="405">
      <c r="A405" s="1"/>
      <c r="G405" s="3"/>
    </row>
    <row r="406">
      <c r="A406" s="1"/>
      <c r="G406" s="3"/>
    </row>
    <row r="407">
      <c r="A407" s="1"/>
      <c r="G407" s="3"/>
    </row>
    <row r="408">
      <c r="A408" s="1"/>
      <c r="G408" s="3"/>
    </row>
    <row r="409">
      <c r="A409" s="1"/>
      <c r="G409" s="3"/>
    </row>
    <row r="410">
      <c r="A410" s="1"/>
      <c r="G410" s="3"/>
    </row>
    <row r="411">
      <c r="A411" s="1"/>
      <c r="G411" s="3"/>
    </row>
    <row r="412">
      <c r="A412" s="1"/>
      <c r="G412" s="3"/>
    </row>
    <row r="413">
      <c r="A413" s="1"/>
      <c r="G413" s="3"/>
    </row>
    <row r="414">
      <c r="A414" s="1"/>
      <c r="G414" s="3"/>
    </row>
    <row r="415">
      <c r="A415" s="1"/>
      <c r="G415" s="3"/>
    </row>
    <row r="416">
      <c r="A416" s="1"/>
      <c r="G416" s="3"/>
    </row>
    <row r="417">
      <c r="A417" s="1"/>
      <c r="G417" s="3"/>
    </row>
    <row r="418">
      <c r="A418" s="1"/>
      <c r="G418" s="3"/>
    </row>
    <row r="419">
      <c r="A419" s="1"/>
      <c r="G419" s="3"/>
    </row>
    <row r="420">
      <c r="A420" s="1"/>
      <c r="G420" s="3"/>
    </row>
    <row r="421">
      <c r="A421" s="1"/>
      <c r="G421" s="3"/>
    </row>
    <row r="422">
      <c r="A422" s="1"/>
      <c r="G422" s="3"/>
    </row>
    <row r="423">
      <c r="A423" s="1"/>
      <c r="G423" s="3"/>
    </row>
    <row r="424">
      <c r="A424" s="1"/>
      <c r="G424" s="3"/>
    </row>
    <row r="425">
      <c r="A425" s="1"/>
      <c r="G425" s="3"/>
    </row>
    <row r="426">
      <c r="A426" s="1"/>
      <c r="G426" s="3"/>
    </row>
    <row r="427">
      <c r="A427" s="1"/>
      <c r="G427" s="3"/>
    </row>
    <row r="428">
      <c r="A428" s="1"/>
      <c r="G428" s="3"/>
    </row>
    <row r="429">
      <c r="A429" s="1"/>
      <c r="G429" s="3"/>
    </row>
    <row r="430">
      <c r="A430" s="1"/>
      <c r="G430" s="3"/>
    </row>
    <row r="431">
      <c r="A431" s="1"/>
      <c r="G431" s="3"/>
    </row>
    <row r="432">
      <c r="A432" s="1"/>
      <c r="G432" s="3"/>
    </row>
    <row r="433">
      <c r="A433" s="1"/>
      <c r="G433" s="3"/>
    </row>
    <row r="434">
      <c r="A434" s="1"/>
      <c r="G434" s="3"/>
    </row>
    <row r="435">
      <c r="A435" s="1"/>
      <c r="G435" s="3"/>
    </row>
    <row r="436">
      <c r="A436" s="1"/>
      <c r="G436" s="3"/>
    </row>
    <row r="437">
      <c r="A437" s="1"/>
      <c r="G437" s="3"/>
    </row>
    <row r="438">
      <c r="A438" s="1"/>
      <c r="G438" s="3"/>
    </row>
    <row r="439">
      <c r="A439" s="1"/>
      <c r="G439" s="3"/>
    </row>
    <row r="440">
      <c r="A440" s="1"/>
      <c r="G440" s="3"/>
    </row>
    <row r="441">
      <c r="A441" s="1"/>
      <c r="G441" s="3"/>
    </row>
    <row r="442">
      <c r="A442" s="1"/>
      <c r="G442" s="3"/>
    </row>
    <row r="443">
      <c r="A443" s="1"/>
      <c r="G443" s="3"/>
    </row>
    <row r="444">
      <c r="A444" s="1"/>
      <c r="G444" s="3"/>
    </row>
    <row r="445">
      <c r="A445" s="1"/>
      <c r="G445" s="3"/>
    </row>
    <row r="446">
      <c r="A446" s="1"/>
      <c r="G446" s="3"/>
    </row>
    <row r="447">
      <c r="A447" s="1"/>
      <c r="G447" s="3"/>
    </row>
    <row r="448">
      <c r="A448" s="1"/>
      <c r="G448" s="3"/>
    </row>
    <row r="449">
      <c r="A449" s="1"/>
      <c r="G449" s="3"/>
    </row>
    <row r="450">
      <c r="A450" s="1"/>
      <c r="G450" s="3"/>
    </row>
    <row r="451">
      <c r="A451" s="1"/>
      <c r="G451" s="3"/>
    </row>
    <row r="452">
      <c r="A452" s="1"/>
      <c r="G452" s="3"/>
    </row>
    <row r="453">
      <c r="A453" s="1"/>
      <c r="G453" s="3"/>
    </row>
    <row r="454">
      <c r="A454" s="1"/>
      <c r="G454" s="3"/>
    </row>
    <row r="455">
      <c r="A455" s="1"/>
      <c r="G455" s="3"/>
    </row>
    <row r="456">
      <c r="A456" s="1"/>
      <c r="G456" s="3"/>
    </row>
    <row r="457">
      <c r="A457" s="1"/>
      <c r="G457" s="3"/>
    </row>
    <row r="458">
      <c r="A458" s="1"/>
      <c r="G458" s="3"/>
    </row>
    <row r="459">
      <c r="A459" s="1"/>
      <c r="G459" s="3"/>
    </row>
    <row r="460">
      <c r="A460" s="1"/>
      <c r="G460" s="3"/>
    </row>
    <row r="461">
      <c r="A461" s="1"/>
      <c r="G461" s="3"/>
    </row>
    <row r="462">
      <c r="A462" s="1"/>
      <c r="G462" s="3"/>
    </row>
    <row r="463">
      <c r="A463" s="1"/>
      <c r="G463" s="3"/>
    </row>
    <row r="464">
      <c r="A464" s="1"/>
      <c r="G464" s="3"/>
    </row>
    <row r="465">
      <c r="A465" s="1"/>
      <c r="G465" s="3"/>
    </row>
    <row r="466">
      <c r="A466" s="1"/>
      <c r="G466" s="3"/>
    </row>
    <row r="467">
      <c r="A467" s="1"/>
      <c r="G467" s="3"/>
    </row>
    <row r="468">
      <c r="A468" s="1"/>
      <c r="G468" s="3"/>
    </row>
    <row r="469">
      <c r="A469" s="1"/>
      <c r="G469" s="3"/>
    </row>
    <row r="470">
      <c r="A470" s="1"/>
      <c r="G470" s="3"/>
    </row>
    <row r="471">
      <c r="A471" s="1"/>
      <c r="G471" s="3"/>
    </row>
    <row r="472">
      <c r="A472" s="1"/>
      <c r="G472" s="3"/>
    </row>
    <row r="473">
      <c r="A473" s="1"/>
      <c r="G473" s="3"/>
    </row>
    <row r="474">
      <c r="A474" s="1"/>
      <c r="G474" s="3"/>
    </row>
    <row r="475">
      <c r="A475" s="1"/>
      <c r="G475" s="3"/>
    </row>
    <row r="476">
      <c r="A476" s="1"/>
      <c r="G476" s="3"/>
    </row>
    <row r="477">
      <c r="A477" s="1"/>
      <c r="G477" s="3"/>
    </row>
    <row r="478">
      <c r="A478" s="1"/>
      <c r="G478" s="3"/>
    </row>
    <row r="479">
      <c r="A479" s="1"/>
      <c r="G479" s="3"/>
    </row>
    <row r="480">
      <c r="A480" s="1"/>
      <c r="G480" s="3"/>
    </row>
    <row r="481">
      <c r="A481" s="1"/>
      <c r="G481" s="3"/>
    </row>
    <row r="482">
      <c r="A482" s="1"/>
      <c r="G482" s="3"/>
    </row>
    <row r="483">
      <c r="A483" s="1"/>
      <c r="G483" s="3"/>
    </row>
    <row r="484">
      <c r="A484" s="1"/>
      <c r="G484" s="3"/>
    </row>
    <row r="485">
      <c r="A485" s="1"/>
      <c r="G485" s="3"/>
    </row>
    <row r="486">
      <c r="A486" s="1"/>
      <c r="G486" s="3"/>
    </row>
    <row r="487">
      <c r="A487" s="1"/>
      <c r="G487" s="3"/>
    </row>
    <row r="488">
      <c r="A488" s="1"/>
      <c r="G488" s="3"/>
    </row>
    <row r="489">
      <c r="A489" s="1"/>
      <c r="G489" s="3"/>
    </row>
    <row r="490">
      <c r="A490" s="1"/>
      <c r="G490" s="3"/>
    </row>
    <row r="491">
      <c r="A491" s="1"/>
      <c r="G491" s="3"/>
    </row>
    <row r="492">
      <c r="A492" s="1"/>
      <c r="G492" s="3"/>
    </row>
    <row r="493">
      <c r="A493" s="1"/>
      <c r="G493" s="3"/>
    </row>
    <row r="494">
      <c r="A494" s="1"/>
      <c r="G494" s="3"/>
    </row>
    <row r="495">
      <c r="A495" s="1"/>
      <c r="G495" s="3"/>
    </row>
    <row r="496">
      <c r="A496" s="1"/>
      <c r="G496" s="3"/>
    </row>
    <row r="497">
      <c r="A497" s="1"/>
      <c r="G497" s="3"/>
    </row>
    <row r="498">
      <c r="A498" s="1"/>
      <c r="G498" s="3"/>
    </row>
    <row r="499">
      <c r="A499" s="1"/>
      <c r="G499" s="3"/>
    </row>
    <row r="500">
      <c r="A500" s="1"/>
      <c r="G500" s="3"/>
    </row>
    <row r="501">
      <c r="A501" s="1"/>
      <c r="G501" s="3"/>
    </row>
    <row r="502">
      <c r="A502" s="1"/>
      <c r="G502" s="3"/>
    </row>
    <row r="503">
      <c r="A503" s="1"/>
      <c r="G503" s="3"/>
    </row>
    <row r="504">
      <c r="A504" s="1"/>
      <c r="G504" s="3"/>
    </row>
    <row r="505">
      <c r="A505" s="1"/>
      <c r="G505" s="3"/>
    </row>
    <row r="506">
      <c r="A506" s="1"/>
      <c r="G506" s="3"/>
    </row>
    <row r="507">
      <c r="A507" s="1"/>
      <c r="G507" s="3"/>
    </row>
    <row r="508">
      <c r="A508" s="1"/>
      <c r="G508" s="3"/>
    </row>
    <row r="509">
      <c r="A509" s="1"/>
      <c r="G509" s="3"/>
    </row>
    <row r="510">
      <c r="A510" s="1"/>
      <c r="G510" s="3"/>
    </row>
    <row r="511">
      <c r="A511" s="1"/>
      <c r="G511" s="3"/>
    </row>
    <row r="512">
      <c r="A512" s="1"/>
      <c r="G512" s="3"/>
    </row>
    <row r="513">
      <c r="A513" s="1"/>
      <c r="G513" s="3"/>
    </row>
    <row r="514">
      <c r="A514" s="1"/>
      <c r="G514" s="3"/>
    </row>
    <row r="515">
      <c r="A515" s="1"/>
      <c r="G515" s="3"/>
    </row>
    <row r="516">
      <c r="A516" s="1"/>
      <c r="G516" s="3"/>
    </row>
    <row r="517">
      <c r="A517" s="1"/>
      <c r="G517" s="3"/>
    </row>
    <row r="518">
      <c r="A518" s="1"/>
      <c r="G518" s="3"/>
    </row>
    <row r="519">
      <c r="A519" s="1"/>
      <c r="G519" s="3"/>
    </row>
    <row r="520">
      <c r="A520" s="1"/>
      <c r="G520" s="3"/>
    </row>
    <row r="521">
      <c r="A521" s="1"/>
      <c r="G521" s="3"/>
    </row>
    <row r="522">
      <c r="A522" s="1"/>
      <c r="G522" s="3"/>
    </row>
    <row r="523">
      <c r="A523" s="1"/>
      <c r="G523" s="3"/>
    </row>
    <row r="524">
      <c r="A524" s="1"/>
      <c r="G524" s="3"/>
    </row>
    <row r="525">
      <c r="A525" s="1"/>
      <c r="G525" s="3"/>
    </row>
    <row r="526">
      <c r="A526" s="1"/>
      <c r="G526" s="3"/>
    </row>
    <row r="527">
      <c r="A527" s="1"/>
      <c r="G527" s="3"/>
    </row>
    <row r="528">
      <c r="A528" s="1"/>
      <c r="G528" s="3"/>
    </row>
    <row r="529">
      <c r="A529" s="1"/>
      <c r="G529" s="3"/>
    </row>
    <row r="530">
      <c r="A530" s="1"/>
      <c r="G530" s="3"/>
    </row>
    <row r="531">
      <c r="A531" s="1"/>
      <c r="G531" s="3"/>
    </row>
    <row r="532">
      <c r="A532" s="1"/>
      <c r="G532" s="3"/>
    </row>
    <row r="533">
      <c r="A533" s="1"/>
      <c r="G533" s="3"/>
    </row>
    <row r="534">
      <c r="A534" s="1"/>
      <c r="G534" s="3"/>
    </row>
    <row r="535">
      <c r="A535" s="1"/>
      <c r="G535" s="3"/>
    </row>
    <row r="536">
      <c r="A536" s="1"/>
      <c r="G536" s="3"/>
    </row>
    <row r="537">
      <c r="A537" s="1"/>
      <c r="G537" s="3"/>
    </row>
    <row r="538">
      <c r="A538" s="1"/>
      <c r="G538" s="3"/>
    </row>
    <row r="539">
      <c r="A539" s="1"/>
      <c r="G539" s="3"/>
    </row>
    <row r="540">
      <c r="A540" s="1"/>
      <c r="G540" s="3"/>
    </row>
    <row r="541">
      <c r="A541" s="1"/>
      <c r="G541" s="3"/>
    </row>
    <row r="542">
      <c r="A542" s="1"/>
      <c r="G542" s="3"/>
    </row>
    <row r="543">
      <c r="A543" s="1"/>
      <c r="G543" s="3"/>
    </row>
    <row r="544">
      <c r="A544" s="1"/>
      <c r="G544" s="3"/>
    </row>
    <row r="545">
      <c r="A545" s="1"/>
      <c r="G545" s="3"/>
    </row>
    <row r="546">
      <c r="A546" s="1"/>
      <c r="G546" s="3"/>
    </row>
    <row r="547">
      <c r="A547" s="1"/>
      <c r="G547" s="3"/>
    </row>
    <row r="548">
      <c r="A548" s="1"/>
      <c r="G548" s="3"/>
    </row>
    <row r="549">
      <c r="A549" s="1"/>
      <c r="G549" s="3"/>
    </row>
    <row r="550">
      <c r="A550" s="1"/>
      <c r="G550" s="3"/>
    </row>
    <row r="551">
      <c r="A551" s="1"/>
      <c r="G551" s="3"/>
    </row>
    <row r="552">
      <c r="A552" s="1"/>
      <c r="G552" s="3"/>
    </row>
    <row r="553">
      <c r="A553" s="1"/>
      <c r="G553" s="3"/>
    </row>
    <row r="554">
      <c r="A554" s="1"/>
      <c r="G554" s="3"/>
    </row>
    <row r="555">
      <c r="A555" s="1"/>
      <c r="G555" s="3"/>
    </row>
    <row r="556">
      <c r="A556" s="1"/>
      <c r="G556" s="3"/>
    </row>
    <row r="557">
      <c r="A557" s="1"/>
      <c r="G557" s="3"/>
    </row>
    <row r="558">
      <c r="A558" s="1"/>
      <c r="G558" s="3"/>
    </row>
    <row r="559">
      <c r="A559" s="1"/>
      <c r="G559" s="3"/>
    </row>
    <row r="560">
      <c r="A560" s="1"/>
      <c r="G560" s="3"/>
    </row>
    <row r="561">
      <c r="A561" s="1"/>
      <c r="G561" s="3"/>
    </row>
    <row r="562">
      <c r="A562" s="1"/>
      <c r="G562" s="3"/>
    </row>
    <row r="563">
      <c r="A563" s="1"/>
      <c r="G563" s="3"/>
    </row>
    <row r="564">
      <c r="A564" s="1"/>
      <c r="G564" s="3"/>
    </row>
    <row r="565">
      <c r="A565" s="1"/>
      <c r="G565" s="3"/>
    </row>
    <row r="566">
      <c r="A566" s="1"/>
      <c r="G566" s="3"/>
    </row>
    <row r="567">
      <c r="A567" s="1"/>
      <c r="G567" s="3"/>
    </row>
    <row r="568">
      <c r="A568" s="1"/>
      <c r="G568" s="3"/>
    </row>
    <row r="569">
      <c r="A569" s="1"/>
      <c r="G569" s="3"/>
    </row>
    <row r="570">
      <c r="A570" s="1"/>
      <c r="G570" s="3"/>
    </row>
    <row r="571">
      <c r="A571" s="1"/>
      <c r="G571" s="3"/>
    </row>
    <row r="572">
      <c r="A572" s="1"/>
      <c r="G572" s="3"/>
    </row>
    <row r="573">
      <c r="A573" s="1"/>
      <c r="G573" s="3"/>
    </row>
    <row r="574">
      <c r="A574" s="1"/>
      <c r="G574" s="3"/>
    </row>
    <row r="575">
      <c r="A575" s="1"/>
      <c r="G575" s="3"/>
    </row>
    <row r="576">
      <c r="A576" s="1"/>
      <c r="G576" s="3"/>
    </row>
    <row r="577">
      <c r="A577" s="1"/>
      <c r="G577" s="3"/>
    </row>
    <row r="578">
      <c r="A578" s="1"/>
      <c r="G578" s="3"/>
    </row>
    <row r="579">
      <c r="A579" s="1"/>
      <c r="G579" s="3"/>
    </row>
    <row r="580">
      <c r="A580" s="1"/>
      <c r="G580" s="3"/>
    </row>
    <row r="581">
      <c r="A581" s="1"/>
      <c r="G581" s="3"/>
    </row>
    <row r="582">
      <c r="A582" s="1"/>
      <c r="G582" s="3"/>
    </row>
    <row r="583">
      <c r="A583" s="1"/>
      <c r="G583" s="3"/>
    </row>
    <row r="584">
      <c r="A584" s="1"/>
      <c r="G584" s="3"/>
    </row>
    <row r="585">
      <c r="A585" s="1"/>
      <c r="G585" s="3"/>
    </row>
    <row r="586">
      <c r="A586" s="1"/>
      <c r="G586" s="3"/>
    </row>
    <row r="587">
      <c r="A587" s="1"/>
      <c r="G587" s="3"/>
    </row>
    <row r="588">
      <c r="A588" s="1"/>
      <c r="G588" s="3"/>
    </row>
    <row r="589">
      <c r="A589" s="1"/>
      <c r="G589" s="3"/>
    </row>
    <row r="590">
      <c r="A590" s="1"/>
      <c r="G590" s="3"/>
    </row>
    <row r="591">
      <c r="A591" s="1"/>
      <c r="G591" s="3"/>
    </row>
    <row r="592">
      <c r="A592" s="1"/>
      <c r="G592" s="3"/>
    </row>
    <row r="593">
      <c r="A593" s="1"/>
      <c r="G593" s="3"/>
    </row>
    <row r="594">
      <c r="A594" s="1"/>
      <c r="G594" s="3"/>
    </row>
    <row r="595">
      <c r="A595" s="1"/>
      <c r="G595" s="3"/>
    </row>
    <row r="596">
      <c r="A596" s="1"/>
      <c r="G596" s="3"/>
    </row>
    <row r="597">
      <c r="A597" s="1"/>
      <c r="G597" s="3"/>
    </row>
    <row r="598">
      <c r="A598" s="1"/>
      <c r="G598" s="3"/>
    </row>
    <row r="599">
      <c r="A599" s="1"/>
      <c r="G599" s="3"/>
    </row>
    <row r="600">
      <c r="A600" s="1"/>
      <c r="G600" s="3"/>
    </row>
    <row r="601">
      <c r="A601" s="1"/>
      <c r="G601" s="3"/>
    </row>
    <row r="602">
      <c r="A602" s="1"/>
      <c r="G602" s="3"/>
    </row>
    <row r="603">
      <c r="A603" s="1"/>
      <c r="G603" s="3"/>
    </row>
    <row r="604">
      <c r="A604" s="1"/>
      <c r="G604" s="3"/>
    </row>
    <row r="605">
      <c r="A605" s="1"/>
      <c r="G605" s="3"/>
    </row>
    <row r="606">
      <c r="A606" s="1"/>
      <c r="G606" s="3"/>
    </row>
    <row r="607">
      <c r="A607" s="1"/>
      <c r="G607" s="3"/>
    </row>
    <row r="608">
      <c r="A608" s="1"/>
      <c r="G608" s="3"/>
    </row>
    <row r="609">
      <c r="A609" s="1"/>
      <c r="G609" s="3"/>
    </row>
    <row r="610">
      <c r="A610" s="1"/>
      <c r="G610" s="3"/>
    </row>
    <row r="611">
      <c r="A611" s="1"/>
      <c r="G611" s="3"/>
    </row>
    <row r="612">
      <c r="A612" s="1"/>
      <c r="G612" s="3"/>
    </row>
    <row r="613">
      <c r="A613" s="1"/>
      <c r="G613" s="3"/>
    </row>
    <row r="614">
      <c r="A614" s="1"/>
      <c r="G614" s="3"/>
    </row>
    <row r="615">
      <c r="A615" s="1"/>
      <c r="G615" s="3"/>
    </row>
    <row r="616">
      <c r="A616" s="1"/>
      <c r="G616" s="3"/>
    </row>
    <row r="617">
      <c r="A617" s="1"/>
      <c r="G617" s="3"/>
    </row>
    <row r="618">
      <c r="A618" s="1"/>
      <c r="G618" s="3"/>
    </row>
    <row r="619">
      <c r="A619" s="1"/>
      <c r="G619" s="3"/>
    </row>
    <row r="620">
      <c r="A620" s="1"/>
      <c r="G620" s="3"/>
    </row>
    <row r="621">
      <c r="A621" s="1"/>
      <c r="G621" s="3"/>
    </row>
    <row r="622">
      <c r="A622" s="1"/>
      <c r="G622" s="3"/>
    </row>
    <row r="623">
      <c r="A623" s="1"/>
      <c r="G623" s="3"/>
    </row>
    <row r="624">
      <c r="A624" s="1"/>
      <c r="G624" s="3"/>
    </row>
    <row r="625">
      <c r="A625" s="1"/>
      <c r="G625" s="3"/>
    </row>
    <row r="626">
      <c r="A626" s="1"/>
      <c r="G626" s="3"/>
    </row>
    <row r="627">
      <c r="A627" s="1"/>
      <c r="G627" s="3"/>
    </row>
    <row r="628">
      <c r="A628" s="1"/>
      <c r="G628" s="3"/>
    </row>
    <row r="629">
      <c r="A629" s="1"/>
      <c r="G629" s="3"/>
    </row>
    <row r="630">
      <c r="A630" s="1"/>
      <c r="G630" s="3"/>
    </row>
    <row r="631">
      <c r="A631" s="1"/>
      <c r="G631" s="3"/>
    </row>
    <row r="632">
      <c r="A632" s="1"/>
      <c r="G632" s="3"/>
    </row>
    <row r="633">
      <c r="A633" s="1"/>
      <c r="G633" s="3"/>
    </row>
    <row r="634">
      <c r="A634" s="1"/>
      <c r="G634" s="3"/>
    </row>
    <row r="635">
      <c r="A635" s="1"/>
      <c r="G635" s="3"/>
    </row>
    <row r="636">
      <c r="A636" s="1"/>
      <c r="G636" s="3"/>
    </row>
    <row r="637">
      <c r="A637" s="1"/>
      <c r="G637" s="3"/>
    </row>
    <row r="638">
      <c r="A638" s="1"/>
      <c r="G638" s="3"/>
    </row>
    <row r="639">
      <c r="A639" s="1"/>
      <c r="G639" s="3"/>
    </row>
    <row r="640">
      <c r="A640" s="1"/>
      <c r="G640" s="3"/>
    </row>
    <row r="641">
      <c r="A641" s="1"/>
      <c r="G641" s="3"/>
    </row>
    <row r="642">
      <c r="A642" s="1"/>
      <c r="G642" s="3"/>
    </row>
    <row r="643">
      <c r="A643" s="1"/>
      <c r="G643" s="3"/>
    </row>
    <row r="644">
      <c r="A644" s="1"/>
      <c r="G644" s="3"/>
    </row>
    <row r="645">
      <c r="A645" s="1"/>
      <c r="G645" s="3"/>
    </row>
    <row r="646">
      <c r="A646" s="1"/>
      <c r="G646" s="3"/>
    </row>
    <row r="647">
      <c r="A647" s="1"/>
      <c r="G647" s="3"/>
    </row>
    <row r="648">
      <c r="A648" s="1"/>
      <c r="G648" s="3"/>
    </row>
    <row r="649">
      <c r="A649" s="1"/>
      <c r="G649" s="3"/>
    </row>
    <row r="650">
      <c r="A650" s="1"/>
      <c r="G650" s="3"/>
    </row>
    <row r="651">
      <c r="A651" s="1"/>
      <c r="G651" s="3"/>
    </row>
    <row r="652">
      <c r="A652" s="1"/>
      <c r="G652" s="3"/>
    </row>
    <row r="653">
      <c r="A653" s="1"/>
      <c r="G653" s="3"/>
    </row>
    <row r="654">
      <c r="A654" s="1"/>
      <c r="G654" s="3"/>
    </row>
    <row r="655">
      <c r="A655" s="1"/>
      <c r="G655" s="3"/>
    </row>
    <row r="656">
      <c r="A656" s="1"/>
      <c r="G656" s="3"/>
    </row>
    <row r="657">
      <c r="A657" s="1"/>
      <c r="G657" s="3"/>
    </row>
    <row r="658">
      <c r="A658" s="1"/>
      <c r="G658" s="3"/>
    </row>
    <row r="659">
      <c r="A659" s="1"/>
      <c r="G659" s="3"/>
    </row>
    <row r="660">
      <c r="A660" s="1"/>
      <c r="G660" s="3"/>
    </row>
    <row r="661">
      <c r="A661" s="1"/>
      <c r="G661" s="3"/>
    </row>
    <row r="662">
      <c r="A662" s="1"/>
      <c r="G662" s="3"/>
    </row>
    <row r="663">
      <c r="A663" s="1"/>
      <c r="G663" s="3"/>
    </row>
    <row r="664">
      <c r="A664" s="1"/>
      <c r="G664" s="3"/>
    </row>
    <row r="665">
      <c r="A665" s="1"/>
      <c r="G665" s="3"/>
    </row>
    <row r="666">
      <c r="A666" s="1"/>
      <c r="G666" s="3"/>
    </row>
    <row r="667">
      <c r="A667" s="1"/>
      <c r="G667" s="3"/>
    </row>
    <row r="668">
      <c r="A668" s="1"/>
      <c r="G668" s="3"/>
    </row>
    <row r="669">
      <c r="A669" s="1"/>
      <c r="G669" s="3"/>
    </row>
    <row r="670">
      <c r="A670" s="1"/>
      <c r="G670" s="3"/>
    </row>
    <row r="671">
      <c r="A671" s="1"/>
      <c r="G671" s="3"/>
    </row>
    <row r="672">
      <c r="A672" s="1"/>
      <c r="G672" s="3"/>
    </row>
    <row r="673">
      <c r="A673" s="1"/>
      <c r="G673" s="3"/>
    </row>
    <row r="674">
      <c r="A674" s="1"/>
      <c r="G674" s="3"/>
    </row>
    <row r="675">
      <c r="A675" s="1"/>
      <c r="G675" s="3"/>
    </row>
    <row r="676">
      <c r="A676" s="1"/>
      <c r="G676" s="3"/>
    </row>
    <row r="677">
      <c r="A677" s="1"/>
      <c r="G677" s="3"/>
    </row>
    <row r="678">
      <c r="A678" s="1"/>
      <c r="G678" s="3"/>
    </row>
    <row r="679">
      <c r="A679" s="1"/>
      <c r="G679" s="3"/>
    </row>
    <row r="680">
      <c r="A680" s="1"/>
      <c r="G680" s="3"/>
    </row>
    <row r="681">
      <c r="A681" s="1"/>
      <c r="G681" s="3"/>
    </row>
    <row r="682">
      <c r="A682" s="1"/>
      <c r="G682" s="3"/>
    </row>
    <row r="683">
      <c r="A683" s="1"/>
      <c r="G683" s="3"/>
    </row>
    <row r="684">
      <c r="A684" s="1"/>
      <c r="G684" s="3"/>
    </row>
    <row r="685">
      <c r="A685" s="1"/>
      <c r="G685" s="3"/>
    </row>
    <row r="686">
      <c r="A686" s="1"/>
      <c r="G686" s="3"/>
    </row>
    <row r="687">
      <c r="A687" s="1"/>
      <c r="G687" s="3"/>
    </row>
    <row r="688">
      <c r="A688" s="1"/>
      <c r="G688" s="3"/>
    </row>
    <row r="689">
      <c r="A689" s="1"/>
      <c r="G689" s="3"/>
    </row>
    <row r="690">
      <c r="A690" s="1"/>
      <c r="G690" s="3"/>
    </row>
    <row r="691">
      <c r="A691" s="1"/>
      <c r="G691" s="3"/>
    </row>
    <row r="692">
      <c r="A692" s="1"/>
      <c r="G692" s="3"/>
    </row>
    <row r="693">
      <c r="A693" s="1"/>
      <c r="G693" s="3"/>
    </row>
    <row r="694">
      <c r="A694" s="1"/>
      <c r="G694" s="3"/>
    </row>
    <row r="695">
      <c r="A695" s="1"/>
      <c r="G695" s="3"/>
    </row>
    <row r="696">
      <c r="A696" s="1"/>
      <c r="G696" s="3"/>
    </row>
    <row r="697">
      <c r="A697" s="1"/>
      <c r="G697" s="3"/>
    </row>
    <row r="698">
      <c r="A698" s="1"/>
      <c r="G698" s="3"/>
    </row>
    <row r="699">
      <c r="A699" s="1"/>
      <c r="G699" s="3"/>
    </row>
    <row r="700">
      <c r="A700" s="1"/>
      <c r="G700" s="3"/>
    </row>
    <row r="701">
      <c r="A701" s="1"/>
      <c r="G701" s="3"/>
    </row>
    <row r="702">
      <c r="A702" s="1"/>
      <c r="G702" s="3"/>
    </row>
    <row r="703">
      <c r="A703" s="1"/>
      <c r="G703" s="3"/>
    </row>
    <row r="704">
      <c r="A704" s="1"/>
      <c r="G704" s="3"/>
    </row>
    <row r="705">
      <c r="A705" s="1"/>
      <c r="G705" s="3"/>
    </row>
    <row r="706">
      <c r="A706" s="1"/>
      <c r="G706" s="3"/>
    </row>
    <row r="707">
      <c r="A707" s="1"/>
      <c r="G707" s="3"/>
    </row>
    <row r="708">
      <c r="A708" s="1"/>
      <c r="G708" s="3"/>
    </row>
    <row r="709">
      <c r="A709" s="1"/>
      <c r="G709" s="3"/>
    </row>
    <row r="710">
      <c r="A710" s="1"/>
      <c r="G710" s="3"/>
    </row>
    <row r="711">
      <c r="A711" s="1"/>
      <c r="G711" s="3"/>
    </row>
    <row r="712">
      <c r="A712" s="1"/>
      <c r="G712" s="3"/>
    </row>
    <row r="713">
      <c r="A713" s="1"/>
      <c r="G713" s="3"/>
    </row>
    <row r="714">
      <c r="A714" s="1"/>
      <c r="G714" s="3"/>
    </row>
    <row r="715">
      <c r="A715" s="1"/>
      <c r="G715" s="3"/>
    </row>
    <row r="716">
      <c r="A716" s="1"/>
      <c r="G716" s="3"/>
    </row>
    <row r="717">
      <c r="A717" s="1"/>
      <c r="G717" s="3"/>
    </row>
    <row r="718">
      <c r="A718" s="1"/>
      <c r="G718" s="3"/>
    </row>
    <row r="719">
      <c r="A719" s="1"/>
      <c r="G719" s="3"/>
    </row>
    <row r="720">
      <c r="A720" s="1"/>
      <c r="G720" s="3"/>
    </row>
    <row r="721">
      <c r="A721" s="1"/>
      <c r="G721" s="3"/>
    </row>
    <row r="722">
      <c r="A722" s="1"/>
      <c r="G722" s="3"/>
    </row>
    <row r="723">
      <c r="A723" s="1"/>
      <c r="G723" s="3"/>
    </row>
    <row r="724">
      <c r="A724" s="1"/>
      <c r="G724" s="3"/>
    </row>
    <row r="725">
      <c r="A725" s="1"/>
      <c r="G725" s="3"/>
    </row>
    <row r="726">
      <c r="A726" s="1"/>
      <c r="G726" s="3"/>
    </row>
    <row r="727">
      <c r="A727" s="1"/>
      <c r="G727" s="3"/>
    </row>
    <row r="728">
      <c r="A728" s="1"/>
      <c r="G728" s="3"/>
    </row>
    <row r="729">
      <c r="A729" s="1"/>
      <c r="G729" s="3"/>
    </row>
    <row r="730">
      <c r="A730" s="1"/>
      <c r="G730" s="3"/>
    </row>
    <row r="731">
      <c r="A731" s="1"/>
      <c r="G731" s="3"/>
    </row>
    <row r="732">
      <c r="A732" s="1"/>
      <c r="G732" s="3"/>
    </row>
    <row r="733">
      <c r="A733" s="1"/>
      <c r="G733" s="3"/>
    </row>
    <row r="734">
      <c r="A734" s="1"/>
      <c r="G734" s="3"/>
    </row>
    <row r="735">
      <c r="A735" s="1"/>
      <c r="G735" s="3"/>
    </row>
    <row r="736">
      <c r="A736" s="1"/>
      <c r="G736" s="3"/>
    </row>
    <row r="737">
      <c r="A737" s="1"/>
      <c r="G737" s="3"/>
    </row>
    <row r="738">
      <c r="A738" s="1"/>
      <c r="G738" s="3"/>
    </row>
    <row r="739">
      <c r="A739" s="1"/>
      <c r="G739" s="3"/>
    </row>
    <row r="740">
      <c r="A740" s="1"/>
      <c r="G740" s="3"/>
    </row>
    <row r="741">
      <c r="A741" s="1"/>
      <c r="G741" s="3"/>
    </row>
    <row r="742">
      <c r="A742" s="1"/>
      <c r="G742" s="3"/>
    </row>
    <row r="743">
      <c r="A743" s="1"/>
      <c r="G743" s="3"/>
    </row>
    <row r="744">
      <c r="A744" s="1"/>
      <c r="G744" s="3"/>
    </row>
    <row r="745">
      <c r="A745" s="1"/>
      <c r="G745" s="3"/>
    </row>
    <row r="746">
      <c r="A746" s="1"/>
      <c r="G746" s="3"/>
    </row>
    <row r="747">
      <c r="A747" s="1"/>
      <c r="G747" s="3"/>
    </row>
    <row r="748">
      <c r="A748" s="1"/>
      <c r="G748" s="3"/>
    </row>
    <row r="749">
      <c r="A749" s="1"/>
      <c r="G749" s="3"/>
    </row>
    <row r="750">
      <c r="A750" s="1"/>
      <c r="G750" s="3"/>
    </row>
    <row r="751">
      <c r="A751" s="1"/>
      <c r="G751" s="3"/>
    </row>
    <row r="752">
      <c r="A752" s="1"/>
      <c r="G752" s="3"/>
    </row>
    <row r="753">
      <c r="A753" s="1"/>
      <c r="G753" s="3"/>
    </row>
    <row r="754">
      <c r="A754" s="1"/>
      <c r="G754" s="3"/>
    </row>
    <row r="755">
      <c r="A755" s="1"/>
      <c r="G755" s="3"/>
    </row>
    <row r="756">
      <c r="A756" s="1"/>
      <c r="G756" s="3"/>
    </row>
    <row r="757">
      <c r="A757" s="1"/>
      <c r="G757" s="3"/>
    </row>
    <row r="758">
      <c r="A758" s="1"/>
      <c r="G758" s="3"/>
    </row>
    <row r="759">
      <c r="A759" s="1"/>
      <c r="G759" s="3"/>
    </row>
    <row r="760">
      <c r="A760" s="1"/>
      <c r="G760" s="3"/>
    </row>
    <row r="761">
      <c r="A761" s="1"/>
      <c r="G761" s="3"/>
    </row>
    <row r="762">
      <c r="A762" s="1"/>
      <c r="G762" s="3"/>
    </row>
    <row r="763">
      <c r="A763" s="1"/>
      <c r="G763" s="3"/>
    </row>
    <row r="764">
      <c r="A764" s="1"/>
      <c r="G764" s="3"/>
    </row>
    <row r="765">
      <c r="A765" s="1"/>
      <c r="G765" s="3"/>
    </row>
    <row r="766">
      <c r="A766" s="1"/>
      <c r="G766" s="3"/>
    </row>
    <row r="767">
      <c r="A767" s="1"/>
      <c r="G767" s="3"/>
    </row>
    <row r="768">
      <c r="A768" s="1"/>
      <c r="G768" s="3"/>
    </row>
    <row r="769">
      <c r="A769" s="1"/>
      <c r="G769" s="3"/>
    </row>
    <row r="770">
      <c r="A770" s="1"/>
      <c r="G770" s="3"/>
    </row>
    <row r="771">
      <c r="A771" s="1"/>
      <c r="G771" s="3"/>
    </row>
    <row r="772">
      <c r="A772" s="1"/>
      <c r="G772" s="3"/>
    </row>
    <row r="773">
      <c r="A773" s="1"/>
      <c r="G773" s="3"/>
    </row>
    <row r="774">
      <c r="A774" s="1"/>
      <c r="G774" s="3"/>
    </row>
    <row r="775">
      <c r="A775" s="1"/>
      <c r="G775" s="3"/>
    </row>
    <row r="776">
      <c r="A776" s="1"/>
      <c r="G776" s="3"/>
    </row>
    <row r="777">
      <c r="A777" s="1"/>
      <c r="G777" s="3"/>
    </row>
    <row r="778">
      <c r="A778" s="1"/>
      <c r="G778" s="3"/>
    </row>
    <row r="779">
      <c r="A779" s="1"/>
      <c r="G779" s="3"/>
    </row>
    <row r="780">
      <c r="A780" s="1"/>
      <c r="G780" s="3"/>
    </row>
    <row r="781">
      <c r="A781" s="1"/>
      <c r="G781" s="3"/>
    </row>
    <row r="782">
      <c r="A782" s="1"/>
      <c r="G782" s="3"/>
    </row>
    <row r="783">
      <c r="A783" s="1"/>
      <c r="G783" s="3"/>
    </row>
    <row r="784">
      <c r="A784" s="1"/>
      <c r="G784" s="3"/>
    </row>
    <row r="785">
      <c r="A785" s="1"/>
      <c r="G785" s="3"/>
    </row>
    <row r="786">
      <c r="A786" s="1"/>
      <c r="G786" s="3"/>
    </row>
    <row r="787">
      <c r="A787" s="1"/>
      <c r="G787" s="3"/>
    </row>
    <row r="788">
      <c r="A788" s="1"/>
      <c r="G788" s="3"/>
    </row>
    <row r="789">
      <c r="A789" s="1"/>
      <c r="G789" s="3"/>
    </row>
    <row r="790">
      <c r="A790" s="1"/>
      <c r="G790" s="3"/>
    </row>
    <row r="791">
      <c r="A791" s="1"/>
      <c r="G791" s="3"/>
    </row>
    <row r="792">
      <c r="A792" s="1"/>
      <c r="G792" s="3"/>
    </row>
    <row r="793">
      <c r="A793" s="1"/>
      <c r="G793" s="3"/>
    </row>
    <row r="794">
      <c r="A794" s="1"/>
      <c r="G794" s="3"/>
    </row>
    <row r="795">
      <c r="A795" s="1"/>
      <c r="G795" s="3"/>
    </row>
    <row r="796">
      <c r="A796" s="1"/>
      <c r="G796" s="3"/>
    </row>
    <row r="797">
      <c r="A797" s="1"/>
      <c r="G797" s="3"/>
    </row>
    <row r="798">
      <c r="A798" s="1"/>
      <c r="G798" s="3"/>
    </row>
    <row r="799">
      <c r="A799" s="1"/>
      <c r="G799" s="3"/>
    </row>
    <row r="800">
      <c r="A800" s="1"/>
      <c r="G800" s="3"/>
    </row>
    <row r="801">
      <c r="A801" s="1"/>
      <c r="G801" s="3"/>
    </row>
    <row r="802">
      <c r="A802" s="1"/>
      <c r="G802" s="3"/>
    </row>
    <row r="803">
      <c r="A803" s="1"/>
      <c r="G803" s="3"/>
    </row>
    <row r="804">
      <c r="A804" s="1"/>
      <c r="G804" s="3"/>
    </row>
    <row r="805">
      <c r="A805" s="1"/>
      <c r="G805" s="3"/>
    </row>
    <row r="806">
      <c r="A806" s="1"/>
      <c r="G806" s="3"/>
    </row>
    <row r="807">
      <c r="A807" s="1"/>
      <c r="G807" s="3"/>
    </row>
    <row r="808">
      <c r="A808" s="1"/>
      <c r="G808" s="3"/>
    </row>
    <row r="809">
      <c r="A809" s="1"/>
      <c r="G809" s="3"/>
    </row>
    <row r="810">
      <c r="A810" s="1"/>
      <c r="G810" s="3"/>
    </row>
    <row r="811">
      <c r="A811" s="1"/>
      <c r="G811" s="3"/>
    </row>
    <row r="812">
      <c r="A812" s="1"/>
      <c r="G812" s="3"/>
    </row>
    <row r="813">
      <c r="A813" s="1"/>
      <c r="G813" s="3"/>
    </row>
    <row r="814">
      <c r="A814" s="1"/>
      <c r="G814" s="3"/>
    </row>
    <row r="815">
      <c r="A815" s="1"/>
      <c r="G815" s="3"/>
    </row>
    <row r="816">
      <c r="A816" s="1"/>
      <c r="G816" s="3"/>
    </row>
    <row r="817">
      <c r="A817" s="1"/>
      <c r="G817" s="3"/>
    </row>
    <row r="818">
      <c r="A818" s="1"/>
      <c r="G818" s="3"/>
    </row>
    <row r="819">
      <c r="A819" s="1"/>
      <c r="G819" s="3"/>
    </row>
    <row r="820">
      <c r="A820" s="1"/>
      <c r="G820" s="3"/>
    </row>
    <row r="821">
      <c r="A821" s="1"/>
      <c r="G821" s="3"/>
    </row>
    <row r="822">
      <c r="A822" s="1"/>
      <c r="G822" s="3"/>
    </row>
    <row r="823">
      <c r="A823" s="1"/>
      <c r="G823" s="3"/>
    </row>
    <row r="824">
      <c r="A824" s="1"/>
      <c r="G824" s="3"/>
    </row>
    <row r="825">
      <c r="A825" s="1"/>
      <c r="G825" s="3"/>
    </row>
    <row r="826">
      <c r="A826" s="1"/>
      <c r="G826" s="3"/>
    </row>
    <row r="827">
      <c r="A827" s="1"/>
      <c r="G827" s="3"/>
    </row>
    <row r="828">
      <c r="A828" s="1"/>
      <c r="G828" s="3"/>
    </row>
    <row r="829">
      <c r="A829" s="1"/>
      <c r="G829" s="3"/>
    </row>
    <row r="830">
      <c r="A830" s="1"/>
      <c r="G830" s="3"/>
    </row>
    <row r="831">
      <c r="A831" s="1"/>
      <c r="G831" s="3"/>
    </row>
    <row r="832">
      <c r="A832" s="1"/>
      <c r="G832" s="3"/>
    </row>
    <row r="833">
      <c r="A833" s="1"/>
      <c r="G833" s="3"/>
    </row>
    <row r="834">
      <c r="A834" s="1"/>
      <c r="G834" s="3"/>
    </row>
    <row r="835">
      <c r="A835" s="1"/>
      <c r="G835" s="3"/>
    </row>
    <row r="836">
      <c r="A836" s="1"/>
      <c r="G836" s="3"/>
    </row>
    <row r="837">
      <c r="A837" s="1"/>
      <c r="G837" s="3"/>
    </row>
    <row r="838">
      <c r="A838" s="1"/>
      <c r="G838" s="3"/>
    </row>
    <row r="839">
      <c r="A839" s="1"/>
      <c r="G839" s="3"/>
    </row>
    <row r="840">
      <c r="A840" s="1"/>
      <c r="G840" s="3"/>
    </row>
    <row r="841">
      <c r="A841" s="1"/>
      <c r="G841" s="3"/>
    </row>
    <row r="842">
      <c r="A842" s="1"/>
      <c r="G842" s="3"/>
    </row>
    <row r="843">
      <c r="A843" s="1"/>
      <c r="G843" s="3"/>
    </row>
    <row r="844">
      <c r="A844" s="1"/>
      <c r="G844" s="3"/>
    </row>
    <row r="845">
      <c r="A845" s="1"/>
      <c r="G845" s="3"/>
    </row>
    <row r="846">
      <c r="A846" s="1"/>
      <c r="G846" s="3"/>
    </row>
    <row r="847">
      <c r="A847" s="1"/>
      <c r="G847" s="3"/>
    </row>
    <row r="848">
      <c r="A848" s="1"/>
      <c r="G848" s="3"/>
    </row>
    <row r="849">
      <c r="A849" s="1"/>
      <c r="G849" s="3"/>
    </row>
    <row r="850">
      <c r="A850" s="1"/>
      <c r="G850" s="3"/>
    </row>
    <row r="851">
      <c r="A851" s="1"/>
      <c r="G851" s="3"/>
    </row>
    <row r="852">
      <c r="A852" s="1"/>
      <c r="G852" s="3"/>
    </row>
    <row r="853">
      <c r="A853" s="1"/>
      <c r="G853" s="3"/>
    </row>
    <row r="854">
      <c r="A854" s="1"/>
      <c r="G854" s="3"/>
    </row>
    <row r="855">
      <c r="A855" s="1"/>
      <c r="G855" s="3"/>
    </row>
    <row r="856">
      <c r="A856" s="1"/>
      <c r="G856" s="3"/>
    </row>
    <row r="857">
      <c r="A857" s="1"/>
      <c r="G857" s="3"/>
    </row>
    <row r="858">
      <c r="A858" s="1"/>
      <c r="G858" s="3"/>
    </row>
    <row r="859">
      <c r="A859" s="1"/>
      <c r="G859" s="3"/>
    </row>
    <row r="860">
      <c r="A860" s="1"/>
      <c r="G860" s="3"/>
    </row>
    <row r="861">
      <c r="A861" s="1"/>
      <c r="G861" s="3"/>
    </row>
    <row r="862">
      <c r="A862" s="1"/>
      <c r="G862" s="3"/>
    </row>
    <row r="863">
      <c r="A863" s="1"/>
      <c r="G863" s="3"/>
    </row>
    <row r="864">
      <c r="A864" s="1"/>
      <c r="G864" s="3"/>
    </row>
    <row r="865">
      <c r="A865" s="1"/>
      <c r="G865" s="3"/>
    </row>
    <row r="866">
      <c r="A866" s="1"/>
      <c r="G866" s="3"/>
    </row>
    <row r="867">
      <c r="A867" s="1"/>
      <c r="G867" s="3"/>
    </row>
    <row r="868">
      <c r="A868" s="1"/>
      <c r="G868" s="3"/>
    </row>
    <row r="869">
      <c r="A869" s="1"/>
      <c r="G869" s="3"/>
    </row>
    <row r="870">
      <c r="A870" s="1"/>
      <c r="G870" s="3"/>
    </row>
    <row r="871">
      <c r="A871" s="1"/>
      <c r="G871" s="3"/>
    </row>
    <row r="872">
      <c r="A872" s="1"/>
      <c r="G872" s="3"/>
    </row>
    <row r="873">
      <c r="A873" s="1"/>
      <c r="G873" s="3"/>
    </row>
    <row r="874">
      <c r="A874" s="1"/>
      <c r="G874" s="3"/>
    </row>
    <row r="875">
      <c r="A875" s="1"/>
      <c r="G875" s="3"/>
    </row>
    <row r="876">
      <c r="A876" s="1"/>
      <c r="G876" s="3"/>
    </row>
    <row r="877">
      <c r="A877" s="1"/>
      <c r="G877" s="3"/>
    </row>
    <row r="878">
      <c r="A878" s="1"/>
      <c r="G878" s="3"/>
    </row>
    <row r="879">
      <c r="A879" s="1"/>
      <c r="G879" s="3"/>
    </row>
    <row r="880">
      <c r="A880" s="1"/>
      <c r="G880" s="3"/>
    </row>
    <row r="881">
      <c r="A881" s="1"/>
      <c r="G881" s="3"/>
    </row>
    <row r="882">
      <c r="A882" s="1"/>
      <c r="G882" s="3"/>
    </row>
    <row r="883">
      <c r="A883" s="1"/>
      <c r="G883" s="3"/>
    </row>
    <row r="884">
      <c r="A884" s="1"/>
      <c r="G884" s="3"/>
    </row>
    <row r="885">
      <c r="A885" s="1"/>
      <c r="G885" s="3"/>
    </row>
    <row r="886">
      <c r="A886" s="1"/>
      <c r="G886" s="3"/>
    </row>
    <row r="887">
      <c r="A887" s="1"/>
      <c r="G887" s="3"/>
    </row>
    <row r="888">
      <c r="A888" s="1"/>
      <c r="G888" s="3"/>
    </row>
    <row r="889">
      <c r="A889" s="1"/>
      <c r="G889" s="3"/>
    </row>
    <row r="890">
      <c r="A890" s="1"/>
      <c r="G890" s="3"/>
    </row>
    <row r="891">
      <c r="A891" s="1"/>
      <c r="G891" s="3"/>
    </row>
    <row r="892">
      <c r="A892" s="1"/>
      <c r="G892" s="3"/>
    </row>
    <row r="893">
      <c r="A893" s="1"/>
      <c r="G893" s="3"/>
    </row>
    <row r="894">
      <c r="A894" s="1"/>
      <c r="G894" s="3"/>
    </row>
    <row r="895">
      <c r="A895" s="1"/>
      <c r="G895" s="3"/>
    </row>
    <row r="896">
      <c r="A896" s="1"/>
      <c r="G896" s="3"/>
    </row>
    <row r="897">
      <c r="A897" s="1"/>
      <c r="G897" s="3"/>
    </row>
    <row r="898">
      <c r="A898" s="1"/>
      <c r="G898" s="3"/>
    </row>
    <row r="899">
      <c r="A899" s="1"/>
      <c r="G899" s="3"/>
    </row>
    <row r="900">
      <c r="A900" s="1"/>
      <c r="G900" s="3"/>
    </row>
    <row r="901">
      <c r="A901" s="1"/>
      <c r="G901" s="3"/>
    </row>
    <row r="902">
      <c r="A902" s="1"/>
      <c r="G902" s="3"/>
    </row>
    <row r="903">
      <c r="A903" s="1"/>
      <c r="G903" s="3"/>
    </row>
    <row r="904">
      <c r="A904" s="1"/>
      <c r="G904" s="3"/>
    </row>
    <row r="905">
      <c r="A905" s="1"/>
      <c r="G905" s="3"/>
    </row>
    <row r="906">
      <c r="A906" s="1"/>
      <c r="G906" s="3"/>
    </row>
    <row r="907">
      <c r="A907" s="1"/>
      <c r="G907" s="3"/>
    </row>
    <row r="908">
      <c r="A908" s="1"/>
      <c r="G908" s="3"/>
    </row>
    <row r="909">
      <c r="A909" s="1"/>
      <c r="G909" s="3"/>
    </row>
    <row r="910">
      <c r="A910" s="1"/>
      <c r="G910" s="3"/>
    </row>
    <row r="911">
      <c r="A911" s="1"/>
      <c r="G911" s="3"/>
    </row>
    <row r="912">
      <c r="A912" s="1"/>
      <c r="G912" s="3"/>
    </row>
    <row r="913">
      <c r="A913" s="1"/>
      <c r="G913" s="3"/>
    </row>
    <row r="914">
      <c r="A914" s="1"/>
      <c r="G914" s="3"/>
    </row>
    <row r="915">
      <c r="A915" s="1"/>
      <c r="G915" s="3"/>
    </row>
    <row r="916">
      <c r="A916" s="1"/>
      <c r="G916" s="3"/>
    </row>
    <row r="917">
      <c r="A917" s="1"/>
      <c r="G917" s="3"/>
    </row>
    <row r="918">
      <c r="A918" s="1"/>
      <c r="G918" s="3"/>
    </row>
    <row r="919">
      <c r="A919" s="1"/>
      <c r="G919" s="3"/>
    </row>
    <row r="920">
      <c r="A920" s="1"/>
      <c r="G920" s="3"/>
    </row>
    <row r="921">
      <c r="A921" s="1"/>
      <c r="G921" s="3"/>
    </row>
    <row r="922">
      <c r="A922" s="1"/>
      <c r="G922" s="3"/>
    </row>
    <row r="923">
      <c r="A923" s="1"/>
      <c r="G923" s="3"/>
    </row>
    <row r="924">
      <c r="A924" s="1"/>
      <c r="G924" s="3"/>
    </row>
    <row r="925">
      <c r="A925" s="1"/>
      <c r="G925" s="3"/>
    </row>
    <row r="926">
      <c r="A926" s="1"/>
      <c r="G926" s="3"/>
    </row>
    <row r="927">
      <c r="A927" s="1"/>
      <c r="G927" s="3"/>
    </row>
    <row r="928">
      <c r="A928" s="1"/>
      <c r="G928" s="3"/>
    </row>
    <row r="929">
      <c r="A929" s="1"/>
      <c r="G929" s="3"/>
    </row>
    <row r="930">
      <c r="A930" s="1"/>
      <c r="G930" s="3"/>
    </row>
    <row r="931">
      <c r="A931" s="1"/>
      <c r="G931" s="3"/>
    </row>
    <row r="932">
      <c r="A932" s="1"/>
      <c r="G932" s="3"/>
    </row>
    <row r="933">
      <c r="A933" s="1"/>
      <c r="G933" s="3"/>
    </row>
    <row r="934">
      <c r="A934" s="1"/>
      <c r="G934" s="3"/>
    </row>
    <row r="935">
      <c r="A935" s="1"/>
      <c r="G935" s="3"/>
    </row>
    <row r="936">
      <c r="A936" s="1"/>
      <c r="G936" s="3"/>
    </row>
    <row r="937">
      <c r="A937" s="1"/>
      <c r="G937" s="3"/>
    </row>
    <row r="938">
      <c r="A938" s="1"/>
      <c r="G938" s="3"/>
    </row>
    <row r="939">
      <c r="A939" s="1"/>
      <c r="G939" s="3"/>
    </row>
    <row r="940">
      <c r="A940" s="1"/>
      <c r="G940" s="3"/>
    </row>
    <row r="941">
      <c r="A941" s="1"/>
      <c r="G941" s="3"/>
    </row>
    <row r="942">
      <c r="A942" s="1"/>
      <c r="G942" s="3"/>
    </row>
    <row r="943">
      <c r="A943" s="1"/>
      <c r="G943" s="3"/>
    </row>
    <row r="944">
      <c r="A944" s="1"/>
      <c r="G944" s="3"/>
    </row>
    <row r="945">
      <c r="A945" s="1"/>
      <c r="G945" s="3"/>
    </row>
    <row r="946">
      <c r="A946" s="1"/>
      <c r="G946" s="3"/>
    </row>
    <row r="947">
      <c r="A947" s="1"/>
      <c r="G947" s="3"/>
    </row>
    <row r="948">
      <c r="A948" s="1"/>
      <c r="G948" s="3"/>
    </row>
    <row r="949">
      <c r="A949" s="1"/>
      <c r="G949" s="3"/>
    </row>
    <row r="950">
      <c r="A950" s="1"/>
      <c r="G950" s="3"/>
    </row>
    <row r="951">
      <c r="A951" s="1"/>
      <c r="G951" s="3"/>
    </row>
    <row r="952">
      <c r="A952" s="1"/>
      <c r="G952" s="3"/>
    </row>
    <row r="953">
      <c r="A953" s="1"/>
      <c r="G953" s="3"/>
    </row>
    <row r="954">
      <c r="A954" s="1"/>
      <c r="G954" s="3"/>
    </row>
    <row r="955">
      <c r="A955" s="1"/>
      <c r="G955" s="3"/>
    </row>
    <row r="956">
      <c r="A956" s="1"/>
      <c r="G956" s="3"/>
    </row>
    <row r="957">
      <c r="A957" s="1"/>
      <c r="G957" s="3"/>
    </row>
    <row r="958">
      <c r="A958" s="1"/>
      <c r="G958" s="3"/>
    </row>
    <row r="959">
      <c r="A959" s="1"/>
      <c r="G959" s="3"/>
    </row>
    <row r="960">
      <c r="A960" s="1"/>
      <c r="G960" s="3"/>
    </row>
    <row r="961">
      <c r="A961" s="1"/>
      <c r="G961" s="3"/>
    </row>
    <row r="962">
      <c r="A962" s="1"/>
      <c r="G962" s="3"/>
    </row>
    <row r="963">
      <c r="A963" s="1"/>
      <c r="G963" s="3"/>
    </row>
    <row r="964">
      <c r="A964" s="1"/>
      <c r="G964" s="3"/>
    </row>
    <row r="965">
      <c r="A965" s="1"/>
      <c r="G965" s="3"/>
    </row>
    <row r="966">
      <c r="A966" s="1"/>
      <c r="G966" s="3"/>
    </row>
    <row r="967">
      <c r="A967" s="1"/>
      <c r="G967" s="3"/>
    </row>
    <row r="968">
      <c r="A968" s="1"/>
      <c r="G968" s="3"/>
    </row>
    <row r="969">
      <c r="A969" s="1"/>
      <c r="G969" s="3"/>
    </row>
    <row r="970">
      <c r="A970" s="1"/>
      <c r="G970" s="3"/>
    </row>
    <row r="971">
      <c r="A971" s="1"/>
      <c r="G971" s="3"/>
    </row>
    <row r="972">
      <c r="A972" s="1"/>
      <c r="G972" s="3"/>
    </row>
    <row r="973">
      <c r="A973" s="1"/>
      <c r="G973" s="3"/>
    </row>
    <row r="974">
      <c r="A974" s="1"/>
      <c r="G974" s="3"/>
    </row>
    <row r="975">
      <c r="A975" s="1"/>
      <c r="G975" s="3"/>
    </row>
    <row r="976">
      <c r="A976" s="1"/>
      <c r="G976" s="3"/>
    </row>
    <row r="977">
      <c r="A977" s="1"/>
      <c r="G977" s="3"/>
    </row>
    <row r="978">
      <c r="A978" s="1"/>
      <c r="G978" s="3"/>
    </row>
    <row r="979">
      <c r="A979" s="1"/>
      <c r="G979" s="3"/>
    </row>
    <row r="980">
      <c r="A980" s="1"/>
      <c r="G980" s="3"/>
    </row>
    <row r="981">
      <c r="A981" s="1"/>
      <c r="G981" s="3"/>
    </row>
    <row r="982">
      <c r="A982" s="1"/>
      <c r="G982" s="3"/>
    </row>
    <row r="983">
      <c r="A983" s="1"/>
      <c r="G983" s="3"/>
    </row>
    <row r="984">
      <c r="A984" s="1"/>
      <c r="G984" s="3"/>
    </row>
    <row r="985">
      <c r="A985" s="1"/>
      <c r="G985" s="3"/>
    </row>
    <row r="986">
      <c r="A986" s="1"/>
      <c r="G986" s="3"/>
    </row>
    <row r="987">
      <c r="A987" s="1"/>
      <c r="G987" s="3"/>
    </row>
    <row r="988">
      <c r="A988" s="1"/>
      <c r="G988" s="3"/>
    </row>
    <row r="989">
      <c r="A989" s="1"/>
      <c r="G989" s="3"/>
    </row>
    <row r="990">
      <c r="A990" s="1"/>
      <c r="G990" s="3"/>
    </row>
    <row r="991">
      <c r="A991" s="1"/>
      <c r="G991" s="3"/>
    </row>
    <row r="992">
      <c r="A992" s="1"/>
      <c r="G992" s="3"/>
    </row>
    <row r="993">
      <c r="A993" s="1"/>
      <c r="G993" s="3"/>
    </row>
    <row r="994">
      <c r="A994" s="1"/>
      <c r="G994" s="3"/>
    </row>
    <row r="995">
      <c r="A995" s="1"/>
      <c r="G995" s="3"/>
    </row>
    <row r="996">
      <c r="A996" s="1"/>
      <c r="G996" s="3"/>
    </row>
    <row r="997">
      <c r="A997" s="1"/>
      <c r="G997" s="3"/>
    </row>
    <row r="998">
      <c r="A998" s="1"/>
      <c r="G998" s="3"/>
    </row>
    <row r="999">
      <c r="A999" s="1"/>
      <c r="G999" s="3"/>
    </row>
    <row r="1000">
      <c r="A1000" s="1"/>
      <c r="G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tr">
        <f>IFERROR(__xludf.DUMMYFUNCTION("GOOGLEFINANCE(""NASDAQ:MSFT"",""all"",DATE(2014,1,1),DATE(2021,1,1),""weekly"")"),"Date")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  <c r="G1" s="3"/>
    </row>
    <row r="2">
      <c r="A2" s="1">
        <f>IFERROR(__xludf.DUMMYFUNCTION("""COMPUTED_VALUE"""),41642.666666666664)</f>
        <v>41642.66667</v>
      </c>
      <c r="B2" s="2">
        <f>IFERROR(__xludf.DUMMYFUNCTION("""COMPUTED_VALUE"""),37.2)</f>
        <v>37.2</v>
      </c>
      <c r="C2" s="2">
        <f>IFERROR(__xludf.DUMMYFUNCTION("""COMPUTED_VALUE"""),37.58)</f>
        <v>37.58</v>
      </c>
      <c r="D2" s="2">
        <f>IFERROR(__xludf.DUMMYFUNCTION("""COMPUTED_VALUE"""),36.6)</f>
        <v>36.6</v>
      </c>
      <c r="E2" s="2">
        <f>IFERROR(__xludf.DUMMYFUNCTION("""COMPUTED_VALUE"""),36.91)</f>
        <v>36.91</v>
      </c>
      <c r="F2" s="2">
        <f>IFERROR(__xludf.DUMMYFUNCTION("""COMPUTED_VALUE"""),9.5574785E7)</f>
        <v>95574785</v>
      </c>
      <c r="G2" s="3"/>
    </row>
    <row r="3">
      <c r="A3" s="1">
        <f>IFERROR(__xludf.DUMMYFUNCTION("""COMPUTED_VALUE"""),41649.666666666664)</f>
        <v>41649.66667</v>
      </c>
      <c r="B3" s="2">
        <f>IFERROR(__xludf.DUMMYFUNCTION("""COMPUTED_VALUE"""),36.86)</f>
        <v>36.86</v>
      </c>
      <c r="C3" s="2">
        <f>IFERROR(__xludf.DUMMYFUNCTION("""COMPUTED_VALUE"""),36.89)</f>
        <v>36.89</v>
      </c>
      <c r="D3" s="2">
        <f>IFERROR(__xludf.DUMMYFUNCTION("""COMPUTED_VALUE"""),35.4)</f>
        <v>35.4</v>
      </c>
      <c r="E3" s="2">
        <f>IFERROR(__xludf.DUMMYFUNCTION("""COMPUTED_VALUE"""),36.04)</f>
        <v>36.04</v>
      </c>
      <c r="F3" s="2">
        <f>IFERROR(__xludf.DUMMYFUNCTION("""COMPUTED_VALUE"""),2.16598517E8)</f>
        <v>216598517</v>
      </c>
      <c r="G3" s="3">
        <f t="shared" ref="G3:G367" si="1">E3/E2-1</f>
        <v>-0.02357084801</v>
      </c>
    </row>
    <row r="4">
      <c r="A4" s="1">
        <f>IFERROR(__xludf.DUMMYFUNCTION("""COMPUTED_VALUE"""),41656.666666666664)</f>
        <v>41656.66667</v>
      </c>
      <c r="B4" s="2">
        <f>IFERROR(__xludf.DUMMYFUNCTION("""COMPUTED_VALUE"""),36.0)</f>
        <v>36</v>
      </c>
      <c r="C4" s="2">
        <f>IFERROR(__xludf.DUMMYFUNCTION("""COMPUTED_VALUE"""),37.0)</f>
        <v>37</v>
      </c>
      <c r="D4" s="2">
        <f>IFERROR(__xludf.DUMMYFUNCTION("""COMPUTED_VALUE"""),34.63)</f>
        <v>34.63</v>
      </c>
      <c r="E4" s="2">
        <f>IFERROR(__xludf.DUMMYFUNCTION("""COMPUTED_VALUE"""),36.38)</f>
        <v>36.38</v>
      </c>
      <c r="F4" s="2">
        <f>IFERROR(__xludf.DUMMYFUNCTION("""COMPUTED_VALUE"""),2.16795186E8)</f>
        <v>216795186</v>
      </c>
      <c r="G4" s="3">
        <f t="shared" si="1"/>
        <v>0.009433962264</v>
      </c>
    </row>
    <row r="5">
      <c r="A5" s="1">
        <f>IFERROR(__xludf.DUMMYFUNCTION("""COMPUTED_VALUE"""),41663.666666666664)</f>
        <v>41663.66667</v>
      </c>
      <c r="B5" s="2">
        <f>IFERROR(__xludf.DUMMYFUNCTION("""COMPUTED_VALUE"""),36.81)</f>
        <v>36.81</v>
      </c>
      <c r="C5" s="2">
        <f>IFERROR(__xludf.DUMMYFUNCTION("""COMPUTED_VALUE"""),37.55)</f>
        <v>37.55</v>
      </c>
      <c r="D5" s="2">
        <f>IFERROR(__xludf.DUMMYFUNCTION("""COMPUTED_VALUE"""),35.52)</f>
        <v>35.52</v>
      </c>
      <c r="E5" s="2">
        <f>IFERROR(__xludf.DUMMYFUNCTION("""COMPUTED_VALUE"""),36.81)</f>
        <v>36.81</v>
      </c>
      <c r="F5" s="2">
        <f>IFERROR(__xludf.DUMMYFUNCTION("""COMPUTED_VALUE"""),1.75111177E8)</f>
        <v>175111177</v>
      </c>
      <c r="G5" s="3">
        <f t="shared" si="1"/>
        <v>0.01181968114</v>
      </c>
    </row>
    <row r="6">
      <c r="A6" s="1">
        <f>IFERROR(__xludf.DUMMYFUNCTION("""COMPUTED_VALUE"""),41670.666666666664)</f>
        <v>41670.66667</v>
      </c>
      <c r="B6" s="2">
        <f>IFERROR(__xludf.DUMMYFUNCTION("""COMPUTED_VALUE"""),36.8)</f>
        <v>36.8</v>
      </c>
      <c r="C6" s="2">
        <f>IFERROR(__xludf.DUMMYFUNCTION("""COMPUTED_VALUE"""),37.89)</f>
        <v>37.89</v>
      </c>
      <c r="D6" s="2">
        <f>IFERROR(__xludf.DUMMYFUNCTION("""COMPUTED_VALUE"""),35.75)</f>
        <v>35.75</v>
      </c>
      <c r="E6" s="2">
        <f>IFERROR(__xludf.DUMMYFUNCTION("""COMPUTED_VALUE"""),37.84)</f>
        <v>37.84</v>
      </c>
      <c r="F6" s="2">
        <f>IFERROR(__xludf.DUMMYFUNCTION("""COMPUTED_VALUE"""),2.61804587E8)</f>
        <v>261804587</v>
      </c>
      <c r="G6" s="3">
        <f t="shared" si="1"/>
        <v>0.02798152676</v>
      </c>
    </row>
    <row r="7">
      <c r="A7" s="1">
        <f>IFERROR(__xludf.DUMMYFUNCTION("""COMPUTED_VALUE"""),41677.666666666664)</f>
        <v>41677.66667</v>
      </c>
      <c r="B7" s="2">
        <f>IFERROR(__xludf.DUMMYFUNCTION("""COMPUTED_VALUE"""),37.77)</f>
        <v>37.77</v>
      </c>
      <c r="C7" s="2">
        <f>IFERROR(__xludf.DUMMYFUNCTION("""COMPUTED_VALUE"""),37.99)</f>
        <v>37.99</v>
      </c>
      <c r="D7" s="2">
        <f>IFERROR(__xludf.DUMMYFUNCTION("""COMPUTED_VALUE"""),35.69)</f>
        <v>35.69</v>
      </c>
      <c r="E7" s="2">
        <f>IFERROR(__xludf.DUMMYFUNCTION("""COMPUTED_VALUE"""),36.56)</f>
        <v>36.56</v>
      </c>
      <c r="F7" s="2">
        <f>IFERROR(__xludf.DUMMYFUNCTION("""COMPUTED_VALUE"""),2.44199414E8)</f>
        <v>244199414</v>
      </c>
      <c r="G7" s="3">
        <f t="shared" si="1"/>
        <v>-0.03382663848</v>
      </c>
    </row>
    <row r="8">
      <c r="A8" s="1">
        <f>IFERROR(__xludf.DUMMYFUNCTION("""COMPUTED_VALUE"""),41684.666666666664)</f>
        <v>41684.66667</v>
      </c>
      <c r="B8" s="2">
        <f>IFERROR(__xludf.DUMMYFUNCTION("""COMPUTED_VALUE"""),36.64)</f>
        <v>36.64</v>
      </c>
      <c r="C8" s="2">
        <f>IFERROR(__xludf.DUMMYFUNCTION("""COMPUTED_VALUE"""),37.86)</f>
        <v>37.86</v>
      </c>
      <c r="D8" s="2">
        <f>IFERROR(__xludf.DUMMYFUNCTION("""COMPUTED_VALUE"""),36.29)</f>
        <v>36.29</v>
      </c>
      <c r="E8" s="2">
        <f>IFERROR(__xludf.DUMMYFUNCTION("""COMPUTED_VALUE"""),37.62)</f>
        <v>37.62</v>
      </c>
      <c r="F8" s="2">
        <f>IFERROR(__xludf.DUMMYFUNCTION("""COMPUTED_VALUE"""),1.66637451E8)</f>
        <v>166637451</v>
      </c>
      <c r="G8" s="3">
        <f t="shared" si="1"/>
        <v>0.02899343545</v>
      </c>
    </row>
    <row r="9">
      <c r="A9" s="1">
        <f>IFERROR(__xludf.DUMMYFUNCTION("""COMPUTED_VALUE"""),41691.666666666664)</f>
        <v>41691.66667</v>
      </c>
      <c r="B9" s="2">
        <f>IFERROR(__xludf.DUMMYFUNCTION("""COMPUTED_VALUE"""),37.65)</f>
        <v>37.65</v>
      </c>
      <c r="C9" s="2">
        <f>IFERROR(__xludf.DUMMYFUNCTION("""COMPUTED_VALUE"""),38.35)</f>
        <v>38.35</v>
      </c>
      <c r="D9" s="2">
        <f>IFERROR(__xludf.DUMMYFUNCTION("""COMPUTED_VALUE"""),37.21)</f>
        <v>37.21</v>
      </c>
      <c r="E9" s="2">
        <f>IFERROR(__xludf.DUMMYFUNCTION("""COMPUTED_VALUE"""),37.98)</f>
        <v>37.98</v>
      </c>
      <c r="F9" s="2">
        <f>IFERROR(__xludf.DUMMYFUNCTION("""COMPUTED_VALUE"""),1.28205485E8)</f>
        <v>128205485</v>
      </c>
      <c r="G9" s="3">
        <f t="shared" si="1"/>
        <v>0.00956937799</v>
      </c>
    </row>
    <row r="10">
      <c r="A10" s="1">
        <f>IFERROR(__xludf.DUMMYFUNCTION("""COMPUTED_VALUE"""),41698.666666666664)</f>
        <v>41698.66667</v>
      </c>
      <c r="B10" s="2">
        <f>IFERROR(__xludf.DUMMYFUNCTION("""COMPUTED_VALUE"""),37.66)</f>
        <v>37.66</v>
      </c>
      <c r="C10" s="2">
        <f>IFERROR(__xludf.DUMMYFUNCTION("""COMPUTED_VALUE"""),38.46)</f>
        <v>38.46</v>
      </c>
      <c r="D10" s="2">
        <f>IFERROR(__xludf.DUMMYFUNCTION("""COMPUTED_VALUE"""),37.19)</f>
        <v>37.19</v>
      </c>
      <c r="E10" s="2">
        <f>IFERROR(__xludf.DUMMYFUNCTION("""COMPUTED_VALUE"""),38.31)</f>
        <v>38.31</v>
      </c>
      <c r="F10" s="2">
        <f>IFERROR(__xludf.DUMMYFUNCTION("""COMPUTED_VALUE"""),1.79189733E8)</f>
        <v>179189733</v>
      </c>
      <c r="G10" s="3">
        <f t="shared" si="1"/>
        <v>0.00868878357</v>
      </c>
    </row>
    <row r="11">
      <c r="A11" s="1">
        <f>IFERROR(__xludf.DUMMYFUNCTION("""COMPUTED_VALUE"""),41705.666666666664)</f>
        <v>41705.66667</v>
      </c>
      <c r="B11" s="2">
        <f>IFERROR(__xludf.DUMMYFUNCTION("""COMPUTED_VALUE"""),37.89)</f>
        <v>37.89</v>
      </c>
      <c r="C11" s="2">
        <f>IFERROR(__xludf.DUMMYFUNCTION("""COMPUTED_VALUE"""),38.48)</f>
        <v>38.48</v>
      </c>
      <c r="D11" s="2">
        <f>IFERROR(__xludf.DUMMYFUNCTION("""COMPUTED_VALUE"""),37.49)</f>
        <v>37.49</v>
      </c>
      <c r="E11" s="2">
        <f>IFERROR(__xludf.DUMMYFUNCTION("""COMPUTED_VALUE"""),37.9)</f>
        <v>37.9</v>
      </c>
      <c r="F11" s="2">
        <f>IFERROR(__xludf.DUMMYFUNCTION("""COMPUTED_VALUE"""),1.27317506E8)</f>
        <v>127317506</v>
      </c>
      <c r="G11" s="3">
        <f t="shared" si="1"/>
        <v>-0.01070216654</v>
      </c>
    </row>
    <row r="12">
      <c r="A12" s="1">
        <f>IFERROR(__xludf.DUMMYFUNCTION("""COMPUTED_VALUE"""),41712.666666666664)</f>
        <v>41712.66667</v>
      </c>
      <c r="B12" s="2">
        <f>IFERROR(__xludf.DUMMYFUNCTION("""COMPUTED_VALUE"""),37.97)</f>
        <v>37.97</v>
      </c>
      <c r="C12" s="2">
        <f>IFERROR(__xludf.DUMMYFUNCTION("""COMPUTED_VALUE"""),38.45)</f>
        <v>38.45</v>
      </c>
      <c r="D12" s="2">
        <f>IFERROR(__xludf.DUMMYFUNCTION("""COMPUTED_VALUE"""),37.51)</f>
        <v>37.51</v>
      </c>
      <c r="E12" s="2">
        <f>IFERROR(__xludf.DUMMYFUNCTION("""COMPUTED_VALUE"""),37.7)</f>
        <v>37.7</v>
      </c>
      <c r="F12" s="2">
        <f>IFERROR(__xludf.DUMMYFUNCTION("""COMPUTED_VALUE"""),1.34087566E8)</f>
        <v>134087566</v>
      </c>
      <c r="G12" s="3">
        <f t="shared" si="1"/>
        <v>-0.005277044855</v>
      </c>
    </row>
    <row r="13">
      <c r="A13" s="1">
        <f>IFERROR(__xludf.DUMMYFUNCTION("""COMPUTED_VALUE"""),41719.666666666664)</f>
        <v>41719.66667</v>
      </c>
      <c r="B13" s="2">
        <f>IFERROR(__xludf.DUMMYFUNCTION("""COMPUTED_VALUE"""),37.79)</f>
        <v>37.79</v>
      </c>
      <c r="C13" s="2">
        <f>IFERROR(__xludf.DUMMYFUNCTION("""COMPUTED_VALUE"""),40.94)</f>
        <v>40.94</v>
      </c>
      <c r="D13" s="2">
        <f>IFERROR(__xludf.DUMMYFUNCTION("""COMPUTED_VALUE"""),37.79)</f>
        <v>37.79</v>
      </c>
      <c r="E13" s="2">
        <f>IFERROR(__xludf.DUMMYFUNCTION("""COMPUTED_VALUE"""),40.16)</f>
        <v>40.16</v>
      </c>
      <c r="F13" s="2">
        <f>IFERROR(__xludf.DUMMYFUNCTION("""COMPUTED_VALUE"""),2.6014246E8)</f>
        <v>260142460</v>
      </c>
      <c r="G13" s="3">
        <f t="shared" si="1"/>
        <v>0.06525198939</v>
      </c>
    </row>
    <row r="14">
      <c r="A14" s="1">
        <f>IFERROR(__xludf.DUMMYFUNCTION("""COMPUTED_VALUE"""),41726.666666666664)</f>
        <v>41726.66667</v>
      </c>
      <c r="B14" s="2">
        <f>IFERROR(__xludf.DUMMYFUNCTION("""COMPUTED_VALUE"""),40.39)</f>
        <v>40.39</v>
      </c>
      <c r="C14" s="2">
        <f>IFERROR(__xludf.DUMMYFUNCTION("""COMPUTED_VALUE"""),40.99)</f>
        <v>40.99</v>
      </c>
      <c r="D14" s="2">
        <f>IFERROR(__xludf.DUMMYFUNCTION("""COMPUTED_VALUE"""),39.34)</f>
        <v>39.34</v>
      </c>
      <c r="E14" s="2">
        <f>IFERROR(__xludf.DUMMYFUNCTION("""COMPUTED_VALUE"""),40.3)</f>
        <v>40.3</v>
      </c>
      <c r="F14" s="2">
        <f>IFERROR(__xludf.DUMMYFUNCTION("""COMPUTED_VALUE"""),2.10116404E8)</f>
        <v>210116404</v>
      </c>
      <c r="G14" s="3">
        <f t="shared" si="1"/>
        <v>0.003486055777</v>
      </c>
    </row>
    <row r="15">
      <c r="A15" s="1">
        <f>IFERROR(__xludf.DUMMYFUNCTION("""COMPUTED_VALUE"""),41733.666666666664)</f>
        <v>41733.66667</v>
      </c>
      <c r="B15" s="2">
        <f>IFERROR(__xludf.DUMMYFUNCTION("""COMPUTED_VALUE"""),40.43)</f>
        <v>40.43</v>
      </c>
      <c r="C15" s="2">
        <f>IFERROR(__xludf.DUMMYFUNCTION("""COMPUTED_VALUE"""),41.66)</f>
        <v>41.66</v>
      </c>
      <c r="D15" s="2">
        <f>IFERROR(__xludf.DUMMYFUNCTION("""COMPUTED_VALUE"""),39.64)</f>
        <v>39.64</v>
      </c>
      <c r="E15" s="2">
        <f>IFERROR(__xludf.DUMMYFUNCTION("""COMPUTED_VALUE"""),39.87)</f>
        <v>39.87</v>
      </c>
      <c r="F15" s="2">
        <f>IFERROR(__xludf.DUMMYFUNCTION("""COMPUTED_VALUE"""),1.89712501E8)</f>
        <v>189712501</v>
      </c>
      <c r="G15" s="3">
        <f t="shared" si="1"/>
        <v>-0.01066997519</v>
      </c>
    </row>
    <row r="16">
      <c r="A16" s="1">
        <f>IFERROR(__xludf.DUMMYFUNCTION("""COMPUTED_VALUE"""),41740.666666666664)</f>
        <v>41740.66667</v>
      </c>
      <c r="B16" s="2">
        <f>IFERROR(__xludf.DUMMYFUNCTION("""COMPUTED_VALUE"""),39.96)</f>
        <v>39.96</v>
      </c>
      <c r="C16" s="2">
        <f>IFERROR(__xludf.DUMMYFUNCTION("""COMPUTED_VALUE"""),40.69)</f>
        <v>40.69</v>
      </c>
      <c r="D16" s="2">
        <f>IFERROR(__xludf.DUMMYFUNCTION("""COMPUTED_VALUE"""),39.0)</f>
        <v>39</v>
      </c>
      <c r="E16" s="2">
        <f>IFERROR(__xludf.DUMMYFUNCTION("""COMPUTED_VALUE"""),39.21)</f>
        <v>39.21</v>
      </c>
      <c r="F16" s="2">
        <f>IFERROR(__xludf.DUMMYFUNCTION("""COMPUTED_VALUE"""),1.81172057E8)</f>
        <v>181172057</v>
      </c>
      <c r="G16" s="3">
        <f t="shared" si="1"/>
        <v>-0.01655379985</v>
      </c>
    </row>
    <row r="17">
      <c r="A17" s="1">
        <f>IFERROR(__xludf.DUMMYFUNCTION("""COMPUTED_VALUE"""),41746.666666666664)</f>
        <v>41746.66667</v>
      </c>
      <c r="B17" s="2">
        <f>IFERROR(__xludf.DUMMYFUNCTION("""COMPUTED_VALUE"""),39.07)</f>
        <v>39.07</v>
      </c>
      <c r="C17" s="2">
        <f>IFERROR(__xludf.DUMMYFUNCTION("""COMPUTED_VALUE"""),40.42)</f>
        <v>40.42</v>
      </c>
      <c r="D17" s="2">
        <f>IFERROR(__xludf.DUMMYFUNCTION("""COMPUTED_VALUE"""),38.9)</f>
        <v>38.9</v>
      </c>
      <c r="E17" s="2">
        <f>IFERROR(__xludf.DUMMYFUNCTION("""COMPUTED_VALUE"""),40.01)</f>
        <v>40.01</v>
      </c>
      <c r="F17" s="2">
        <f>IFERROR(__xludf.DUMMYFUNCTION("""COMPUTED_VALUE"""),1.33291027E8)</f>
        <v>133291027</v>
      </c>
      <c r="G17" s="3">
        <f t="shared" si="1"/>
        <v>0.02040295843</v>
      </c>
    </row>
    <row r="18">
      <c r="A18" s="1">
        <f>IFERROR(__xludf.DUMMYFUNCTION("""COMPUTED_VALUE"""),41754.666666666664)</f>
        <v>41754.66667</v>
      </c>
      <c r="B18" s="2">
        <f>IFERROR(__xludf.DUMMYFUNCTION("""COMPUTED_VALUE"""),40.12)</f>
        <v>40.12</v>
      </c>
      <c r="C18" s="2">
        <f>IFERROR(__xludf.DUMMYFUNCTION("""COMPUTED_VALUE"""),40.68)</f>
        <v>40.68</v>
      </c>
      <c r="D18" s="2">
        <f>IFERROR(__xludf.DUMMYFUNCTION("""COMPUTED_VALUE"""),39.3)</f>
        <v>39.3</v>
      </c>
      <c r="E18" s="2">
        <f>IFERROR(__xludf.DUMMYFUNCTION("""COMPUTED_VALUE"""),39.91)</f>
        <v>39.91</v>
      </c>
      <c r="F18" s="2">
        <f>IFERROR(__xludf.DUMMYFUNCTION("""COMPUTED_VALUE"""),1.7314768E8)</f>
        <v>173147680</v>
      </c>
      <c r="G18" s="3">
        <f t="shared" si="1"/>
        <v>-0.002499375156</v>
      </c>
    </row>
    <row r="19">
      <c r="A19" s="1">
        <f>IFERROR(__xludf.DUMMYFUNCTION("""COMPUTED_VALUE"""),41761.666666666664)</f>
        <v>41761.66667</v>
      </c>
      <c r="B19" s="2">
        <f>IFERROR(__xludf.DUMMYFUNCTION("""COMPUTED_VALUE"""),40.12)</f>
        <v>40.12</v>
      </c>
      <c r="C19" s="2">
        <f>IFERROR(__xludf.DUMMYFUNCTION("""COMPUTED_VALUE"""),41.29)</f>
        <v>41.29</v>
      </c>
      <c r="D19" s="2">
        <f>IFERROR(__xludf.DUMMYFUNCTION("""COMPUTED_VALUE"""),39.66)</f>
        <v>39.66</v>
      </c>
      <c r="E19" s="2">
        <f>IFERROR(__xludf.DUMMYFUNCTION("""COMPUTED_VALUE"""),39.69)</f>
        <v>39.69</v>
      </c>
      <c r="F19" s="2">
        <f>IFERROR(__xludf.DUMMYFUNCTION("""COMPUTED_VALUE"""),1.87921095E8)</f>
        <v>187921095</v>
      </c>
      <c r="G19" s="3">
        <f t="shared" si="1"/>
        <v>-0.005512402907</v>
      </c>
    </row>
    <row r="20">
      <c r="A20" s="1">
        <f>IFERROR(__xludf.DUMMYFUNCTION("""COMPUTED_VALUE"""),41768.666666666664)</f>
        <v>41768.66667</v>
      </c>
      <c r="B20" s="2">
        <f>IFERROR(__xludf.DUMMYFUNCTION("""COMPUTED_VALUE"""),39.55)</f>
        <v>39.55</v>
      </c>
      <c r="C20" s="2">
        <f>IFERROR(__xludf.DUMMYFUNCTION("""COMPUTED_VALUE"""),39.9)</f>
        <v>39.9</v>
      </c>
      <c r="D20" s="2">
        <f>IFERROR(__xludf.DUMMYFUNCTION("""COMPUTED_VALUE"""),38.51)</f>
        <v>38.51</v>
      </c>
      <c r="E20" s="2">
        <f>IFERROR(__xludf.DUMMYFUNCTION("""COMPUTED_VALUE"""),39.54)</f>
        <v>39.54</v>
      </c>
      <c r="F20" s="2">
        <f>IFERROR(__xludf.DUMMYFUNCTION("""COMPUTED_VALUE"""),1.53093476E8)</f>
        <v>153093476</v>
      </c>
      <c r="G20" s="3">
        <f t="shared" si="1"/>
        <v>-0.003779289494</v>
      </c>
    </row>
    <row r="21">
      <c r="A21" s="1">
        <f>IFERROR(__xludf.DUMMYFUNCTION("""COMPUTED_VALUE"""),41775.666666666664)</f>
        <v>41775.66667</v>
      </c>
      <c r="B21" s="2">
        <f>IFERROR(__xludf.DUMMYFUNCTION("""COMPUTED_VALUE"""),39.73)</f>
        <v>39.73</v>
      </c>
      <c r="C21" s="2">
        <f>IFERROR(__xludf.DUMMYFUNCTION("""COMPUTED_VALUE"""),40.5)</f>
        <v>40.5</v>
      </c>
      <c r="D21" s="2">
        <f>IFERROR(__xludf.DUMMYFUNCTION("""COMPUTED_VALUE"""),39.27)</f>
        <v>39.27</v>
      </c>
      <c r="E21" s="2">
        <f>IFERROR(__xludf.DUMMYFUNCTION("""COMPUTED_VALUE"""),39.83)</f>
        <v>39.83</v>
      </c>
      <c r="F21" s="2">
        <f>IFERROR(__xludf.DUMMYFUNCTION("""COMPUTED_VALUE"""),1.36272179E8)</f>
        <v>136272179</v>
      </c>
      <c r="G21" s="3">
        <f t="shared" si="1"/>
        <v>0.007334344967</v>
      </c>
    </row>
    <row r="22">
      <c r="A22" s="1">
        <f>IFERROR(__xludf.DUMMYFUNCTION("""COMPUTED_VALUE"""),41782.666666666664)</f>
        <v>41782.66667</v>
      </c>
      <c r="B22" s="2">
        <f>IFERROR(__xludf.DUMMYFUNCTION("""COMPUTED_VALUE"""),39.61)</f>
        <v>39.61</v>
      </c>
      <c r="C22" s="2">
        <f>IFERROR(__xludf.DUMMYFUNCTION("""COMPUTED_VALUE"""),40.37)</f>
        <v>40.37</v>
      </c>
      <c r="D22" s="2">
        <f>IFERROR(__xludf.DUMMYFUNCTION("""COMPUTED_VALUE"""),39.46)</f>
        <v>39.46</v>
      </c>
      <c r="E22" s="2">
        <f>IFERROR(__xludf.DUMMYFUNCTION("""COMPUTED_VALUE"""),40.12)</f>
        <v>40.12</v>
      </c>
      <c r="F22" s="2">
        <f>IFERROR(__xludf.DUMMYFUNCTION("""COMPUTED_VALUE"""),1.06482522E8)</f>
        <v>106482522</v>
      </c>
      <c r="G22" s="3">
        <f t="shared" si="1"/>
        <v>0.007280944012</v>
      </c>
    </row>
    <row r="23">
      <c r="A23" s="1">
        <f>IFERROR(__xludf.DUMMYFUNCTION("""COMPUTED_VALUE"""),41789.666666666664)</f>
        <v>41789.66667</v>
      </c>
      <c r="B23" s="2">
        <f>IFERROR(__xludf.DUMMYFUNCTION("""COMPUTED_VALUE"""),40.22)</f>
        <v>40.22</v>
      </c>
      <c r="C23" s="2">
        <f>IFERROR(__xludf.DUMMYFUNCTION("""COMPUTED_VALUE"""),40.97)</f>
        <v>40.97</v>
      </c>
      <c r="D23" s="2">
        <f>IFERROR(__xludf.DUMMYFUNCTION("""COMPUTED_VALUE"""),39.81)</f>
        <v>39.81</v>
      </c>
      <c r="E23" s="2">
        <f>IFERROR(__xludf.DUMMYFUNCTION("""COMPUTED_VALUE"""),40.94)</f>
        <v>40.94</v>
      </c>
      <c r="F23" s="2">
        <f>IFERROR(__xludf.DUMMYFUNCTION("""COMPUTED_VALUE"""),1.0634218E8)</f>
        <v>106342180</v>
      </c>
      <c r="G23" s="3">
        <f t="shared" si="1"/>
        <v>0.02043868395</v>
      </c>
    </row>
    <row r="24">
      <c r="A24" s="1">
        <f>IFERROR(__xludf.DUMMYFUNCTION("""COMPUTED_VALUE"""),41796.666666666664)</f>
        <v>41796.66667</v>
      </c>
      <c r="B24" s="2">
        <f>IFERROR(__xludf.DUMMYFUNCTION("""COMPUTED_VALUE"""),40.9)</f>
        <v>40.9</v>
      </c>
      <c r="C24" s="2">
        <f>IFERROR(__xludf.DUMMYFUNCTION("""COMPUTED_VALUE"""),41.66)</f>
        <v>41.66</v>
      </c>
      <c r="D24" s="2">
        <f>IFERROR(__xludf.DUMMYFUNCTION("""COMPUTED_VALUE"""),39.86)</f>
        <v>39.86</v>
      </c>
      <c r="E24" s="2">
        <f>IFERROR(__xludf.DUMMYFUNCTION("""COMPUTED_VALUE"""),41.48)</f>
        <v>41.48</v>
      </c>
      <c r="F24" s="2">
        <f>IFERROR(__xludf.DUMMYFUNCTION("""COMPUTED_VALUE"""),1.15711492E8)</f>
        <v>115711492</v>
      </c>
      <c r="G24" s="3">
        <f t="shared" si="1"/>
        <v>0.0131900342</v>
      </c>
    </row>
    <row r="25">
      <c r="A25" s="1">
        <f>IFERROR(__xludf.DUMMYFUNCTION("""COMPUTED_VALUE"""),41803.666666666664)</f>
        <v>41803.66667</v>
      </c>
      <c r="B25" s="2">
        <f>IFERROR(__xludf.DUMMYFUNCTION("""COMPUTED_VALUE"""),41.39)</f>
        <v>41.39</v>
      </c>
      <c r="C25" s="2">
        <f>IFERROR(__xludf.DUMMYFUNCTION("""COMPUTED_VALUE"""),41.57)</f>
        <v>41.57</v>
      </c>
      <c r="D25" s="2">
        <f>IFERROR(__xludf.DUMMYFUNCTION("""COMPUTED_VALUE"""),40.29)</f>
        <v>40.29</v>
      </c>
      <c r="E25" s="2">
        <f>IFERROR(__xludf.DUMMYFUNCTION("""COMPUTED_VALUE"""),41.23)</f>
        <v>41.23</v>
      </c>
      <c r="F25" s="2">
        <f>IFERROR(__xludf.DUMMYFUNCTION("""COMPUTED_VALUE"""),1.04310831E8)</f>
        <v>104310831</v>
      </c>
      <c r="G25" s="3">
        <f t="shared" si="1"/>
        <v>-0.006027000964</v>
      </c>
    </row>
    <row r="26">
      <c r="A26" s="1">
        <f>IFERROR(__xludf.DUMMYFUNCTION("""COMPUTED_VALUE"""),41810.666666666664)</f>
        <v>41810.66667</v>
      </c>
      <c r="B26" s="2">
        <f>IFERROR(__xludf.DUMMYFUNCTION("""COMPUTED_VALUE"""),41.05)</f>
        <v>41.05</v>
      </c>
      <c r="C26" s="2">
        <f>IFERROR(__xludf.DUMMYFUNCTION("""COMPUTED_VALUE"""),41.91)</f>
        <v>41.91</v>
      </c>
      <c r="D26" s="2">
        <f>IFERROR(__xludf.DUMMYFUNCTION("""COMPUTED_VALUE"""),40.34)</f>
        <v>40.34</v>
      </c>
      <c r="E26" s="2">
        <f>IFERROR(__xludf.DUMMYFUNCTION("""COMPUTED_VALUE"""),41.68)</f>
        <v>41.68</v>
      </c>
      <c r="F26" s="2">
        <f>IFERROR(__xludf.DUMMYFUNCTION("""COMPUTED_VALUE"""),1.41424329E8)</f>
        <v>141424329</v>
      </c>
      <c r="G26" s="3">
        <f t="shared" si="1"/>
        <v>0.01091438273</v>
      </c>
    </row>
    <row r="27">
      <c r="A27" s="1">
        <f>IFERROR(__xludf.DUMMYFUNCTION("""COMPUTED_VALUE"""),41817.666666666664)</f>
        <v>41817.66667</v>
      </c>
      <c r="B27" s="2">
        <f>IFERROR(__xludf.DUMMYFUNCTION("""COMPUTED_VALUE"""),41.73)</f>
        <v>41.73</v>
      </c>
      <c r="C27" s="2">
        <f>IFERROR(__xludf.DUMMYFUNCTION("""COMPUTED_VALUE"""),42.29)</f>
        <v>42.29</v>
      </c>
      <c r="D27" s="2">
        <f>IFERROR(__xludf.DUMMYFUNCTION("""COMPUTED_VALUE"""),41.43)</f>
        <v>41.43</v>
      </c>
      <c r="E27" s="2">
        <f>IFERROR(__xludf.DUMMYFUNCTION("""COMPUTED_VALUE"""),42.25)</f>
        <v>42.25</v>
      </c>
      <c r="F27" s="2">
        <f>IFERROR(__xludf.DUMMYFUNCTION("""COMPUTED_VALUE"""),1.63560109E8)</f>
        <v>163560109</v>
      </c>
      <c r="G27" s="3">
        <f t="shared" si="1"/>
        <v>0.0136756238</v>
      </c>
    </row>
    <row r="28">
      <c r="A28" s="1">
        <f>IFERROR(__xludf.DUMMYFUNCTION("""COMPUTED_VALUE"""),41823.666666666664)</f>
        <v>41823.66667</v>
      </c>
      <c r="B28" s="2">
        <f>IFERROR(__xludf.DUMMYFUNCTION("""COMPUTED_VALUE"""),42.2)</f>
        <v>42.2</v>
      </c>
      <c r="C28" s="2">
        <f>IFERROR(__xludf.DUMMYFUNCTION("""COMPUTED_VALUE"""),42.21)</f>
        <v>42.21</v>
      </c>
      <c r="D28" s="2">
        <f>IFERROR(__xludf.DUMMYFUNCTION("""COMPUTED_VALUE"""),41.53)</f>
        <v>41.53</v>
      </c>
      <c r="E28" s="2">
        <f>IFERROR(__xludf.DUMMYFUNCTION("""COMPUTED_VALUE"""),41.8)</f>
        <v>41.8</v>
      </c>
      <c r="F28" s="2">
        <f>IFERROR(__xludf.DUMMYFUNCTION("""COMPUTED_VALUE"""),9.3905905E7)</f>
        <v>93905905</v>
      </c>
      <c r="G28" s="3">
        <f t="shared" si="1"/>
        <v>-0.01065088757</v>
      </c>
    </row>
    <row r="29">
      <c r="A29" s="1">
        <f>IFERROR(__xludf.DUMMYFUNCTION("""COMPUTED_VALUE"""),41831.666666666664)</f>
        <v>41831.66667</v>
      </c>
      <c r="B29" s="2">
        <f>IFERROR(__xludf.DUMMYFUNCTION("""COMPUTED_VALUE"""),41.71)</f>
        <v>41.71</v>
      </c>
      <c r="C29" s="2">
        <f>IFERROR(__xludf.DUMMYFUNCTION("""COMPUTED_VALUE"""),42.12)</f>
        <v>42.12</v>
      </c>
      <c r="D29" s="2">
        <f>IFERROR(__xludf.DUMMYFUNCTION("""COMPUTED_VALUE"""),41.05)</f>
        <v>41.05</v>
      </c>
      <c r="E29" s="2">
        <f>IFERROR(__xludf.DUMMYFUNCTION("""COMPUTED_VALUE"""),42.09)</f>
        <v>42.09</v>
      </c>
      <c r="F29" s="2">
        <f>IFERROR(__xludf.DUMMYFUNCTION("""COMPUTED_VALUE"""),1.17561943E8)</f>
        <v>117561943</v>
      </c>
      <c r="G29" s="3">
        <f t="shared" si="1"/>
        <v>0.006937799043</v>
      </c>
    </row>
    <row r="30">
      <c r="A30" s="1">
        <f>IFERROR(__xludf.DUMMYFUNCTION("""COMPUTED_VALUE"""),41838.666666666664)</f>
        <v>41838.66667</v>
      </c>
      <c r="B30" s="2">
        <f>IFERROR(__xludf.DUMMYFUNCTION("""COMPUTED_VALUE"""),42.22)</f>
        <v>42.22</v>
      </c>
      <c r="C30" s="2">
        <f>IFERROR(__xludf.DUMMYFUNCTION("""COMPUTED_VALUE"""),45.71)</f>
        <v>45.71</v>
      </c>
      <c r="D30" s="2">
        <f>IFERROR(__xludf.DUMMYFUNCTION("""COMPUTED_VALUE"""),42.03)</f>
        <v>42.03</v>
      </c>
      <c r="E30" s="2">
        <f>IFERROR(__xludf.DUMMYFUNCTION("""COMPUTED_VALUE"""),44.69)</f>
        <v>44.69</v>
      </c>
      <c r="F30" s="2">
        <f>IFERROR(__xludf.DUMMYFUNCTION("""COMPUTED_VALUE"""),2.39552029E8)</f>
        <v>239552029</v>
      </c>
      <c r="G30" s="3">
        <f t="shared" si="1"/>
        <v>0.06177239249</v>
      </c>
    </row>
    <row r="31">
      <c r="A31" s="1">
        <f>IFERROR(__xludf.DUMMYFUNCTION("""COMPUTED_VALUE"""),41845.666666666664)</f>
        <v>41845.66667</v>
      </c>
      <c r="B31" s="2">
        <f>IFERROR(__xludf.DUMMYFUNCTION("""COMPUTED_VALUE"""),44.55)</f>
        <v>44.55</v>
      </c>
      <c r="C31" s="2">
        <f>IFERROR(__xludf.DUMMYFUNCTION("""COMPUTED_VALUE"""),45.45)</f>
        <v>45.45</v>
      </c>
      <c r="D31" s="2">
        <f>IFERROR(__xludf.DUMMYFUNCTION("""COMPUTED_VALUE"""),44.22)</f>
        <v>44.22</v>
      </c>
      <c r="E31" s="2">
        <f>IFERROR(__xludf.DUMMYFUNCTION("""COMPUTED_VALUE"""),44.5)</f>
        <v>44.5</v>
      </c>
      <c r="F31" s="2">
        <f>IFERROR(__xludf.DUMMYFUNCTION("""COMPUTED_VALUE"""),1.90527218E8)</f>
        <v>190527218</v>
      </c>
      <c r="G31" s="3">
        <f t="shared" si="1"/>
        <v>-0.004251510405</v>
      </c>
    </row>
    <row r="32">
      <c r="A32" s="1">
        <f>IFERROR(__xludf.DUMMYFUNCTION("""COMPUTED_VALUE"""),41852.666666666664)</f>
        <v>41852.66667</v>
      </c>
      <c r="B32" s="2">
        <f>IFERROR(__xludf.DUMMYFUNCTION("""COMPUTED_VALUE"""),44.36)</f>
        <v>44.36</v>
      </c>
      <c r="C32" s="2">
        <f>IFERROR(__xludf.DUMMYFUNCTION("""COMPUTED_VALUE"""),44.51)</f>
        <v>44.51</v>
      </c>
      <c r="D32" s="2">
        <f>IFERROR(__xludf.DUMMYFUNCTION("""COMPUTED_VALUE"""),42.6)</f>
        <v>42.6</v>
      </c>
      <c r="E32" s="2">
        <f>IFERROR(__xludf.DUMMYFUNCTION("""COMPUTED_VALUE"""),42.86)</f>
        <v>42.86</v>
      </c>
      <c r="F32" s="2">
        <f>IFERROR(__xludf.DUMMYFUNCTION("""COMPUTED_VALUE"""),1.52089487E8)</f>
        <v>152089487</v>
      </c>
      <c r="G32" s="3">
        <f t="shared" si="1"/>
        <v>-0.03685393258</v>
      </c>
    </row>
    <row r="33">
      <c r="A33" s="1">
        <f>IFERROR(__xludf.DUMMYFUNCTION("""COMPUTED_VALUE"""),41859.666666666664)</f>
        <v>41859.66667</v>
      </c>
      <c r="B33" s="2">
        <f>IFERROR(__xludf.DUMMYFUNCTION("""COMPUTED_VALUE"""),42.97)</f>
        <v>42.97</v>
      </c>
      <c r="C33" s="2">
        <f>IFERROR(__xludf.DUMMYFUNCTION("""COMPUTED_VALUE"""),43.47)</f>
        <v>43.47</v>
      </c>
      <c r="D33" s="2">
        <f>IFERROR(__xludf.DUMMYFUNCTION("""COMPUTED_VALUE"""),42.21)</f>
        <v>42.21</v>
      </c>
      <c r="E33" s="2">
        <f>IFERROR(__xludf.DUMMYFUNCTION("""COMPUTED_VALUE"""),43.2)</f>
        <v>43.2</v>
      </c>
      <c r="F33" s="2">
        <f>IFERROR(__xludf.DUMMYFUNCTION("""COMPUTED_VALUE"""),1.4443706E8)</f>
        <v>144437060</v>
      </c>
      <c r="G33" s="3">
        <f t="shared" si="1"/>
        <v>0.00793280448</v>
      </c>
    </row>
    <row r="34">
      <c r="A34" s="1">
        <f>IFERROR(__xludf.DUMMYFUNCTION("""COMPUTED_VALUE"""),41866.666666666664)</f>
        <v>41866.66667</v>
      </c>
      <c r="B34" s="2">
        <f>IFERROR(__xludf.DUMMYFUNCTION("""COMPUTED_VALUE"""),43.27)</f>
        <v>43.27</v>
      </c>
      <c r="C34" s="2">
        <f>IFERROR(__xludf.DUMMYFUNCTION("""COMPUTED_VALUE"""),44.9)</f>
        <v>44.9</v>
      </c>
      <c r="D34" s="2">
        <f>IFERROR(__xludf.DUMMYFUNCTION("""COMPUTED_VALUE"""),43.0)</f>
        <v>43</v>
      </c>
      <c r="E34" s="2">
        <f>IFERROR(__xludf.DUMMYFUNCTION("""COMPUTED_VALUE"""),44.79)</f>
        <v>44.79</v>
      </c>
      <c r="F34" s="2">
        <f>IFERROR(__xludf.DUMMYFUNCTION("""COMPUTED_VALUE"""),1.25599175E8)</f>
        <v>125599175</v>
      </c>
      <c r="G34" s="3">
        <f t="shared" si="1"/>
        <v>0.03680555556</v>
      </c>
    </row>
    <row r="35">
      <c r="A35" s="1">
        <f>IFERROR(__xludf.DUMMYFUNCTION("""COMPUTED_VALUE"""),41873.666666666664)</f>
        <v>41873.66667</v>
      </c>
      <c r="B35" s="2">
        <f>IFERROR(__xludf.DUMMYFUNCTION("""COMPUTED_VALUE"""),44.91)</f>
        <v>44.91</v>
      </c>
      <c r="C35" s="2">
        <f>IFERROR(__xludf.DUMMYFUNCTION("""COMPUTED_VALUE"""),45.47)</f>
        <v>45.47</v>
      </c>
      <c r="D35" s="2">
        <f>IFERROR(__xludf.DUMMYFUNCTION("""COMPUTED_VALUE"""),44.68)</f>
        <v>44.68</v>
      </c>
      <c r="E35" s="2">
        <f>IFERROR(__xludf.DUMMYFUNCTION("""COMPUTED_VALUE"""),45.15)</f>
        <v>45.15</v>
      </c>
      <c r="F35" s="2">
        <f>IFERROR(__xludf.DUMMYFUNCTION("""COMPUTED_VALUE"""),1.20385583E8)</f>
        <v>120385583</v>
      </c>
      <c r="G35" s="3">
        <f t="shared" si="1"/>
        <v>0.008037508372</v>
      </c>
    </row>
    <row r="36">
      <c r="A36" s="1">
        <f>IFERROR(__xludf.DUMMYFUNCTION("""COMPUTED_VALUE"""),41880.666666666664)</f>
        <v>41880.66667</v>
      </c>
      <c r="B36" s="2">
        <f>IFERROR(__xludf.DUMMYFUNCTION("""COMPUTED_VALUE"""),45.38)</f>
        <v>45.38</v>
      </c>
      <c r="C36" s="2">
        <f>IFERROR(__xludf.DUMMYFUNCTION("""COMPUTED_VALUE"""),45.44)</f>
        <v>45.44</v>
      </c>
      <c r="D36" s="2">
        <f>IFERROR(__xludf.DUMMYFUNCTION("""COMPUTED_VALUE"""),44.61)</f>
        <v>44.61</v>
      </c>
      <c r="E36" s="2">
        <f>IFERROR(__xludf.DUMMYFUNCTION("""COMPUTED_VALUE"""),45.43)</f>
        <v>45.43</v>
      </c>
      <c r="F36" s="2">
        <f>IFERROR(__xludf.DUMMYFUNCTION("""COMPUTED_VALUE"""),9.2341867E7)</f>
        <v>92341867</v>
      </c>
      <c r="G36" s="3">
        <f t="shared" si="1"/>
        <v>0.006201550388</v>
      </c>
    </row>
    <row r="37">
      <c r="A37" s="1">
        <f>IFERROR(__xludf.DUMMYFUNCTION("""COMPUTED_VALUE"""),41887.666666666664)</f>
        <v>41887.66667</v>
      </c>
      <c r="B37" s="2">
        <f>IFERROR(__xludf.DUMMYFUNCTION("""COMPUTED_VALUE"""),45.43)</f>
        <v>45.43</v>
      </c>
      <c r="C37" s="2">
        <f>IFERROR(__xludf.DUMMYFUNCTION("""COMPUTED_VALUE"""),45.93)</f>
        <v>45.93</v>
      </c>
      <c r="D37" s="2">
        <f>IFERROR(__xludf.DUMMYFUNCTION("""COMPUTED_VALUE"""),44.53)</f>
        <v>44.53</v>
      </c>
      <c r="E37" s="2">
        <f>IFERROR(__xludf.DUMMYFUNCTION("""COMPUTED_VALUE"""),45.91)</f>
        <v>45.91</v>
      </c>
      <c r="F37" s="2">
        <f>IFERROR(__xludf.DUMMYFUNCTION("""COMPUTED_VALUE"""),1.20083558E8)</f>
        <v>120083558</v>
      </c>
      <c r="G37" s="3">
        <f t="shared" si="1"/>
        <v>0.01056570548</v>
      </c>
    </row>
    <row r="38">
      <c r="A38" s="1">
        <f>IFERROR(__xludf.DUMMYFUNCTION("""COMPUTED_VALUE"""),41894.666666666664)</f>
        <v>41894.66667</v>
      </c>
      <c r="B38" s="2">
        <f>IFERROR(__xludf.DUMMYFUNCTION("""COMPUTED_VALUE"""),46.01)</f>
        <v>46.01</v>
      </c>
      <c r="C38" s="2">
        <f>IFERROR(__xludf.DUMMYFUNCTION("""COMPUTED_VALUE"""),47.02)</f>
        <v>47.02</v>
      </c>
      <c r="D38" s="2">
        <f>IFERROR(__xludf.DUMMYFUNCTION("""COMPUTED_VALUE"""),45.99)</f>
        <v>45.99</v>
      </c>
      <c r="E38" s="2">
        <f>IFERROR(__xludf.DUMMYFUNCTION("""COMPUTED_VALUE"""),46.7)</f>
        <v>46.7</v>
      </c>
      <c r="F38" s="2">
        <f>IFERROR(__xludf.DUMMYFUNCTION("""COMPUTED_VALUE"""),1.80807207E8)</f>
        <v>180807207</v>
      </c>
      <c r="G38" s="3">
        <f t="shared" si="1"/>
        <v>0.01720758005</v>
      </c>
    </row>
    <row r="39">
      <c r="A39" s="1">
        <f>IFERROR(__xludf.DUMMYFUNCTION("""COMPUTED_VALUE"""),41901.666666666664)</f>
        <v>41901.66667</v>
      </c>
      <c r="B39" s="2">
        <f>IFERROR(__xludf.DUMMYFUNCTION("""COMPUTED_VALUE"""),46.56)</f>
        <v>46.56</v>
      </c>
      <c r="C39" s="2">
        <f>IFERROR(__xludf.DUMMYFUNCTION("""COMPUTED_VALUE"""),47.57)</f>
        <v>47.57</v>
      </c>
      <c r="D39" s="2">
        <f>IFERROR(__xludf.DUMMYFUNCTION("""COMPUTED_VALUE"""),46.1)</f>
        <v>46.1</v>
      </c>
      <c r="E39" s="2">
        <f>IFERROR(__xludf.DUMMYFUNCTION("""COMPUTED_VALUE"""),47.52)</f>
        <v>47.52</v>
      </c>
      <c r="F39" s="2">
        <f>IFERROR(__xludf.DUMMYFUNCTION("""COMPUTED_VALUE"""),3.41973307E8)</f>
        <v>341973307</v>
      </c>
      <c r="G39" s="3">
        <f t="shared" si="1"/>
        <v>0.01755888651</v>
      </c>
    </row>
    <row r="40">
      <c r="A40" s="1">
        <f>IFERROR(__xludf.DUMMYFUNCTION("""COMPUTED_VALUE"""),41908.666666666664)</f>
        <v>41908.66667</v>
      </c>
      <c r="B40" s="2">
        <f>IFERROR(__xludf.DUMMYFUNCTION("""COMPUTED_VALUE"""),47.3)</f>
        <v>47.3</v>
      </c>
      <c r="C40" s="2">
        <f>IFERROR(__xludf.DUMMYFUNCTION("""COMPUTED_VALUE"""),47.38)</f>
        <v>47.38</v>
      </c>
      <c r="D40" s="2">
        <f>IFERROR(__xludf.DUMMYFUNCTION("""COMPUTED_VALUE"""),45.76)</f>
        <v>45.76</v>
      </c>
      <c r="E40" s="2">
        <f>IFERROR(__xludf.DUMMYFUNCTION("""COMPUTED_VALUE"""),46.41)</f>
        <v>46.41</v>
      </c>
      <c r="F40" s="2">
        <f>IFERROR(__xludf.DUMMYFUNCTION("""COMPUTED_VALUE"""),1.58856031E8)</f>
        <v>158856031</v>
      </c>
      <c r="G40" s="3">
        <f t="shared" si="1"/>
        <v>-0.02335858586</v>
      </c>
    </row>
    <row r="41">
      <c r="A41" s="1">
        <f>IFERROR(__xludf.DUMMYFUNCTION("""COMPUTED_VALUE"""),41915.666666666664)</f>
        <v>41915.66667</v>
      </c>
      <c r="B41" s="2">
        <f>IFERROR(__xludf.DUMMYFUNCTION("""COMPUTED_VALUE"""),45.98)</f>
        <v>45.98</v>
      </c>
      <c r="C41" s="2">
        <f>IFERROR(__xludf.DUMMYFUNCTION("""COMPUTED_VALUE"""),46.56)</f>
        <v>46.56</v>
      </c>
      <c r="D41" s="2">
        <f>IFERROR(__xludf.DUMMYFUNCTION("""COMPUTED_VALUE"""),45.61)</f>
        <v>45.61</v>
      </c>
      <c r="E41" s="2">
        <f>IFERROR(__xludf.DUMMYFUNCTION("""COMPUTED_VALUE"""),46.09)</f>
        <v>46.09</v>
      </c>
      <c r="F41" s="2">
        <f>IFERROR(__xludf.DUMMYFUNCTION("""COMPUTED_VALUE"""),1.54785202E8)</f>
        <v>154785202</v>
      </c>
      <c r="G41" s="3">
        <f t="shared" si="1"/>
        <v>-0.006895065719</v>
      </c>
    </row>
    <row r="42">
      <c r="A42" s="1">
        <f>IFERROR(__xludf.DUMMYFUNCTION("""COMPUTED_VALUE"""),41922.666666666664)</f>
        <v>41922.66667</v>
      </c>
      <c r="B42" s="2">
        <f>IFERROR(__xludf.DUMMYFUNCTION("""COMPUTED_VALUE"""),46.12)</f>
        <v>46.12</v>
      </c>
      <c r="C42" s="2">
        <f>IFERROR(__xludf.DUMMYFUNCTION("""COMPUTED_VALUE"""),46.89)</f>
        <v>46.89</v>
      </c>
      <c r="D42" s="2">
        <f>IFERROR(__xludf.DUMMYFUNCTION("""COMPUTED_VALUE"""),43.95)</f>
        <v>43.95</v>
      </c>
      <c r="E42" s="2">
        <f>IFERROR(__xludf.DUMMYFUNCTION("""COMPUTED_VALUE"""),44.03)</f>
        <v>44.03</v>
      </c>
      <c r="F42" s="2">
        <f>IFERROR(__xludf.DUMMYFUNCTION("""COMPUTED_VALUE"""),1.65764217E8)</f>
        <v>165764217</v>
      </c>
      <c r="G42" s="3">
        <f t="shared" si="1"/>
        <v>-0.04469516164</v>
      </c>
    </row>
    <row r="43">
      <c r="A43" s="1">
        <f>IFERROR(__xludf.DUMMYFUNCTION("""COMPUTED_VALUE"""),41929.666666666664)</f>
        <v>41929.66667</v>
      </c>
      <c r="B43" s="2">
        <f>IFERROR(__xludf.DUMMYFUNCTION("""COMPUTED_VALUE"""),43.82)</f>
        <v>43.82</v>
      </c>
      <c r="C43" s="2">
        <f>IFERROR(__xludf.DUMMYFUNCTION("""COMPUTED_VALUE"""),44.56)</f>
        <v>44.56</v>
      </c>
      <c r="D43" s="2">
        <f>IFERROR(__xludf.DUMMYFUNCTION("""COMPUTED_VALUE"""),42.1)</f>
        <v>42.1</v>
      </c>
      <c r="E43" s="2">
        <f>IFERROR(__xludf.DUMMYFUNCTION("""COMPUTED_VALUE"""),43.63)</f>
        <v>43.63</v>
      </c>
      <c r="F43" s="2">
        <f>IFERROR(__xludf.DUMMYFUNCTION("""COMPUTED_VALUE"""),2.25166061E8)</f>
        <v>225166061</v>
      </c>
      <c r="G43" s="3">
        <f t="shared" si="1"/>
        <v>-0.009084714967</v>
      </c>
    </row>
    <row r="44">
      <c r="A44" s="1">
        <f>IFERROR(__xludf.DUMMYFUNCTION("""COMPUTED_VALUE"""),41936.666666666664)</f>
        <v>41936.66667</v>
      </c>
      <c r="B44" s="2">
        <f>IFERROR(__xludf.DUMMYFUNCTION("""COMPUTED_VALUE"""),43.06)</f>
        <v>43.06</v>
      </c>
      <c r="C44" s="2">
        <f>IFERROR(__xludf.DUMMYFUNCTION("""COMPUTED_VALUE"""),46.9)</f>
        <v>46.9</v>
      </c>
      <c r="D44" s="2">
        <f>IFERROR(__xludf.DUMMYFUNCTION("""COMPUTED_VALUE"""),42.81)</f>
        <v>42.81</v>
      </c>
      <c r="E44" s="2">
        <f>IFERROR(__xludf.DUMMYFUNCTION("""COMPUTED_VALUE"""),46.13)</f>
        <v>46.13</v>
      </c>
      <c r="F44" s="2">
        <f>IFERROR(__xludf.DUMMYFUNCTION("""COMPUTED_VALUE"""),2.11077436E8)</f>
        <v>211077436</v>
      </c>
      <c r="G44" s="3">
        <f t="shared" si="1"/>
        <v>0.05730002292</v>
      </c>
    </row>
    <row r="45">
      <c r="A45" s="1">
        <f>IFERROR(__xludf.DUMMYFUNCTION("""COMPUTED_VALUE"""),41943.666666666664)</f>
        <v>41943.66667</v>
      </c>
      <c r="B45" s="2">
        <f>IFERROR(__xludf.DUMMYFUNCTION("""COMPUTED_VALUE"""),45.71)</f>
        <v>45.71</v>
      </c>
      <c r="C45" s="2">
        <f>IFERROR(__xludf.DUMMYFUNCTION("""COMPUTED_VALUE"""),46.97)</f>
        <v>46.97</v>
      </c>
      <c r="D45" s="2">
        <f>IFERROR(__xludf.DUMMYFUNCTION("""COMPUTED_VALUE"""),45.71)</f>
        <v>45.71</v>
      </c>
      <c r="E45" s="2">
        <f>IFERROR(__xludf.DUMMYFUNCTION("""COMPUTED_VALUE"""),46.95)</f>
        <v>46.95</v>
      </c>
      <c r="F45" s="2">
        <f>IFERROR(__xludf.DUMMYFUNCTION("""COMPUTED_VALUE"""),1.55628209E8)</f>
        <v>155628209</v>
      </c>
      <c r="G45" s="3">
        <f t="shared" si="1"/>
        <v>0.01777585086</v>
      </c>
    </row>
    <row r="46">
      <c r="A46" s="1">
        <f>IFERROR(__xludf.DUMMYFUNCTION("""COMPUTED_VALUE"""),41950.666666666664)</f>
        <v>41950.66667</v>
      </c>
      <c r="B46" s="2">
        <f>IFERROR(__xludf.DUMMYFUNCTION("""COMPUTED_VALUE"""),46.89)</f>
        <v>46.89</v>
      </c>
      <c r="C46" s="2">
        <f>IFERROR(__xludf.DUMMYFUNCTION("""COMPUTED_VALUE"""),48.92)</f>
        <v>48.92</v>
      </c>
      <c r="D46" s="2">
        <f>IFERROR(__xludf.DUMMYFUNCTION("""COMPUTED_VALUE"""),46.73)</f>
        <v>46.73</v>
      </c>
      <c r="E46" s="2">
        <f>IFERROR(__xludf.DUMMYFUNCTION("""COMPUTED_VALUE"""),48.68)</f>
        <v>48.68</v>
      </c>
      <c r="F46" s="2">
        <f>IFERROR(__xludf.DUMMYFUNCTION("""COMPUTED_VALUE"""),1.28149243E8)</f>
        <v>128149243</v>
      </c>
      <c r="G46" s="3">
        <f t="shared" si="1"/>
        <v>0.03684771033</v>
      </c>
    </row>
    <row r="47">
      <c r="A47" s="1">
        <f>IFERROR(__xludf.DUMMYFUNCTION("""COMPUTED_VALUE"""),41957.66666666667)</f>
        <v>41957.66667</v>
      </c>
      <c r="B47" s="2">
        <f>IFERROR(__xludf.DUMMYFUNCTION("""COMPUTED_VALUE"""),48.65)</f>
        <v>48.65</v>
      </c>
      <c r="C47" s="2">
        <f>IFERROR(__xludf.DUMMYFUNCTION("""COMPUTED_VALUE"""),50.05)</f>
        <v>50.05</v>
      </c>
      <c r="D47" s="2">
        <f>IFERROR(__xludf.DUMMYFUNCTION("""COMPUTED_VALUE"""),48.52)</f>
        <v>48.52</v>
      </c>
      <c r="E47" s="2">
        <f>IFERROR(__xludf.DUMMYFUNCTION("""COMPUTED_VALUE"""),49.58)</f>
        <v>49.58</v>
      </c>
      <c r="F47" s="2">
        <f>IFERROR(__xludf.DUMMYFUNCTION("""COMPUTED_VALUE"""),1.37829519E8)</f>
        <v>137829519</v>
      </c>
      <c r="G47" s="3">
        <f t="shared" si="1"/>
        <v>0.01848808546</v>
      </c>
    </row>
    <row r="48">
      <c r="A48" s="1">
        <f>IFERROR(__xludf.DUMMYFUNCTION("""COMPUTED_VALUE"""),41964.66666666667)</f>
        <v>41964.66667</v>
      </c>
      <c r="B48" s="2">
        <f>IFERROR(__xludf.DUMMYFUNCTION("""COMPUTED_VALUE"""),49.41)</f>
        <v>49.41</v>
      </c>
      <c r="C48" s="2">
        <f>IFERROR(__xludf.DUMMYFUNCTION("""COMPUTED_VALUE"""),49.71)</f>
        <v>49.71</v>
      </c>
      <c r="D48" s="2">
        <f>IFERROR(__xludf.DUMMYFUNCTION("""COMPUTED_VALUE"""),47.57)</f>
        <v>47.57</v>
      </c>
      <c r="E48" s="2">
        <f>IFERROR(__xludf.DUMMYFUNCTION("""COMPUTED_VALUE"""),47.98)</f>
        <v>47.98</v>
      </c>
      <c r="F48" s="2">
        <f>IFERROR(__xludf.DUMMYFUNCTION("""COMPUTED_VALUE"""),1.44887937E8)</f>
        <v>144887937</v>
      </c>
      <c r="G48" s="3">
        <f t="shared" si="1"/>
        <v>-0.03227107705</v>
      </c>
    </row>
    <row r="49">
      <c r="A49" s="1">
        <f>IFERROR(__xludf.DUMMYFUNCTION("""COMPUTED_VALUE"""),41971.66666666667)</f>
        <v>41971.66667</v>
      </c>
      <c r="B49" s="2">
        <f>IFERROR(__xludf.DUMMYFUNCTION("""COMPUTED_VALUE"""),47.99)</f>
        <v>47.99</v>
      </c>
      <c r="C49" s="2">
        <f>IFERROR(__xludf.DUMMYFUNCTION("""COMPUTED_VALUE"""),48.2)</f>
        <v>48.2</v>
      </c>
      <c r="D49" s="2">
        <f>IFERROR(__xludf.DUMMYFUNCTION("""COMPUTED_VALUE"""),47.28)</f>
        <v>47.28</v>
      </c>
      <c r="E49" s="2">
        <f>IFERROR(__xludf.DUMMYFUNCTION("""COMPUTED_VALUE"""),47.81)</f>
        <v>47.81</v>
      </c>
      <c r="F49" s="2">
        <f>IFERROR(__xludf.DUMMYFUNCTION("""COMPUTED_VALUE"""),1.12141545E8)</f>
        <v>112141545</v>
      </c>
      <c r="G49" s="3">
        <f t="shared" si="1"/>
        <v>-0.003543142976</v>
      </c>
    </row>
    <row r="50">
      <c r="A50" s="1">
        <f>IFERROR(__xludf.DUMMYFUNCTION("""COMPUTED_VALUE"""),41978.66666666667)</f>
        <v>41978.66667</v>
      </c>
      <c r="B50" s="2">
        <f>IFERROR(__xludf.DUMMYFUNCTION("""COMPUTED_VALUE"""),47.88)</f>
        <v>47.88</v>
      </c>
      <c r="C50" s="2">
        <f>IFERROR(__xludf.DUMMYFUNCTION("""COMPUTED_VALUE"""),49.06)</f>
        <v>49.06</v>
      </c>
      <c r="D50" s="2">
        <f>IFERROR(__xludf.DUMMYFUNCTION("""COMPUTED_VALUE"""),47.71)</f>
        <v>47.71</v>
      </c>
      <c r="E50" s="2">
        <f>IFERROR(__xludf.DUMMYFUNCTION("""COMPUTED_VALUE"""),48.42)</f>
        <v>48.42</v>
      </c>
      <c r="F50" s="2">
        <f>IFERROR(__xludf.DUMMYFUNCTION("""COMPUTED_VALUE"""),1.38158386E8)</f>
        <v>138158386</v>
      </c>
      <c r="G50" s="3">
        <f t="shared" si="1"/>
        <v>0.01275883706</v>
      </c>
    </row>
    <row r="51">
      <c r="A51" s="1">
        <f>IFERROR(__xludf.DUMMYFUNCTION("""COMPUTED_VALUE"""),41985.66666666667)</f>
        <v>41985.66667</v>
      </c>
      <c r="B51" s="2">
        <f>IFERROR(__xludf.DUMMYFUNCTION("""COMPUTED_VALUE"""),48.26)</f>
        <v>48.26</v>
      </c>
      <c r="C51" s="2">
        <f>IFERROR(__xludf.DUMMYFUNCTION("""COMPUTED_VALUE"""),48.35)</f>
        <v>48.35</v>
      </c>
      <c r="D51" s="2">
        <f>IFERROR(__xludf.DUMMYFUNCTION("""COMPUTED_VALUE"""),46.67)</f>
        <v>46.67</v>
      </c>
      <c r="E51" s="2">
        <f>IFERROR(__xludf.DUMMYFUNCTION("""COMPUTED_VALUE"""),46.95)</f>
        <v>46.95</v>
      </c>
      <c r="F51" s="2">
        <f>IFERROR(__xludf.DUMMYFUNCTION("""COMPUTED_VALUE"""),1.4473569E8)</f>
        <v>144735690</v>
      </c>
      <c r="G51" s="3">
        <f t="shared" si="1"/>
        <v>-0.03035935564</v>
      </c>
    </row>
    <row r="52">
      <c r="A52" s="1">
        <f>IFERROR(__xludf.DUMMYFUNCTION("""COMPUTED_VALUE"""),41992.66666666667)</f>
        <v>41992.66667</v>
      </c>
      <c r="B52" s="2">
        <f>IFERROR(__xludf.DUMMYFUNCTION("""COMPUTED_VALUE"""),47.2)</f>
        <v>47.2</v>
      </c>
      <c r="C52" s="2">
        <f>IFERROR(__xludf.DUMMYFUNCTION("""COMPUTED_VALUE"""),48.1)</f>
        <v>48.1</v>
      </c>
      <c r="D52" s="2">
        <f>IFERROR(__xludf.DUMMYFUNCTION("""COMPUTED_VALUE"""),44.9)</f>
        <v>44.9</v>
      </c>
      <c r="E52" s="2">
        <f>IFERROR(__xludf.DUMMYFUNCTION("""COMPUTED_VALUE"""),47.66)</f>
        <v>47.66</v>
      </c>
      <c r="F52" s="2">
        <f>IFERROR(__xludf.DUMMYFUNCTION("""COMPUTED_VALUE"""),2.1667675E8)</f>
        <v>216676750</v>
      </c>
      <c r="G52" s="3">
        <f t="shared" si="1"/>
        <v>0.01512247071</v>
      </c>
    </row>
    <row r="53">
      <c r="A53" s="1">
        <f>IFERROR(__xludf.DUMMYFUNCTION("""COMPUTED_VALUE"""),41999.66666666667)</f>
        <v>41999.66667</v>
      </c>
      <c r="B53" s="2">
        <f>IFERROR(__xludf.DUMMYFUNCTION("""COMPUTED_VALUE"""),47.78)</f>
        <v>47.78</v>
      </c>
      <c r="C53" s="2">
        <f>IFERROR(__xludf.DUMMYFUNCTION("""COMPUTED_VALUE"""),48.8)</f>
        <v>48.8</v>
      </c>
      <c r="D53" s="2">
        <f>IFERROR(__xludf.DUMMYFUNCTION("""COMPUTED_VALUE"""),47.71)</f>
        <v>47.71</v>
      </c>
      <c r="E53" s="2">
        <f>IFERROR(__xludf.DUMMYFUNCTION("""COMPUTED_VALUE"""),47.88)</f>
        <v>47.88</v>
      </c>
      <c r="F53" s="2">
        <f>IFERROR(__xludf.DUMMYFUNCTION("""COMPUTED_VALUE"""),7.486312E7)</f>
        <v>74863120</v>
      </c>
      <c r="G53" s="3">
        <f t="shared" si="1"/>
        <v>0.004616030214</v>
      </c>
    </row>
    <row r="54">
      <c r="A54" s="1">
        <f>IFERROR(__xludf.DUMMYFUNCTION("""COMPUTED_VALUE"""),42006.66666666667)</f>
        <v>42006.66667</v>
      </c>
      <c r="B54" s="2">
        <f>IFERROR(__xludf.DUMMYFUNCTION("""COMPUTED_VALUE"""),47.7)</f>
        <v>47.7</v>
      </c>
      <c r="C54" s="2">
        <f>IFERROR(__xludf.DUMMYFUNCTION("""COMPUTED_VALUE"""),47.78)</f>
        <v>47.78</v>
      </c>
      <c r="D54" s="2">
        <f>IFERROR(__xludf.DUMMYFUNCTION("""COMPUTED_VALUE"""),46.45)</f>
        <v>46.45</v>
      </c>
      <c r="E54" s="2">
        <f>IFERROR(__xludf.DUMMYFUNCTION("""COMPUTED_VALUE"""),46.76)</f>
        <v>46.76</v>
      </c>
      <c r="F54" s="2">
        <f>IFERROR(__xludf.DUMMYFUNCTION("""COMPUTED_VALUE"""),8.0290512E7)</f>
        <v>80290512</v>
      </c>
      <c r="G54" s="3">
        <f t="shared" si="1"/>
        <v>-0.02339181287</v>
      </c>
    </row>
    <row r="55">
      <c r="A55" s="1">
        <f>IFERROR(__xludf.DUMMYFUNCTION("""COMPUTED_VALUE"""),42013.66666666667)</f>
        <v>42013.66667</v>
      </c>
      <c r="B55" s="2">
        <f>IFERROR(__xludf.DUMMYFUNCTION("""COMPUTED_VALUE"""),46.39)</f>
        <v>46.39</v>
      </c>
      <c r="C55" s="2">
        <f>IFERROR(__xludf.DUMMYFUNCTION("""COMPUTED_VALUE"""),47.82)</f>
        <v>47.82</v>
      </c>
      <c r="D55" s="2">
        <f>IFERROR(__xludf.DUMMYFUNCTION("""COMPUTED_VALUE"""),45.49)</f>
        <v>45.49</v>
      </c>
      <c r="E55" s="2">
        <f>IFERROR(__xludf.DUMMYFUNCTION("""COMPUTED_VALUE"""),47.19)</f>
        <v>47.19</v>
      </c>
      <c r="F55" s="2">
        <f>IFERROR(__xludf.DUMMYFUNCTION("""COMPUTED_VALUE"""),1.58825163E8)</f>
        <v>158825163</v>
      </c>
      <c r="G55" s="3">
        <f t="shared" si="1"/>
        <v>0.009195893926</v>
      </c>
    </row>
    <row r="56">
      <c r="A56" s="1">
        <f>IFERROR(__xludf.DUMMYFUNCTION("""COMPUTED_VALUE"""),42020.66666666667)</f>
        <v>42020.66667</v>
      </c>
      <c r="B56" s="2">
        <f>IFERROR(__xludf.DUMMYFUNCTION("""COMPUTED_VALUE"""),47.4)</f>
        <v>47.4</v>
      </c>
      <c r="C56" s="2">
        <f>IFERROR(__xludf.DUMMYFUNCTION("""COMPUTED_VALUE"""),47.91)</f>
        <v>47.91</v>
      </c>
      <c r="D56" s="2">
        <f>IFERROR(__xludf.DUMMYFUNCTION("""COMPUTED_VALUE"""),45.17)</f>
        <v>45.17</v>
      </c>
      <c r="E56" s="2">
        <f>IFERROR(__xludf.DUMMYFUNCTION("""COMPUTED_VALUE"""),46.24)</f>
        <v>46.24</v>
      </c>
      <c r="F56" s="2">
        <f>IFERROR(__xludf.DUMMYFUNCTION("""COMPUTED_VALUE"""),1.57088136E8)</f>
        <v>157088136</v>
      </c>
      <c r="G56" s="3">
        <f t="shared" si="1"/>
        <v>-0.02013138377</v>
      </c>
    </row>
    <row r="57">
      <c r="A57" s="1">
        <f>IFERROR(__xludf.DUMMYFUNCTION("""COMPUTED_VALUE"""),42027.66666666667)</f>
        <v>42027.66667</v>
      </c>
      <c r="B57" s="2">
        <f>IFERROR(__xludf.DUMMYFUNCTION("""COMPUTED_VALUE"""),46.3)</f>
        <v>46.3</v>
      </c>
      <c r="C57" s="2">
        <f>IFERROR(__xludf.DUMMYFUNCTION("""COMPUTED_VALUE"""),47.39)</f>
        <v>47.39</v>
      </c>
      <c r="D57" s="2">
        <f>IFERROR(__xludf.DUMMYFUNCTION("""COMPUTED_VALUE"""),45.48)</f>
        <v>45.48</v>
      </c>
      <c r="E57" s="2">
        <f>IFERROR(__xludf.DUMMYFUNCTION("""COMPUTED_VALUE"""),47.18)</f>
        <v>47.18</v>
      </c>
      <c r="F57" s="2">
        <f>IFERROR(__xludf.DUMMYFUNCTION("""COMPUTED_VALUE"""),1.37352632E8)</f>
        <v>137352632</v>
      </c>
      <c r="G57" s="3">
        <f t="shared" si="1"/>
        <v>0.02032871972</v>
      </c>
    </row>
    <row r="58">
      <c r="A58" s="1">
        <f>IFERROR(__xludf.DUMMYFUNCTION("""COMPUTED_VALUE"""),42034.66666666667)</f>
        <v>42034.66667</v>
      </c>
      <c r="B58" s="2">
        <f>IFERROR(__xludf.DUMMYFUNCTION("""COMPUTED_VALUE"""),47.0)</f>
        <v>47</v>
      </c>
      <c r="C58" s="2">
        <f>IFERROR(__xludf.DUMMYFUNCTION("""COMPUTED_VALUE"""),47.13)</f>
        <v>47.13</v>
      </c>
      <c r="D58" s="2">
        <f>IFERROR(__xludf.DUMMYFUNCTION("""COMPUTED_VALUE"""),40.35)</f>
        <v>40.35</v>
      </c>
      <c r="E58" s="2">
        <f>IFERROR(__xludf.DUMMYFUNCTION("""COMPUTED_VALUE"""),40.4)</f>
        <v>40.4</v>
      </c>
      <c r="F58" s="2">
        <f>IFERROR(__xludf.DUMMYFUNCTION("""COMPUTED_VALUE"""),4.37786778E8)</f>
        <v>437786778</v>
      </c>
      <c r="G58" s="3">
        <f t="shared" si="1"/>
        <v>-0.1437049597</v>
      </c>
    </row>
    <row r="59">
      <c r="A59" s="1">
        <f>IFERROR(__xludf.DUMMYFUNCTION("""COMPUTED_VALUE"""),42041.66666666667)</f>
        <v>42041.66667</v>
      </c>
      <c r="B59" s="2">
        <f>IFERROR(__xludf.DUMMYFUNCTION("""COMPUTED_VALUE"""),40.59)</f>
        <v>40.59</v>
      </c>
      <c r="C59" s="2">
        <f>IFERROR(__xludf.DUMMYFUNCTION("""COMPUTED_VALUE"""),42.79)</f>
        <v>42.79</v>
      </c>
      <c r="D59" s="2">
        <f>IFERROR(__xludf.DUMMYFUNCTION("""COMPUTED_VALUE"""),40.23)</f>
        <v>40.23</v>
      </c>
      <c r="E59" s="2">
        <f>IFERROR(__xludf.DUMMYFUNCTION("""COMPUTED_VALUE"""),42.41)</f>
        <v>42.41</v>
      </c>
      <c r="F59" s="2">
        <f>IFERROR(__xludf.DUMMYFUNCTION("""COMPUTED_VALUE"""),2.15214514E8)</f>
        <v>215214514</v>
      </c>
      <c r="G59" s="3">
        <f t="shared" si="1"/>
        <v>0.04975247525</v>
      </c>
    </row>
    <row r="60">
      <c r="A60" s="1">
        <f>IFERROR(__xludf.DUMMYFUNCTION("""COMPUTED_VALUE"""),42048.66666666667)</f>
        <v>42048.66667</v>
      </c>
      <c r="B60" s="2">
        <f>IFERROR(__xludf.DUMMYFUNCTION("""COMPUTED_VALUE"""),42.24)</f>
        <v>42.24</v>
      </c>
      <c r="C60" s="2">
        <f>IFERROR(__xludf.DUMMYFUNCTION("""COMPUTED_VALUE"""),43.87)</f>
        <v>43.87</v>
      </c>
      <c r="D60" s="2">
        <f>IFERROR(__xludf.DUMMYFUNCTION("""COMPUTED_VALUE"""),42.18)</f>
        <v>42.18</v>
      </c>
      <c r="E60" s="2">
        <f>IFERROR(__xludf.DUMMYFUNCTION("""COMPUTED_VALUE"""),43.87)</f>
        <v>43.87</v>
      </c>
      <c r="F60" s="2">
        <f>IFERROR(__xludf.DUMMYFUNCTION("""COMPUTED_VALUE"""),1.72847964E8)</f>
        <v>172847964</v>
      </c>
      <c r="G60" s="3">
        <f t="shared" si="1"/>
        <v>0.03442584296</v>
      </c>
    </row>
    <row r="61">
      <c r="A61" s="1">
        <f>IFERROR(__xludf.DUMMYFUNCTION("""COMPUTED_VALUE"""),42055.66666666667)</f>
        <v>42055.66667</v>
      </c>
      <c r="B61" s="2">
        <f>IFERROR(__xludf.DUMMYFUNCTION("""COMPUTED_VALUE"""),43.27)</f>
        <v>43.27</v>
      </c>
      <c r="C61" s="2">
        <f>IFERROR(__xludf.DUMMYFUNCTION("""COMPUTED_VALUE"""),44.0)</f>
        <v>44</v>
      </c>
      <c r="D61" s="2">
        <f>IFERROR(__xludf.DUMMYFUNCTION("""COMPUTED_VALUE"""),43.05)</f>
        <v>43.05</v>
      </c>
      <c r="E61" s="2">
        <f>IFERROR(__xludf.DUMMYFUNCTION("""COMPUTED_VALUE"""),43.86)</f>
        <v>43.86</v>
      </c>
      <c r="F61" s="2">
        <f>IFERROR(__xludf.DUMMYFUNCTION("""COMPUTED_VALUE"""),1.18131959E8)</f>
        <v>118131959</v>
      </c>
      <c r="G61" s="3">
        <f t="shared" si="1"/>
        <v>-0.0002279462047</v>
      </c>
    </row>
    <row r="62">
      <c r="A62" s="1">
        <f>IFERROR(__xludf.DUMMYFUNCTION("""COMPUTED_VALUE"""),42062.66666666667)</f>
        <v>42062.66667</v>
      </c>
      <c r="B62" s="2">
        <f>IFERROR(__xludf.DUMMYFUNCTION("""COMPUTED_VALUE"""),43.7)</f>
        <v>43.7</v>
      </c>
      <c r="C62" s="2">
        <f>IFERROR(__xludf.DUMMYFUNCTION("""COMPUTED_VALUE"""),44.3)</f>
        <v>44.3</v>
      </c>
      <c r="D62" s="2">
        <f>IFERROR(__xludf.DUMMYFUNCTION("""COMPUTED_VALUE"""),43.65)</f>
        <v>43.65</v>
      </c>
      <c r="E62" s="2">
        <f>IFERROR(__xludf.DUMMYFUNCTION("""COMPUTED_VALUE"""),43.85)</f>
        <v>43.85</v>
      </c>
      <c r="F62" s="2">
        <f>IFERROR(__xludf.DUMMYFUNCTION("""COMPUTED_VALUE"""),1.5031539E8)</f>
        <v>150315390</v>
      </c>
      <c r="G62" s="3">
        <f t="shared" si="1"/>
        <v>-0.000227998176</v>
      </c>
    </row>
    <row r="63">
      <c r="A63" s="1">
        <f>IFERROR(__xludf.DUMMYFUNCTION("""COMPUTED_VALUE"""),42069.66666666667)</f>
        <v>42069.66667</v>
      </c>
      <c r="B63" s="2">
        <f>IFERROR(__xludf.DUMMYFUNCTION("""COMPUTED_VALUE"""),43.67)</f>
        <v>43.67</v>
      </c>
      <c r="C63" s="2">
        <f>IFERROR(__xludf.DUMMYFUNCTION("""COMPUTED_VALUE"""),44.19)</f>
        <v>44.19</v>
      </c>
      <c r="D63" s="2">
        <f>IFERROR(__xludf.DUMMYFUNCTION("""COMPUTED_VALUE"""),42.15)</f>
        <v>42.15</v>
      </c>
      <c r="E63" s="2">
        <f>IFERROR(__xludf.DUMMYFUNCTION("""COMPUTED_VALUE"""),42.36)</f>
        <v>42.36</v>
      </c>
      <c r="F63" s="2">
        <f>IFERROR(__xludf.DUMMYFUNCTION("""COMPUTED_VALUE"""),1.48863715E8)</f>
        <v>148863715</v>
      </c>
      <c r="G63" s="3">
        <f t="shared" si="1"/>
        <v>-0.03397947548</v>
      </c>
    </row>
    <row r="64">
      <c r="A64" s="1">
        <f>IFERROR(__xludf.DUMMYFUNCTION("""COMPUTED_VALUE"""),42076.66666666667)</f>
        <v>42076.66667</v>
      </c>
      <c r="B64" s="2">
        <f>IFERROR(__xludf.DUMMYFUNCTION("""COMPUTED_VALUE"""),42.19)</f>
        <v>42.19</v>
      </c>
      <c r="C64" s="2">
        <f>IFERROR(__xludf.DUMMYFUNCTION("""COMPUTED_VALUE"""),43.13)</f>
        <v>43.13</v>
      </c>
      <c r="D64" s="2">
        <f>IFERROR(__xludf.DUMMYFUNCTION("""COMPUTED_VALUE"""),40.61)</f>
        <v>40.61</v>
      </c>
      <c r="E64" s="2">
        <f>IFERROR(__xludf.DUMMYFUNCTION("""COMPUTED_VALUE"""),41.38)</f>
        <v>41.38</v>
      </c>
      <c r="F64" s="2">
        <f>IFERROR(__xludf.DUMMYFUNCTION("""COMPUTED_VALUE"""),2.21483208E8)</f>
        <v>221483208</v>
      </c>
      <c r="G64" s="3">
        <f t="shared" si="1"/>
        <v>-0.02313503305</v>
      </c>
    </row>
    <row r="65">
      <c r="A65" s="1">
        <f>IFERROR(__xludf.DUMMYFUNCTION("""COMPUTED_VALUE"""),42083.66666666667)</f>
        <v>42083.66667</v>
      </c>
      <c r="B65" s="2">
        <f>IFERROR(__xludf.DUMMYFUNCTION("""COMPUTED_VALUE"""),41.47)</f>
        <v>41.47</v>
      </c>
      <c r="C65" s="2">
        <f>IFERROR(__xludf.DUMMYFUNCTION("""COMPUTED_VALUE"""),42.98)</f>
        <v>42.98</v>
      </c>
      <c r="D65" s="2">
        <f>IFERROR(__xludf.DUMMYFUNCTION("""COMPUTED_VALUE"""),41.15)</f>
        <v>41.15</v>
      </c>
      <c r="E65" s="2">
        <f>IFERROR(__xludf.DUMMYFUNCTION("""COMPUTED_VALUE"""),42.88)</f>
        <v>42.88</v>
      </c>
      <c r="F65" s="2">
        <f>IFERROR(__xludf.DUMMYFUNCTION("""COMPUTED_VALUE"""),2.16925266E8)</f>
        <v>216925266</v>
      </c>
      <c r="G65" s="3">
        <f t="shared" si="1"/>
        <v>0.03624939584</v>
      </c>
    </row>
    <row r="66">
      <c r="A66" s="1">
        <f>IFERROR(__xludf.DUMMYFUNCTION("""COMPUTED_VALUE"""),42090.66666666667)</f>
        <v>42090.66667</v>
      </c>
      <c r="B66" s="2">
        <f>IFERROR(__xludf.DUMMYFUNCTION("""COMPUTED_VALUE"""),42.9)</f>
        <v>42.9</v>
      </c>
      <c r="C66" s="2">
        <f>IFERROR(__xludf.DUMMYFUNCTION("""COMPUTED_VALUE"""),43.17)</f>
        <v>43.17</v>
      </c>
      <c r="D66" s="2">
        <f>IFERROR(__xludf.DUMMYFUNCTION("""COMPUTED_VALUE"""),40.83)</f>
        <v>40.83</v>
      </c>
      <c r="E66" s="2">
        <f>IFERROR(__xludf.DUMMYFUNCTION("""COMPUTED_VALUE"""),40.97)</f>
        <v>40.97</v>
      </c>
      <c r="F66" s="2">
        <f>IFERROR(__xludf.DUMMYFUNCTION("""COMPUTED_VALUE"""),1.6712627E8)</f>
        <v>167126270</v>
      </c>
      <c r="G66" s="3">
        <f t="shared" si="1"/>
        <v>-0.04454291045</v>
      </c>
    </row>
    <row r="67">
      <c r="A67" s="1">
        <f>IFERROR(__xludf.DUMMYFUNCTION("""COMPUTED_VALUE"""),42096.66666666667)</f>
        <v>42096.66667</v>
      </c>
      <c r="B67" s="2">
        <f>IFERROR(__xludf.DUMMYFUNCTION("""COMPUTED_VALUE"""),41.23)</f>
        <v>41.23</v>
      </c>
      <c r="C67" s="2">
        <f>IFERROR(__xludf.DUMMYFUNCTION("""COMPUTED_VALUE"""),41.54)</f>
        <v>41.54</v>
      </c>
      <c r="D67" s="2">
        <f>IFERROR(__xludf.DUMMYFUNCTION("""COMPUTED_VALUE"""),40.12)</f>
        <v>40.12</v>
      </c>
      <c r="E67" s="2">
        <f>IFERROR(__xludf.DUMMYFUNCTION("""COMPUTED_VALUE"""),40.29)</f>
        <v>40.29</v>
      </c>
      <c r="F67" s="2">
        <f>IFERROR(__xludf.DUMMYFUNCTION("""COMPUTED_VALUE"""),1.44289679E8)</f>
        <v>144289679</v>
      </c>
      <c r="G67" s="3">
        <f t="shared" si="1"/>
        <v>-0.01659751037</v>
      </c>
    </row>
    <row r="68">
      <c r="A68" s="1">
        <f>IFERROR(__xludf.DUMMYFUNCTION("""COMPUTED_VALUE"""),42104.66666666667)</f>
        <v>42104.66667</v>
      </c>
      <c r="B68" s="2">
        <f>IFERROR(__xludf.DUMMYFUNCTION("""COMPUTED_VALUE"""),40.34)</f>
        <v>40.34</v>
      </c>
      <c r="C68" s="2">
        <f>IFERROR(__xludf.DUMMYFUNCTION("""COMPUTED_VALUE"""),41.95)</f>
        <v>41.95</v>
      </c>
      <c r="D68" s="2">
        <f>IFERROR(__xludf.DUMMYFUNCTION("""COMPUTED_VALUE"""),40.18)</f>
        <v>40.18</v>
      </c>
      <c r="E68" s="2">
        <f>IFERROR(__xludf.DUMMYFUNCTION("""COMPUTED_VALUE"""),41.72)</f>
        <v>41.72</v>
      </c>
      <c r="F68" s="2">
        <f>IFERROR(__xludf.DUMMYFUNCTION("""COMPUTED_VALUE"""),1.46532368E8)</f>
        <v>146532368</v>
      </c>
      <c r="G68" s="3">
        <f t="shared" si="1"/>
        <v>0.03549267808</v>
      </c>
    </row>
    <row r="69">
      <c r="A69" s="1">
        <f>IFERROR(__xludf.DUMMYFUNCTION("""COMPUTED_VALUE"""),42111.66666666667)</f>
        <v>42111.66667</v>
      </c>
      <c r="B69" s="2">
        <f>IFERROR(__xludf.DUMMYFUNCTION("""COMPUTED_VALUE"""),41.4)</f>
        <v>41.4</v>
      </c>
      <c r="C69" s="2">
        <f>IFERROR(__xludf.DUMMYFUNCTION("""COMPUTED_VALUE"""),42.46)</f>
        <v>42.46</v>
      </c>
      <c r="D69" s="2">
        <f>IFERROR(__xludf.DUMMYFUNCTION("""COMPUTED_VALUE"""),41.16)</f>
        <v>41.16</v>
      </c>
      <c r="E69" s="2">
        <f>IFERROR(__xludf.DUMMYFUNCTION("""COMPUTED_VALUE"""),41.62)</f>
        <v>41.62</v>
      </c>
      <c r="F69" s="2">
        <f>IFERROR(__xludf.DUMMYFUNCTION("""COMPUTED_VALUE"""),1.46761915E8)</f>
        <v>146761915</v>
      </c>
      <c r="G69" s="3">
        <f t="shared" si="1"/>
        <v>-0.002396931927</v>
      </c>
    </row>
    <row r="70">
      <c r="A70" s="1">
        <f>IFERROR(__xludf.DUMMYFUNCTION("""COMPUTED_VALUE"""),42118.66666666667)</f>
        <v>42118.66667</v>
      </c>
      <c r="B70" s="2">
        <f>IFERROR(__xludf.DUMMYFUNCTION("""COMPUTED_VALUE"""),41.73)</f>
        <v>41.73</v>
      </c>
      <c r="C70" s="2">
        <f>IFERROR(__xludf.DUMMYFUNCTION("""COMPUTED_VALUE"""),48.14)</f>
        <v>48.14</v>
      </c>
      <c r="D70" s="2">
        <f>IFERROR(__xludf.DUMMYFUNCTION("""COMPUTED_VALUE"""),41.68)</f>
        <v>41.68</v>
      </c>
      <c r="E70" s="2">
        <f>IFERROR(__xludf.DUMMYFUNCTION("""COMPUTED_VALUE"""),47.87)</f>
        <v>47.87</v>
      </c>
      <c r="F70" s="2">
        <f>IFERROR(__xludf.DUMMYFUNCTION("""COMPUTED_VALUE"""),2.74379045E8)</f>
        <v>274379045</v>
      </c>
      <c r="G70" s="3">
        <f t="shared" si="1"/>
        <v>0.1501681884</v>
      </c>
    </row>
    <row r="71">
      <c r="A71" s="1">
        <f>IFERROR(__xludf.DUMMYFUNCTION("""COMPUTED_VALUE"""),42125.66666666667)</f>
        <v>42125.66667</v>
      </c>
      <c r="B71" s="2">
        <f>IFERROR(__xludf.DUMMYFUNCTION("""COMPUTED_VALUE"""),47.23)</f>
        <v>47.23</v>
      </c>
      <c r="C71" s="2">
        <f>IFERROR(__xludf.DUMMYFUNCTION("""COMPUTED_VALUE"""),49.54)</f>
        <v>49.54</v>
      </c>
      <c r="D71" s="2">
        <f>IFERROR(__xludf.DUMMYFUNCTION("""COMPUTED_VALUE"""),47.22)</f>
        <v>47.22</v>
      </c>
      <c r="E71" s="2">
        <f>IFERROR(__xludf.DUMMYFUNCTION("""COMPUTED_VALUE"""),48.66)</f>
        <v>48.66</v>
      </c>
      <c r="F71" s="2">
        <f>IFERROR(__xludf.DUMMYFUNCTION("""COMPUTED_VALUE"""),2.71446305E8)</f>
        <v>271446305</v>
      </c>
      <c r="G71" s="3">
        <f t="shared" si="1"/>
        <v>0.01650302904</v>
      </c>
    </row>
    <row r="72">
      <c r="A72" s="1">
        <f>IFERROR(__xludf.DUMMYFUNCTION("""COMPUTED_VALUE"""),42132.66666666667)</f>
        <v>42132.66667</v>
      </c>
      <c r="B72" s="2">
        <f>IFERROR(__xludf.DUMMYFUNCTION("""COMPUTED_VALUE"""),48.37)</f>
        <v>48.37</v>
      </c>
      <c r="C72" s="2">
        <f>IFERROR(__xludf.DUMMYFUNCTION("""COMPUTED_VALUE"""),48.87)</f>
        <v>48.87</v>
      </c>
      <c r="D72" s="2">
        <f>IFERROR(__xludf.DUMMYFUNCTION("""COMPUTED_VALUE"""),46.02)</f>
        <v>46.02</v>
      </c>
      <c r="E72" s="2">
        <f>IFERROR(__xludf.DUMMYFUNCTION("""COMPUTED_VALUE"""),47.75)</f>
        <v>47.75</v>
      </c>
      <c r="F72" s="2">
        <f>IFERROR(__xludf.DUMMYFUNCTION("""COMPUTED_VALUE"""),2.05178261E8)</f>
        <v>205178261</v>
      </c>
      <c r="G72" s="3">
        <f t="shared" si="1"/>
        <v>-0.01870119194</v>
      </c>
    </row>
    <row r="73">
      <c r="A73" s="1">
        <f>IFERROR(__xludf.DUMMYFUNCTION("""COMPUTED_VALUE"""),42139.66666666667)</f>
        <v>42139.66667</v>
      </c>
      <c r="B73" s="2">
        <f>IFERROR(__xludf.DUMMYFUNCTION("""COMPUTED_VALUE"""),47.55)</f>
        <v>47.55</v>
      </c>
      <c r="C73" s="2">
        <f>IFERROR(__xludf.DUMMYFUNCTION("""COMPUTED_VALUE"""),48.91)</f>
        <v>48.91</v>
      </c>
      <c r="D73" s="2">
        <f>IFERROR(__xludf.DUMMYFUNCTION("""COMPUTED_VALUE"""),46.42)</f>
        <v>46.42</v>
      </c>
      <c r="E73" s="2">
        <f>IFERROR(__xludf.DUMMYFUNCTION("""COMPUTED_VALUE"""),48.3)</f>
        <v>48.3</v>
      </c>
      <c r="F73" s="2">
        <f>IFERROR(__xludf.DUMMYFUNCTION("""COMPUTED_VALUE"""),1.50345879E8)</f>
        <v>150345879</v>
      </c>
      <c r="G73" s="3">
        <f t="shared" si="1"/>
        <v>0.01151832461</v>
      </c>
    </row>
    <row r="74">
      <c r="A74" s="1">
        <f>IFERROR(__xludf.DUMMYFUNCTION("""COMPUTED_VALUE"""),42146.66666666667)</f>
        <v>42146.66667</v>
      </c>
      <c r="B74" s="2">
        <f>IFERROR(__xludf.DUMMYFUNCTION("""COMPUTED_VALUE"""),47.98)</f>
        <v>47.98</v>
      </c>
      <c r="C74" s="2">
        <f>IFERROR(__xludf.DUMMYFUNCTION("""COMPUTED_VALUE"""),48.22)</f>
        <v>48.22</v>
      </c>
      <c r="D74" s="2">
        <f>IFERROR(__xludf.DUMMYFUNCTION("""COMPUTED_VALUE"""),46.82)</f>
        <v>46.82</v>
      </c>
      <c r="E74" s="2">
        <f>IFERROR(__xludf.DUMMYFUNCTION("""COMPUTED_VALUE"""),46.9)</f>
        <v>46.9</v>
      </c>
      <c r="F74" s="2">
        <f>IFERROR(__xludf.DUMMYFUNCTION("""COMPUTED_VALUE"""),1.25890515E8)</f>
        <v>125890515</v>
      </c>
      <c r="G74" s="3">
        <f t="shared" si="1"/>
        <v>-0.02898550725</v>
      </c>
    </row>
    <row r="75">
      <c r="A75" s="1">
        <f>IFERROR(__xludf.DUMMYFUNCTION("""COMPUTED_VALUE"""),42153.66666666667)</f>
        <v>42153.66667</v>
      </c>
      <c r="B75" s="2">
        <f>IFERROR(__xludf.DUMMYFUNCTION("""COMPUTED_VALUE"""),46.83)</f>
        <v>46.83</v>
      </c>
      <c r="C75" s="2">
        <f>IFERROR(__xludf.DUMMYFUNCTION("""COMPUTED_VALUE"""),48.02)</f>
        <v>48.02</v>
      </c>
      <c r="D75" s="2">
        <f>IFERROR(__xludf.DUMMYFUNCTION("""COMPUTED_VALUE"""),46.19)</f>
        <v>46.19</v>
      </c>
      <c r="E75" s="2">
        <f>IFERROR(__xludf.DUMMYFUNCTION("""COMPUTED_VALUE"""),46.86)</f>
        <v>46.86</v>
      </c>
      <c r="F75" s="2">
        <f>IFERROR(__xludf.DUMMYFUNCTION("""COMPUTED_VALUE"""),1.12720759E8)</f>
        <v>112720759</v>
      </c>
      <c r="G75" s="3">
        <f t="shared" si="1"/>
        <v>-0.0008528784648</v>
      </c>
    </row>
    <row r="76">
      <c r="A76" s="1">
        <f>IFERROR(__xludf.DUMMYFUNCTION("""COMPUTED_VALUE"""),42160.66666666667)</f>
        <v>42160.66667</v>
      </c>
      <c r="B76" s="2">
        <f>IFERROR(__xludf.DUMMYFUNCTION("""COMPUTED_VALUE"""),47.06)</f>
        <v>47.06</v>
      </c>
      <c r="C76" s="2">
        <f>IFERROR(__xludf.DUMMYFUNCTION("""COMPUTED_VALUE"""),47.77)</f>
        <v>47.77</v>
      </c>
      <c r="D76" s="2">
        <f>IFERROR(__xludf.DUMMYFUNCTION("""COMPUTED_VALUE"""),45.84)</f>
        <v>45.84</v>
      </c>
      <c r="E76" s="2">
        <f>IFERROR(__xludf.DUMMYFUNCTION("""COMPUTED_VALUE"""),46.14)</f>
        <v>46.14</v>
      </c>
      <c r="F76" s="2">
        <f>IFERROR(__xludf.DUMMYFUNCTION("""COMPUTED_VALUE"""),1.3152141E8)</f>
        <v>131521410</v>
      </c>
      <c r="G76" s="3">
        <f t="shared" si="1"/>
        <v>-0.01536491677</v>
      </c>
    </row>
    <row r="77">
      <c r="A77" s="1">
        <f>IFERROR(__xludf.DUMMYFUNCTION("""COMPUTED_VALUE"""),42167.66666666667)</f>
        <v>42167.66667</v>
      </c>
      <c r="B77" s="2">
        <f>IFERROR(__xludf.DUMMYFUNCTION("""COMPUTED_VALUE"""),46.3)</f>
        <v>46.3</v>
      </c>
      <c r="C77" s="2">
        <f>IFERROR(__xludf.DUMMYFUNCTION("""COMPUTED_VALUE"""),46.92)</f>
        <v>46.92</v>
      </c>
      <c r="D77" s="2">
        <f>IFERROR(__xludf.DUMMYFUNCTION("""COMPUTED_VALUE"""),45.46)</f>
        <v>45.46</v>
      </c>
      <c r="E77" s="2">
        <f>IFERROR(__xludf.DUMMYFUNCTION("""COMPUTED_VALUE"""),45.97)</f>
        <v>45.97</v>
      </c>
      <c r="F77" s="2">
        <f>IFERROR(__xludf.DUMMYFUNCTION("""COMPUTED_VALUE"""),1.26223826E8)</f>
        <v>126223826</v>
      </c>
      <c r="G77" s="3">
        <f t="shared" si="1"/>
        <v>-0.003684438665</v>
      </c>
    </row>
    <row r="78">
      <c r="A78" s="1">
        <f>IFERROR(__xludf.DUMMYFUNCTION("""COMPUTED_VALUE"""),42174.66666666667)</f>
        <v>42174.66667</v>
      </c>
      <c r="B78" s="2">
        <f>IFERROR(__xludf.DUMMYFUNCTION("""COMPUTED_VALUE"""),45.45)</f>
        <v>45.45</v>
      </c>
      <c r="C78" s="2">
        <f>IFERROR(__xludf.DUMMYFUNCTION("""COMPUTED_VALUE"""),46.83)</f>
        <v>46.83</v>
      </c>
      <c r="D78" s="2">
        <f>IFERROR(__xludf.DUMMYFUNCTION("""COMPUTED_VALUE"""),45.02)</f>
        <v>45.02</v>
      </c>
      <c r="E78" s="2">
        <f>IFERROR(__xludf.DUMMYFUNCTION("""COMPUTED_VALUE"""),46.1)</f>
        <v>46.1</v>
      </c>
      <c r="F78" s="2">
        <f>IFERROR(__xludf.DUMMYFUNCTION("""COMPUTED_VALUE"""),1.85524263E8)</f>
        <v>185524263</v>
      </c>
      <c r="G78" s="3">
        <f t="shared" si="1"/>
        <v>0.00282793126</v>
      </c>
    </row>
    <row r="79">
      <c r="A79" s="1">
        <f>IFERROR(__xludf.DUMMYFUNCTION("""COMPUTED_VALUE"""),42181.66666666667)</f>
        <v>42181.66667</v>
      </c>
      <c r="B79" s="2">
        <f>IFERROR(__xludf.DUMMYFUNCTION("""COMPUTED_VALUE"""),46.33)</f>
        <v>46.33</v>
      </c>
      <c r="C79" s="2">
        <f>IFERROR(__xludf.DUMMYFUNCTION("""COMPUTED_VALUE"""),46.72)</f>
        <v>46.72</v>
      </c>
      <c r="D79" s="2">
        <f>IFERROR(__xludf.DUMMYFUNCTION("""COMPUTED_VALUE"""),45.03)</f>
        <v>45.03</v>
      </c>
      <c r="E79" s="2">
        <f>IFERROR(__xludf.DUMMYFUNCTION("""COMPUTED_VALUE"""),45.26)</f>
        <v>45.26</v>
      </c>
      <c r="F79" s="2">
        <f>IFERROR(__xludf.DUMMYFUNCTION("""COMPUTED_VALUE"""),1.51556711E8)</f>
        <v>151556711</v>
      </c>
      <c r="G79" s="3">
        <f t="shared" si="1"/>
        <v>-0.01822125813</v>
      </c>
    </row>
    <row r="80">
      <c r="A80" s="1">
        <f>IFERROR(__xludf.DUMMYFUNCTION("""COMPUTED_VALUE"""),42187.66666666667)</f>
        <v>42187.66667</v>
      </c>
      <c r="B80" s="2">
        <f>IFERROR(__xludf.DUMMYFUNCTION("""COMPUTED_VALUE"""),45.04)</f>
        <v>45.04</v>
      </c>
      <c r="C80" s="2">
        <f>IFERROR(__xludf.DUMMYFUNCTION("""COMPUTED_VALUE"""),45.23)</f>
        <v>45.23</v>
      </c>
      <c r="D80" s="2">
        <f>IFERROR(__xludf.DUMMYFUNCTION("""COMPUTED_VALUE"""),43.94)</f>
        <v>43.94</v>
      </c>
      <c r="E80" s="2">
        <f>IFERROR(__xludf.DUMMYFUNCTION("""COMPUTED_VALUE"""),44.4)</f>
        <v>44.4</v>
      </c>
      <c r="F80" s="2">
        <f>IFERROR(__xludf.DUMMYFUNCTION("""COMPUTED_VALUE"""),1.2012305E8)</f>
        <v>120123050</v>
      </c>
      <c r="G80" s="3">
        <f t="shared" si="1"/>
        <v>-0.01900132567</v>
      </c>
    </row>
    <row r="81">
      <c r="A81" s="1">
        <f>IFERROR(__xludf.DUMMYFUNCTION("""COMPUTED_VALUE"""),42195.66666666667)</f>
        <v>42195.66667</v>
      </c>
      <c r="B81" s="2">
        <f>IFERROR(__xludf.DUMMYFUNCTION("""COMPUTED_VALUE"""),43.96)</f>
        <v>43.96</v>
      </c>
      <c r="C81" s="2">
        <f>IFERROR(__xludf.DUMMYFUNCTION("""COMPUTED_VALUE"""),45.22)</f>
        <v>45.22</v>
      </c>
      <c r="D81" s="2">
        <f>IFERROR(__xludf.DUMMYFUNCTION("""COMPUTED_VALUE"""),43.32)</f>
        <v>43.32</v>
      </c>
      <c r="E81" s="2">
        <f>IFERROR(__xludf.DUMMYFUNCTION("""COMPUTED_VALUE"""),44.61)</f>
        <v>44.61</v>
      </c>
      <c r="F81" s="2">
        <f>IFERROR(__xludf.DUMMYFUNCTION("""COMPUTED_VALUE"""),1.57146118E8)</f>
        <v>157146118</v>
      </c>
      <c r="G81" s="3">
        <f t="shared" si="1"/>
        <v>0.00472972973</v>
      </c>
    </row>
    <row r="82">
      <c r="A82" s="1">
        <f>IFERROR(__xludf.DUMMYFUNCTION("""COMPUTED_VALUE"""),42202.66666666667)</f>
        <v>42202.66667</v>
      </c>
      <c r="B82" s="2">
        <f>IFERROR(__xludf.DUMMYFUNCTION("""COMPUTED_VALUE"""),44.98)</f>
        <v>44.98</v>
      </c>
      <c r="C82" s="2">
        <f>IFERROR(__xludf.DUMMYFUNCTION("""COMPUTED_VALUE"""),46.78)</f>
        <v>46.78</v>
      </c>
      <c r="D82" s="2">
        <f>IFERROR(__xludf.DUMMYFUNCTION("""COMPUTED_VALUE"""),44.95)</f>
        <v>44.95</v>
      </c>
      <c r="E82" s="2">
        <f>IFERROR(__xludf.DUMMYFUNCTION("""COMPUTED_VALUE"""),46.62)</f>
        <v>46.62</v>
      </c>
      <c r="F82" s="2">
        <f>IFERROR(__xludf.DUMMYFUNCTION("""COMPUTED_VALUE"""),1.33426984E8)</f>
        <v>133426984</v>
      </c>
      <c r="G82" s="3">
        <f t="shared" si="1"/>
        <v>0.04505716207</v>
      </c>
    </row>
    <row r="83">
      <c r="A83" s="1">
        <f>IFERROR(__xludf.DUMMYFUNCTION("""COMPUTED_VALUE"""),42209.66666666667)</f>
        <v>42209.66667</v>
      </c>
      <c r="B83" s="2">
        <f>IFERROR(__xludf.DUMMYFUNCTION("""COMPUTED_VALUE"""),46.65)</f>
        <v>46.65</v>
      </c>
      <c r="C83" s="2">
        <f>IFERROR(__xludf.DUMMYFUNCTION("""COMPUTED_VALUE"""),47.33)</f>
        <v>47.33</v>
      </c>
      <c r="D83" s="2">
        <f>IFERROR(__xludf.DUMMYFUNCTION("""COMPUTED_VALUE"""),45.1)</f>
        <v>45.1</v>
      </c>
      <c r="E83" s="2">
        <f>IFERROR(__xludf.DUMMYFUNCTION("""COMPUTED_VALUE"""),45.94)</f>
        <v>45.94</v>
      </c>
      <c r="F83" s="2">
        <f>IFERROR(__xludf.DUMMYFUNCTION("""COMPUTED_VALUE"""),1.98833485E8)</f>
        <v>198833485</v>
      </c>
      <c r="G83" s="3">
        <f t="shared" si="1"/>
        <v>-0.01458601459</v>
      </c>
    </row>
    <row r="84">
      <c r="A84" s="1">
        <f>IFERROR(__xludf.DUMMYFUNCTION("""COMPUTED_VALUE"""),42216.66666666667)</f>
        <v>42216.66667</v>
      </c>
      <c r="B84" s="2">
        <f>IFERROR(__xludf.DUMMYFUNCTION("""COMPUTED_VALUE"""),45.94)</f>
        <v>45.94</v>
      </c>
      <c r="C84" s="2">
        <f>IFERROR(__xludf.DUMMYFUNCTION("""COMPUTED_VALUE"""),47.4)</f>
        <v>47.4</v>
      </c>
      <c r="D84" s="2">
        <f>IFERROR(__xludf.DUMMYFUNCTION("""COMPUTED_VALUE"""),44.79)</f>
        <v>44.79</v>
      </c>
      <c r="E84" s="2">
        <f>IFERROR(__xludf.DUMMYFUNCTION("""COMPUTED_VALUE"""),46.7)</f>
        <v>46.7</v>
      </c>
      <c r="F84" s="2">
        <f>IFERROR(__xludf.DUMMYFUNCTION("""COMPUTED_VALUE"""),1.85955595E8)</f>
        <v>185955595</v>
      </c>
      <c r="G84" s="3">
        <f t="shared" si="1"/>
        <v>0.01654331737</v>
      </c>
    </row>
    <row r="85">
      <c r="A85" s="1">
        <f>IFERROR(__xludf.DUMMYFUNCTION("""COMPUTED_VALUE"""),42223.66666666667)</f>
        <v>42223.66667</v>
      </c>
      <c r="B85" s="2">
        <f>IFERROR(__xludf.DUMMYFUNCTION("""COMPUTED_VALUE"""),46.98)</f>
        <v>46.98</v>
      </c>
      <c r="C85" s="2">
        <f>IFERROR(__xludf.DUMMYFUNCTION("""COMPUTED_VALUE"""),48.41)</f>
        <v>48.41</v>
      </c>
      <c r="D85" s="2">
        <f>IFERROR(__xludf.DUMMYFUNCTION("""COMPUTED_VALUE"""),46.26)</f>
        <v>46.26</v>
      </c>
      <c r="E85" s="2">
        <f>IFERROR(__xludf.DUMMYFUNCTION("""COMPUTED_VALUE"""),46.74)</f>
        <v>46.74</v>
      </c>
      <c r="F85" s="2">
        <f>IFERROR(__xludf.DUMMYFUNCTION("""COMPUTED_VALUE"""),1.31020495E8)</f>
        <v>131020495</v>
      </c>
      <c r="G85" s="3">
        <f t="shared" si="1"/>
        <v>0.0008565310493</v>
      </c>
    </row>
    <row r="86">
      <c r="A86" s="1">
        <f>IFERROR(__xludf.DUMMYFUNCTION("""COMPUTED_VALUE"""),42230.66666666667)</f>
        <v>42230.66667</v>
      </c>
      <c r="B86" s="2">
        <f>IFERROR(__xludf.DUMMYFUNCTION("""COMPUTED_VALUE"""),46.95)</f>
        <v>46.95</v>
      </c>
      <c r="C86" s="2">
        <f>IFERROR(__xludf.DUMMYFUNCTION("""COMPUTED_VALUE"""),47.49)</f>
        <v>47.49</v>
      </c>
      <c r="D86" s="2">
        <f>IFERROR(__xludf.DUMMYFUNCTION("""COMPUTED_VALUE"""),45.71)</f>
        <v>45.71</v>
      </c>
      <c r="E86" s="2">
        <f>IFERROR(__xludf.DUMMYFUNCTION("""COMPUTED_VALUE"""),47.0)</f>
        <v>47</v>
      </c>
      <c r="F86" s="2">
        <f>IFERROR(__xludf.DUMMYFUNCTION("""COMPUTED_VALUE"""),1.26616447E8)</f>
        <v>126616447</v>
      </c>
      <c r="G86" s="3">
        <f t="shared" si="1"/>
        <v>0.005562687206</v>
      </c>
    </row>
    <row r="87">
      <c r="A87" s="1">
        <f>IFERROR(__xludf.DUMMYFUNCTION("""COMPUTED_VALUE"""),42237.66666666667)</f>
        <v>42237.66667</v>
      </c>
      <c r="B87" s="2">
        <f>IFERROR(__xludf.DUMMYFUNCTION("""COMPUTED_VALUE"""),46.81)</f>
        <v>46.81</v>
      </c>
      <c r="C87" s="2">
        <f>IFERROR(__xludf.DUMMYFUNCTION("""COMPUTED_VALUE"""),47.45)</f>
        <v>47.45</v>
      </c>
      <c r="D87" s="2">
        <f>IFERROR(__xludf.DUMMYFUNCTION("""COMPUTED_VALUE"""),43.07)</f>
        <v>43.07</v>
      </c>
      <c r="E87" s="2">
        <f>IFERROR(__xludf.DUMMYFUNCTION("""COMPUTED_VALUE"""),43.07)</f>
        <v>43.07</v>
      </c>
      <c r="F87" s="2">
        <f>IFERROR(__xludf.DUMMYFUNCTION("""COMPUTED_VALUE"""),1.82450672E8)</f>
        <v>182450672</v>
      </c>
      <c r="G87" s="3">
        <f t="shared" si="1"/>
        <v>-0.08361702128</v>
      </c>
    </row>
    <row r="88">
      <c r="A88" s="1">
        <f>IFERROR(__xludf.DUMMYFUNCTION("""COMPUTED_VALUE"""),42244.66666666667)</f>
        <v>42244.66667</v>
      </c>
      <c r="B88" s="2">
        <f>IFERROR(__xludf.DUMMYFUNCTION("""COMPUTED_VALUE"""),40.45)</f>
        <v>40.45</v>
      </c>
      <c r="C88" s="2">
        <f>IFERROR(__xludf.DUMMYFUNCTION("""COMPUTED_VALUE"""),44.15)</f>
        <v>44.15</v>
      </c>
      <c r="D88" s="2">
        <f>IFERROR(__xludf.DUMMYFUNCTION("""COMPUTED_VALUE"""),39.72)</f>
        <v>39.72</v>
      </c>
      <c r="E88" s="2">
        <f>IFERROR(__xludf.DUMMYFUNCTION("""COMPUTED_VALUE"""),43.93)</f>
        <v>43.93</v>
      </c>
      <c r="F88" s="2">
        <f>IFERROR(__xludf.DUMMYFUNCTION("""COMPUTED_VALUE"""),3.01968189E8)</f>
        <v>301968189</v>
      </c>
      <c r="G88" s="3">
        <f t="shared" si="1"/>
        <v>0.01996749478</v>
      </c>
    </row>
    <row r="89">
      <c r="A89" s="1">
        <f>IFERROR(__xludf.DUMMYFUNCTION("""COMPUTED_VALUE"""),42251.66666666667)</f>
        <v>42251.66667</v>
      </c>
      <c r="B89" s="2">
        <f>IFERROR(__xludf.DUMMYFUNCTION("""COMPUTED_VALUE"""),43.56)</f>
        <v>43.56</v>
      </c>
      <c r="C89" s="2">
        <f>IFERROR(__xludf.DUMMYFUNCTION("""COMPUTED_VALUE"""),43.98)</f>
        <v>43.98</v>
      </c>
      <c r="D89" s="2">
        <f>IFERROR(__xludf.DUMMYFUNCTION("""COMPUTED_VALUE"""),41.66)</f>
        <v>41.66</v>
      </c>
      <c r="E89" s="2">
        <f>IFERROR(__xludf.DUMMYFUNCTION("""COMPUTED_VALUE"""),42.61)</f>
        <v>42.61</v>
      </c>
      <c r="F89" s="2">
        <f>IFERROR(__xludf.DUMMYFUNCTION("""COMPUTED_VALUE"""),1.87226056E8)</f>
        <v>187226056</v>
      </c>
      <c r="G89" s="3">
        <f t="shared" si="1"/>
        <v>-0.03004780332</v>
      </c>
    </row>
    <row r="90">
      <c r="A90" s="1">
        <f>IFERROR(__xludf.DUMMYFUNCTION("""COMPUTED_VALUE"""),42258.66666666667)</f>
        <v>42258.66667</v>
      </c>
      <c r="B90" s="2">
        <f>IFERROR(__xludf.DUMMYFUNCTION("""COMPUTED_VALUE"""),43.3)</f>
        <v>43.3</v>
      </c>
      <c r="C90" s="2">
        <f>IFERROR(__xludf.DUMMYFUNCTION("""COMPUTED_VALUE"""),44.4)</f>
        <v>44.4</v>
      </c>
      <c r="D90" s="2">
        <f>IFERROR(__xludf.DUMMYFUNCTION("""COMPUTED_VALUE"""),42.75)</f>
        <v>42.75</v>
      </c>
      <c r="E90" s="2">
        <f>IFERROR(__xludf.DUMMYFUNCTION("""COMPUTED_VALUE"""),43.48)</f>
        <v>43.48</v>
      </c>
      <c r="F90" s="2">
        <f>IFERROR(__xludf.DUMMYFUNCTION("""COMPUTED_VALUE"""),1.24438408E8)</f>
        <v>124438408</v>
      </c>
      <c r="G90" s="3">
        <f t="shared" si="1"/>
        <v>0.02041774231</v>
      </c>
    </row>
    <row r="91">
      <c r="A91" s="1">
        <f>IFERROR(__xludf.DUMMYFUNCTION("""COMPUTED_VALUE"""),42265.66666666667)</f>
        <v>42265.66667</v>
      </c>
      <c r="B91" s="2">
        <f>IFERROR(__xludf.DUMMYFUNCTION("""COMPUTED_VALUE"""),43.43)</f>
        <v>43.43</v>
      </c>
      <c r="C91" s="2">
        <f>IFERROR(__xludf.DUMMYFUNCTION("""COMPUTED_VALUE"""),45.0)</f>
        <v>45</v>
      </c>
      <c r="D91" s="2">
        <f>IFERROR(__xludf.DUMMYFUNCTION("""COMPUTED_VALUE"""),42.86)</f>
        <v>42.86</v>
      </c>
      <c r="E91" s="2">
        <f>IFERROR(__xludf.DUMMYFUNCTION("""COMPUTED_VALUE"""),43.48)</f>
        <v>43.48</v>
      </c>
      <c r="F91" s="2">
        <f>IFERROR(__xludf.DUMMYFUNCTION("""COMPUTED_VALUE"""),1.71822261E8)</f>
        <v>171822261</v>
      </c>
      <c r="G91" s="3">
        <f t="shared" si="1"/>
        <v>0</v>
      </c>
    </row>
    <row r="92">
      <c r="A92" s="1">
        <f>IFERROR(__xludf.DUMMYFUNCTION("""COMPUTED_VALUE"""),42272.66666666667)</f>
        <v>42272.66667</v>
      </c>
      <c r="B92" s="2">
        <f>IFERROR(__xludf.DUMMYFUNCTION("""COMPUTED_VALUE"""),43.62)</f>
        <v>43.62</v>
      </c>
      <c r="C92" s="2">
        <f>IFERROR(__xludf.DUMMYFUNCTION("""COMPUTED_VALUE"""),44.73)</f>
        <v>44.73</v>
      </c>
      <c r="D92" s="2">
        <f>IFERROR(__xludf.DUMMYFUNCTION("""COMPUTED_VALUE"""),43.27)</f>
        <v>43.27</v>
      </c>
      <c r="E92" s="2">
        <f>IFERROR(__xludf.DUMMYFUNCTION("""COMPUTED_VALUE"""),43.94)</f>
        <v>43.94</v>
      </c>
      <c r="F92" s="2">
        <f>IFERROR(__xludf.DUMMYFUNCTION("""COMPUTED_VALUE"""),1.28698573E8)</f>
        <v>128698573</v>
      </c>
      <c r="G92" s="3">
        <f t="shared" si="1"/>
        <v>0.01057957682</v>
      </c>
    </row>
    <row r="93">
      <c r="A93" s="1">
        <f>IFERROR(__xludf.DUMMYFUNCTION("""COMPUTED_VALUE"""),42279.66666666667)</f>
        <v>42279.66667</v>
      </c>
      <c r="B93" s="2">
        <f>IFERROR(__xludf.DUMMYFUNCTION("""COMPUTED_VALUE"""),43.83)</f>
        <v>43.83</v>
      </c>
      <c r="C93" s="2">
        <f>IFERROR(__xludf.DUMMYFUNCTION("""COMPUTED_VALUE"""),45.57)</f>
        <v>45.57</v>
      </c>
      <c r="D93" s="2">
        <f>IFERROR(__xludf.DUMMYFUNCTION("""COMPUTED_VALUE"""),43.05)</f>
        <v>43.05</v>
      </c>
      <c r="E93" s="2">
        <f>IFERROR(__xludf.DUMMYFUNCTION("""COMPUTED_VALUE"""),45.57)</f>
        <v>45.57</v>
      </c>
      <c r="F93" s="2">
        <f>IFERROR(__xludf.DUMMYFUNCTION("""COMPUTED_VALUE"""),1.65833116E8)</f>
        <v>165833116</v>
      </c>
      <c r="G93" s="3">
        <f t="shared" si="1"/>
        <v>0.03709604005</v>
      </c>
    </row>
    <row r="94">
      <c r="A94" s="1">
        <f>IFERROR(__xludf.DUMMYFUNCTION("""COMPUTED_VALUE"""),42286.66666666667)</f>
        <v>42286.66667</v>
      </c>
      <c r="B94" s="2">
        <f>IFERROR(__xludf.DUMMYFUNCTION("""COMPUTED_VALUE"""),45.75)</f>
        <v>45.75</v>
      </c>
      <c r="C94" s="2">
        <f>IFERROR(__xludf.DUMMYFUNCTION("""COMPUTED_VALUE"""),47.54)</f>
        <v>47.54</v>
      </c>
      <c r="D94" s="2">
        <f>IFERROR(__xludf.DUMMYFUNCTION("""COMPUTED_VALUE"""),45.7)</f>
        <v>45.7</v>
      </c>
      <c r="E94" s="2">
        <f>IFERROR(__xludf.DUMMYFUNCTION("""COMPUTED_VALUE"""),47.11)</f>
        <v>47.11</v>
      </c>
      <c r="F94" s="2">
        <f>IFERROR(__xludf.DUMMYFUNCTION("""COMPUTED_VALUE"""),1.51964927E8)</f>
        <v>151964927</v>
      </c>
      <c r="G94" s="3">
        <f t="shared" si="1"/>
        <v>0.03379416283</v>
      </c>
    </row>
    <row r="95">
      <c r="A95" s="1">
        <f>IFERROR(__xludf.DUMMYFUNCTION("""COMPUTED_VALUE"""),42293.66666666667)</f>
        <v>42293.66667</v>
      </c>
      <c r="B95" s="2">
        <f>IFERROR(__xludf.DUMMYFUNCTION("""COMPUTED_VALUE"""),46.98)</f>
        <v>46.98</v>
      </c>
      <c r="C95" s="2">
        <f>IFERROR(__xludf.DUMMYFUNCTION("""COMPUTED_VALUE"""),47.54)</f>
        <v>47.54</v>
      </c>
      <c r="D95" s="2">
        <f>IFERROR(__xludf.DUMMYFUNCTION("""COMPUTED_VALUE"""),46.5)</f>
        <v>46.5</v>
      </c>
      <c r="E95" s="2">
        <f>IFERROR(__xludf.DUMMYFUNCTION("""COMPUTED_VALUE"""),47.51)</f>
        <v>47.51</v>
      </c>
      <c r="F95" s="2">
        <f>IFERROR(__xludf.DUMMYFUNCTION("""COMPUTED_VALUE"""),1.18094352E8)</f>
        <v>118094352</v>
      </c>
      <c r="G95" s="3">
        <f t="shared" si="1"/>
        <v>0.008490766292</v>
      </c>
    </row>
    <row r="96">
      <c r="A96" s="1">
        <f>IFERROR(__xludf.DUMMYFUNCTION("""COMPUTED_VALUE"""),42300.66666666667)</f>
        <v>42300.66667</v>
      </c>
      <c r="B96" s="2">
        <f>IFERROR(__xludf.DUMMYFUNCTION("""COMPUTED_VALUE"""),47.42)</f>
        <v>47.42</v>
      </c>
      <c r="C96" s="2">
        <f>IFERROR(__xludf.DUMMYFUNCTION("""COMPUTED_VALUE"""),54.07)</f>
        <v>54.07</v>
      </c>
      <c r="D96" s="2">
        <f>IFERROR(__xludf.DUMMYFUNCTION("""COMPUTED_VALUE"""),47.02)</f>
        <v>47.02</v>
      </c>
      <c r="E96" s="2">
        <f>IFERROR(__xludf.DUMMYFUNCTION("""COMPUTED_VALUE"""),52.87)</f>
        <v>52.87</v>
      </c>
      <c r="F96" s="2">
        <f>IFERROR(__xludf.DUMMYFUNCTION("""COMPUTED_VALUE"""),2.77318659E8)</f>
        <v>277318659</v>
      </c>
      <c r="G96" s="3">
        <f t="shared" si="1"/>
        <v>0.112818354</v>
      </c>
    </row>
    <row r="97">
      <c r="A97" s="1">
        <f>IFERROR(__xludf.DUMMYFUNCTION("""COMPUTED_VALUE"""),42307.66666666667)</f>
        <v>42307.66667</v>
      </c>
      <c r="B97" s="2">
        <f>IFERROR(__xludf.DUMMYFUNCTION("""COMPUTED_VALUE"""),52.53)</f>
        <v>52.53</v>
      </c>
      <c r="C97" s="2">
        <f>IFERROR(__xludf.DUMMYFUNCTION("""COMPUTED_VALUE"""),54.37)</f>
        <v>54.37</v>
      </c>
      <c r="D97" s="2">
        <f>IFERROR(__xludf.DUMMYFUNCTION("""COMPUTED_VALUE"""),52.5)</f>
        <v>52.5</v>
      </c>
      <c r="E97" s="2">
        <f>IFERROR(__xludf.DUMMYFUNCTION("""COMPUTED_VALUE"""),52.64)</f>
        <v>52.64</v>
      </c>
      <c r="F97" s="2">
        <f>IFERROR(__xludf.DUMMYFUNCTION("""COMPUTED_VALUE"""),2.39455823E8)</f>
        <v>239455823</v>
      </c>
      <c r="G97" s="3">
        <f t="shared" si="1"/>
        <v>-0.004350293172</v>
      </c>
    </row>
    <row r="98">
      <c r="A98" s="1">
        <f>IFERROR(__xludf.DUMMYFUNCTION("""COMPUTED_VALUE"""),42314.66666666667)</f>
        <v>42314.66667</v>
      </c>
      <c r="B98" s="2">
        <f>IFERROR(__xludf.DUMMYFUNCTION("""COMPUTED_VALUE"""),52.85)</f>
        <v>52.85</v>
      </c>
      <c r="C98" s="2">
        <f>IFERROR(__xludf.DUMMYFUNCTION("""COMPUTED_VALUE"""),54.98)</f>
        <v>54.98</v>
      </c>
      <c r="D98" s="2">
        <f>IFERROR(__xludf.DUMMYFUNCTION("""COMPUTED_VALUE"""),52.62)</f>
        <v>52.62</v>
      </c>
      <c r="E98" s="2">
        <f>IFERROR(__xludf.DUMMYFUNCTION("""COMPUTED_VALUE"""),54.92)</f>
        <v>54.92</v>
      </c>
      <c r="F98" s="2">
        <f>IFERROR(__xludf.DUMMYFUNCTION("""COMPUTED_VALUE"""),1.68289451E8)</f>
        <v>168289451</v>
      </c>
      <c r="G98" s="3">
        <f t="shared" si="1"/>
        <v>0.04331306991</v>
      </c>
    </row>
    <row r="99">
      <c r="A99" s="1">
        <f>IFERROR(__xludf.DUMMYFUNCTION("""COMPUTED_VALUE"""),42321.66666666667)</f>
        <v>42321.66667</v>
      </c>
      <c r="B99" s="2">
        <f>IFERROR(__xludf.DUMMYFUNCTION("""COMPUTED_VALUE"""),54.55)</f>
        <v>54.55</v>
      </c>
      <c r="C99" s="2">
        <f>IFERROR(__xludf.DUMMYFUNCTION("""COMPUTED_VALUE"""),54.87)</f>
        <v>54.87</v>
      </c>
      <c r="D99" s="2">
        <f>IFERROR(__xludf.DUMMYFUNCTION("""COMPUTED_VALUE"""),52.53)</f>
        <v>52.53</v>
      </c>
      <c r="E99" s="2">
        <f>IFERROR(__xludf.DUMMYFUNCTION("""COMPUTED_VALUE"""),52.84)</f>
        <v>52.84</v>
      </c>
      <c r="F99" s="2">
        <f>IFERROR(__xludf.DUMMYFUNCTION("""COMPUTED_VALUE"""),1.96522294E8)</f>
        <v>196522294</v>
      </c>
      <c r="G99" s="3">
        <f t="shared" si="1"/>
        <v>-0.03787327021</v>
      </c>
    </row>
    <row r="100">
      <c r="A100" s="1">
        <f>IFERROR(__xludf.DUMMYFUNCTION("""COMPUTED_VALUE"""),42328.66666666667)</f>
        <v>42328.66667</v>
      </c>
      <c r="B100" s="2">
        <f>IFERROR(__xludf.DUMMYFUNCTION("""COMPUTED_VALUE"""),53.08)</f>
        <v>53.08</v>
      </c>
      <c r="C100" s="2">
        <f>IFERROR(__xludf.DUMMYFUNCTION("""COMPUTED_VALUE"""),54.66)</f>
        <v>54.66</v>
      </c>
      <c r="D100" s="2">
        <f>IFERROR(__xludf.DUMMYFUNCTION("""COMPUTED_VALUE"""),52.85)</f>
        <v>52.85</v>
      </c>
      <c r="E100" s="2">
        <f>IFERROR(__xludf.DUMMYFUNCTION("""COMPUTED_VALUE"""),54.19)</f>
        <v>54.19</v>
      </c>
      <c r="F100" s="2">
        <f>IFERROR(__xludf.DUMMYFUNCTION("""COMPUTED_VALUE"""),1.58723319E8)</f>
        <v>158723319</v>
      </c>
      <c r="G100" s="3">
        <f t="shared" si="1"/>
        <v>0.02554882665</v>
      </c>
    </row>
    <row r="101">
      <c r="A101" s="1">
        <f>IFERROR(__xludf.DUMMYFUNCTION("""COMPUTED_VALUE"""),42335.66666666667)</f>
        <v>42335.66667</v>
      </c>
      <c r="B101" s="2">
        <f>IFERROR(__xludf.DUMMYFUNCTION("""COMPUTED_VALUE"""),54.25)</f>
        <v>54.25</v>
      </c>
      <c r="C101" s="2">
        <f>IFERROR(__xludf.DUMMYFUNCTION("""COMPUTED_VALUE"""),54.46)</f>
        <v>54.46</v>
      </c>
      <c r="D101" s="2">
        <f>IFERROR(__xludf.DUMMYFUNCTION("""COMPUTED_VALUE"""),53.58)</f>
        <v>53.58</v>
      </c>
      <c r="E101" s="2">
        <f>IFERROR(__xludf.DUMMYFUNCTION("""COMPUTED_VALUE"""),53.93)</f>
        <v>53.93</v>
      </c>
      <c r="F101" s="2">
        <f>IFERROR(__xludf.DUMMYFUNCTION("""COMPUTED_VALUE"""),8.285024E7)</f>
        <v>82850240</v>
      </c>
      <c r="G101" s="3">
        <f t="shared" si="1"/>
        <v>-0.004797933198</v>
      </c>
    </row>
    <row r="102">
      <c r="A102" s="1">
        <f>IFERROR(__xludf.DUMMYFUNCTION("""COMPUTED_VALUE"""),42342.66666666667)</f>
        <v>42342.66667</v>
      </c>
      <c r="B102" s="2">
        <f>IFERROR(__xludf.DUMMYFUNCTION("""COMPUTED_VALUE"""),54.54)</f>
        <v>54.54</v>
      </c>
      <c r="C102" s="2">
        <f>IFERROR(__xludf.DUMMYFUNCTION("""COMPUTED_VALUE"""),56.23)</f>
        <v>56.23</v>
      </c>
      <c r="D102" s="2">
        <f>IFERROR(__xludf.DUMMYFUNCTION("""COMPUTED_VALUE"""),53.93)</f>
        <v>53.93</v>
      </c>
      <c r="E102" s="2">
        <f>IFERROR(__xludf.DUMMYFUNCTION("""COMPUTED_VALUE"""),55.91)</f>
        <v>55.91</v>
      </c>
      <c r="F102" s="2">
        <f>IFERROR(__xludf.DUMMYFUNCTION("""COMPUTED_VALUE"""),2.26060572E8)</f>
        <v>226060572</v>
      </c>
      <c r="G102" s="3">
        <f t="shared" si="1"/>
        <v>0.03671425922</v>
      </c>
    </row>
    <row r="103">
      <c r="A103" s="1">
        <f>IFERROR(__xludf.DUMMYFUNCTION("""COMPUTED_VALUE"""),42349.66666666667)</f>
        <v>42349.66667</v>
      </c>
      <c r="B103" s="2">
        <f>IFERROR(__xludf.DUMMYFUNCTION("""COMPUTED_VALUE"""),55.79)</f>
        <v>55.79</v>
      </c>
      <c r="C103" s="2">
        <f>IFERROR(__xludf.DUMMYFUNCTION("""COMPUTED_VALUE"""),56.1)</f>
        <v>56.1</v>
      </c>
      <c r="D103" s="2">
        <f>IFERROR(__xludf.DUMMYFUNCTION("""COMPUTED_VALUE"""),54.01)</f>
        <v>54.01</v>
      </c>
      <c r="E103" s="2">
        <f>IFERROR(__xludf.DUMMYFUNCTION("""COMPUTED_VALUE"""),54.06)</f>
        <v>54.06</v>
      </c>
      <c r="F103" s="2">
        <f>IFERROR(__xludf.DUMMYFUNCTION("""COMPUTED_VALUE"""),1.71286323E8)</f>
        <v>171286323</v>
      </c>
      <c r="G103" s="3">
        <f t="shared" si="1"/>
        <v>-0.03308889286</v>
      </c>
    </row>
    <row r="104">
      <c r="A104" s="1">
        <f>IFERROR(__xludf.DUMMYFUNCTION("""COMPUTED_VALUE"""),42356.66666666667)</f>
        <v>42356.66667</v>
      </c>
      <c r="B104" s="2">
        <f>IFERROR(__xludf.DUMMYFUNCTION("""COMPUTED_VALUE"""),54.33)</f>
        <v>54.33</v>
      </c>
      <c r="C104" s="2">
        <f>IFERROR(__xludf.DUMMYFUNCTION("""COMPUTED_VALUE"""),56.79)</f>
        <v>56.79</v>
      </c>
      <c r="D104" s="2">
        <f>IFERROR(__xludf.DUMMYFUNCTION("""COMPUTED_VALUE"""),53.68)</f>
        <v>53.68</v>
      </c>
      <c r="E104" s="2">
        <f>IFERROR(__xludf.DUMMYFUNCTION("""COMPUTED_VALUE"""),54.13)</f>
        <v>54.13</v>
      </c>
      <c r="F104" s="2">
        <f>IFERROR(__xludf.DUMMYFUNCTION("""COMPUTED_VALUE"""),2.5031786E8)</f>
        <v>250317860</v>
      </c>
      <c r="G104" s="3">
        <f t="shared" si="1"/>
        <v>0.001294857566</v>
      </c>
    </row>
    <row r="105">
      <c r="A105" s="1">
        <f>IFERROR(__xludf.DUMMYFUNCTION("""COMPUTED_VALUE"""),42362.66666666667)</f>
        <v>42362.66667</v>
      </c>
      <c r="B105" s="2">
        <f>IFERROR(__xludf.DUMMYFUNCTION("""COMPUTED_VALUE"""),54.88)</f>
        <v>54.88</v>
      </c>
      <c r="C105" s="2">
        <f>IFERROR(__xludf.DUMMYFUNCTION("""COMPUTED_VALUE"""),55.96)</f>
        <v>55.96</v>
      </c>
      <c r="D105" s="2">
        <f>IFERROR(__xludf.DUMMYFUNCTION("""COMPUTED_VALUE"""),54.23)</f>
        <v>54.23</v>
      </c>
      <c r="E105" s="2">
        <f>IFERROR(__xludf.DUMMYFUNCTION("""COMPUTED_VALUE"""),55.67)</f>
        <v>55.67</v>
      </c>
      <c r="F105" s="2">
        <f>IFERROR(__xludf.DUMMYFUNCTION("""COMPUTED_VALUE"""),1.024184E8)</f>
        <v>102418400</v>
      </c>
      <c r="G105" s="3">
        <f t="shared" si="1"/>
        <v>0.02845002771</v>
      </c>
    </row>
    <row r="106">
      <c r="A106" s="1">
        <f>IFERROR(__xludf.DUMMYFUNCTION("""COMPUTED_VALUE"""),42369.66666666667)</f>
        <v>42369.66667</v>
      </c>
      <c r="B106" s="2">
        <f>IFERROR(__xludf.DUMMYFUNCTION("""COMPUTED_VALUE"""),55.35)</f>
        <v>55.35</v>
      </c>
      <c r="C106" s="2">
        <f>IFERROR(__xludf.DUMMYFUNCTION("""COMPUTED_VALUE"""),56.85)</f>
        <v>56.85</v>
      </c>
      <c r="D106" s="2">
        <f>IFERROR(__xludf.DUMMYFUNCTION("""COMPUTED_VALUE"""),54.98)</f>
        <v>54.98</v>
      </c>
      <c r="E106" s="2">
        <f>IFERROR(__xludf.DUMMYFUNCTION("""COMPUTED_VALUE"""),55.48)</f>
        <v>55.48</v>
      </c>
      <c r="F106" s="2">
        <f>IFERROR(__xludf.DUMMYFUNCTION("""COMPUTED_VALUE"""),9.9228262E7)</f>
        <v>99228262</v>
      </c>
      <c r="G106" s="3">
        <f t="shared" si="1"/>
        <v>-0.003412969283</v>
      </c>
    </row>
    <row r="107">
      <c r="A107" s="1">
        <f>IFERROR(__xludf.DUMMYFUNCTION("""COMPUTED_VALUE"""),42377.66666666667)</f>
        <v>42377.66667</v>
      </c>
      <c r="B107" s="2">
        <f>IFERROR(__xludf.DUMMYFUNCTION("""COMPUTED_VALUE"""),54.32)</f>
        <v>54.32</v>
      </c>
      <c r="C107" s="2">
        <f>IFERROR(__xludf.DUMMYFUNCTION("""COMPUTED_VALUE"""),55.39)</f>
        <v>55.39</v>
      </c>
      <c r="D107" s="2">
        <f>IFERROR(__xludf.DUMMYFUNCTION("""COMPUTED_VALUE"""),52.07)</f>
        <v>52.07</v>
      </c>
      <c r="E107" s="2">
        <f>IFERROR(__xludf.DUMMYFUNCTION("""COMPUTED_VALUE"""),52.33)</f>
        <v>52.33</v>
      </c>
      <c r="F107" s="2">
        <f>IFERROR(__xludf.DUMMYFUNCTION("""COMPUTED_VALUE"""),2.32695321E8)</f>
        <v>232695321</v>
      </c>
      <c r="G107" s="3">
        <f t="shared" si="1"/>
        <v>-0.05677721702</v>
      </c>
    </row>
    <row r="108">
      <c r="A108" s="1">
        <f>IFERROR(__xludf.DUMMYFUNCTION("""COMPUTED_VALUE"""),42384.66666666667)</f>
        <v>42384.66667</v>
      </c>
      <c r="B108" s="2">
        <f>IFERROR(__xludf.DUMMYFUNCTION("""COMPUTED_VALUE"""),52.51)</f>
        <v>52.51</v>
      </c>
      <c r="C108" s="2">
        <f>IFERROR(__xludf.DUMMYFUNCTION("""COMPUTED_VALUE"""),54.07)</f>
        <v>54.07</v>
      </c>
      <c r="D108" s="2">
        <f>IFERROR(__xludf.DUMMYFUNCTION("""COMPUTED_VALUE"""),50.34)</f>
        <v>50.34</v>
      </c>
      <c r="E108" s="2">
        <f>IFERROR(__xludf.DUMMYFUNCTION("""COMPUTED_VALUE"""),50.99)</f>
        <v>50.99</v>
      </c>
      <c r="F108" s="2">
        <f>IFERROR(__xludf.DUMMYFUNCTION("""COMPUTED_VALUE"""),2.64125481E8)</f>
        <v>264125481</v>
      </c>
      <c r="G108" s="3">
        <f t="shared" si="1"/>
        <v>-0.02560672654</v>
      </c>
    </row>
    <row r="109">
      <c r="A109" s="1">
        <f>IFERROR(__xludf.DUMMYFUNCTION("""COMPUTED_VALUE"""),42391.66666666667)</f>
        <v>42391.66667</v>
      </c>
      <c r="B109" s="2">
        <f>IFERROR(__xludf.DUMMYFUNCTION("""COMPUTED_VALUE"""),51.48)</f>
        <v>51.48</v>
      </c>
      <c r="C109" s="2">
        <f>IFERROR(__xludf.DUMMYFUNCTION("""COMPUTED_VALUE"""),52.33)</f>
        <v>52.33</v>
      </c>
      <c r="D109" s="2">
        <f>IFERROR(__xludf.DUMMYFUNCTION("""COMPUTED_VALUE"""),49.1)</f>
        <v>49.1</v>
      </c>
      <c r="E109" s="2">
        <f>IFERROR(__xludf.DUMMYFUNCTION("""COMPUTED_VALUE"""),52.29)</f>
        <v>52.29</v>
      </c>
      <c r="F109" s="2">
        <f>IFERROR(__xludf.DUMMYFUNCTION("""COMPUTED_VALUE"""),1.84584477E8)</f>
        <v>184584477</v>
      </c>
      <c r="G109" s="3">
        <f t="shared" si="1"/>
        <v>0.02549519514</v>
      </c>
    </row>
    <row r="110">
      <c r="A110" s="1">
        <f>IFERROR(__xludf.DUMMYFUNCTION("""COMPUTED_VALUE"""),42398.66666666667)</f>
        <v>42398.66667</v>
      </c>
      <c r="B110" s="2">
        <f>IFERROR(__xludf.DUMMYFUNCTION("""COMPUTED_VALUE"""),51.94)</f>
        <v>51.94</v>
      </c>
      <c r="C110" s="2">
        <f>IFERROR(__xludf.DUMMYFUNCTION("""COMPUTED_VALUE"""),55.09)</f>
        <v>55.09</v>
      </c>
      <c r="D110" s="2">
        <f>IFERROR(__xludf.DUMMYFUNCTION("""COMPUTED_VALUE"""),51.02)</f>
        <v>51.02</v>
      </c>
      <c r="E110" s="2">
        <f>IFERROR(__xludf.DUMMYFUNCTION("""COMPUTED_VALUE"""),55.09)</f>
        <v>55.09</v>
      </c>
      <c r="F110" s="2">
        <f>IFERROR(__xludf.DUMMYFUNCTION("""COMPUTED_VALUE"""),2.46509206E8)</f>
        <v>246509206</v>
      </c>
      <c r="G110" s="3">
        <f t="shared" si="1"/>
        <v>0.05354752343</v>
      </c>
    </row>
    <row r="111">
      <c r="A111" s="1">
        <f>IFERROR(__xludf.DUMMYFUNCTION("""COMPUTED_VALUE"""),42405.66666666667)</f>
        <v>42405.66667</v>
      </c>
      <c r="B111" s="2">
        <f>IFERROR(__xludf.DUMMYFUNCTION("""COMPUTED_VALUE"""),54.88)</f>
        <v>54.88</v>
      </c>
      <c r="C111" s="2">
        <f>IFERROR(__xludf.DUMMYFUNCTION("""COMPUTED_VALUE"""),55.09)</f>
        <v>55.09</v>
      </c>
      <c r="D111" s="2">
        <f>IFERROR(__xludf.DUMMYFUNCTION("""COMPUTED_VALUE"""),49.56)</f>
        <v>49.56</v>
      </c>
      <c r="E111" s="2">
        <f>IFERROR(__xludf.DUMMYFUNCTION("""COMPUTED_VALUE"""),50.16)</f>
        <v>50.16</v>
      </c>
      <c r="F111" s="2">
        <f>IFERROR(__xludf.DUMMYFUNCTION("""COMPUTED_VALUE"""),2.67078226E8)</f>
        <v>267078226</v>
      </c>
      <c r="G111" s="3">
        <f t="shared" si="1"/>
        <v>-0.08948992558</v>
      </c>
    </row>
    <row r="112">
      <c r="A112" s="1">
        <f>IFERROR(__xludf.DUMMYFUNCTION("""COMPUTED_VALUE"""),42412.66666666667)</f>
        <v>42412.66667</v>
      </c>
      <c r="B112" s="2">
        <f>IFERROR(__xludf.DUMMYFUNCTION("""COMPUTED_VALUE"""),49.55)</f>
        <v>49.55</v>
      </c>
      <c r="C112" s="2">
        <f>IFERROR(__xludf.DUMMYFUNCTION("""COMPUTED_VALUE"""),50.68)</f>
        <v>50.68</v>
      </c>
      <c r="D112" s="2">
        <f>IFERROR(__xludf.DUMMYFUNCTION("""COMPUTED_VALUE"""),48.19)</f>
        <v>48.19</v>
      </c>
      <c r="E112" s="2">
        <f>IFERROR(__xludf.DUMMYFUNCTION("""COMPUTED_VALUE"""),50.5)</f>
        <v>50.5</v>
      </c>
      <c r="F112" s="2">
        <f>IFERROR(__xludf.DUMMYFUNCTION("""COMPUTED_VALUE"""),2.2738982E8)</f>
        <v>227389820</v>
      </c>
      <c r="G112" s="3">
        <f t="shared" si="1"/>
        <v>0.00677830941</v>
      </c>
    </row>
    <row r="113">
      <c r="A113" s="1">
        <f>IFERROR(__xludf.DUMMYFUNCTION("""COMPUTED_VALUE"""),42419.66666666667)</f>
        <v>42419.66667</v>
      </c>
      <c r="B113" s="2">
        <f>IFERROR(__xludf.DUMMYFUNCTION("""COMPUTED_VALUE"""),50.9)</f>
        <v>50.9</v>
      </c>
      <c r="C113" s="2">
        <f>IFERROR(__xludf.DUMMYFUNCTION("""COMPUTED_VALUE"""),52.95)</f>
        <v>52.95</v>
      </c>
      <c r="D113" s="2">
        <f>IFERROR(__xludf.DUMMYFUNCTION("""COMPUTED_VALUE"""),50.13)</f>
        <v>50.13</v>
      </c>
      <c r="E113" s="2">
        <f>IFERROR(__xludf.DUMMYFUNCTION("""COMPUTED_VALUE"""),51.82)</f>
        <v>51.82</v>
      </c>
      <c r="F113" s="2">
        <f>IFERROR(__xludf.DUMMYFUNCTION("""COMPUTED_VALUE"""),1.38815284E8)</f>
        <v>138815284</v>
      </c>
      <c r="G113" s="3">
        <f t="shared" si="1"/>
        <v>0.02613861386</v>
      </c>
    </row>
    <row r="114">
      <c r="A114" s="1">
        <f>IFERROR(__xludf.DUMMYFUNCTION("""COMPUTED_VALUE"""),42426.66666666667)</f>
        <v>42426.66667</v>
      </c>
      <c r="B114" s="2">
        <f>IFERROR(__xludf.DUMMYFUNCTION("""COMPUTED_VALUE"""),52.28)</f>
        <v>52.28</v>
      </c>
      <c r="C114" s="2">
        <f>IFERROR(__xludf.DUMMYFUNCTION("""COMPUTED_VALUE"""),53.0)</f>
        <v>53</v>
      </c>
      <c r="D114" s="2">
        <f>IFERROR(__xludf.DUMMYFUNCTION("""COMPUTED_VALUE"""),50.2)</f>
        <v>50.2</v>
      </c>
      <c r="E114" s="2">
        <f>IFERROR(__xludf.DUMMYFUNCTION("""COMPUTED_VALUE"""),51.3)</f>
        <v>51.3</v>
      </c>
      <c r="F114" s="2">
        <f>IFERROR(__xludf.DUMMYFUNCTION("""COMPUTED_VALUE"""),1.49833414E8)</f>
        <v>149833414</v>
      </c>
      <c r="G114" s="3">
        <f t="shared" si="1"/>
        <v>-0.01003473562</v>
      </c>
    </row>
    <row r="115">
      <c r="A115" s="1">
        <f>IFERROR(__xludf.DUMMYFUNCTION("""COMPUTED_VALUE"""),42433.66666666667)</f>
        <v>42433.66667</v>
      </c>
      <c r="B115" s="2">
        <f>IFERROR(__xludf.DUMMYFUNCTION("""COMPUTED_VALUE"""),51.35)</f>
        <v>51.35</v>
      </c>
      <c r="C115" s="2">
        <f>IFERROR(__xludf.DUMMYFUNCTION("""COMPUTED_VALUE"""),52.97)</f>
        <v>52.97</v>
      </c>
      <c r="D115" s="2">
        <f>IFERROR(__xludf.DUMMYFUNCTION("""COMPUTED_VALUE"""),50.66)</f>
        <v>50.66</v>
      </c>
      <c r="E115" s="2">
        <f>IFERROR(__xludf.DUMMYFUNCTION("""COMPUTED_VALUE"""),52.03)</f>
        <v>52.03</v>
      </c>
      <c r="F115" s="2">
        <f>IFERROR(__xludf.DUMMYFUNCTION("""COMPUTED_VALUE"""),1.51430418E8)</f>
        <v>151430418</v>
      </c>
      <c r="G115" s="3">
        <f t="shared" si="1"/>
        <v>0.01423001949</v>
      </c>
    </row>
    <row r="116">
      <c r="A116" s="1">
        <f>IFERROR(__xludf.DUMMYFUNCTION("""COMPUTED_VALUE"""),42440.66666666667)</f>
        <v>42440.66667</v>
      </c>
      <c r="B116" s="2">
        <f>IFERROR(__xludf.DUMMYFUNCTION("""COMPUTED_VALUE"""),51.56)</f>
        <v>51.56</v>
      </c>
      <c r="C116" s="2">
        <f>IFERROR(__xludf.DUMMYFUNCTION("""COMPUTED_VALUE"""),53.07)</f>
        <v>53.07</v>
      </c>
      <c r="D116" s="2">
        <f>IFERROR(__xludf.DUMMYFUNCTION("""COMPUTED_VALUE"""),50.58)</f>
        <v>50.58</v>
      </c>
      <c r="E116" s="2">
        <f>IFERROR(__xludf.DUMMYFUNCTION("""COMPUTED_VALUE"""),53.07)</f>
        <v>53.07</v>
      </c>
      <c r="F116" s="2">
        <f>IFERROR(__xludf.DUMMYFUNCTION("""COMPUTED_VALUE"""),1.71179004E8)</f>
        <v>171179004</v>
      </c>
      <c r="G116" s="3">
        <f t="shared" si="1"/>
        <v>0.01998846819</v>
      </c>
    </row>
    <row r="117">
      <c r="A117" s="1">
        <f>IFERROR(__xludf.DUMMYFUNCTION("""COMPUTED_VALUE"""),42447.66666666667)</f>
        <v>42447.66667</v>
      </c>
      <c r="B117" s="2">
        <f>IFERROR(__xludf.DUMMYFUNCTION("""COMPUTED_VALUE"""),52.71)</f>
        <v>52.71</v>
      </c>
      <c r="C117" s="2">
        <f>IFERROR(__xludf.DUMMYFUNCTION("""COMPUTED_VALUE"""),55.0)</f>
        <v>55</v>
      </c>
      <c r="D117" s="2">
        <f>IFERROR(__xludf.DUMMYFUNCTION("""COMPUTED_VALUE"""),52.63)</f>
        <v>52.63</v>
      </c>
      <c r="E117" s="2">
        <f>IFERROR(__xludf.DUMMYFUNCTION("""COMPUTED_VALUE"""),53.49)</f>
        <v>53.49</v>
      </c>
      <c r="F117" s="2">
        <f>IFERROR(__xludf.DUMMYFUNCTION("""COMPUTED_VALUE"""),1.6504541E8)</f>
        <v>165045410</v>
      </c>
      <c r="G117" s="3">
        <f t="shared" si="1"/>
        <v>0.007914075749</v>
      </c>
    </row>
    <row r="118">
      <c r="A118" s="1">
        <f>IFERROR(__xludf.DUMMYFUNCTION("""COMPUTED_VALUE"""),42453.66666666667)</f>
        <v>42453.66667</v>
      </c>
      <c r="B118" s="2">
        <f>IFERROR(__xludf.DUMMYFUNCTION("""COMPUTED_VALUE"""),53.25)</f>
        <v>53.25</v>
      </c>
      <c r="C118" s="2">
        <f>IFERROR(__xludf.DUMMYFUNCTION("""COMPUTED_VALUE"""),54.33)</f>
        <v>54.33</v>
      </c>
      <c r="D118" s="2">
        <f>IFERROR(__xludf.DUMMYFUNCTION("""COMPUTED_VALUE"""),52.93)</f>
        <v>52.93</v>
      </c>
      <c r="E118" s="2">
        <f>IFERROR(__xludf.DUMMYFUNCTION("""COMPUTED_VALUE"""),54.21)</f>
        <v>54.21</v>
      </c>
      <c r="F118" s="2">
        <f>IFERROR(__xludf.DUMMYFUNCTION("""COMPUTED_VALUE"""),8.7128846E7)</f>
        <v>87128846</v>
      </c>
      <c r="G118" s="3">
        <f t="shared" si="1"/>
        <v>0.0134604599</v>
      </c>
    </row>
    <row r="119">
      <c r="A119" s="1">
        <f>IFERROR(__xludf.DUMMYFUNCTION("""COMPUTED_VALUE"""),42461.66666666667)</f>
        <v>42461.66667</v>
      </c>
      <c r="B119" s="2">
        <f>IFERROR(__xludf.DUMMYFUNCTION("""COMPUTED_VALUE"""),54.21)</f>
        <v>54.21</v>
      </c>
      <c r="C119" s="2">
        <f>IFERROR(__xludf.DUMMYFUNCTION("""COMPUTED_VALUE"""),55.64)</f>
        <v>55.64</v>
      </c>
      <c r="D119" s="2">
        <f>IFERROR(__xludf.DUMMYFUNCTION("""COMPUTED_VALUE"""),53.33)</f>
        <v>53.33</v>
      </c>
      <c r="E119" s="2">
        <f>IFERROR(__xludf.DUMMYFUNCTION("""COMPUTED_VALUE"""),55.57)</f>
        <v>55.57</v>
      </c>
      <c r="F119" s="2">
        <f>IFERROR(__xludf.DUMMYFUNCTION("""COMPUTED_VALUE"""),1.14717327E8)</f>
        <v>114717327</v>
      </c>
      <c r="G119" s="3">
        <f t="shared" si="1"/>
        <v>0.02508762221</v>
      </c>
    </row>
    <row r="120">
      <c r="A120" s="1">
        <f>IFERROR(__xludf.DUMMYFUNCTION("""COMPUTED_VALUE"""),42468.66666666667)</f>
        <v>42468.66667</v>
      </c>
      <c r="B120" s="2">
        <f>IFERROR(__xludf.DUMMYFUNCTION("""COMPUTED_VALUE"""),55.43)</f>
        <v>55.43</v>
      </c>
      <c r="C120" s="2">
        <f>IFERROR(__xludf.DUMMYFUNCTION("""COMPUTED_VALUE"""),55.66)</f>
        <v>55.66</v>
      </c>
      <c r="D120" s="2">
        <f>IFERROR(__xludf.DUMMYFUNCTION("""COMPUTED_VALUE"""),54.21)</f>
        <v>54.21</v>
      </c>
      <c r="E120" s="2">
        <f>IFERROR(__xludf.DUMMYFUNCTION("""COMPUTED_VALUE"""),54.42)</f>
        <v>54.42</v>
      </c>
      <c r="F120" s="2">
        <f>IFERROR(__xludf.DUMMYFUNCTION("""COMPUTED_VALUE"""),1.00782062E8)</f>
        <v>100782062</v>
      </c>
      <c r="G120" s="3">
        <f t="shared" si="1"/>
        <v>-0.0206946194</v>
      </c>
    </row>
    <row r="121">
      <c r="A121" s="1">
        <f>IFERROR(__xludf.DUMMYFUNCTION("""COMPUTED_VALUE"""),42475.66666666667)</f>
        <v>42475.66667</v>
      </c>
      <c r="B121" s="2">
        <f>IFERROR(__xludf.DUMMYFUNCTION("""COMPUTED_VALUE"""),54.49)</f>
        <v>54.49</v>
      </c>
      <c r="C121" s="2">
        <f>IFERROR(__xludf.DUMMYFUNCTION("""COMPUTED_VALUE"""),55.92)</f>
        <v>55.92</v>
      </c>
      <c r="D121" s="2">
        <f>IFERROR(__xludf.DUMMYFUNCTION("""COMPUTED_VALUE"""),53.76)</f>
        <v>53.76</v>
      </c>
      <c r="E121" s="2">
        <f>IFERROR(__xludf.DUMMYFUNCTION("""COMPUTED_VALUE"""),55.65)</f>
        <v>55.65</v>
      </c>
      <c r="F121" s="2">
        <f>IFERROR(__xludf.DUMMYFUNCTION("""COMPUTED_VALUE"""),1.16847337E8)</f>
        <v>116847337</v>
      </c>
      <c r="G121" s="3">
        <f t="shared" si="1"/>
        <v>0.02260198456</v>
      </c>
    </row>
    <row r="122">
      <c r="A122" s="1">
        <f>IFERROR(__xludf.DUMMYFUNCTION("""COMPUTED_VALUE"""),42482.66666666667)</f>
        <v>42482.66667</v>
      </c>
      <c r="B122" s="2">
        <f>IFERROR(__xludf.DUMMYFUNCTION("""COMPUTED_VALUE"""),55.49)</f>
        <v>55.49</v>
      </c>
      <c r="C122" s="2">
        <f>IFERROR(__xludf.DUMMYFUNCTION("""COMPUTED_VALUE"""),56.77)</f>
        <v>56.77</v>
      </c>
      <c r="D122" s="2">
        <f>IFERROR(__xludf.DUMMYFUNCTION("""COMPUTED_VALUE"""),50.77)</f>
        <v>50.77</v>
      </c>
      <c r="E122" s="2">
        <f>IFERROR(__xludf.DUMMYFUNCTION("""COMPUTED_VALUE"""),51.78)</f>
        <v>51.78</v>
      </c>
      <c r="F122" s="2">
        <f>IFERROR(__xludf.DUMMYFUNCTION("""COMPUTED_VALUE"""),2.55321678E8)</f>
        <v>255321678</v>
      </c>
      <c r="G122" s="3">
        <f t="shared" si="1"/>
        <v>-0.06954177898</v>
      </c>
    </row>
    <row r="123">
      <c r="A123" s="1">
        <f>IFERROR(__xludf.DUMMYFUNCTION("""COMPUTED_VALUE"""),42489.66666666667)</f>
        <v>42489.66667</v>
      </c>
      <c r="B123" s="2">
        <f>IFERROR(__xludf.DUMMYFUNCTION("""COMPUTED_VALUE"""),51.78)</f>
        <v>51.78</v>
      </c>
      <c r="C123" s="2">
        <f>IFERROR(__xludf.DUMMYFUNCTION("""COMPUTED_VALUE"""),52.35)</f>
        <v>52.35</v>
      </c>
      <c r="D123" s="2">
        <f>IFERROR(__xludf.DUMMYFUNCTION("""COMPUTED_VALUE"""),49.35)</f>
        <v>49.35</v>
      </c>
      <c r="E123" s="2">
        <f>IFERROR(__xludf.DUMMYFUNCTION("""COMPUTED_VALUE"""),49.87)</f>
        <v>49.87</v>
      </c>
      <c r="F123" s="2">
        <f>IFERROR(__xludf.DUMMYFUNCTION("""COMPUTED_VALUE"""),2.0167537E8)</f>
        <v>201675370</v>
      </c>
      <c r="G123" s="3">
        <f t="shared" si="1"/>
        <v>-0.03688682889</v>
      </c>
    </row>
    <row r="124">
      <c r="A124" s="1">
        <f>IFERROR(__xludf.DUMMYFUNCTION("""COMPUTED_VALUE"""),42496.66666666667)</f>
        <v>42496.66667</v>
      </c>
      <c r="B124" s="2">
        <f>IFERROR(__xludf.DUMMYFUNCTION("""COMPUTED_VALUE"""),50.0)</f>
        <v>50</v>
      </c>
      <c r="C124" s="2">
        <f>IFERROR(__xludf.DUMMYFUNCTION("""COMPUTED_VALUE"""),50.75)</f>
        <v>50.75</v>
      </c>
      <c r="D124" s="2">
        <f>IFERROR(__xludf.DUMMYFUNCTION("""COMPUTED_VALUE"""),49.46)</f>
        <v>49.46</v>
      </c>
      <c r="E124" s="2">
        <f>IFERROR(__xludf.DUMMYFUNCTION("""COMPUTED_VALUE"""),50.39)</f>
        <v>50.39</v>
      </c>
      <c r="F124" s="2">
        <f>IFERROR(__xludf.DUMMYFUNCTION("""COMPUTED_VALUE"""),1.34010358E8)</f>
        <v>134010358</v>
      </c>
      <c r="G124" s="3">
        <f t="shared" si="1"/>
        <v>0.01042711049</v>
      </c>
    </row>
    <row r="125">
      <c r="A125" s="1">
        <f>IFERROR(__xludf.DUMMYFUNCTION("""COMPUTED_VALUE"""),42503.66666666667)</f>
        <v>42503.66667</v>
      </c>
      <c r="B125" s="2">
        <f>IFERROR(__xludf.DUMMYFUNCTION("""COMPUTED_VALUE"""),50.49)</f>
        <v>50.49</v>
      </c>
      <c r="C125" s="2">
        <f>IFERROR(__xludf.DUMMYFUNCTION("""COMPUTED_VALUE"""),51.9)</f>
        <v>51.9</v>
      </c>
      <c r="D125" s="2">
        <f>IFERROR(__xludf.DUMMYFUNCTION("""COMPUTED_VALUE"""),50.0)</f>
        <v>50</v>
      </c>
      <c r="E125" s="2">
        <f>IFERROR(__xludf.DUMMYFUNCTION("""COMPUTED_VALUE"""),51.08)</f>
        <v>51.08</v>
      </c>
      <c r="F125" s="2">
        <f>IFERROR(__xludf.DUMMYFUNCTION("""COMPUTED_VALUE"""),1.11576827E8)</f>
        <v>111576827</v>
      </c>
      <c r="G125" s="3">
        <f t="shared" si="1"/>
        <v>0.01369319309</v>
      </c>
    </row>
    <row r="126">
      <c r="A126" s="1">
        <f>IFERROR(__xludf.DUMMYFUNCTION("""COMPUTED_VALUE"""),42510.66666666667)</f>
        <v>42510.66667</v>
      </c>
      <c r="B126" s="2">
        <f>IFERROR(__xludf.DUMMYFUNCTION("""COMPUTED_VALUE"""),50.8)</f>
        <v>50.8</v>
      </c>
      <c r="C126" s="2">
        <f>IFERROR(__xludf.DUMMYFUNCTION("""COMPUTED_VALUE"""),51.96)</f>
        <v>51.96</v>
      </c>
      <c r="D126" s="2">
        <f>IFERROR(__xludf.DUMMYFUNCTION("""COMPUTED_VALUE"""),49.82)</f>
        <v>49.82</v>
      </c>
      <c r="E126" s="2">
        <f>IFERROR(__xludf.DUMMYFUNCTION("""COMPUTED_VALUE"""),50.62)</f>
        <v>50.62</v>
      </c>
      <c r="F126" s="2">
        <f>IFERROR(__xludf.DUMMYFUNCTION("""COMPUTED_VALUE"""),1.2049119E8)</f>
        <v>120491190</v>
      </c>
      <c r="G126" s="3">
        <f t="shared" si="1"/>
        <v>-0.009005481597</v>
      </c>
    </row>
    <row r="127">
      <c r="A127" s="1">
        <f>IFERROR(__xludf.DUMMYFUNCTION("""COMPUTED_VALUE"""),42517.66666666667)</f>
        <v>42517.66667</v>
      </c>
      <c r="B127" s="2">
        <f>IFERROR(__xludf.DUMMYFUNCTION("""COMPUTED_VALUE"""),50.6)</f>
        <v>50.6</v>
      </c>
      <c r="C127" s="2">
        <f>IFERROR(__xludf.DUMMYFUNCTION("""COMPUTED_VALUE"""),52.49)</f>
        <v>52.49</v>
      </c>
      <c r="D127" s="2">
        <f>IFERROR(__xludf.DUMMYFUNCTION("""COMPUTED_VALUE"""),49.98)</f>
        <v>49.98</v>
      </c>
      <c r="E127" s="2">
        <f>IFERROR(__xludf.DUMMYFUNCTION("""COMPUTED_VALUE"""),52.32)</f>
        <v>52.32</v>
      </c>
      <c r="F127" s="2">
        <f>IFERROR(__xludf.DUMMYFUNCTION("""COMPUTED_VALUE"""),1.27137891E8)</f>
        <v>127137891</v>
      </c>
      <c r="G127" s="3">
        <f t="shared" si="1"/>
        <v>0.03358356381</v>
      </c>
    </row>
    <row r="128">
      <c r="A128" s="1">
        <f>IFERROR(__xludf.DUMMYFUNCTION("""COMPUTED_VALUE"""),42524.66666666667)</f>
        <v>42524.66667</v>
      </c>
      <c r="B128" s="2">
        <f>IFERROR(__xludf.DUMMYFUNCTION("""COMPUTED_VALUE"""),52.26)</f>
        <v>52.26</v>
      </c>
      <c r="C128" s="2">
        <f>IFERROR(__xludf.DUMMYFUNCTION("""COMPUTED_VALUE"""),53.0)</f>
        <v>53</v>
      </c>
      <c r="D128" s="2">
        <f>IFERROR(__xludf.DUMMYFUNCTION("""COMPUTED_VALUE"""),51.6)</f>
        <v>51.6</v>
      </c>
      <c r="E128" s="2">
        <f>IFERROR(__xludf.DUMMYFUNCTION("""COMPUTED_VALUE"""),51.79)</f>
        <v>51.79</v>
      </c>
      <c r="F128" s="2">
        <f>IFERROR(__xludf.DUMMYFUNCTION("""COMPUTED_VALUE"""),1.09186979E8)</f>
        <v>109186979</v>
      </c>
      <c r="G128" s="3">
        <f t="shared" si="1"/>
        <v>-0.01012996942</v>
      </c>
    </row>
    <row r="129">
      <c r="A129" s="1">
        <f>IFERROR(__xludf.DUMMYFUNCTION("""COMPUTED_VALUE"""),42531.66666666667)</f>
        <v>42531.66667</v>
      </c>
      <c r="B129" s="2">
        <f>IFERROR(__xludf.DUMMYFUNCTION("""COMPUTED_VALUE"""),51.99)</f>
        <v>51.99</v>
      </c>
      <c r="C129" s="2">
        <f>IFERROR(__xludf.DUMMYFUNCTION("""COMPUTED_VALUE"""),52.73)</f>
        <v>52.73</v>
      </c>
      <c r="D129" s="2">
        <f>IFERROR(__xludf.DUMMYFUNCTION("""COMPUTED_VALUE"""),51.04)</f>
        <v>51.04</v>
      </c>
      <c r="E129" s="2">
        <f>IFERROR(__xludf.DUMMYFUNCTION("""COMPUTED_VALUE"""),51.48)</f>
        <v>51.48</v>
      </c>
      <c r="F129" s="2">
        <f>IFERROR(__xludf.DUMMYFUNCTION("""COMPUTED_VALUE"""),1.06398294E8)</f>
        <v>106398294</v>
      </c>
      <c r="G129" s="3">
        <f t="shared" si="1"/>
        <v>-0.005985711527</v>
      </c>
    </row>
    <row r="130">
      <c r="A130" s="1">
        <f>IFERROR(__xludf.DUMMYFUNCTION("""COMPUTED_VALUE"""),42538.66666666667)</f>
        <v>42538.66667</v>
      </c>
      <c r="B130" s="2">
        <f>IFERROR(__xludf.DUMMYFUNCTION("""COMPUTED_VALUE"""),49.58)</f>
        <v>49.58</v>
      </c>
      <c r="C130" s="2">
        <f>IFERROR(__xludf.DUMMYFUNCTION("""COMPUTED_VALUE"""),50.72)</f>
        <v>50.72</v>
      </c>
      <c r="D130" s="2">
        <f>IFERROR(__xludf.DUMMYFUNCTION("""COMPUTED_VALUE"""),49.06)</f>
        <v>49.06</v>
      </c>
      <c r="E130" s="2">
        <f>IFERROR(__xludf.DUMMYFUNCTION("""COMPUTED_VALUE"""),50.13)</f>
        <v>50.13</v>
      </c>
      <c r="F130" s="2">
        <f>IFERROR(__xludf.DUMMYFUNCTION("""COMPUTED_VALUE"""),2.3645171E8)</f>
        <v>236451710</v>
      </c>
      <c r="G130" s="3">
        <f t="shared" si="1"/>
        <v>-0.02622377622</v>
      </c>
    </row>
    <row r="131">
      <c r="A131" s="1">
        <f>IFERROR(__xludf.DUMMYFUNCTION("""COMPUTED_VALUE"""),42545.66666666667)</f>
        <v>42545.66667</v>
      </c>
      <c r="B131" s="2">
        <f>IFERROR(__xludf.DUMMYFUNCTION("""COMPUTED_VALUE"""),50.64)</f>
        <v>50.64</v>
      </c>
      <c r="C131" s="2">
        <f>IFERROR(__xludf.DUMMYFUNCTION("""COMPUTED_VALUE"""),52.06)</f>
        <v>52.06</v>
      </c>
      <c r="D131" s="2">
        <f>IFERROR(__xludf.DUMMYFUNCTION("""COMPUTED_VALUE"""),49.52)</f>
        <v>49.52</v>
      </c>
      <c r="E131" s="2">
        <f>IFERROR(__xludf.DUMMYFUNCTION("""COMPUTED_VALUE"""),49.83)</f>
        <v>49.83</v>
      </c>
      <c r="F131" s="2">
        <f>IFERROR(__xludf.DUMMYFUNCTION("""COMPUTED_VALUE"""),2.61054437E8)</f>
        <v>261054437</v>
      </c>
      <c r="G131" s="3">
        <f t="shared" si="1"/>
        <v>-0.005984440455</v>
      </c>
    </row>
    <row r="132">
      <c r="A132" s="1">
        <f>IFERROR(__xludf.DUMMYFUNCTION("""COMPUTED_VALUE"""),42552.66666666667)</f>
        <v>42552.66667</v>
      </c>
      <c r="B132" s="2">
        <f>IFERROR(__xludf.DUMMYFUNCTION("""COMPUTED_VALUE"""),49.1)</f>
        <v>49.1</v>
      </c>
      <c r="C132" s="2">
        <f>IFERROR(__xludf.DUMMYFUNCTION("""COMPUTED_VALUE"""),51.72)</f>
        <v>51.72</v>
      </c>
      <c r="D132" s="2">
        <f>IFERROR(__xludf.DUMMYFUNCTION("""COMPUTED_VALUE"""),48.04)</f>
        <v>48.04</v>
      </c>
      <c r="E132" s="2">
        <f>IFERROR(__xludf.DUMMYFUNCTION("""COMPUTED_VALUE"""),51.16)</f>
        <v>51.16</v>
      </c>
      <c r="F132" s="2">
        <f>IFERROR(__xludf.DUMMYFUNCTION("""COMPUTED_VALUE"""),1.69949551E8)</f>
        <v>169949551</v>
      </c>
      <c r="G132" s="3">
        <f t="shared" si="1"/>
        <v>0.02669074855</v>
      </c>
    </row>
    <row r="133">
      <c r="A133" s="1">
        <f>IFERROR(__xludf.DUMMYFUNCTION("""COMPUTED_VALUE"""),42559.66666666667)</f>
        <v>42559.66667</v>
      </c>
      <c r="B133" s="2">
        <f>IFERROR(__xludf.DUMMYFUNCTION("""COMPUTED_VALUE"""),50.83)</f>
        <v>50.83</v>
      </c>
      <c r="C133" s="2">
        <f>IFERROR(__xludf.DUMMYFUNCTION("""COMPUTED_VALUE"""),52.36)</f>
        <v>52.36</v>
      </c>
      <c r="D133" s="2">
        <f>IFERROR(__xludf.DUMMYFUNCTION("""COMPUTED_VALUE"""),50.39)</f>
        <v>50.39</v>
      </c>
      <c r="E133" s="2">
        <f>IFERROR(__xludf.DUMMYFUNCTION("""COMPUTED_VALUE"""),52.3)</f>
        <v>52.3</v>
      </c>
      <c r="F133" s="2">
        <f>IFERROR(__xludf.DUMMYFUNCTION("""COMPUTED_VALUE"""),1.00950032E8)</f>
        <v>100950032</v>
      </c>
      <c r="G133" s="3">
        <f t="shared" si="1"/>
        <v>0.02228303362</v>
      </c>
    </row>
    <row r="134">
      <c r="A134" s="1">
        <f>IFERROR(__xludf.DUMMYFUNCTION("""COMPUTED_VALUE"""),42566.66666666667)</f>
        <v>42566.66667</v>
      </c>
      <c r="B134" s="2">
        <f>IFERROR(__xludf.DUMMYFUNCTION("""COMPUTED_VALUE"""),52.5)</f>
        <v>52.5</v>
      </c>
      <c r="C134" s="2">
        <f>IFERROR(__xludf.DUMMYFUNCTION("""COMPUTED_VALUE"""),54.0)</f>
        <v>54</v>
      </c>
      <c r="D134" s="2">
        <f>IFERROR(__xludf.DUMMYFUNCTION("""COMPUTED_VALUE"""),52.47)</f>
        <v>52.47</v>
      </c>
      <c r="E134" s="2">
        <f>IFERROR(__xludf.DUMMYFUNCTION("""COMPUTED_VALUE"""),53.7)</f>
        <v>53.7</v>
      </c>
      <c r="F134" s="2">
        <f>IFERROR(__xludf.DUMMYFUNCTION("""COMPUTED_VALUE"""),1.31513504E8)</f>
        <v>131513504</v>
      </c>
      <c r="G134" s="3">
        <f t="shared" si="1"/>
        <v>0.02676864245</v>
      </c>
    </row>
    <row r="135">
      <c r="A135" s="1">
        <f>IFERROR(__xludf.DUMMYFUNCTION("""COMPUTED_VALUE"""),42573.66666666667)</f>
        <v>42573.66667</v>
      </c>
      <c r="B135" s="2">
        <f>IFERROR(__xludf.DUMMYFUNCTION("""COMPUTED_VALUE"""),53.7)</f>
        <v>53.7</v>
      </c>
      <c r="C135" s="2">
        <f>IFERROR(__xludf.DUMMYFUNCTION("""COMPUTED_VALUE"""),56.84)</f>
        <v>56.84</v>
      </c>
      <c r="D135" s="2">
        <f>IFERROR(__xludf.DUMMYFUNCTION("""COMPUTED_VALUE"""),52.93)</f>
        <v>52.93</v>
      </c>
      <c r="E135" s="2">
        <f>IFERROR(__xludf.DUMMYFUNCTION("""COMPUTED_VALUE"""),56.57)</f>
        <v>56.57</v>
      </c>
      <c r="F135" s="2">
        <f>IFERROR(__xludf.DUMMYFUNCTION("""COMPUTED_VALUE"""),2.39597518E8)</f>
        <v>239597518</v>
      </c>
      <c r="G135" s="3">
        <f t="shared" si="1"/>
        <v>0.05344506518</v>
      </c>
    </row>
    <row r="136">
      <c r="A136" s="1">
        <f>IFERROR(__xludf.DUMMYFUNCTION("""COMPUTED_VALUE"""),42580.66666666667)</f>
        <v>42580.66667</v>
      </c>
      <c r="B136" s="2">
        <f>IFERROR(__xludf.DUMMYFUNCTION("""COMPUTED_VALUE"""),56.47)</f>
        <v>56.47</v>
      </c>
      <c r="C136" s="2">
        <f>IFERROR(__xludf.DUMMYFUNCTION("""COMPUTED_VALUE"""),57.29)</f>
        <v>57.29</v>
      </c>
      <c r="D136" s="2">
        <f>IFERROR(__xludf.DUMMYFUNCTION("""COMPUTED_VALUE"""),55.72)</f>
        <v>55.72</v>
      </c>
      <c r="E136" s="2">
        <f>IFERROR(__xludf.DUMMYFUNCTION("""COMPUTED_VALUE"""),56.68)</f>
        <v>56.68</v>
      </c>
      <c r="F136" s="2">
        <f>IFERROR(__xludf.DUMMYFUNCTION("""COMPUTED_VALUE"""),1.54126188E8)</f>
        <v>154126188</v>
      </c>
      <c r="G136" s="3">
        <f t="shared" si="1"/>
        <v>0.001944493548</v>
      </c>
    </row>
    <row r="137">
      <c r="A137" s="1">
        <f>IFERROR(__xludf.DUMMYFUNCTION("""COMPUTED_VALUE"""),42587.66666666667)</f>
        <v>42587.66667</v>
      </c>
      <c r="B137" s="2">
        <f>IFERROR(__xludf.DUMMYFUNCTION("""COMPUTED_VALUE"""),56.6)</f>
        <v>56.6</v>
      </c>
      <c r="C137" s="2">
        <f>IFERROR(__xludf.DUMMYFUNCTION("""COMPUTED_VALUE"""),58.21)</f>
        <v>58.21</v>
      </c>
      <c r="D137" s="2">
        <f>IFERROR(__xludf.DUMMYFUNCTION("""COMPUTED_VALUE"""),56.14)</f>
        <v>56.14</v>
      </c>
      <c r="E137" s="2">
        <f>IFERROR(__xludf.DUMMYFUNCTION("""COMPUTED_VALUE"""),57.96)</f>
        <v>57.96</v>
      </c>
      <c r="F137" s="2">
        <f>IFERROR(__xludf.DUMMYFUNCTION("""COMPUTED_VALUE"""),1.39123963E8)</f>
        <v>139123963</v>
      </c>
      <c r="G137" s="3">
        <f t="shared" si="1"/>
        <v>0.02258292167</v>
      </c>
    </row>
    <row r="138">
      <c r="A138" s="1">
        <f>IFERROR(__xludf.DUMMYFUNCTION("""COMPUTED_VALUE"""),42594.66666666667)</f>
        <v>42594.66667</v>
      </c>
      <c r="B138" s="2">
        <f>IFERROR(__xludf.DUMMYFUNCTION("""COMPUTED_VALUE"""),58.06)</f>
        <v>58.06</v>
      </c>
      <c r="C138" s="2">
        <f>IFERROR(__xludf.DUMMYFUNCTION("""COMPUTED_VALUE"""),58.5)</f>
        <v>58.5</v>
      </c>
      <c r="D138" s="2">
        <f>IFERROR(__xludf.DUMMYFUNCTION("""COMPUTED_VALUE"""),57.62)</f>
        <v>57.62</v>
      </c>
      <c r="E138" s="2">
        <f>IFERROR(__xludf.DUMMYFUNCTION("""COMPUTED_VALUE"""),57.94)</f>
        <v>57.94</v>
      </c>
      <c r="F138" s="2">
        <f>IFERROR(__xludf.DUMMYFUNCTION("""COMPUTED_VALUE"""),9.1968595E7)</f>
        <v>91968595</v>
      </c>
      <c r="G138" s="3">
        <f t="shared" si="1"/>
        <v>-0.0003450655625</v>
      </c>
    </row>
    <row r="139">
      <c r="A139" s="1">
        <f>IFERROR(__xludf.DUMMYFUNCTION("""COMPUTED_VALUE"""),42601.66666666667)</f>
        <v>42601.66667</v>
      </c>
      <c r="B139" s="2">
        <f>IFERROR(__xludf.DUMMYFUNCTION("""COMPUTED_VALUE"""),58.01)</f>
        <v>58.01</v>
      </c>
      <c r="C139" s="2">
        <f>IFERROR(__xludf.DUMMYFUNCTION("""COMPUTED_VALUE"""),58.5)</f>
        <v>58.5</v>
      </c>
      <c r="D139" s="2">
        <f>IFERROR(__xludf.DUMMYFUNCTION("""COMPUTED_VALUE"""),57.2)</f>
        <v>57.2</v>
      </c>
      <c r="E139" s="2">
        <f>IFERROR(__xludf.DUMMYFUNCTION("""COMPUTED_VALUE"""),57.62)</f>
        <v>57.62</v>
      </c>
      <c r="F139" s="2">
        <f>IFERROR(__xludf.DUMMYFUNCTION("""COMPUTED_VALUE"""),9.0149203E7)</f>
        <v>90149203</v>
      </c>
      <c r="G139" s="3">
        <f t="shared" si="1"/>
        <v>-0.005522954781</v>
      </c>
    </row>
    <row r="140">
      <c r="A140" s="1">
        <f>IFERROR(__xludf.DUMMYFUNCTION("""COMPUTED_VALUE"""),42608.66666666667)</f>
        <v>42608.66667</v>
      </c>
      <c r="B140" s="2">
        <f>IFERROR(__xludf.DUMMYFUNCTION("""COMPUTED_VALUE"""),57.6)</f>
        <v>57.6</v>
      </c>
      <c r="C140" s="2">
        <f>IFERROR(__xludf.DUMMYFUNCTION("""COMPUTED_VALUE"""),58.7)</f>
        <v>58.7</v>
      </c>
      <c r="D140" s="2">
        <f>IFERROR(__xludf.DUMMYFUNCTION("""COMPUTED_VALUE"""),57.26)</f>
        <v>57.26</v>
      </c>
      <c r="E140" s="2">
        <f>IFERROR(__xludf.DUMMYFUNCTION("""COMPUTED_VALUE"""),58.03)</f>
        <v>58.03</v>
      </c>
      <c r="F140" s="2">
        <f>IFERROR(__xludf.DUMMYFUNCTION("""COMPUTED_VALUE"""),9.1629582E7)</f>
        <v>91629582</v>
      </c>
      <c r="G140" s="3">
        <f t="shared" si="1"/>
        <v>0.007115584866</v>
      </c>
    </row>
    <row r="141">
      <c r="A141" s="1">
        <f>IFERROR(__xludf.DUMMYFUNCTION("""COMPUTED_VALUE"""),42615.66666666667)</f>
        <v>42615.66667</v>
      </c>
      <c r="B141" s="2">
        <f>IFERROR(__xludf.DUMMYFUNCTION("""COMPUTED_VALUE"""),58.18)</f>
        <v>58.18</v>
      </c>
      <c r="C141" s="2">
        <f>IFERROR(__xludf.DUMMYFUNCTION("""COMPUTED_VALUE"""),58.6)</f>
        <v>58.6</v>
      </c>
      <c r="D141" s="2">
        <f>IFERROR(__xludf.DUMMYFUNCTION("""COMPUTED_VALUE"""),57.01)</f>
        <v>57.01</v>
      </c>
      <c r="E141" s="2">
        <f>IFERROR(__xludf.DUMMYFUNCTION("""COMPUTED_VALUE"""),57.67)</f>
        <v>57.67</v>
      </c>
      <c r="F141" s="2">
        <f>IFERROR(__xludf.DUMMYFUNCTION("""COMPUTED_VALUE"""),9.9183513E7)</f>
        <v>99183513</v>
      </c>
      <c r="G141" s="3">
        <f t="shared" si="1"/>
        <v>-0.006203687748</v>
      </c>
    </row>
    <row r="142">
      <c r="A142" s="1">
        <f>IFERROR(__xludf.DUMMYFUNCTION("""COMPUTED_VALUE"""),42622.66666666667)</f>
        <v>42622.66667</v>
      </c>
      <c r="B142" s="2">
        <f>IFERROR(__xludf.DUMMYFUNCTION("""COMPUTED_VALUE"""),57.78)</f>
        <v>57.78</v>
      </c>
      <c r="C142" s="2">
        <f>IFERROR(__xludf.DUMMYFUNCTION("""COMPUTED_VALUE"""),57.84)</f>
        <v>57.84</v>
      </c>
      <c r="D142" s="2">
        <f>IFERROR(__xludf.DUMMYFUNCTION("""COMPUTED_VALUE"""),56.21)</f>
        <v>56.21</v>
      </c>
      <c r="E142" s="2">
        <f>IFERROR(__xludf.DUMMYFUNCTION("""COMPUTED_VALUE"""),56.21)</f>
        <v>56.21</v>
      </c>
      <c r="F142" s="2">
        <f>IFERROR(__xludf.DUMMYFUNCTION("""COMPUTED_VALUE"""),8.9031792E7)</f>
        <v>89031792</v>
      </c>
      <c r="G142" s="3">
        <f t="shared" si="1"/>
        <v>-0.0253164557</v>
      </c>
    </row>
    <row r="143">
      <c r="A143" s="1">
        <f>IFERROR(__xludf.DUMMYFUNCTION("""COMPUTED_VALUE"""),42629.66666666667)</f>
        <v>42629.66667</v>
      </c>
      <c r="B143" s="2">
        <f>IFERROR(__xludf.DUMMYFUNCTION("""COMPUTED_VALUE"""),56.0)</f>
        <v>56</v>
      </c>
      <c r="C143" s="2">
        <f>IFERROR(__xludf.DUMMYFUNCTION("""COMPUTED_VALUE"""),57.63)</f>
        <v>57.63</v>
      </c>
      <c r="D143" s="2">
        <f>IFERROR(__xludf.DUMMYFUNCTION("""COMPUTED_VALUE"""),55.61)</f>
        <v>55.61</v>
      </c>
      <c r="E143" s="2">
        <f>IFERROR(__xludf.DUMMYFUNCTION("""COMPUTED_VALUE"""),57.25)</f>
        <v>57.25</v>
      </c>
      <c r="F143" s="2">
        <f>IFERROR(__xludf.DUMMYFUNCTION("""COMPUTED_VALUE"""),1.55377027E8)</f>
        <v>155377027</v>
      </c>
      <c r="G143" s="3">
        <f t="shared" si="1"/>
        <v>0.0185020459</v>
      </c>
    </row>
    <row r="144">
      <c r="A144" s="1">
        <f>IFERROR(__xludf.DUMMYFUNCTION("""COMPUTED_VALUE"""),42636.66666666667)</f>
        <v>42636.66667</v>
      </c>
      <c r="B144" s="2">
        <f>IFERROR(__xludf.DUMMYFUNCTION("""COMPUTED_VALUE"""),57.27)</f>
        <v>57.27</v>
      </c>
      <c r="C144" s="2">
        <f>IFERROR(__xludf.DUMMYFUNCTION("""COMPUTED_VALUE"""),58.0)</f>
        <v>58</v>
      </c>
      <c r="D144" s="2">
        <f>IFERROR(__xludf.DUMMYFUNCTION("""COMPUTED_VALUE"""),56.75)</f>
        <v>56.75</v>
      </c>
      <c r="E144" s="2">
        <f>IFERROR(__xludf.DUMMYFUNCTION("""COMPUTED_VALUE"""),57.43)</f>
        <v>57.43</v>
      </c>
      <c r="F144" s="2">
        <f>IFERROR(__xludf.DUMMYFUNCTION("""COMPUTED_VALUE"""),1.11805897E8)</f>
        <v>111805897</v>
      </c>
      <c r="G144" s="3">
        <f t="shared" si="1"/>
        <v>0.003144104803</v>
      </c>
    </row>
    <row r="145">
      <c r="A145" s="1">
        <f>IFERROR(__xludf.DUMMYFUNCTION("""COMPUTED_VALUE"""),42643.66666666667)</f>
        <v>42643.66667</v>
      </c>
      <c r="B145" s="2">
        <f>IFERROR(__xludf.DUMMYFUNCTION("""COMPUTED_VALUE"""),57.08)</f>
        <v>57.08</v>
      </c>
      <c r="C145" s="2">
        <f>IFERROR(__xludf.DUMMYFUNCTION("""COMPUTED_VALUE"""),58.17)</f>
        <v>58.17</v>
      </c>
      <c r="D145" s="2">
        <f>IFERROR(__xludf.DUMMYFUNCTION("""COMPUTED_VALUE"""),56.68)</f>
        <v>56.68</v>
      </c>
      <c r="E145" s="2">
        <f>IFERROR(__xludf.DUMMYFUNCTION("""COMPUTED_VALUE"""),57.6)</f>
        <v>57.6</v>
      </c>
      <c r="F145" s="2">
        <f>IFERROR(__xludf.DUMMYFUNCTION("""COMPUTED_VALUE"""),1.25664515E8)</f>
        <v>125664515</v>
      </c>
      <c r="G145" s="3">
        <f t="shared" si="1"/>
        <v>0.00296012537</v>
      </c>
    </row>
    <row r="146">
      <c r="A146" s="1">
        <f>IFERROR(__xludf.DUMMYFUNCTION("""COMPUTED_VALUE"""),42650.66666666667)</f>
        <v>42650.66667</v>
      </c>
      <c r="B146" s="2">
        <f>IFERROR(__xludf.DUMMYFUNCTION("""COMPUTED_VALUE"""),57.41)</f>
        <v>57.41</v>
      </c>
      <c r="C146" s="2">
        <f>IFERROR(__xludf.DUMMYFUNCTION("""COMPUTED_VALUE"""),57.98)</f>
        <v>57.98</v>
      </c>
      <c r="D146" s="2">
        <f>IFERROR(__xludf.DUMMYFUNCTION("""COMPUTED_VALUE"""),56.97)</f>
        <v>56.97</v>
      </c>
      <c r="E146" s="2">
        <f>IFERROR(__xludf.DUMMYFUNCTION("""COMPUTED_VALUE"""),57.8)</f>
        <v>57.8</v>
      </c>
      <c r="F146" s="2">
        <f>IFERROR(__xludf.DUMMYFUNCTION("""COMPUTED_VALUE"""),9.2303431E7)</f>
        <v>92303431</v>
      </c>
      <c r="G146" s="3">
        <f t="shared" si="1"/>
        <v>0.003472222222</v>
      </c>
    </row>
    <row r="147">
      <c r="A147" s="1">
        <f>IFERROR(__xludf.DUMMYFUNCTION("""COMPUTED_VALUE"""),42657.66666666667)</f>
        <v>42657.66667</v>
      </c>
      <c r="B147" s="2">
        <f>IFERROR(__xludf.DUMMYFUNCTION("""COMPUTED_VALUE"""),57.91)</f>
        <v>57.91</v>
      </c>
      <c r="C147" s="2">
        <f>IFERROR(__xludf.DUMMYFUNCTION("""COMPUTED_VALUE"""),58.39)</f>
        <v>58.39</v>
      </c>
      <c r="D147" s="2">
        <f>IFERROR(__xludf.DUMMYFUNCTION("""COMPUTED_VALUE"""),56.32)</f>
        <v>56.32</v>
      </c>
      <c r="E147" s="2">
        <f>IFERROR(__xludf.DUMMYFUNCTION("""COMPUTED_VALUE"""),57.42)</f>
        <v>57.42</v>
      </c>
      <c r="F147" s="2">
        <f>IFERROR(__xludf.DUMMYFUNCTION("""COMPUTED_VALUE"""),1.1958759E8)</f>
        <v>119587590</v>
      </c>
      <c r="G147" s="3">
        <f t="shared" si="1"/>
        <v>-0.006574394464</v>
      </c>
    </row>
    <row r="148">
      <c r="A148" s="1">
        <f>IFERROR(__xludf.DUMMYFUNCTION("""COMPUTED_VALUE"""),42664.66666666667)</f>
        <v>42664.66667</v>
      </c>
      <c r="B148" s="2">
        <f>IFERROR(__xludf.DUMMYFUNCTION("""COMPUTED_VALUE"""),57.36)</f>
        <v>57.36</v>
      </c>
      <c r="C148" s="2">
        <f>IFERROR(__xludf.DUMMYFUNCTION("""COMPUTED_VALUE"""),60.45)</f>
        <v>60.45</v>
      </c>
      <c r="D148" s="2">
        <f>IFERROR(__xludf.DUMMYFUNCTION("""COMPUTED_VALUE"""),56.66)</f>
        <v>56.66</v>
      </c>
      <c r="E148" s="2">
        <f>IFERROR(__xludf.DUMMYFUNCTION("""COMPUTED_VALUE"""),59.66)</f>
        <v>59.66</v>
      </c>
      <c r="F148" s="2">
        <f>IFERROR(__xludf.DUMMYFUNCTION("""COMPUTED_VALUE"""),1.95345767E8)</f>
        <v>195345767</v>
      </c>
      <c r="G148" s="3">
        <f t="shared" si="1"/>
        <v>0.03901079763</v>
      </c>
    </row>
    <row r="149">
      <c r="A149" s="1">
        <f>IFERROR(__xludf.DUMMYFUNCTION("""COMPUTED_VALUE"""),42671.66666666667)</f>
        <v>42671.66667</v>
      </c>
      <c r="B149" s="2">
        <f>IFERROR(__xludf.DUMMYFUNCTION("""COMPUTED_VALUE"""),59.94)</f>
        <v>59.94</v>
      </c>
      <c r="C149" s="2">
        <f>IFERROR(__xludf.DUMMYFUNCTION("""COMPUTED_VALUE"""),61.37)</f>
        <v>61.37</v>
      </c>
      <c r="D149" s="2">
        <f>IFERROR(__xludf.DUMMYFUNCTION("""COMPUTED_VALUE"""),59.58)</f>
        <v>59.58</v>
      </c>
      <c r="E149" s="2">
        <f>IFERROR(__xludf.DUMMYFUNCTION("""COMPUTED_VALUE"""),59.87)</f>
        <v>59.87</v>
      </c>
      <c r="F149" s="2">
        <f>IFERROR(__xludf.DUMMYFUNCTION("""COMPUTED_VALUE"""),1.8117029E8)</f>
        <v>181170290</v>
      </c>
      <c r="G149" s="3">
        <f t="shared" si="1"/>
        <v>0.003519946363</v>
      </c>
    </row>
    <row r="150">
      <c r="A150" s="1">
        <f>IFERROR(__xludf.DUMMYFUNCTION("""COMPUTED_VALUE"""),42678.66666666667)</f>
        <v>42678.66667</v>
      </c>
      <c r="B150" s="2">
        <f>IFERROR(__xludf.DUMMYFUNCTION("""COMPUTED_VALUE"""),60.16)</f>
        <v>60.16</v>
      </c>
      <c r="C150" s="2">
        <f>IFERROR(__xludf.DUMMYFUNCTION("""COMPUTED_VALUE"""),60.42)</f>
        <v>60.42</v>
      </c>
      <c r="D150" s="2">
        <f>IFERROR(__xludf.DUMMYFUNCTION("""COMPUTED_VALUE"""),58.52)</f>
        <v>58.52</v>
      </c>
      <c r="E150" s="2">
        <f>IFERROR(__xludf.DUMMYFUNCTION("""COMPUTED_VALUE"""),58.71)</f>
        <v>58.71</v>
      </c>
      <c r="F150" s="2">
        <f>IFERROR(__xludf.DUMMYFUNCTION("""COMPUTED_VALUE"""),1.23412131E8)</f>
        <v>123412131</v>
      </c>
      <c r="G150" s="3">
        <f t="shared" si="1"/>
        <v>-0.01937531318</v>
      </c>
    </row>
    <row r="151">
      <c r="A151" s="1">
        <f>IFERROR(__xludf.DUMMYFUNCTION("""COMPUTED_VALUE"""),42685.66666666667)</f>
        <v>42685.66667</v>
      </c>
      <c r="B151" s="2">
        <f>IFERROR(__xludf.DUMMYFUNCTION("""COMPUTED_VALUE"""),59.78)</f>
        <v>59.78</v>
      </c>
      <c r="C151" s="2">
        <f>IFERROR(__xludf.DUMMYFUNCTION("""COMPUTED_VALUE"""),60.78)</f>
        <v>60.78</v>
      </c>
      <c r="D151" s="2">
        <f>IFERROR(__xludf.DUMMYFUNCTION("""COMPUTED_VALUE"""),57.63)</f>
        <v>57.63</v>
      </c>
      <c r="E151" s="2">
        <f>IFERROR(__xludf.DUMMYFUNCTION("""COMPUTED_VALUE"""),59.02)</f>
        <v>59.02</v>
      </c>
      <c r="F151" s="2">
        <f>IFERROR(__xludf.DUMMYFUNCTION("""COMPUTED_VALUE"""),2.00822869E8)</f>
        <v>200822869</v>
      </c>
      <c r="G151" s="3">
        <f t="shared" si="1"/>
        <v>0.005280190768</v>
      </c>
    </row>
    <row r="152">
      <c r="A152" s="1">
        <f>IFERROR(__xludf.DUMMYFUNCTION("""COMPUTED_VALUE"""),42692.66666666667)</f>
        <v>42692.66667</v>
      </c>
      <c r="B152" s="2">
        <f>IFERROR(__xludf.DUMMYFUNCTION("""COMPUTED_VALUE"""),59.02)</f>
        <v>59.02</v>
      </c>
      <c r="C152" s="2">
        <f>IFERROR(__xludf.DUMMYFUNCTION("""COMPUTED_VALUE"""),61.14)</f>
        <v>61.14</v>
      </c>
      <c r="D152" s="2">
        <f>IFERROR(__xludf.DUMMYFUNCTION("""COMPUTED_VALUE"""),57.28)</f>
        <v>57.28</v>
      </c>
      <c r="E152" s="2">
        <f>IFERROR(__xludf.DUMMYFUNCTION("""COMPUTED_VALUE"""),60.35)</f>
        <v>60.35</v>
      </c>
      <c r="F152" s="2">
        <f>IFERROR(__xludf.DUMMYFUNCTION("""COMPUTED_VALUE"""),1.64384062E8)</f>
        <v>164384062</v>
      </c>
      <c r="G152" s="3">
        <f t="shared" si="1"/>
        <v>0.02253473399</v>
      </c>
    </row>
    <row r="153">
      <c r="A153" s="1">
        <f>IFERROR(__xludf.DUMMYFUNCTION("""COMPUTED_VALUE"""),42699.66666666667)</f>
        <v>42699.66667</v>
      </c>
      <c r="B153" s="2">
        <f>IFERROR(__xludf.DUMMYFUNCTION("""COMPUTED_VALUE"""),60.5)</f>
        <v>60.5</v>
      </c>
      <c r="C153" s="2">
        <f>IFERROR(__xludf.DUMMYFUNCTION("""COMPUTED_VALUE"""),61.26)</f>
        <v>61.26</v>
      </c>
      <c r="D153" s="2">
        <f>IFERROR(__xludf.DUMMYFUNCTION("""COMPUTED_VALUE"""),60.13)</f>
        <v>60.13</v>
      </c>
      <c r="E153" s="2">
        <f>IFERROR(__xludf.DUMMYFUNCTION("""COMPUTED_VALUE"""),60.53)</f>
        <v>60.53</v>
      </c>
      <c r="F153" s="2">
        <f>IFERROR(__xludf.DUMMYFUNCTION("""COMPUTED_VALUE"""),7.3117824E7)</f>
        <v>73117824</v>
      </c>
      <c r="G153" s="3">
        <f t="shared" si="1"/>
        <v>0.002982601491</v>
      </c>
    </row>
    <row r="154">
      <c r="A154" s="1">
        <f>IFERROR(__xludf.DUMMYFUNCTION("""COMPUTED_VALUE"""),42706.66666666667)</f>
        <v>42706.66667</v>
      </c>
      <c r="B154" s="2">
        <f>IFERROR(__xludf.DUMMYFUNCTION("""COMPUTED_VALUE"""),60.34)</f>
        <v>60.34</v>
      </c>
      <c r="C154" s="2">
        <f>IFERROR(__xludf.DUMMYFUNCTION("""COMPUTED_VALUE"""),61.41)</f>
        <v>61.41</v>
      </c>
      <c r="D154" s="2">
        <f>IFERROR(__xludf.DUMMYFUNCTION("""COMPUTED_VALUE"""),58.8)</f>
        <v>58.8</v>
      </c>
      <c r="E154" s="2">
        <f>IFERROR(__xludf.DUMMYFUNCTION("""COMPUTED_VALUE"""),59.25)</f>
        <v>59.25</v>
      </c>
      <c r="F154" s="2">
        <f>IFERROR(__xludf.DUMMYFUNCTION("""COMPUTED_VALUE"""),1.37812561E8)</f>
        <v>137812561</v>
      </c>
      <c r="G154" s="3">
        <f t="shared" si="1"/>
        <v>-0.02114653891</v>
      </c>
    </row>
    <row r="155">
      <c r="A155" s="1">
        <f>IFERROR(__xludf.DUMMYFUNCTION("""COMPUTED_VALUE"""),42713.66666666667)</f>
        <v>42713.66667</v>
      </c>
      <c r="B155" s="2">
        <f>IFERROR(__xludf.DUMMYFUNCTION("""COMPUTED_VALUE"""),59.7)</f>
        <v>59.7</v>
      </c>
      <c r="C155" s="2">
        <f>IFERROR(__xludf.DUMMYFUNCTION("""COMPUTED_VALUE"""),61.99)</f>
        <v>61.99</v>
      </c>
      <c r="D155" s="2">
        <f>IFERROR(__xludf.DUMMYFUNCTION("""COMPUTED_VALUE"""),59.56)</f>
        <v>59.56</v>
      </c>
      <c r="E155" s="2">
        <f>IFERROR(__xludf.DUMMYFUNCTION("""COMPUTED_VALUE"""),61.97)</f>
        <v>61.97</v>
      </c>
      <c r="F155" s="2">
        <f>IFERROR(__xludf.DUMMYFUNCTION("""COMPUTED_VALUE"""),1.22838771E8)</f>
        <v>122838771</v>
      </c>
      <c r="G155" s="3">
        <f t="shared" si="1"/>
        <v>0.045907173</v>
      </c>
    </row>
    <row r="156">
      <c r="A156" s="1">
        <f>IFERROR(__xludf.DUMMYFUNCTION("""COMPUTED_VALUE"""),42720.66666666667)</f>
        <v>42720.66667</v>
      </c>
      <c r="B156" s="2">
        <f>IFERROR(__xludf.DUMMYFUNCTION("""COMPUTED_VALUE"""),61.82)</f>
        <v>61.82</v>
      </c>
      <c r="C156" s="2">
        <f>IFERROR(__xludf.DUMMYFUNCTION("""COMPUTED_VALUE"""),63.45)</f>
        <v>63.45</v>
      </c>
      <c r="D156" s="2">
        <f>IFERROR(__xludf.DUMMYFUNCTION("""COMPUTED_VALUE"""),61.72)</f>
        <v>61.72</v>
      </c>
      <c r="E156" s="2">
        <f>IFERROR(__xludf.DUMMYFUNCTION("""COMPUTED_VALUE"""),62.3)</f>
        <v>62.3</v>
      </c>
      <c r="F156" s="2">
        <f>IFERROR(__xludf.DUMMYFUNCTION("""COMPUTED_VALUE"""),1.56392554E8)</f>
        <v>156392554</v>
      </c>
      <c r="G156" s="3">
        <f t="shared" si="1"/>
        <v>0.005325157334</v>
      </c>
    </row>
    <row r="157">
      <c r="A157" s="1">
        <f>IFERROR(__xludf.DUMMYFUNCTION("""COMPUTED_VALUE"""),42727.66666666667)</f>
        <v>42727.66667</v>
      </c>
      <c r="B157" s="2">
        <f>IFERROR(__xludf.DUMMYFUNCTION("""COMPUTED_VALUE"""),62.56)</f>
        <v>62.56</v>
      </c>
      <c r="C157" s="2">
        <f>IFERROR(__xludf.DUMMYFUNCTION("""COMPUTED_VALUE"""),64.1)</f>
        <v>64.1</v>
      </c>
      <c r="D157" s="2">
        <f>IFERROR(__xludf.DUMMYFUNCTION("""COMPUTED_VALUE"""),62.42)</f>
        <v>62.42</v>
      </c>
      <c r="E157" s="2">
        <f>IFERROR(__xludf.DUMMYFUNCTION("""COMPUTED_VALUE"""),63.24)</f>
        <v>63.24</v>
      </c>
      <c r="F157" s="2">
        <f>IFERROR(__xludf.DUMMYFUNCTION("""COMPUTED_VALUE"""),1.12043306E8)</f>
        <v>112043306</v>
      </c>
      <c r="G157" s="3">
        <f t="shared" si="1"/>
        <v>0.0150882825</v>
      </c>
    </row>
    <row r="158">
      <c r="A158" s="1">
        <f>IFERROR(__xludf.DUMMYFUNCTION("""COMPUTED_VALUE"""),42734.66666666667)</f>
        <v>42734.66667</v>
      </c>
      <c r="B158" s="2">
        <f>IFERROR(__xludf.DUMMYFUNCTION("""COMPUTED_VALUE"""),63.21)</f>
        <v>63.21</v>
      </c>
      <c r="C158" s="2">
        <f>IFERROR(__xludf.DUMMYFUNCTION("""COMPUTED_VALUE"""),64.07)</f>
        <v>64.07</v>
      </c>
      <c r="D158" s="2">
        <f>IFERROR(__xludf.DUMMYFUNCTION("""COMPUTED_VALUE"""),62.03)</f>
        <v>62.03</v>
      </c>
      <c r="E158" s="2">
        <f>IFERROR(__xludf.DUMMYFUNCTION("""COMPUTED_VALUE"""),62.14)</f>
        <v>62.14</v>
      </c>
      <c r="F158" s="2">
        <f>IFERROR(__xludf.DUMMYFUNCTION("""COMPUTED_VALUE"""),6.2247011E7)</f>
        <v>62247011</v>
      </c>
      <c r="G158" s="3">
        <f t="shared" si="1"/>
        <v>-0.0173940544</v>
      </c>
    </row>
    <row r="159">
      <c r="A159" s="1">
        <f>IFERROR(__xludf.DUMMYFUNCTION("""COMPUTED_VALUE"""),42741.66666666667)</f>
        <v>42741.66667</v>
      </c>
      <c r="B159" s="2">
        <f>IFERROR(__xludf.DUMMYFUNCTION("""COMPUTED_VALUE"""),62.79)</f>
        <v>62.79</v>
      </c>
      <c r="C159" s="2">
        <f>IFERROR(__xludf.DUMMYFUNCTION("""COMPUTED_VALUE"""),63.15)</f>
        <v>63.15</v>
      </c>
      <c r="D159" s="2">
        <f>IFERROR(__xludf.DUMMYFUNCTION("""COMPUTED_VALUE"""),62.03)</f>
        <v>62.03</v>
      </c>
      <c r="E159" s="2">
        <f>IFERROR(__xludf.DUMMYFUNCTION("""COMPUTED_VALUE"""),62.84)</f>
        <v>62.84</v>
      </c>
      <c r="F159" s="2">
        <f>IFERROR(__xludf.DUMMYFUNCTION("""COMPUTED_VALUE"""),8.6832957E7)</f>
        <v>86832957</v>
      </c>
      <c r="G159" s="3">
        <f t="shared" si="1"/>
        <v>0.01126488574</v>
      </c>
    </row>
    <row r="160">
      <c r="A160" s="1">
        <f>IFERROR(__xludf.DUMMYFUNCTION("""COMPUTED_VALUE"""),42748.66666666667)</f>
        <v>42748.66667</v>
      </c>
      <c r="B160" s="2">
        <f>IFERROR(__xludf.DUMMYFUNCTION("""COMPUTED_VALUE"""),62.76)</f>
        <v>62.76</v>
      </c>
      <c r="C160" s="2">
        <f>IFERROR(__xludf.DUMMYFUNCTION("""COMPUTED_VALUE"""),63.4)</f>
        <v>63.4</v>
      </c>
      <c r="D160" s="2">
        <f>IFERROR(__xludf.DUMMYFUNCTION("""COMPUTED_VALUE"""),61.95)</f>
        <v>61.95</v>
      </c>
      <c r="E160" s="2">
        <f>IFERROR(__xludf.DUMMYFUNCTION("""COMPUTED_VALUE"""),62.7)</f>
        <v>62.7</v>
      </c>
      <c r="F160" s="2">
        <f>IFERROR(__xludf.DUMMYFUNCTION("""COMPUTED_VALUE"""),1.00883602E8)</f>
        <v>100883602</v>
      </c>
      <c r="G160" s="3">
        <f t="shared" si="1"/>
        <v>-0.002227880331</v>
      </c>
    </row>
    <row r="161">
      <c r="A161" s="1">
        <f>IFERROR(__xludf.DUMMYFUNCTION("""COMPUTED_VALUE"""),42755.66666666667)</f>
        <v>42755.66667</v>
      </c>
      <c r="B161" s="2">
        <f>IFERROR(__xludf.DUMMYFUNCTION("""COMPUTED_VALUE"""),62.68)</f>
        <v>62.68</v>
      </c>
      <c r="C161" s="2">
        <f>IFERROR(__xludf.DUMMYFUNCTION("""COMPUTED_VALUE"""),62.98)</f>
        <v>62.98</v>
      </c>
      <c r="D161" s="2">
        <f>IFERROR(__xludf.DUMMYFUNCTION("""COMPUTED_VALUE"""),62.03)</f>
        <v>62.03</v>
      </c>
      <c r="E161" s="2">
        <f>IFERROR(__xludf.DUMMYFUNCTION("""COMPUTED_VALUE"""),62.74)</f>
        <v>62.74</v>
      </c>
      <c r="F161" s="2">
        <f>IFERROR(__xludf.DUMMYFUNCTION("""COMPUTED_VALUE"""),8.8999202E7)</f>
        <v>88999202</v>
      </c>
      <c r="G161" s="3">
        <f t="shared" si="1"/>
        <v>0.0006379585327</v>
      </c>
    </row>
    <row r="162">
      <c r="A162" s="1">
        <f>IFERROR(__xludf.DUMMYFUNCTION("""COMPUTED_VALUE"""),42762.66666666667)</f>
        <v>42762.66667</v>
      </c>
      <c r="B162" s="2">
        <f>IFERROR(__xludf.DUMMYFUNCTION("""COMPUTED_VALUE"""),62.7)</f>
        <v>62.7</v>
      </c>
      <c r="C162" s="2">
        <f>IFERROR(__xludf.DUMMYFUNCTION("""COMPUTED_VALUE"""),65.91)</f>
        <v>65.91</v>
      </c>
      <c r="D162" s="2">
        <f>IFERROR(__xludf.DUMMYFUNCTION("""COMPUTED_VALUE"""),62.57)</f>
        <v>62.57</v>
      </c>
      <c r="E162" s="2">
        <f>IFERROR(__xludf.DUMMYFUNCTION("""COMPUTED_VALUE"""),65.78)</f>
        <v>65.78</v>
      </c>
      <c r="F162" s="2">
        <f>IFERROR(__xludf.DUMMYFUNCTION("""COMPUTED_VALUE"""),1.60798071E8)</f>
        <v>160798071</v>
      </c>
      <c r="G162" s="3">
        <f t="shared" si="1"/>
        <v>0.04845393688</v>
      </c>
    </row>
    <row r="163">
      <c r="A163" s="1">
        <f>IFERROR(__xludf.DUMMYFUNCTION("""COMPUTED_VALUE"""),42769.66666666667)</f>
        <v>42769.66667</v>
      </c>
      <c r="B163" s="2">
        <f>IFERROR(__xludf.DUMMYFUNCTION("""COMPUTED_VALUE"""),65.69)</f>
        <v>65.69</v>
      </c>
      <c r="C163" s="2">
        <f>IFERROR(__xludf.DUMMYFUNCTION("""COMPUTED_VALUE"""),65.79)</f>
        <v>65.79</v>
      </c>
      <c r="D163" s="2">
        <f>IFERROR(__xludf.DUMMYFUNCTION("""COMPUTED_VALUE"""),62.75)</f>
        <v>62.75</v>
      </c>
      <c r="E163" s="2">
        <f>IFERROR(__xludf.DUMMYFUNCTION("""COMPUTED_VALUE"""),63.68)</f>
        <v>63.68</v>
      </c>
      <c r="F163" s="2">
        <f>IFERROR(__xludf.DUMMYFUNCTION("""COMPUTED_VALUE"""),1.72722294E8)</f>
        <v>172722294</v>
      </c>
      <c r="G163" s="3">
        <f t="shared" si="1"/>
        <v>-0.03192459714</v>
      </c>
    </row>
    <row r="164">
      <c r="A164" s="1">
        <f>IFERROR(__xludf.DUMMYFUNCTION("""COMPUTED_VALUE"""),42776.66666666667)</f>
        <v>42776.66667</v>
      </c>
      <c r="B164" s="2">
        <f>IFERROR(__xludf.DUMMYFUNCTION("""COMPUTED_VALUE"""),63.5)</f>
        <v>63.5</v>
      </c>
      <c r="C164" s="2">
        <f>IFERROR(__xludf.DUMMYFUNCTION("""COMPUTED_VALUE"""),64.44)</f>
        <v>64.44</v>
      </c>
      <c r="D164" s="2">
        <f>IFERROR(__xludf.DUMMYFUNCTION("""COMPUTED_VALUE"""),63.14)</f>
        <v>63.14</v>
      </c>
      <c r="E164" s="2">
        <f>IFERROR(__xludf.DUMMYFUNCTION("""COMPUTED_VALUE"""),64.0)</f>
        <v>64</v>
      </c>
      <c r="F164" s="2">
        <f>IFERROR(__xludf.DUMMYFUNCTION("""COMPUTED_VALUE"""),9.8985116E7)</f>
        <v>98985116</v>
      </c>
      <c r="G164" s="3">
        <f t="shared" si="1"/>
        <v>0.005025125628</v>
      </c>
    </row>
    <row r="165">
      <c r="A165" s="1">
        <f>IFERROR(__xludf.DUMMYFUNCTION("""COMPUTED_VALUE"""),42783.66666666667)</f>
        <v>42783.66667</v>
      </c>
      <c r="B165" s="2">
        <f>IFERROR(__xludf.DUMMYFUNCTION("""COMPUTED_VALUE"""),64.24)</f>
        <v>64.24</v>
      </c>
      <c r="C165" s="2">
        <f>IFERROR(__xludf.DUMMYFUNCTION("""COMPUTED_VALUE"""),65.24)</f>
        <v>65.24</v>
      </c>
      <c r="D165" s="2">
        <f>IFERROR(__xludf.DUMMYFUNCTION("""COMPUTED_VALUE"""),64.02)</f>
        <v>64.02</v>
      </c>
      <c r="E165" s="2">
        <f>IFERROR(__xludf.DUMMYFUNCTION("""COMPUTED_VALUE"""),64.62)</f>
        <v>64.62</v>
      </c>
      <c r="F165" s="2">
        <f>IFERROR(__xludf.DUMMYFUNCTION("""COMPUTED_VALUE"""),1.04828847E8)</f>
        <v>104828847</v>
      </c>
      <c r="G165" s="3">
        <f t="shared" si="1"/>
        <v>0.0096875</v>
      </c>
    </row>
    <row r="166">
      <c r="A166" s="1">
        <f>IFERROR(__xludf.DUMMYFUNCTION("""COMPUTED_VALUE"""),42790.66666666667)</f>
        <v>42790.66667</v>
      </c>
      <c r="B166" s="2">
        <f>IFERROR(__xludf.DUMMYFUNCTION("""COMPUTED_VALUE"""),64.61)</f>
        <v>64.61</v>
      </c>
      <c r="C166" s="2">
        <f>IFERROR(__xludf.DUMMYFUNCTION("""COMPUTED_VALUE"""),64.95)</f>
        <v>64.95</v>
      </c>
      <c r="D166" s="2">
        <f>IFERROR(__xludf.DUMMYFUNCTION("""COMPUTED_VALUE"""),64.05)</f>
        <v>64.05</v>
      </c>
      <c r="E166" s="2">
        <f>IFERROR(__xludf.DUMMYFUNCTION("""COMPUTED_VALUE"""),64.62)</f>
        <v>64.62</v>
      </c>
      <c r="F166" s="2">
        <f>IFERROR(__xludf.DUMMYFUNCTION("""COMPUTED_VALUE"""),8.2018448E7)</f>
        <v>82018448</v>
      </c>
      <c r="G166" s="3">
        <f t="shared" si="1"/>
        <v>0</v>
      </c>
    </row>
    <row r="167">
      <c r="A167" s="1">
        <f>IFERROR(__xludf.DUMMYFUNCTION("""COMPUTED_VALUE"""),42797.66666666667)</f>
        <v>42797.66667</v>
      </c>
      <c r="B167" s="2">
        <f>IFERROR(__xludf.DUMMYFUNCTION("""COMPUTED_VALUE"""),64.54)</f>
        <v>64.54</v>
      </c>
      <c r="C167" s="2">
        <f>IFERROR(__xludf.DUMMYFUNCTION("""COMPUTED_VALUE"""),64.99)</f>
        <v>64.99</v>
      </c>
      <c r="D167" s="2">
        <f>IFERROR(__xludf.DUMMYFUNCTION("""COMPUTED_VALUE"""),63.62)</f>
        <v>63.62</v>
      </c>
      <c r="E167" s="2">
        <f>IFERROR(__xludf.DUMMYFUNCTION("""COMPUTED_VALUE"""),64.25)</f>
        <v>64.25</v>
      </c>
      <c r="F167" s="2">
        <f>IFERROR(__xludf.DUMMYFUNCTION("""COMPUTED_VALUE"""),1.08727793E8)</f>
        <v>108727793</v>
      </c>
      <c r="G167" s="3">
        <f t="shared" si="1"/>
        <v>-0.005725781492</v>
      </c>
    </row>
    <row r="168">
      <c r="A168" s="1">
        <f>IFERROR(__xludf.DUMMYFUNCTION("""COMPUTED_VALUE"""),42804.66666666667)</f>
        <v>42804.66667</v>
      </c>
      <c r="B168" s="2">
        <f>IFERROR(__xludf.DUMMYFUNCTION("""COMPUTED_VALUE"""),63.97)</f>
        <v>63.97</v>
      </c>
      <c r="C168" s="2">
        <f>IFERROR(__xludf.DUMMYFUNCTION("""COMPUTED_VALUE"""),65.26)</f>
        <v>65.26</v>
      </c>
      <c r="D168" s="2">
        <f>IFERROR(__xludf.DUMMYFUNCTION("""COMPUTED_VALUE"""),63.81)</f>
        <v>63.81</v>
      </c>
      <c r="E168" s="2">
        <f>IFERROR(__xludf.DUMMYFUNCTION("""COMPUTED_VALUE"""),64.93)</f>
        <v>64.93</v>
      </c>
      <c r="F168" s="2">
        <f>IFERROR(__xludf.DUMMYFUNCTION("""COMPUTED_VALUE"""),9.8167226E7)</f>
        <v>98167226</v>
      </c>
      <c r="G168" s="3">
        <f t="shared" si="1"/>
        <v>0.01058365759</v>
      </c>
    </row>
    <row r="169">
      <c r="A169" s="1">
        <f>IFERROR(__xludf.DUMMYFUNCTION("""COMPUTED_VALUE"""),42811.66666666667)</f>
        <v>42811.66667</v>
      </c>
      <c r="B169" s="2">
        <f>IFERROR(__xludf.DUMMYFUNCTION("""COMPUTED_VALUE"""),65.14)</f>
        <v>65.14</v>
      </c>
      <c r="C169" s="2">
        <f>IFERROR(__xludf.DUMMYFUNCTION("""COMPUTED_VALUE"""),65.24)</f>
        <v>65.24</v>
      </c>
      <c r="D169" s="2">
        <f>IFERROR(__xludf.DUMMYFUNCTION("""COMPUTED_VALUE"""),64.15)</f>
        <v>64.15</v>
      </c>
      <c r="E169" s="2">
        <f>IFERROR(__xludf.DUMMYFUNCTION("""COMPUTED_VALUE"""),64.87)</f>
        <v>64.87</v>
      </c>
      <c r="F169" s="2">
        <f>IFERROR(__xludf.DUMMYFUNCTION("""COMPUTED_VALUE"""),1.29108029E8)</f>
        <v>129108029</v>
      </c>
      <c r="G169" s="3">
        <f t="shared" si="1"/>
        <v>-0.0009240720776</v>
      </c>
    </row>
    <row r="170">
      <c r="A170" s="1">
        <f>IFERROR(__xludf.DUMMYFUNCTION("""COMPUTED_VALUE"""),42818.66666666667)</f>
        <v>42818.66667</v>
      </c>
      <c r="B170" s="2">
        <f>IFERROR(__xludf.DUMMYFUNCTION("""COMPUTED_VALUE"""),64.91)</f>
        <v>64.91</v>
      </c>
      <c r="C170" s="2">
        <f>IFERROR(__xludf.DUMMYFUNCTION("""COMPUTED_VALUE"""),65.5)</f>
        <v>65.5</v>
      </c>
      <c r="D170" s="2">
        <f>IFERROR(__xludf.DUMMYFUNCTION("""COMPUTED_VALUE"""),64.12)</f>
        <v>64.12</v>
      </c>
      <c r="E170" s="2">
        <f>IFERROR(__xludf.DUMMYFUNCTION("""COMPUTED_VALUE"""),64.98)</f>
        <v>64.98</v>
      </c>
      <c r="F170" s="2">
        <f>IFERROR(__xludf.DUMMYFUNCTION("""COMPUTED_VALUE"""),1.03804886E8)</f>
        <v>103804886</v>
      </c>
      <c r="G170" s="3">
        <f t="shared" si="1"/>
        <v>0.00169569909</v>
      </c>
    </row>
    <row r="171">
      <c r="A171" s="1">
        <f>IFERROR(__xludf.DUMMYFUNCTION("""COMPUTED_VALUE"""),42825.66666666667)</f>
        <v>42825.66667</v>
      </c>
      <c r="B171" s="2">
        <f>IFERROR(__xludf.DUMMYFUNCTION("""COMPUTED_VALUE"""),64.63)</f>
        <v>64.63</v>
      </c>
      <c r="C171" s="2">
        <f>IFERROR(__xludf.DUMMYFUNCTION("""COMPUTED_VALUE"""),66.19)</f>
        <v>66.19</v>
      </c>
      <c r="D171" s="2">
        <f>IFERROR(__xludf.DUMMYFUNCTION("""COMPUTED_VALUE"""),64.35)</f>
        <v>64.35</v>
      </c>
      <c r="E171" s="2">
        <f>IFERROR(__xludf.DUMMYFUNCTION("""COMPUTED_VALUE"""),65.86)</f>
        <v>65.86</v>
      </c>
      <c r="F171" s="2">
        <f>IFERROR(__xludf.DUMMYFUNCTION("""COMPUTED_VALUE"""),8.8476598E7)</f>
        <v>88476598</v>
      </c>
      <c r="G171" s="3">
        <f t="shared" si="1"/>
        <v>0.0135426285</v>
      </c>
    </row>
    <row r="172">
      <c r="A172" s="1">
        <f>IFERROR(__xludf.DUMMYFUNCTION("""COMPUTED_VALUE"""),42832.66666666667)</f>
        <v>42832.66667</v>
      </c>
      <c r="B172" s="2">
        <f>IFERROR(__xludf.DUMMYFUNCTION("""COMPUTED_VALUE"""),65.81)</f>
        <v>65.81</v>
      </c>
      <c r="C172" s="2">
        <f>IFERROR(__xludf.DUMMYFUNCTION("""COMPUTED_VALUE"""),66.35)</f>
        <v>66.35</v>
      </c>
      <c r="D172" s="2">
        <f>IFERROR(__xludf.DUMMYFUNCTION("""COMPUTED_VALUE"""),65.19)</f>
        <v>65.19</v>
      </c>
      <c r="E172" s="2">
        <f>IFERROR(__xludf.DUMMYFUNCTION("""COMPUTED_VALUE"""),65.68)</f>
        <v>65.68</v>
      </c>
      <c r="F172" s="2">
        <f>IFERROR(__xludf.DUMMYFUNCTION("""COMPUTED_VALUE"""),8.70589E7)</f>
        <v>87058900</v>
      </c>
      <c r="G172" s="3">
        <f t="shared" si="1"/>
        <v>-0.002733070149</v>
      </c>
    </row>
    <row r="173">
      <c r="A173" s="1">
        <f>IFERROR(__xludf.DUMMYFUNCTION("""COMPUTED_VALUE"""),42838.66666666667)</f>
        <v>42838.66667</v>
      </c>
      <c r="B173" s="2">
        <f>IFERROR(__xludf.DUMMYFUNCTION("""COMPUTED_VALUE"""),65.61)</f>
        <v>65.61</v>
      </c>
      <c r="C173" s="2">
        <f>IFERROR(__xludf.DUMMYFUNCTION("""COMPUTED_VALUE"""),65.86)</f>
        <v>65.86</v>
      </c>
      <c r="D173" s="2">
        <f>IFERROR(__xludf.DUMMYFUNCTION("""COMPUTED_VALUE"""),64.85)</f>
        <v>64.85</v>
      </c>
      <c r="E173" s="2">
        <f>IFERROR(__xludf.DUMMYFUNCTION("""COMPUTED_VALUE"""),64.95)</f>
        <v>64.95</v>
      </c>
      <c r="F173" s="2">
        <f>IFERROR(__xludf.DUMMYFUNCTION("""COMPUTED_VALUE"""),7.1749271E7)</f>
        <v>71749271</v>
      </c>
      <c r="G173" s="3">
        <f t="shared" si="1"/>
        <v>-0.01111449452</v>
      </c>
    </row>
    <row r="174">
      <c r="A174" s="1">
        <f>IFERROR(__xludf.DUMMYFUNCTION("""COMPUTED_VALUE"""),42846.66666666667)</f>
        <v>42846.66667</v>
      </c>
      <c r="B174" s="2">
        <f>IFERROR(__xludf.DUMMYFUNCTION("""COMPUTED_VALUE"""),65.04)</f>
        <v>65.04</v>
      </c>
      <c r="C174" s="2">
        <f>IFERROR(__xludf.DUMMYFUNCTION("""COMPUTED_VALUE"""),66.7)</f>
        <v>66.7</v>
      </c>
      <c r="D174" s="2">
        <f>IFERROR(__xludf.DUMMYFUNCTION("""COMPUTED_VALUE"""),64.89)</f>
        <v>64.89</v>
      </c>
      <c r="E174" s="2">
        <f>IFERROR(__xludf.DUMMYFUNCTION("""COMPUTED_VALUE"""),66.4)</f>
        <v>66.4</v>
      </c>
      <c r="F174" s="2">
        <f>IFERROR(__xludf.DUMMYFUNCTION("""COMPUTED_VALUE"""),1.13659769E8)</f>
        <v>113659769</v>
      </c>
      <c r="G174" s="3">
        <f t="shared" si="1"/>
        <v>0.02232486528</v>
      </c>
    </row>
    <row r="175">
      <c r="A175" s="1">
        <f>IFERROR(__xludf.DUMMYFUNCTION("""COMPUTED_VALUE"""),42853.66666666667)</f>
        <v>42853.66667</v>
      </c>
      <c r="B175" s="2">
        <f>IFERROR(__xludf.DUMMYFUNCTION("""COMPUTED_VALUE"""),67.48)</f>
        <v>67.48</v>
      </c>
      <c r="C175" s="2">
        <f>IFERROR(__xludf.DUMMYFUNCTION("""COMPUTED_VALUE"""),69.14)</f>
        <v>69.14</v>
      </c>
      <c r="D175" s="2">
        <f>IFERROR(__xludf.DUMMYFUNCTION("""COMPUTED_VALUE"""),67.1)</f>
        <v>67.1</v>
      </c>
      <c r="E175" s="2">
        <f>IFERROR(__xludf.DUMMYFUNCTION("""COMPUTED_VALUE"""),68.46)</f>
        <v>68.46</v>
      </c>
      <c r="F175" s="2">
        <f>IFERROR(__xludf.DUMMYFUNCTION("""COMPUTED_VALUE"""),1.60723247E8)</f>
        <v>160723247</v>
      </c>
      <c r="G175" s="3">
        <f t="shared" si="1"/>
        <v>0.03102409639</v>
      </c>
    </row>
    <row r="176">
      <c r="A176" s="1">
        <f>IFERROR(__xludf.DUMMYFUNCTION("""COMPUTED_VALUE"""),42860.66666666667)</f>
        <v>42860.66667</v>
      </c>
      <c r="B176" s="2">
        <f>IFERROR(__xludf.DUMMYFUNCTION("""COMPUTED_VALUE"""),68.68)</f>
        <v>68.68</v>
      </c>
      <c r="C176" s="2">
        <f>IFERROR(__xludf.DUMMYFUNCTION("""COMPUTED_VALUE"""),69.71)</f>
        <v>69.71</v>
      </c>
      <c r="D176" s="2">
        <f>IFERROR(__xludf.DUMMYFUNCTION("""COMPUTED_VALUE"""),68.49)</f>
        <v>68.49</v>
      </c>
      <c r="E176" s="2">
        <f>IFERROR(__xludf.DUMMYFUNCTION("""COMPUTED_VALUE"""),69.0)</f>
        <v>69</v>
      </c>
      <c r="F176" s="2">
        <f>IFERROR(__xludf.DUMMYFUNCTION("""COMPUTED_VALUE"""),1.25666645E8)</f>
        <v>125666645</v>
      </c>
      <c r="G176" s="3">
        <f t="shared" si="1"/>
        <v>0.007887817704</v>
      </c>
    </row>
    <row r="177">
      <c r="A177" s="1">
        <f>IFERROR(__xludf.DUMMYFUNCTION("""COMPUTED_VALUE"""),42867.66666666667)</f>
        <v>42867.66667</v>
      </c>
      <c r="B177" s="2">
        <f>IFERROR(__xludf.DUMMYFUNCTION("""COMPUTED_VALUE"""),68.97)</f>
        <v>68.97</v>
      </c>
      <c r="C177" s="2">
        <f>IFERROR(__xludf.DUMMYFUNCTION("""COMPUTED_VALUE"""),69.56)</f>
        <v>69.56</v>
      </c>
      <c r="D177" s="2">
        <f>IFERROR(__xludf.DUMMYFUNCTION("""COMPUTED_VALUE"""),68.04)</f>
        <v>68.04</v>
      </c>
      <c r="E177" s="2">
        <f>IFERROR(__xludf.DUMMYFUNCTION("""COMPUTED_VALUE"""),68.38)</f>
        <v>68.38</v>
      </c>
      <c r="F177" s="2">
        <f>IFERROR(__xludf.DUMMYFUNCTION("""COMPUTED_VALUE"""),1.06905867E8)</f>
        <v>106905867</v>
      </c>
      <c r="G177" s="3">
        <f t="shared" si="1"/>
        <v>-0.008985507246</v>
      </c>
    </row>
    <row r="178">
      <c r="A178" s="1">
        <f>IFERROR(__xludf.DUMMYFUNCTION("""COMPUTED_VALUE"""),42874.66666666667)</f>
        <v>42874.66667</v>
      </c>
      <c r="B178" s="2">
        <f>IFERROR(__xludf.DUMMYFUNCTION("""COMPUTED_VALUE"""),68.14)</f>
        <v>68.14</v>
      </c>
      <c r="C178" s="2">
        <f>IFERROR(__xludf.DUMMYFUNCTION("""COMPUTED_VALUE"""),69.44)</f>
        <v>69.44</v>
      </c>
      <c r="D178" s="2">
        <f>IFERROR(__xludf.DUMMYFUNCTION("""COMPUTED_VALUE"""),67.14)</f>
        <v>67.14</v>
      </c>
      <c r="E178" s="2">
        <f>IFERROR(__xludf.DUMMYFUNCTION("""COMPUTED_VALUE"""),67.69)</f>
        <v>67.69</v>
      </c>
      <c r="F178" s="2">
        <f>IFERROR(__xludf.DUMMYFUNCTION("""COMPUTED_VALUE"""),1.49197513E8)</f>
        <v>149197513</v>
      </c>
      <c r="G178" s="3">
        <f t="shared" si="1"/>
        <v>-0.01009066979</v>
      </c>
    </row>
    <row r="179">
      <c r="A179" s="1">
        <f>IFERROR(__xludf.DUMMYFUNCTION("""COMPUTED_VALUE"""),42881.66666666667)</f>
        <v>42881.66667</v>
      </c>
      <c r="B179" s="2">
        <f>IFERROR(__xludf.DUMMYFUNCTION("""COMPUTED_VALUE"""),67.89)</f>
        <v>67.89</v>
      </c>
      <c r="C179" s="2">
        <f>IFERROR(__xludf.DUMMYFUNCTION("""COMPUTED_VALUE"""),70.22)</f>
        <v>70.22</v>
      </c>
      <c r="D179" s="2">
        <f>IFERROR(__xludf.DUMMYFUNCTION("""COMPUTED_VALUE"""),67.5)</f>
        <v>67.5</v>
      </c>
      <c r="E179" s="2">
        <f>IFERROR(__xludf.DUMMYFUNCTION("""COMPUTED_VALUE"""),69.96)</f>
        <v>69.96</v>
      </c>
      <c r="F179" s="2">
        <f>IFERROR(__xludf.DUMMYFUNCTION("""COMPUTED_VALUE"""),8.8012257E7)</f>
        <v>88012257</v>
      </c>
      <c r="G179" s="3">
        <f t="shared" si="1"/>
        <v>0.03353523416</v>
      </c>
    </row>
    <row r="180">
      <c r="A180" s="1">
        <f>IFERROR(__xludf.DUMMYFUNCTION("""COMPUTED_VALUE"""),42888.66666666667)</f>
        <v>42888.66667</v>
      </c>
      <c r="B180" s="2">
        <f>IFERROR(__xludf.DUMMYFUNCTION("""COMPUTED_VALUE"""),69.79)</f>
        <v>69.79</v>
      </c>
      <c r="C180" s="2">
        <f>IFERROR(__xludf.DUMMYFUNCTION("""COMPUTED_VALUE"""),71.86)</f>
        <v>71.86</v>
      </c>
      <c r="D180" s="2">
        <f>IFERROR(__xludf.DUMMYFUNCTION("""COMPUTED_VALUE"""),69.45)</f>
        <v>69.45</v>
      </c>
      <c r="E180" s="2">
        <f>IFERROR(__xludf.DUMMYFUNCTION("""COMPUTED_VALUE"""),71.76)</f>
        <v>71.76</v>
      </c>
      <c r="F180" s="2">
        <f>IFERROR(__xludf.DUMMYFUNCTION("""COMPUTED_VALUE"""),1.03883064E8)</f>
        <v>103883064</v>
      </c>
      <c r="G180" s="3">
        <f t="shared" si="1"/>
        <v>0.02572898799</v>
      </c>
    </row>
    <row r="181">
      <c r="A181" s="1">
        <f>IFERROR(__xludf.DUMMYFUNCTION("""COMPUTED_VALUE"""),42895.66666666667)</f>
        <v>42895.66667</v>
      </c>
      <c r="B181" s="2">
        <f>IFERROR(__xludf.DUMMYFUNCTION("""COMPUTED_VALUE"""),71.97)</f>
        <v>71.97</v>
      </c>
      <c r="C181" s="2">
        <f>IFERROR(__xludf.DUMMYFUNCTION("""COMPUTED_VALUE"""),72.89)</f>
        <v>72.89</v>
      </c>
      <c r="D181" s="2">
        <f>IFERROR(__xludf.DUMMYFUNCTION("""COMPUTED_VALUE"""),68.59)</f>
        <v>68.59</v>
      </c>
      <c r="E181" s="2">
        <f>IFERROR(__xludf.DUMMYFUNCTION("""COMPUTED_VALUE"""),70.32)</f>
        <v>70.32</v>
      </c>
      <c r="F181" s="2">
        <f>IFERROR(__xludf.DUMMYFUNCTION("""COMPUTED_VALUE"""),1.60905256E8)</f>
        <v>160905256</v>
      </c>
      <c r="G181" s="3">
        <f t="shared" si="1"/>
        <v>-0.02006688963</v>
      </c>
    </row>
    <row r="182">
      <c r="A182" s="1">
        <f>IFERROR(__xludf.DUMMYFUNCTION("""COMPUTED_VALUE"""),42902.66666666667)</f>
        <v>42902.66667</v>
      </c>
      <c r="B182" s="2">
        <f>IFERROR(__xludf.DUMMYFUNCTION("""COMPUTED_VALUE"""),69.25)</f>
        <v>69.25</v>
      </c>
      <c r="C182" s="2">
        <f>IFERROR(__xludf.DUMMYFUNCTION("""COMPUTED_VALUE"""),71.1)</f>
        <v>71.1</v>
      </c>
      <c r="D182" s="2">
        <f>IFERROR(__xludf.DUMMYFUNCTION("""COMPUTED_VALUE"""),68.13)</f>
        <v>68.13</v>
      </c>
      <c r="E182" s="2">
        <f>IFERROR(__xludf.DUMMYFUNCTION("""COMPUTED_VALUE"""),70.0)</f>
        <v>70</v>
      </c>
      <c r="F182" s="2">
        <f>IFERROR(__xludf.DUMMYFUNCTION("""COMPUTED_VALUE"""),1.72944836E8)</f>
        <v>172944836</v>
      </c>
      <c r="G182" s="3">
        <f t="shared" si="1"/>
        <v>-0.004550625711</v>
      </c>
    </row>
    <row r="183">
      <c r="A183" s="1">
        <f>IFERROR(__xludf.DUMMYFUNCTION("""COMPUTED_VALUE"""),42909.66666666667)</f>
        <v>42909.66667</v>
      </c>
      <c r="B183" s="2">
        <f>IFERROR(__xludf.DUMMYFUNCTION("""COMPUTED_VALUE"""),70.5)</f>
        <v>70.5</v>
      </c>
      <c r="C183" s="2">
        <f>IFERROR(__xludf.DUMMYFUNCTION("""COMPUTED_VALUE"""),71.25)</f>
        <v>71.25</v>
      </c>
      <c r="D183" s="2">
        <f>IFERROR(__xludf.DUMMYFUNCTION("""COMPUTED_VALUE"""),69.71)</f>
        <v>69.71</v>
      </c>
      <c r="E183" s="2">
        <f>IFERROR(__xludf.DUMMYFUNCTION("""COMPUTED_VALUE"""),71.21)</f>
        <v>71.21</v>
      </c>
      <c r="F183" s="2">
        <f>IFERROR(__xludf.DUMMYFUNCTION("""COMPUTED_VALUE"""),1.15784579E8)</f>
        <v>115784579</v>
      </c>
      <c r="G183" s="3">
        <f t="shared" si="1"/>
        <v>0.01728571429</v>
      </c>
    </row>
    <row r="184">
      <c r="A184" s="1">
        <f>IFERROR(__xludf.DUMMYFUNCTION("""COMPUTED_VALUE"""),42916.66666666667)</f>
        <v>42916.66667</v>
      </c>
      <c r="B184" s="2">
        <f>IFERROR(__xludf.DUMMYFUNCTION("""COMPUTED_VALUE"""),71.4)</f>
        <v>71.4</v>
      </c>
      <c r="C184" s="2">
        <f>IFERROR(__xludf.DUMMYFUNCTION("""COMPUTED_VALUE"""),71.71)</f>
        <v>71.71</v>
      </c>
      <c r="D184" s="2">
        <f>IFERROR(__xludf.DUMMYFUNCTION("""COMPUTED_VALUE"""),68.09)</f>
        <v>68.09</v>
      </c>
      <c r="E184" s="2">
        <f>IFERROR(__xludf.DUMMYFUNCTION("""COMPUTED_VALUE"""),68.93)</f>
        <v>68.93</v>
      </c>
      <c r="F184" s="2">
        <f>IFERROR(__xludf.DUMMYFUNCTION("""COMPUTED_VALUE"""),1.23708085E8)</f>
        <v>123708085</v>
      </c>
      <c r="G184" s="3">
        <f t="shared" si="1"/>
        <v>-0.032017975</v>
      </c>
    </row>
    <row r="185">
      <c r="A185" s="1">
        <f>IFERROR(__xludf.DUMMYFUNCTION("""COMPUTED_VALUE"""),42923.66666666667)</f>
        <v>42923.66667</v>
      </c>
      <c r="B185" s="2">
        <f>IFERROR(__xludf.DUMMYFUNCTION("""COMPUTED_VALUE"""),69.33)</f>
        <v>69.33</v>
      </c>
      <c r="C185" s="2">
        <f>IFERROR(__xludf.DUMMYFUNCTION("""COMPUTED_VALUE"""),69.84)</f>
        <v>69.84</v>
      </c>
      <c r="D185" s="2">
        <f>IFERROR(__xludf.DUMMYFUNCTION("""COMPUTED_VALUE"""),68.02)</f>
        <v>68.02</v>
      </c>
      <c r="E185" s="2">
        <f>IFERROR(__xludf.DUMMYFUNCTION("""COMPUTED_VALUE"""),69.46)</f>
        <v>69.46</v>
      </c>
      <c r="F185" s="2">
        <f>IFERROR(__xludf.DUMMYFUNCTION("""COMPUTED_VALUE"""),7.5337699E7)</f>
        <v>75337699</v>
      </c>
      <c r="G185" s="3">
        <f t="shared" si="1"/>
        <v>0.007688959814</v>
      </c>
    </row>
    <row r="186">
      <c r="A186" s="1">
        <f>IFERROR(__xludf.DUMMYFUNCTION("""COMPUTED_VALUE"""),42930.66666666667)</f>
        <v>42930.66667</v>
      </c>
      <c r="B186" s="2">
        <f>IFERROR(__xludf.DUMMYFUNCTION("""COMPUTED_VALUE"""),69.46)</f>
        <v>69.46</v>
      </c>
      <c r="C186" s="2">
        <f>IFERROR(__xludf.DUMMYFUNCTION("""COMPUTED_VALUE"""),73.27)</f>
        <v>73.27</v>
      </c>
      <c r="D186" s="2">
        <f>IFERROR(__xludf.DUMMYFUNCTION("""COMPUTED_VALUE"""),69.2)</f>
        <v>69.2</v>
      </c>
      <c r="E186" s="2">
        <f>IFERROR(__xludf.DUMMYFUNCTION("""COMPUTED_VALUE"""),72.78)</f>
        <v>72.78</v>
      </c>
      <c r="F186" s="2">
        <f>IFERROR(__xludf.DUMMYFUNCTION("""COMPUTED_VALUE"""),9.6363352E7)</f>
        <v>96363352</v>
      </c>
      <c r="G186" s="3">
        <f t="shared" si="1"/>
        <v>0.04779729341</v>
      </c>
    </row>
    <row r="187">
      <c r="A187" s="1">
        <f>IFERROR(__xludf.DUMMYFUNCTION("""COMPUTED_VALUE"""),42937.66666666667)</f>
        <v>42937.66667</v>
      </c>
      <c r="B187" s="2">
        <f>IFERROR(__xludf.DUMMYFUNCTION("""COMPUTED_VALUE"""),72.8)</f>
        <v>72.8</v>
      </c>
      <c r="C187" s="2">
        <f>IFERROR(__xludf.DUMMYFUNCTION("""COMPUTED_VALUE"""),74.3)</f>
        <v>74.3</v>
      </c>
      <c r="D187" s="2">
        <f>IFERROR(__xludf.DUMMYFUNCTION("""COMPUTED_VALUE"""),72.66)</f>
        <v>72.66</v>
      </c>
      <c r="E187" s="2">
        <f>IFERROR(__xludf.DUMMYFUNCTION("""COMPUTED_VALUE"""),73.79)</f>
        <v>73.79</v>
      </c>
      <c r="F187" s="2">
        <f>IFERROR(__xludf.DUMMYFUNCTION("""COMPUTED_VALUE"""),1.59733532E8)</f>
        <v>159733532</v>
      </c>
      <c r="G187" s="3">
        <f t="shared" si="1"/>
        <v>0.01387743886</v>
      </c>
    </row>
    <row r="188">
      <c r="A188" s="1">
        <f>IFERROR(__xludf.DUMMYFUNCTION("""COMPUTED_VALUE"""),42944.66666666667)</f>
        <v>42944.66667</v>
      </c>
      <c r="B188" s="2">
        <f>IFERROR(__xludf.DUMMYFUNCTION("""COMPUTED_VALUE"""),73.53)</f>
        <v>73.53</v>
      </c>
      <c r="C188" s="2">
        <f>IFERROR(__xludf.DUMMYFUNCTION("""COMPUTED_VALUE"""),74.42)</f>
        <v>74.42</v>
      </c>
      <c r="D188" s="2">
        <f>IFERROR(__xludf.DUMMYFUNCTION("""COMPUTED_VALUE"""),72.32)</f>
        <v>72.32</v>
      </c>
      <c r="E188" s="2">
        <f>IFERROR(__xludf.DUMMYFUNCTION("""COMPUTED_VALUE"""),73.04)</f>
        <v>73.04</v>
      </c>
      <c r="F188" s="2">
        <f>IFERROR(__xludf.DUMMYFUNCTION("""COMPUTED_VALUE"""),1.1481664E8)</f>
        <v>114816640</v>
      </c>
      <c r="G188" s="3">
        <f t="shared" si="1"/>
        <v>-0.01016397886</v>
      </c>
    </row>
    <row r="189">
      <c r="A189" s="1">
        <f>IFERROR(__xludf.DUMMYFUNCTION("""COMPUTED_VALUE"""),42951.66666666667)</f>
        <v>42951.66667</v>
      </c>
      <c r="B189" s="2">
        <f>IFERROR(__xludf.DUMMYFUNCTION("""COMPUTED_VALUE"""),73.3)</f>
        <v>73.3</v>
      </c>
      <c r="C189" s="2">
        <f>IFERROR(__xludf.DUMMYFUNCTION("""COMPUTED_VALUE"""),73.44)</f>
        <v>73.44</v>
      </c>
      <c r="D189" s="2">
        <f>IFERROR(__xludf.DUMMYFUNCTION("""COMPUTED_VALUE"""),71.44)</f>
        <v>71.44</v>
      </c>
      <c r="E189" s="2">
        <f>IFERROR(__xludf.DUMMYFUNCTION("""COMPUTED_VALUE"""),72.68)</f>
        <v>72.68</v>
      </c>
      <c r="F189" s="2">
        <f>IFERROR(__xludf.DUMMYFUNCTION("""COMPUTED_VALUE"""),1.11716478E8)</f>
        <v>111716478</v>
      </c>
      <c r="G189" s="3">
        <f t="shared" si="1"/>
        <v>-0.004928806134</v>
      </c>
    </row>
    <row r="190">
      <c r="A190" s="1">
        <f>IFERROR(__xludf.DUMMYFUNCTION("""COMPUTED_VALUE"""),42958.66666666667)</f>
        <v>42958.66667</v>
      </c>
      <c r="B190" s="2">
        <f>IFERROR(__xludf.DUMMYFUNCTION("""COMPUTED_VALUE"""),72.8)</f>
        <v>72.8</v>
      </c>
      <c r="C190" s="2">
        <f>IFERROR(__xludf.DUMMYFUNCTION("""COMPUTED_VALUE"""),73.13)</f>
        <v>73.13</v>
      </c>
      <c r="D190" s="2">
        <f>IFERROR(__xludf.DUMMYFUNCTION("""COMPUTED_VALUE"""),71.28)</f>
        <v>71.28</v>
      </c>
      <c r="E190" s="2">
        <f>IFERROR(__xludf.DUMMYFUNCTION("""COMPUTED_VALUE"""),72.5)</f>
        <v>72.5</v>
      </c>
      <c r="F190" s="2">
        <f>IFERROR(__xludf.DUMMYFUNCTION("""COMPUTED_VALUE"""),1.09141814E8)</f>
        <v>109141814</v>
      </c>
      <c r="G190" s="3">
        <f t="shared" si="1"/>
        <v>-0.002476609796</v>
      </c>
    </row>
    <row r="191">
      <c r="A191" s="1">
        <f>IFERROR(__xludf.DUMMYFUNCTION("""COMPUTED_VALUE"""),42965.66666666667)</f>
        <v>42965.66667</v>
      </c>
      <c r="B191" s="2">
        <f>IFERROR(__xludf.DUMMYFUNCTION("""COMPUTED_VALUE"""),73.06)</f>
        <v>73.06</v>
      </c>
      <c r="C191" s="2">
        <f>IFERROR(__xludf.DUMMYFUNCTION("""COMPUTED_VALUE"""),74.1)</f>
        <v>74.1</v>
      </c>
      <c r="D191" s="2">
        <f>IFERROR(__xludf.DUMMYFUNCTION("""COMPUTED_VALUE"""),71.93)</f>
        <v>71.93</v>
      </c>
      <c r="E191" s="2">
        <f>IFERROR(__xludf.DUMMYFUNCTION("""COMPUTED_VALUE"""),72.49)</f>
        <v>72.49</v>
      </c>
      <c r="F191" s="2">
        <f>IFERROR(__xludf.DUMMYFUNCTION("""COMPUTED_VALUE"""),9.9167406E7)</f>
        <v>99167406</v>
      </c>
      <c r="G191" s="3">
        <f t="shared" si="1"/>
        <v>-0.0001379310345</v>
      </c>
    </row>
    <row r="192">
      <c r="A192" s="1">
        <f>IFERROR(__xludf.DUMMYFUNCTION("""COMPUTED_VALUE"""),42972.66666666667)</f>
        <v>42972.66667</v>
      </c>
      <c r="B192" s="2">
        <f>IFERROR(__xludf.DUMMYFUNCTION("""COMPUTED_VALUE"""),72.47)</f>
        <v>72.47</v>
      </c>
      <c r="C192" s="2">
        <f>IFERROR(__xludf.DUMMYFUNCTION("""COMPUTED_VALUE"""),73.35)</f>
        <v>73.35</v>
      </c>
      <c r="D192" s="2">
        <f>IFERROR(__xludf.DUMMYFUNCTION("""COMPUTED_VALUE"""),71.7)</f>
        <v>71.7</v>
      </c>
      <c r="E192" s="2">
        <f>IFERROR(__xludf.DUMMYFUNCTION("""COMPUTED_VALUE"""),72.82)</f>
        <v>72.82</v>
      </c>
      <c r="F192" s="2">
        <f>IFERROR(__xludf.DUMMYFUNCTION("""COMPUTED_VALUE"""),7.5737531E7)</f>
        <v>75737531</v>
      </c>
      <c r="G192" s="3">
        <f t="shared" si="1"/>
        <v>0.004552352049</v>
      </c>
    </row>
    <row r="193">
      <c r="A193" s="1">
        <f>IFERROR(__xludf.DUMMYFUNCTION("""COMPUTED_VALUE"""),42979.66666666667)</f>
        <v>42979.66667</v>
      </c>
      <c r="B193" s="2">
        <f>IFERROR(__xludf.DUMMYFUNCTION("""COMPUTED_VALUE"""),73.06)</f>
        <v>73.06</v>
      </c>
      <c r="C193" s="2">
        <f>IFERROR(__xludf.DUMMYFUNCTION("""COMPUTED_VALUE"""),74.96)</f>
        <v>74.96</v>
      </c>
      <c r="D193" s="2">
        <f>IFERROR(__xludf.DUMMYFUNCTION("""COMPUTED_VALUE"""),72.05)</f>
        <v>72.05</v>
      </c>
      <c r="E193" s="2">
        <f>IFERROR(__xludf.DUMMYFUNCTION("""COMPUTED_VALUE"""),73.94)</f>
        <v>73.94</v>
      </c>
      <c r="F193" s="2">
        <f>IFERROR(__xludf.DUMMYFUNCTION("""COMPUTED_VALUE"""),9.233487E7)</f>
        <v>92334870</v>
      </c>
      <c r="G193" s="3">
        <f t="shared" si="1"/>
        <v>0.01538039</v>
      </c>
    </row>
    <row r="194">
      <c r="A194" s="1">
        <f>IFERROR(__xludf.DUMMYFUNCTION("""COMPUTED_VALUE"""),42986.66666666667)</f>
        <v>42986.66667</v>
      </c>
      <c r="B194" s="2">
        <f>IFERROR(__xludf.DUMMYFUNCTION("""COMPUTED_VALUE"""),73.34)</f>
        <v>73.34</v>
      </c>
      <c r="C194" s="2">
        <f>IFERROR(__xludf.DUMMYFUNCTION("""COMPUTED_VALUE"""),74.6)</f>
        <v>74.6</v>
      </c>
      <c r="D194" s="2">
        <f>IFERROR(__xludf.DUMMYFUNCTION("""COMPUTED_VALUE"""),72.98)</f>
        <v>72.98</v>
      </c>
      <c r="E194" s="2">
        <f>IFERROR(__xludf.DUMMYFUNCTION("""COMPUTED_VALUE"""),73.98)</f>
        <v>73.98</v>
      </c>
      <c r="F194" s="2">
        <f>IFERROR(__xludf.DUMMYFUNCTION("""COMPUTED_VALUE"""),7.0953185E7)</f>
        <v>70953185</v>
      </c>
      <c r="G194" s="3">
        <f t="shared" si="1"/>
        <v>0.0005409791723</v>
      </c>
    </row>
    <row r="195">
      <c r="A195" s="1">
        <f>IFERROR(__xludf.DUMMYFUNCTION("""COMPUTED_VALUE"""),42993.66666666667)</f>
        <v>42993.66667</v>
      </c>
      <c r="B195" s="2">
        <f>IFERROR(__xludf.DUMMYFUNCTION("""COMPUTED_VALUE"""),74.31)</f>
        <v>74.31</v>
      </c>
      <c r="C195" s="2">
        <f>IFERROR(__xludf.DUMMYFUNCTION("""COMPUTED_VALUE"""),75.49)</f>
        <v>75.49</v>
      </c>
      <c r="D195" s="2">
        <f>IFERROR(__xludf.DUMMYFUNCTION("""COMPUTED_VALUE"""),74.07)</f>
        <v>74.07</v>
      </c>
      <c r="E195" s="2">
        <f>IFERROR(__xludf.DUMMYFUNCTION("""COMPUTED_VALUE"""),75.31)</f>
        <v>75.31</v>
      </c>
      <c r="F195" s="2">
        <f>IFERROR(__xludf.DUMMYFUNCTION("""COMPUTED_VALUE"""),9.999839E7)</f>
        <v>99998390</v>
      </c>
      <c r="G195" s="3">
        <f t="shared" si="1"/>
        <v>0.01797783185</v>
      </c>
    </row>
    <row r="196">
      <c r="A196" s="1">
        <f>IFERROR(__xludf.DUMMYFUNCTION("""COMPUTED_VALUE"""),43000.66666666667)</f>
        <v>43000.66667</v>
      </c>
      <c r="B196" s="2">
        <f>IFERROR(__xludf.DUMMYFUNCTION("""COMPUTED_VALUE"""),75.23)</f>
        <v>75.23</v>
      </c>
      <c r="C196" s="2">
        <f>IFERROR(__xludf.DUMMYFUNCTION("""COMPUTED_VALUE"""),75.97)</f>
        <v>75.97</v>
      </c>
      <c r="D196" s="2">
        <f>IFERROR(__xludf.DUMMYFUNCTION("""COMPUTED_VALUE"""),73.85)</f>
        <v>73.85</v>
      </c>
      <c r="E196" s="2">
        <f>IFERROR(__xludf.DUMMYFUNCTION("""COMPUTED_VALUE"""),74.41)</f>
        <v>74.41</v>
      </c>
      <c r="F196" s="2">
        <f>IFERROR(__xludf.DUMMYFUNCTION("""COMPUTED_VALUE"""),9.4285686E7)</f>
        <v>94285686</v>
      </c>
      <c r="G196" s="3">
        <f t="shared" si="1"/>
        <v>-0.01195060417</v>
      </c>
    </row>
    <row r="197">
      <c r="A197" s="1">
        <f>IFERROR(__xludf.DUMMYFUNCTION("""COMPUTED_VALUE"""),43007.66666666667)</f>
        <v>43007.66667</v>
      </c>
      <c r="B197" s="2">
        <f>IFERROR(__xludf.DUMMYFUNCTION("""COMPUTED_VALUE"""),74.09)</f>
        <v>74.09</v>
      </c>
      <c r="C197" s="2">
        <f>IFERROR(__xludf.DUMMYFUNCTION("""COMPUTED_VALUE"""),74.54)</f>
        <v>74.54</v>
      </c>
      <c r="D197" s="2">
        <f>IFERROR(__xludf.DUMMYFUNCTION("""COMPUTED_VALUE"""),72.92)</f>
        <v>72.92</v>
      </c>
      <c r="E197" s="2">
        <f>IFERROR(__xludf.DUMMYFUNCTION("""COMPUTED_VALUE"""),74.49)</f>
        <v>74.49</v>
      </c>
      <c r="F197" s="2">
        <f>IFERROR(__xludf.DUMMYFUNCTION("""COMPUTED_VALUE"""),8.9696776E7)</f>
        <v>89696776</v>
      </c>
      <c r="G197" s="3">
        <f t="shared" si="1"/>
        <v>0.001075124311</v>
      </c>
    </row>
    <row r="198">
      <c r="A198" s="1">
        <f>IFERROR(__xludf.DUMMYFUNCTION("""COMPUTED_VALUE"""),43014.66666666667)</f>
        <v>43014.66667</v>
      </c>
      <c r="B198" s="2">
        <f>IFERROR(__xludf.DUMMYFUNCTION("""COMPUTED_VALUE"""),74.71)</f>
        <v>74.71</v>
      </c>
      <c r="C198" s="2">
        <f>IFERROR(__xludf.DUMMYFUNCTION("""COMPUTED_VALUE"""),76.12)</f>
        <v>76.12</v>
      </c>
      <c r="D198" s="2">
        <f>IFERROR(__xludf.DUMMYFUNCTION("""COMPUTED_VALUE"""),73.71)</f>
        <v>73.71</v>
      </c>
      <c r="E198" s="2">
        <f>IFERROR(__xludf.DUMMYFUNCTION("""COMPUTED_VALUE"""),76.0)</f>
        <v>76</v>
      </c>
      <c r="F198" s="2">
        <f>IFERROR(__xludf.DUMMYFUNCTION("""COMPUTED_VALUE"""),7.5967921E7)</f>
        <v>75967921</v>
      </c>
      <c r="G198" s="3">
        <f t="shared" si="1"/>
        <v>0.02027117734</v>
      </c>
    </row>
    <row r="199">
      <c r="A199" s="1">
        <f>IFERROR(__xludf.DUMMYFUNCTION("""COMPUTED_VALUE"""),43021.66666666667)</f>
        <v>43021.66667</v>
      </c>
      <c r="B199" s="2">
        <f>IFERROR(__xludf.DUMMYFUNCTION("""COMPUTED_VALUE"""),75.97)</f>
        <v>75.97</v>
      </c>
      <c r="C199" s="2">
        <f>IFERROR(__xludf.DUMMYFUNCTION("""COMPUTED_VALUE"""),77.87)</f>
        <v>77.87</v>
      </c>
      <c r="D199" s="2">
        <f>IFERROR(__xludf.DUMMYFUNCTION("""COMPUTED_VALUE"""),75.86)</f>
        <v>75.86</v>
      </c>
      <c r="E199" s="2">
        <f>IFERROR(__xludf.DUMMYFUNCTION("""COMPUTED_VALUE"""),77.49)</f>
        <v>77.49</v>
      </c>
      <c r="F199" s="2">
        <f>IFERROR(__xludf.DUMMYFUNCTION("""COMPUTED_VALUE"""),7.2932225E7)</f>
        <v>72932225</v>
      </c>
      <c r="G199" s="3">
        <f t="shared" si="1"/>
        <v>0.01960526316</v>
      </c>
    </row>
    <row r="200">
      <c r="A200" s="1">
        <f>IFERROR(__xludf.DUMMYFUNCTION("""COMPUTED_VALUE"""),43028.66666666667)</f>
        <v>43028.66667</v>
      </c>
      <c r="B200" s="2">
        <f>IFERROR(__xludf.DUMMYFUNCTION("""COMPUTED_VALUE"""),77.42)</f>
        <v>77.42</v>
      </c>
      <c r="C200" s="2">
        <f>IFERROR(__xludf.DUMMYFUNCTION("""COMPUTED_VALUE"""),78.97)</f>
        <v>78.97</v>
      </c>
      <c r="D200" s="2">
        <f>IFERROR(__xludf.DUMMYFUNCTION("""COMPUTED_VALUE"""),77.25)</f>
        <v>77.25</v>
      </c>
      <c r="E200" s="2">
        <f>IFERROR(__xludf.DUMMYFUNCTION("""COMPUTED_VALUE"""),78.81)</f>
        <v>78.81</v>
      </c>
      <c r="F200" s="2">
        <f>IFERROR(__xludf.DUMMYFUNCTION("""COMPUTED_VALUE"""),8.0463967E7)</f>
        <v>80463967</v>
      </c>
      <c r="G200" s="3">
        <f t="shared" si="1"/>
        <v>0.01703445606</v>
      </c>
    </row>
    <row r="201">
      <c r="A201" s="1">
        <f>IFERROR(__xludf.DUMMYFUNCTION("""COMPUTED_VALUE"""),43035.66666666667)</f>
        <v>43035.66667</v>
      </c>
      <c r="B201" s="2">
        <f>IFERROR(__xludf.DUMMYFUNCTION("""COMPUTED_VALUE"""),78.99)</f>
        <v>78.99</v>
      </c>
      <c r="C201" s="2">
        <f>IFERROR(__xludf.DUMMYFUNCTION("""COMPUTED_VALUE"""),86.2)</f>
        <v>86.2</v>
      </c>
      <c r="D201" s="2">
        <f>IFERROR(__xludf.DUMMYFUNCTION("""COMPUTED_VALUE"""),78.01)</f>
        <v>78.01</v>
      </c>
      <c r="E201" s="2">
        <f>IFERROR(__xludf.DUMMYFUNCTION("""COMPUTED_VALUE"""),83.81)</f>
        <v>83.81</v>
      </c>
      <c r="F201" s="2">
        <f>IFERROR(__xludf.DUMMYFUNCTION("""COMPUTED_VALUE"""),1.61742609E8)</f>
        <v>161742609</v>
      </c>
      <c r="G201" s="3">
        <f t="shared" si="1"/>
        <v>0.06344372542</v>
      </c>
    </row>
    <row r="202">
      <c r="A202" s="1">
        <f>IFERROR(__xludf.DUMMYFUNCTION("""COMPUTED_VALUE"""),43042.66666666667)</f>
        <v>43042.66667</v>
      </c>
      <c r="B202" s="2">
        <f>IFERROR(__xludf.DUMMYFUNCTION("""COMPUTED_VALUE"""),83.7)</f>
        <v>83.7</v>
      </c>
      <c r="C202" s="2">
        <f>IFERROR(__xludf.DUMMYFUNCTION("""COMPUTED_VALUE"""),84.54)</f>
        <v>84.54</v>
      </c>
      <c r="D202" s="2">
        <f>IFERROR(__xludf.DUMMYFUNCTION("""COMPUTED_VALUE"""),82.88)</f>
        <v>82.88</v>
      </c>
      <c r="E202" s="2">
        <f>IFERROR(__xludf.DUMMYFUNCTION("""COMPUTED_VALUE"""),84.14)</f>
        <v>84.14</v>
      </c>
      <c r="F202" s="2">
        <f>IFERROR(__xludf.DUMMYFUNCTION("""COMPUTED_VALUE"""),1.22777087E8)</f>
        <v>122777087</v>
      </c>
      <c r="G202" s="3">
        <f t="shared" si="1"/>
        <v>0.003937477628</v>
      </c>
    </row>
    <row r="203">
      <c r="A203" s="1">
        <f>IFERROR(__xludf.DUMMYFUNCTION("""COMPUTED_VALUE"""),43049.66666666667)</f>
        <v>43049.66667</v>
      </c>
      <c r="B203" s="2">
        <f>IFERROR(__xludf.DUMMYFUNCTION("""COMPUTED_VALUE"""),84.2)</f>
        <v>84.2</v>
      </c>
      <c r="C203" s="2">
        <f>IFERROR(__xludf.DUMMYFUNCTION("""COMPUTED_VALUE"""),84.9)</f>
        <v>84.9</v>
      </c>
      <c r="D203" s="2">
        <f>IFERROR(__xludf.DUMMYFUNCTION("""COMPUTED_VALUE"""),82.9)</f>
        <v>82.9</v>
      </c>
      <c r="E203" s="2">
        <f>IFERROR(__xludf.DUMMYFUNCTION("""COMPUTED_VALUE"""),83.87)</f>
        <v>83.87</v>
      </c>
      <c r="F203" s="2">
        <f>IFERROR(__xludf.DUMMYFUNCTION("""COMPUTED_VALUE"""),9.6410898E7)</f>
        <v>96410898</v>
      </c>
      <c r="G203" s="3">
        <f t="shared" si="1"/>
        <v>-0.003208937485</v>
      </c>
    </row>
    <row r="204">
      <c r="A204" s="1">
        <f>IFERROR(__xludf.DUMMYFUNCTION("""COMPUTED_VALUE"""),43056.66666666667)</f>
        <v>43056.66667</v>
      </c>
      <c r="B204" s="2">
        <f>IFERROR(__xludf.DUMMYFUNCTION("""COMPUTED_VALUE"""),83.66)</f>
        <v>83.66</v>
      </c>
      <c r="C204" s="2">
        <f>IFERROR(__xludf.DUMMYFUNCTION("""COMPUTED_VALUE"""),84.1)</f>
        <v>84.1</v>
      </c>
      <c r="D204" s="2">
        <f>IFERROR(__xludf.DUMMYFUNCTION("""COMPUTED_VALUE"""),82.24)</f>
        <v>82.24</v>
      </c>
      <c r="E204" s="2">
        <f>IFERROR(__xludf.DUMMYFUNCTION("""COMPUTED_VALUE"""),82.4)</f>
        <v>82.4</v>
      </c>
      <c r="F204" s="2">
        <f>IFERROR(__xludf.DUMMYFUNCTION("""COMPUTED_VALUE"""),9.5423021E7)</f>
        <v>95423021</v>
      </c>
      <c r="G204" s="3">
        <f t="shared" si="1"/>
        <v>-0.01752712531</v>
      </c>
    </row>
    <row r="205">
      <c r="A205" s="1">
        <f>IFERROR(__xludf.DUMMYFUNCTION("""COMPUTED_VALUE"""),43063.54166666667)</f>
        <v>43063.54167</v>
      </c>
      <c r="B205" s="2">
        <f>IFERROR(__xludf.DUMMYFUNCTION("""COMPUTED_VALUE"""),82.4)</f>
        <v>82.4</v>
      </c>
      <c r="C205" s="2">
        <f>IFERROR(__xludf.DUMMYFUNCTION("""COMPUTED_VALUE"""),83.9)</f>
        <v>83.9</v>
      </c>
      <c r="D205" s="2">
        <f>IFERROR(__xludf.DUMMYFUNCTION("""COMPUTED_VALUE"""),82.25)</f>
        <v>82.25</v>
      </c>
      <c r="E205" s="2">
        <f>IFERROR(__xludf.DUMMYFUNCTION("""COMPUTED_VALUE"""),83.26)</f>
        <v>83.26</v>
      </c>
      <c r="F205" s="2">
        <f>IFERROR(__xludf.DUMMYFUNCTION("""COMPUTED_VALUE"""),6.5531124E7)</f>
        <v>65531124</v>
      </c>
      <c r="G205" s="3">
        <f t="shared" si="1"/>
        <v>0.0104368932</v>
      </c>
    </row>
    <row r="206">
      <c r="A206" s="1">
        <f>IFERROR(__xludf.DUMMYFUNCTION("""COMPUTED_VALUE"""),43070.66666666667)</f>
        <v>43070.66667</v>
      </c>
      <c r="B206" s="2">
        <f>IFERROR(__xludf.DUMMYFUNCTION("""COMPUTED_VALUE"""),83.31)</f>
        <v>83.31</v>
      </c>
      <c r="C206" s="2">
        <f>IFERROR(__xludf.DUMMYFUNCTION("""COMPUTED_VALUE"""),85.06)</f>
        <v>85.06</v>
      </c>
      <c r="D206" s="2">
        <f>IFERROR(__xludf.DUMMYFUNCTION("""COMPUTED_VALUE"""),83.18)</f>
        <v>83.18</v>
      </c>
      <c r="E206" s="2">
        <f>IFERROR(__xludf.DUMMYFUNCTION("""COMPUTED_VALUE"""),84.26)</f>
        <v>84.26</v>
      </c>
      <c r="F206" s="2">
        <f>IFERROR(__xludf.DUMMYFUNCTION("""COMPUTED_VALUE"""),1.30159089E8)</f>
        <v>130159089</v>
      </c>
      <c r="G206" s="3">
        <f t="shared" si="1"/>
        <v>0.0120105693</v>
      </c>
    </row>
    <row r="207">
      <c r="A207" s="1">
        <f>IFERROR(__xludf.DUMMYFUNCTION("""COMPUTED_VALUE"""),43077.66666666667)</f>
        <v>43077.66667</v>
      </c>
      <c r="B207" s="2">
        <f>IFERROR(__xludf.DUMMYFUNCTION("""COMPUTED_VALUE"""),84.42)</f>
        <v>84.42</v>
      </c>
      <c r="C207" s="2">
        <f>IFERROR(__xludf.DUMMYFUNCTION("""COMPUTED_VALUE"""),84.58)</f>
        <v>84.58</v>
      </c>
      <c r="D207" s="2">
        <f>IFERROR(__xludf.DUMMYFUNCTION("""COMPUTED_VALUE"""),80.7)</f>
        <v>80.7</v>
      </c>
      <c r="E207" s="2">
        <f>IFERROR(__xludf.DUMMYFUNCTION("""COMPUTED_VALUE"""),84.16)</f>
        <v>84.16</v>
      </c>
      <c r="F207" s="2">
        <f>IFERROR(__xludf.DUMMYFUNCTION("""COMPUTED_VALUE"""),1.39082848E8)</f>
        <v>139082848</v>
      </c>
      <c r="G207" s="3">
        <f t="shared" si="1"/>
        <v>-0.001186802753</v>
      </c>
    </row>
    <row r="208">
      <c r="A208" s="1">
        <f>IFERROR(__xludf.DUMMYFUNCTION("""COMPUTED_VALUE"""),43084.66666666667)</f>
        <v>43084.66667</v>
      </c>
      <c r="B208" s="2">
        <f>IFERROR(__xludf.DUMMYFUNCTION("""COMPUTED_VALUE"""),84.29)</f>
        <v>84.29</v>
      </c>
      <c r="C208" s="2">
        <f>IFERROR(__xludf.DUMMYFUNCTION("""COMPUTED_VALUE"""),87.09)</f>
        <v>87.09</v>
      </c>
      <c r="D208" s="2">
        <f>IFERROR(__xludf.DUMMYFUNCTION("""COMPUTED_VALUE"""),84.12)</f>
        <v>84.12</v>
      </c>
      <c r="E208" s="2">
        <f>IFERROR(__xludf.DUMMYFUNCTION("""COMPUTED_VALUE"""),86.85)</f>
        <v>86.85</v>
      </c>
      <c r="F208" s="2">
        <f>IFERROR(__xludf.DUMMYFUNCTION("""COMPUTED_VALUE"""),1.42087286E8)</f>
        <v>142087286</v>
      </c>
      <c r="G208" s="3">
        <f t="shared" si="1"/>
        <v>0.03196292776</v>
      </c>
    </row>
    <row r="209">
      <c r="A209" s="1">
        <f>IFERROR(__xludf.DUMMYFUNCTION("""COMPUTED_VALUE"""),43091.66666666667)</f>
        <v>43091.66667</v>
      </c>
      <c r="B209" s="2">
        <f>IFERROR(__xludf.DUMMYFUNCTION("""COMPUTED_VALUE"""),87.12)</f>
        <v>87.12</v>
      </c>
      <c r="C209" s="2">
        <f>IFERROR(__xludf.DUMMYFUNCTION("""COMPUTED_VALUE"""),87.5)</f>
        <v>87.5</v>
      </c>
      <c r="D209" s="2">
        <f>IFERROR(__xludf.DUMMYFUNCTION("""COMPUTED_VALUE"""),84.71)</f>
        <v>84.71</v>
      </c>
      <c r="E209" s="2">
        <f>IFERROR(__xludf.DUMMYFUNCTION("""COMPUTED_VALUE"""),85.51)</f>
        <v>85.51</v>
      </c>
      <c r="F209" s="2">
        <f>IFERROR(__xludf.DUMMYFUNCTION("""COMPUTED_VALUE"""),1.01620056E8)</f>
        <v>101620056</v>
      </c>
      <c r="G209" s="3">
        <f t="shared" si="1"/>
        <v>-0.0154289004</v>
      </c>
    </row>
    <row r="210">
      <c r="A210" s="1">
        <f>IFERROR(__xludf.DUMMYFUNCTION("""COMPUTED_VALUE"""),43098.66666666667)</f>
        <v>43098.66667</v>
      </c>
      <c r="B210" s="2">
        <f>IFERROR(__xludf.DUMMYFUNCTION("""COMPUTED_VALUE"""),85.31)</f>
        <v>85.31</v>
      </c>
      <c r="C210" s="2">
        <f>IFERROR(__xludf.DUMMYFUNCTION("""COMPUTED_VALUE"""),86.05)</f>
        <v>86.05</v>
      </c>
      <c r="D210" s="2">
        <f>IFERROR(__xludf.DUMMYFUNCTION("""COMPUTED_VALUE"""),85.03)</f>
        <v>85.03</v>
      </c>
      <c r="E210" s="2">
        <f>IFERROR(__xludf.DUMMYFUNCTION("""COMPUTED_VALUE"""),85.54)</f>
        <v>85.54</v>
      </c>
      <c r="F210" s="2">
        <f>IFERROR(__xludf.DUMMYFUNCTION("""COMPUTED_VALUE"""),5.3881012E7)</f>
        <v>53881012</v>
      </c>
      <c r="G210" s="3">
        <f t="shared" si="1"/>
        <v>0.0003508361595</v>
      </c>
    </row>
    <row r="211">
      <c r="A211" s="1">
        <f>IFERROR(__xludf.DUMMYFUNCTION("""COMPUTED_VALUE"""),43105.66666666667)</f>
        <v>43105.66667</v>
      </c>
      <c r="B211" s="2">
        <f>IFERROR(__xludf.DUMMYFUNCTION("""COMPUTED_VALUE"""),86.13)</f>
        <v>86.13</v>
      </c>
      <c r="C211" s="2">
        <f>IFERROR(__xludf.DUMMYFUNCTION("""COMPUTED_VALUE"""),88.41)</f>
        <v>88.41</v>
      </c>
      <c r="D211" s="2">
        <f>IFERROR(__xludf.DUMMYFUNCTION("""COMPUTED_VALUE"""),85.5)</f>
        <v>85.5</v>
      </c>
      <c r="E211" s="2">
        <f>IFERROR(__xludf.DUMMYFUNCTION("""COMPUTED_VALUE"""),88.19)</f>
        <v>88.19</v>
      </c>
      <c r="F211" s="2">
        <f>IFERROR(__xludf.DUMMYFUNCTION("""COMPUTED_VALUE"""),9.386432E7)</f>
        <v>93864320</v>
      </c>
      <c r="G211" s="3">
        <f t="shared" si="1"/>
        <v>0.03097965864</v>
      </c>
    </row>
    <row r="212">
      <c r="A212" s="1">
        <f>IFERROR(__xludf.DUMMYFUNCTION("""COMPUTED_VALUE"""),43112.66666666667)</f>
        <v>43112.66667</v>
      </c>
      <c r="B212" s="2">
        <f>IFERROR(__xludf.DUMMYFUNCTION("""COMPUTED_VALUE"""),88.2)</f>
        <v>88.2</v>
      </c>
      <c r="C212" s="2">
        <f>IFERROR(__xludf.DUMMYFUNCTION("""COMPUTED_VALUE"""),89.78)</f>
        <v>89.78</v>
      </c>
      <c r="D212" s="2">
        <f>IFERROR(__xludf.DUMMYFUNCTION("""COMPUTED_VALUE"""),87.24)</f>
        <v>87.24</v>
      </c>
      <c r="E212" s="2">
        <f>IFERROR(__xludf.DUMMYFUNCTION("""COMPUTED_VALUE"""),89.6)</f>
        <v>89.6</v>
      </c>
      <c r="F212" s="2">
        <f>IFERROR(__xludf.DUMMYFUNCTION("""COMPUTED_VALUE"""),1.02329975E8)</f>
        <v>102329975</v>
      </c>
      <c r="G212" s="3">
        <f t="shared" si="1"/>
        <v>0.01598820728</v>
      </c>
    </row>
    <row r="213">
      <c r="A213" s="1">
        <f>IFERROR(__xludf.DUMMYFUNCTION("""COMPUTED_VALUE"""),43119.66666666667)</f>
        <v>43119.66667</v>
      </c>
      <c r="B213" s="2">
        <f>IFERROR(__xludf.DUMMYFUNCTION("""COMPUTED_VALUE"""),90.1)</f>
        <v>90.1</v>
      </c>
      <c r="C213" s="2">
        <f>IFERROR(__xludf.DUMMYFUNCTION("""COMPUTED_VALUE"""),90.79)</f>
        <v>90.79</v>
      </c>
      <c r="D213" s="2">
        <f>IFERROR(__xludf.DUMMYFUNCTION("""COMPUTED_VALUE"""),88.01)</f>
        <v>88.01</v>
      </c>
      <c r="E213" s="2">
        <f>IFERROR(__xludf.DUMMYFUNCTION("""COMPUTED_VALUE"""),90.0)</f>
        <v>90</v>
      </c>
      <c r="F213" s="2">
        <f>IFERROR(__xludf.DUMMYFUNCTION("""COMPUTED_VALUE"""),1.23255596E8)</f>
        <v>123255596</v>
      </c>
      <c r="G213" s="3">
        <f t="shared" si="1"/>
        <v>0.004464285714</v>
      </c>
    </row>
    <row r="214">
      <c r="A214" s="1">
        <f>IFERROR(__xludf.DUMMYFUNCTION("""COMPUTED_VALUE"""),43126.66666666667)</f>
        <v>43126.66667</v>
      </c>
      <c r="B214" s="2">
        <f>IFERROR(__xludf.DUMMYFUNCTION("""COMPUTED_VALUE"""),90.0)</f>
        <v>90</v>
      </c>
      <c r="C214" s="2">
        <f>IFERROR(__xludf.DUMMYFUNCTION("""COMPUTED_VALUE"""),94.06)</f>
        <v>94.06</v>
      </c>
      <c r="D214" s="2">
        <f>IFERROR(__xludf.DUMMYFUNCTION("""COMPUTED_VALUE"""),89.74)</f>
        <v>89.74</v>
      </c>
      <c r="E214" s="2">
        <f>IFERROR(__xludf.DUMMYFUNCTION("""COMPUTED_VALUE"""),94.06)</f>
        <v>94.06</v>
      </c>
      <c r="F214" s="2">
        <f>IFERROR(__xludf.DUMMYFUNCTION("""COMPUTED_VALUE"""),1.35847284E8)</f>
        <v>135847284</v>
      </c>
      <c r="G214" s="3">
        <f t="shared" si="1"/>
        <v>0.04511111111</v>
      </c>
    </row>
    <row r="215">
      <c r="A215" s="1">
        <f>IFERROR(__xludf.DUMMYFUNCTION("""COMPUTED_VALUE"""),43133.66666666667)</f>
        <v>43133.66667</v>
      </c>
      <c r="B215" s="2">
        <f>IFERROR(__xludf.DUMMYFUNCTION("""COMPUTED_VALUE"""),95.14)</f>
        <v>95.14</v>
      </c>
      <c r="C215" s="2">
        <f>IFERROR(__xludf.DUMMYFUNCTION("""COMPUTED_VALUE"""),96.07)</f>
        <v>96.07</v>
      </c>
      <c r="D215" s="2">
        <f>IFERROR(__xludf.DUMMYFUNCTION("""COMPUTED_VALUE"""),91.5)</f>
        <v>91.5</v>
      </c>
      <c r="E215" s="2">
        <f>IFERROR(__xludf.DUMMYFUNCTION("""COMPUTED_VALUE"""),91.78)</f>
        <v>91.78</v>
      </c>
      <c r="F215" s="2">
        <f>IFERROR(__xludf.DUMMYFUNCTION("""COMPUTED_VALUE"""),2.14056966E8)</f>
        <v>214056966</v>
      </c>
      <c r="G215" s="3">
        <f t="shared" si="1"/>
        <v>-0.02423984691</v>
      </c>
    </row>
    <row r="216">
      <c r="A216" s="1">
        <f>IFERROR(__xludf.DUMMYFUNCTION("""COMPUTED_VALUE"""),43140.66666666667)</f>
        <v>43140.66667</v>
      </c>
      <c r="B216" s="2">
        <f>IFERROR(__xludf.DUMMYFUNCTION("""COMPUTED_VALUE"""),90.56)</f>
        <v>90.56</v>
      </c>
      <c r="C216" s="2">
        <f>IFERROR(__xludf.DUMMYFUNCTION("""COMPUTED_VALUE"""),93.24)</f>
        <v>93.24</v>
      </c>
      <c r="D216" s="2">
        <f>IFERROR(__xludf.DUMMYFUNCTION("""COMPUTED_VALUE"""),83.83)</f>
        <v>83.83</v>
      </c>
      <c r="E216" s="2">
        <f>IFERROR(__xludf.DUMMYFUNCTION("""COMPUTED_VALUE"""),88.18)</f>
        <v>88.18</v>
      </c>
      <c r="F216" s="2">
        <f>IFERROR(__xludf.DUMMYFUNCTION("""COMPUTED_VALUE"""),2.79265343E8)</f>
        <v>279265343</v>
      </c>
      <c r="G216" s="3">
        <f t="shared" si="1"/>
        <v>-0.03922423186</v>
      </c>
    </row>
    <row r="217">
      <c r="A217" s="1">
        <f>IFERROR(__xludf.DUMMYFUNCTION("""COMPUTED_VALUE"""),43147.66666666667)</f>
        <v>43147.66667</v>
      </c>
      <c r="B217" s="2">
        <f>IFERROR(__xludf.DUMMYFUNCTION("""COMPUTED_VALUE"""),88.74)</f>
        <v>88.74</v>
      </c>
      <c r="C217" s="2">
        <f>IFERROR(__xludf.DUMMYFUNCTION("""COMPUTED_VALUE"""),93.5)</f>
        <v>93.5</v>
      </c>
      <c r="D217" s="2">
        <f>IFERROR(__xludf.DUMMYFUNCTION("""COMPUTED_VALUE"""),87.8)</f>
        <v>87.8</v>
      </c>
      <c r="E217" s="2">
        <f>IFERROR(__xludf.DUMMYFUNCTION("""COMPUTED_VALUE"""),92.0)</f>
        <v>92</v>
      </c>
      <c r="F217" s="2">
        <f>IFERROR(__xludf.DUMMYFUNCTION("""COMPUTED_VALUE"""),1.5550974E8)</f>
        <v>155509740</v>
      </c>
      <c r="G217" s="3">
        <f t="shared" si="1"/>
        <v>0.04332048083</v>
      </c>
    </row>
    <row r="218">
      <c r="A218" s="1">
        <f>IFERROR(__xludf.DUMMYFUNCTION("""COMPUTED_VALUE"""),43154.66666666667)</f>
        <v>43154.66667</v>
      </c>
      <c r="B218" s="2">
        <f>IFERROR(__xludf.DUMMYFUNCTION("""COMPUTED_VALUE"""),91.48)</f>
        <v>91.48</v>
      </c>
      <c r="C218" s="2">
        <f>IFERROR(__xludf.DUMMYFUNCTION("""COMPUTED_VALUE"""),94.07)</f>
        <v>94.07</v>
      </c>
      <c r="D218" s="2">
        <f>IFERROR(__xludf.DUMMYFUNCTION("""COMPUTED_VALUE"""),91.01)</f>
        <v>91.01</v>
      </c>
      <c r="E218" s="2">
        <f>IFERROR(__xludf.DUMMYFUNCTION("""COMPUTED_VALUE"""),94.06)</f>
        <v>94.06</v>
      </c>
      <c r="F218" s="2">
        <f>IFERROR(__xludf.DUMMYFUNCTION("""COMPUTED_VALUE"""),1.08556207E8)</f>
        <v>108556207</v>
      </c>
      <c r="G218" s="3">
        <f t="shared" si="1"/>
        <v>0.02239130435</v>
      </c>
    </row>
    <row r="219">
      <c r="A219" s="1">
        <f>IFERROR(__xludf.DUMMYFUNCTION("""COMPUTED_VALUE"""),43161.66666666667)</f>
        <v>43161.66667</v>
      </c>
      <c r="B219" s="2">
        <f>IFERROR(__xludf.DUMMYFUNCTION("""COMPUTED_VALUE"""),94.4)</f>
        <v>94.4</v>
      </c>
      <c r="C219" s="2">
        <f>IFERROR(__xludf.DUMMYFUNCTION("""COMPUTED_VALUE"""),95.84)</f>
        <v>95.84</v>
      </c>
      <c r="D219" s="2">
        <f>IFERROR(__xludf.DUMMYFUNCTION("""COMPUTED_VALUE"""),90.86)</f>
        <v>90.86</v>
      </c>
      <c r="E219" s="2">
        <f>IFERROR(__xludf.DUMMYFUNCTION("""COMPUTED_VALUE"""),93.05)</f>
        <v>93.05</v>
      </c>
      <c r="F219" s="2">
        <f>IFERROR(__xludf.DUMMYFUNCTION("""COMPUTED_VALUE"""),1.57202253E8)</f>
        <v>157202253</v>
      </c>
      <c r="G219" s="3">
        <f t="shared" si="1"/>
        <v>-0.01073782692</v>
      </c>
    </row>
    <row r="220">
      <c r="A220" s="1">
        <f>IFERROR(__xludf.DUMMYFUNCTION("""COMPUTED_VALUE"""),43168.66666666667)</f>
        <v>43168.66667</v>
      </c>
      <c r="B220" s="2">
        <f>IFERROR(__xludf.DUMMYFUNCTION("""COMPUTED_VALUE"""),92.34)</f>
        <v>92.34</v>
      </c>
      <c r="C220" s="2">
        <f>IFERROR(__xludf.DUMMYFUNCTION("""COMPUTED_VALUE"""),96.54)</f>
        <v>96.54</v>
      </c>
      <c r="D220" s="2">
        <f>IFERROR(__xludf.DUMMYFUNCTION("""COMPUTED_VALUE"""),92.26)</f>
        <v>92.26</v>
      </c>
      <c r="E220" s="2">
        <f>IFERROR(__xludf.DUMMYFUNCTION("""COMPUTED_VALUE"""),96.54)</f>
        <v>96.54</v>
      </c>
      <c r="F220" s="2">
        <f>IFERROR(__xludf.DUMMYFUNCTION("""COMPUTED_VALUE"""),1.35618563E8)</f>
        <v>135618563</v>
      </c>
      <c r="G220" s="3">
        <f t="shared" si="1"/>
        <v>0.03750671682</v>
      </c>
    </row>
    <row r="221">
      <c r="A221" s="1">
        <f>IFERROR(__xludf.DUMMYFUNCTION("""COMPUTED_VALUE"""),43175.66666666667)</f>
        <v>43175.66667</v>
      </c>
      <c r="B221" s="2">
        <f>IFERROR(__xludf.DUMMYFUNCTION("""COMPUTED_VALUE"""),96.5)</f>
        <v>96.5</v>
      </c>
      <c r="C221" s="2">
        <f>IFERROR(__xludf.DUMMYFUNCTION("""COMPUTED_VALUE"""),97.24)</f>
        <v>97.24</v>
      </c>
      <c r="D221" s="2">
        <f>IFERROR(__xludf.DUMMYFUNCTION("""COMPUTED_VALUE"""),92.83)</f>
        <v>92.83</v>
      </c>
      <c r="E221" s="2">
        <f>IFERROR(__xludf.DUMMYFUNCTION("""COMPUTED_VALUE"""),94.6)</f>
        <v>94.6</v>
      </c>
      <c r="F221" s="2">
        <f>IFERROR(__xludf.DUMMYFUNCTION("""COMPUTED_VALUE"""),1.70285817E8)</f>
        <v>170285817</v>
      </c>
      <c r="G221" s="3">
        <f t="shared" si="1"/>
        <v>-0.02009529729</v>
      </c>
    </row>
    <row r="222">
      <c r="A222" s="1">
        <f>IFERROR(__xludf.DUMMYFUNCTION("""COMPUTED_VALUE"""),43182.66666666667)</f>
        <v>43182.66667</v>
      </c>
      <c r="B222" s="2">
        <f>IFERROR(__xludf.DUMMYFUNCTION("""COMPUTED_VALUE"""),93.74)</f>
        <v>93.74</v>
      </c>
      <c r="C222" s="2">
        <f>IFERROR(__xludf.DUMMYFUNCTION("""COMPUTED_VALUE"""),94.05)</f>
        <v>94.05</v>
      </c>
      <c r="D222" s="2">
        <f>IFERROR(__xludf.DUMMYFUNCTION("""COMPUTED_VALUE"""),87.08)</f>
        <v>87.08</v>
      </c>
      <c r="E222" s="2">
        <f>IFERROR(__xludf.DUMMYFUNCTION("""COMPUTED_VALUE"""),87.18)</f>
        <v>87.18</v>
      </c>
      <c r="F222" s="2">
        <f>IFERROR(__xludf.DUMMYFUNCTION("""COMPUTED_VALUE"""),1.63550071E8)</f>
        <v>163550071</v>
      </c>
      <c r="G222" s="3">
        <f t="shared" si="1"/>
        <v>-0.07843551797</v>
      </c>
    </row>
    <row r="223">
      <c r="A223" s="1">
        <f>IFERROR(__xludf.DUMMYFUNCTION("""COMPUTED_VALUE"""),43188.66666666667)</f>
        <v>43188.66667</v>
      </c>
      <c r="B223" s="2">
        <f>IFERROR(__xludf.DUMMYFUNCTION("""COMPUTED_VALUE"""),90.61)</f>
        <v>90.61</v>
      </c>
      <c r="C223" s="2">
        <f>IFERROR(__xludf.DUMMYFUNCTION("""COMPUTED_VALUE"""),95.14)</f>
        <v>95.14</v>
      </c>
      <c r="D223" s="2">
        <f>IFERROR(__xludf.DUMMYFUNCTION("""COMPUTED_VALUE"""),88.4)</f>
        <v>88.4</v>
      </c>
      <c r="E223" s="2">
        <f>IFERROR(__xludf.DUMMYFUNCTION("""COMPUTED_VALUE"""),91.27)</f>
        <v>91.27</v>
      </c>
      <c r="F223" s="2">
        <f>IFERROR(__xludf.DUMMYFUNCTION("""COMPUTED_VALUE"""),2.11334485E8)</f>
        <v>211334485</v>
      </c>
      <c r="G223" s="3">
        <f t="shared" si="1"/>
        <v>0.04691442992</v>
      </c>
    </row>
    <row r="224">
      <c r="A224" s="1">
        <f>IFERROR(__xludf.DUMMYFUNCTION("""COMPUTED_VALUE"""),43196.66666666667)</f>
        <v>43196.66667</v>
      </c>
      <c r="B224" s="2">
        <f>IFERROR(__xludf.DUMMYFUNCTION("""COMPUTED_VALUE"""),90.47)</f>
        <v>90.47</v>
      </c>
      <c r="C224" s="2">
        <f>IFERROR(__xludf.DUMMYFUNCTION("""COMPUTED_VALUE"""),93.07)</f>
        <v>93.07</v>
      </c>
      <c r="D224" s="2">
        <f>IFERROR(__xludf.DUMMYFUNCTION("""COMPUTED_VALUE"""),87.51)</f>
        <v>87.51</v>
      </c>
      <c r="E224" s="2">
        <f>IFERROR(__xludf.DUMMYFUNCTION("""COMPUTED_VALUE"""),90.23)</f>
        <v>90.23</v>
      </c>
      <c r="F224" s="2">
        <f>IFERROR(__xludf.DUMMYFUNCTION("""COMPUTED_VALUE"""),1.89087091E8)</f>
        <v>189087091</v>
      </c>
      <c r="G224" s="3">
        <f t="shared" si="1"/>
        <v>-0.01139476279</v>
      </c>
    </row>
    <row r="225">
      <c r="A225" s="1">
        <f>IFERROR(__xludf.DUMMYFUNCTION("""COMPUTED_VALUE"""),43203.66666666667)</f>
        <v>43203.66667</v>
      </c>
      <c r="B225" s="2">
        <f>IFERROR(__xludf.DUMMYFUNCTION("""COMPUTED_VALUE"""),91.04)</f>
        <v>91.04</v>
      </c>
      <c r="C225" s="2">
        <f>IFERROR(__xludf.DUMMYFUNCTION("""COMPUTED_VALUE"""),94.18)</f>
        <v>94.18</v>
      </c>
      <c r="D225" s="2">
        <f>IFERROR(__xludf.DUMMYFUNCTION("""COMPUTED_VALUE"""),90.62)</f>
        <v>90.62</v>
      </c>
      <c r="E225" s="2">
        <f>IFERROR(__xludf.DUMMYFUNCTION("""COMPUTED_VALUE"""),93.08)</f>
        <v>93.08</v>
      </c>
      <c r="F225" s="2">
        <f>IFERROR(__xludf.DUMMYFUNCTION("""COMPUTED_VALUE"""),1.33450878E8)</f>
        <v>133450878</v>
      </c>
      <c r="G225" s="3">
        <f t="shared" si="1"/>
        <v>0.03158594702</v>
      </c>
    </row>
    <row r="226">
      <c r="A226" s="1">
        <f>IFERROR(__xludf.DUMMYFUNCTION("""COMPUTED_VALUE"""),43210.66666666667)</f>
        <v>43210.66667</v>
      </c>
      <c r="B226" s="2">
        <f>IFERROR(__xludf.DUMMYFUNCTION("""COMPUTED_VALUE"""),94.07)</f>
        <v>94.07</v>
      </c>
      <c r="C226" s="2">
        <f>IFERROR(__xludf.DUMMYFUNCTION("""COMPUTED_VALUE"""),97.07)</f>
        <v>97.07</v>
      </c>
      <c r="D226" s="2">
        <f>IFERROR(__xludf.DUMMYFUNCTION("""COMPUTED_VALUE"""),93.42)</f>
        <v>93.42</v>
      </c>
      <c r="E226" s="2">
        <f>IFERROR(__xludf.DUMMYFUNCTION("""COMPUTED_VALUE"""),95.0)</f>
        <v>95</v>
      </c>
      <c r="F226" s="2">
        <f>IFERROR(__xludf.DUMMYFUNCTION("""COMPUTED_VALUE"""),1.22809288E8)</f>
        <v>122809288</v>
      </c>
      <c r="G226" s="3">
        <f t="shared" si="1"/>
        <v>0.02062741728</v>
      </c>
    </row>
    <row r="227">
      <c r="A227" s="1">
        <f>IFERROR(__xludf.DUMMYFUNCTION("""COMPUTED_VALUE"""),43217.66666666667)</f>
        <v>43217.66667</v>
      </c>
      <c r="B227" s="2">
        <f>IFERROR(__xludf.DUMMYFUNCTION("""COMPUTED_VALUE"""),95.74)</f>
        <v>95.74</v>
      </c>
      <c r="C227" s="2">
        <f>IFERROR(__xludf.DUMMYFUNCTION("""COMPUTED_VALUE"""),97.9)</f>
        <v>97.9</v>
      </c>
      <c r="D227" s="2">
        <f>IFERROR(__xludf.DUMMYFUNCTION("""COMPUTED_VALUE"""),90.28)</f>
        <v>90.28</v>
      </c>
      <c r="E227" s="2">
        <f>IFERROR(__xludf.DUMMYFUNCTION("""COMPUTED_VALUE"""),95.82)</f>
        <v>95.82</v>
      </c>
      <c r="F227" s="2">
        <f>IFERROR(__xludf.DUMMYFUNCTION("""COMPUTED_VALUE"""),1.81387708E8)</f>
        <v>181387708</v>
      </c>
      <c r="G227" s="3">
        <f t="shared" si="1"/>
        <v>0.008631578947</v>
      </c>
    </row>
    <row r="228">
      <c r="A228" s="1">
        <f>IFERROR(__xludf.DUMMYFUNCTION("""COMPUTED_VALUE"""),43224.66666666667)</f>
        <v>43224.66667</v>
      </c>
      <c r="B228" s="2">
        <f>IFERROR(__xludf.DUMMYFUNCTION("""COMPUTED_VALUE"""),96.33)</f>
        <v>96.33</v>
      </c>
      <c r="C228" s="2">
        <f>IFERROR(__xludf.DUMMYFUNCTION("""COMPUTED_VALUE"""),96.4)</f>
        <v>96.4</v>
      </c>
      <c r="D228" s="2">
        <f>IFERROR(__xludf.DUMMYFUNCTION("""COMPUTED_VALUE"""),92.45)</f>
        <v>92.45</v>
      </c>
      <c r="E228" s="2">
        <f>IFERROR(__xludf.DUMMYFUNCTION("""COMPUTED_VALUE"""),95.16)</f>
        <v>95.16</v>
      </c>
      <c r="F228" s="2">
        <f>IFERROR(__xludf.DUMMYFUNCTION("""COMPUTED_VALUE"""),1.54077356E8)</f>
        <v>154077356</v>
      </c>
      <c r="G228" s="3">
        <f t="shared" si="1"/>
        <v>-0.00688791484</v>
      </c>
    </row>
    <row r="229">
      <c r="A229" s="1">
        <f>IFERROR(__xludf.DUMMYFUNCTION("""COMPUTED_VALUE"""),43231.66666666667)</f>
        <v>43231.66667</v>
      </c>
      <c r="B229" s="2">
        <f>IFERROR(__xludf.DUMMYFUNCTION("""COMPUTED_VALUE"""),95.17)</f>
        <v>95.17</v>
      </c>
      <c r="C229" s="2">
        <f>IFERROR(__xludf.DUMMYFUNCTION("""COMPUTED_VALUE"""),97.95)</f>
        <v>97.95</v>
      </c>
      <c r="D229" s="2">
        <f>IFERROR(__xludf.DUMMYFUNCTION("""COMPUTED_VALUE"""),95.05)</f>
        <v>95.05</v>
      </c>
      <c r="E229" s="2">
        <f>IFERROR(__xludf.DUMMYFUNCTION("""COMPUTED_VALUE"""),97.7)</f>
        <v>97.7</v>
      </c>
      <c r="F229" s="2">
        <f>IFERROR(__xludf.DUMMYFUNCTION("""COMPUTED_VALUE"""),1.14220453E8)</f>
        <v>114220453</v>
      </c>
      <c r="G229" s="3">
        <f t="shared" si="1"/>
        <v>0.02669188735</v>
      </c>
    </row>
    <row r="230">
      <c r="A230" s="1">
        <f>IFERROR(__xludf.DUMMYFUNCTION("""COMPUTED_VALUE"""),43238.66666666667)</f>
        <v>43238.66667</v>
      </c>
      <c r="B230" s="2">
        <f>IFERROR(__xludf.DUMMYFUNCTION("""COMPUTED_VALUE"""),97.92)</f>
        <v>97.92</v>
      </c>
      <c r="C230" s="2">
        <f>IFERROR(__xludf.DUMMYFUNCTION("""COMPUTED_VALUE"""),98.69)</f>
        <v>98.69</v>
      </c>
      <c r="D230" s="2">
        <f>IFERROR(__xludf.DUMMYFUNCTION("""COMPUTED_VALUE"""),95.83)</f>
        <v>95.83</v>
      </c>
      <c r="E230" s="2">
        <f>IFERROR(__xludf.DUMMYFUNCTION("""COMPUTED_VALUE"""),96.36)</f>
        <v>96.36</v>
      </c>
      <c r="F230" s="2">
        <f>IFERROR(__xludf.DUMMYFUNCTION("""COMPUTED_VALUE"""),9.6545432E7)</f>
        <v>96545432</v>
      </c>
      <c r="G230" s="3">
        <f t="shared" si="1"/>
        <v>-0.01371545548</v>
      </c>
    </row>
    <row r="231">
      <c r="A231" s="1">
        <f>IFERROR(__xludf.DUMMYFUNCTION("""COMPUTED_VALUE"""),43245.66666666667)</f>
        <v>43245.66667</v>
      </c>
      <c r="B231" s="2">
        <f>IFERROR(__xludf.DUMMYFUNCTION("""COMPUTED_VALUE"""),97.0)</f>
        <v>97</v>
      </c>
      <c r="C231" s="2">
        <f>IFERROR(__xludf.DUMMYFUNCTION("""COMPUTED_VALUE"""),98.98)</f>
        <v>98.98</v>
      </c>
      <c r="D231" s="2">
        <f>IFERROR(__xludf.DUMMYFUNCTION("""COMPUTED_VALUE"""),96.32)</f>
        <v>96.32</v>
      </c>
      <c r="E231" s="2">
        <f>IFERROR(__xludf.DUMMYFUNCTION("""COMPUTED_VALUE"""),98.36)</f>
        <v>98.36</v>
      </c>
      <c r="F231" s="2">
        <f>IFERROR(__xludf.DUMMYFUNCTION("""COMPUTED_VALUE"""),1.01128083E8)</f>
        <v>101128083</v>
      </c>
      <c r="G231" s="3">
        <f t="shared" si="1"/>
        <v>0.02075550021</v>
      </c>
    </row>
    <row r="232">
      <c r="A232" s="1">
        <f>IFERROR(__xludf.DUMMYFUNCTION("""COMPUTED_VALUE"""),43252.66666666667)</f>
        <v>43252.66667</v>
      </c>
      <c r="B232" s="2">
        <f>IFERROR(__xludf.DUMMYFUNCTION("""COMPUTED_VALUE"""),97.84)</f>
        <v>97.84</v>
      </c>
      <c r="C232" s="2">
        <f>IFERROR(__xludf.DUMMYFUNCTION("""COMPUTED_VALUE"""),100.86)</f>
        <v>100.86</v>
      </c>
      <c r="D232" s="2">
        <f>IFERROR(__xludf.DUMMYFUNCTION("""COMPUTED_VALUE"""),97.23)</f>
        <v>97.23</v>
      </c>
      <c r="E232" s="2">
        <f>IFERROR(__xludf.DUMMYFUNCTION("""COMPUTED_VALUE"""),100.79)</f>
        <v>100.79</v>
      </c>
      <c r="F232" s="2">
        <f>IFERROR(__xludf.DUMMYFUNCTION("""COMPUTED_VALUE"""),1.13626024E8)</f>
        <v>113626024</v>
      </c>
      <c r="G232" s="3">
        <f t="shared" si="1"/>
        <v>0.0247051647</v>
      </c>
    </row>
    <row r="233">
      <c r="A233" s="1">
        <f>IFERROR(__xludf.DUMMYFUNCTION("""COMPUTED_VALUE"""),43259.66666666667)</f>
        <v>43259.66667</v>
      </c>
      <c r="B233" s="2">
        <f>IFERROR(__xludf.DUMMYFUNCTION("""COMPUTED_VALUE"""),101.26)</f>
        <v>101.26</v>
      </c>
      <c r="C233" s="2">
        <f>IFERROR(__xludf.DUMMYFUNCTION("""COMPUTED_VALUE"""),102.69)</f>
        <v>102.69</v>
      </c>
      <c r="D233" s="2">
        <f>IFERROR(__xludf.DUMMYFUNCTION("""COMPUTED_VALUE"""),100.38)</f>
        <v>100.38</v>
      </c>
      <c r="E233" s="2">
        <f>IFERROR(__xludf.DUMMYFUNCTION("""COMPUTED_VALUE"""),101.63)</f>
        <v>101.63</v>
      </c>
      <c r="F233" s="2">
        <f>IFERROR(__xludf.DUMMYFUNCTION("""COMPUTED_VALUE"""),1.22316267E8)</f>
        <v>122316267</v>
      </c>
      <c r="G233" s="3">
        <f t="shared" si="1"/>
        <v>0.008334160135</v>
      </c>
    </row>
    <row r="234">
      <c r="A234" s="1">
        <f>IFERROR(__xludf.DUMMYFUNCTION("""COMPUTED_VALUE"""),43266.66666666667)</f>
        <v>43266.66667</v>
      </c>
      <c r="B234" s="2">
        <f>IFERROR(__xludf.DUMMYFUNCTION("""COMPUTED_VALUE"""),101.37)</f>
        <v>101.37</v>
      </c>
      <c r="C234" s="2">
        <f>IFERROR(__xludf.DUMMYFUNCTION("""COMPUTED_VALUE"""),102.03)</f>
        <v>102.03</v>
      </c>
      <c r="D234" s="2">
        <f>IFERROR(__xludf.DUMMYFUNCTION("""COMPUTED_VALUE"""),100.07)</f>
        <v>100.07</v>
      </c>
      <c r="E234" s="2">
        <f>IFERROR(__xludf.DUMMYFUNCTION("""COMPUTED_VALUE"""),100.13)</f>
        <v>100.13</v>
      </c>
      <c r="F234" s="2">
        <f>IFERROR(__xludf.DUMMYFUNCTION("""COMPUTED_VALUE"""),1.62739393E8)</f>
        <v>162739393</v>
      </c>
      <c r="G234" s="3">
        <f t="shared" si="1"/>
        <v>-0.01475942143</v>
      </c>
    </row>
    <row r="235">
      <c r="A235" s="1">
        <f>IFERROR(__xludf.DUMMYFUNCTION("""COMPUTED_VALUE"""),43273.66666666667)</f>
        <v>43273.66667</v>
      </c>
      <c r="B235" s="2">
        <f>IFERROR(__xludf.DUMMYFUNCTION("""COMPUTED_VALUE"""),100.01)</f>
        <v>100.01</v>
      </c>
      <c r="C235" s="2">
        <f>IFERROR(__xludf.DUMMYFUNCTION("""COMPUTED_VALUE"""),102.52)</f>
        <v>102.52</v>
      </c>
      <c r="D235" s="2">
        <f>IFERROR(__xludf.DUMMYFUNCTION("""COMPUTED_VALUE"""),99.42)</f>
        <v>99.42</v>
      </c>
      <c r="E235" s="2">
        <f>IFERROR(__xludf.DUMMYFUNCTION("""COMPUTED_VALUE"""),100.41)</f>
        <v>100.41</v>
      </c>
      <c r="F235" s="2">
        <f>IFERROR(__xludf.DUMMYFUNCTION("""COMPUTED_VALUE"""),1.40541209E8)</f>
        <v>140541209</v>
      </c>
      <c r="G235" s="3">
        <f t="shared" si="1"/>
        <v>0.002796364726</v>
      </c>
    </row>
    <row r="236">
      <c r="A236" s="1">
        <f>IFERROR(__xludf.DUMMYFUNCTION("""COMPUTED_VALUE"""),43280.66666666667)</f>
        <v>43280.66667</v>
      </c>
      <c r="B236" s="2">
        <f>IFERROR(__xludf.DUMMYFUNCTION("""COMPUTED_VALUE"""),100.0)</f>
        <v>100</v>
      </c>
      <c r="C236" s="2">
        <f>IFERROR(__xludf.DUMMYFUNCTION("""COMPUTED_VALUE"""),100.11)</f>
        <v>100.11</v>
      </c>
      <c r="D236" s="2">
        <f>IFERROR(__xludf.DUMMYFUNCTION("""COMPUTED_VALUE"""),97.26)</f>
        <v>97.26</v>
      </c>
      <c r="E236" s="2">
        <f>IFERROR(__xludf.DUMMYFUNCTION("""COMPUTED_VALUE"""),98.61)</f>
        <v>98.61</v>
      </c>
      <c r="F236" s="2">
        <f>IFERROR(__xludf.DUMMYFUNCTION("""COMPUTED_VALUE"""),1.48332848E8)</f>
        <v>148332848</v>
      </c>
      <c r="G236" s="3">
        <f t="shared" si="1"/>
        <v>-0.01792650134</v>
      </c>
    </row>
    <row r="237">
      <c r="A237" s="1">
        <f>IFERROR(__xludf.DUMMYFUNCTION("""COMPUTED_VALUE"""),43287.66666666667)</f>
        <v>43287.66667</v>
      </c>
      <c r="B237" s="2">
        <f>IFERROR(__xludf.DUMMYFUNCTION("""COMPUTED_VALUE"""),98.1)</f>
        <v>98.1</v>
      </c>
      <c r="C237" s="2">
        <f>IFERROR(__xludf.DUMMYFUNCTION("""COMPUTED_VALUE"""),101.43)</f>
        <v>101.43</v>
      </c>
      <c r="D237" s="2">
        <f>IFERROR(__xludf.DUMMYFUNCTION("""COMPUTED_VALUE"""),98.0)</f>
        <v>98</v>
      </c>
      <c r="E237" s="2">
        <f>IFERROR(__xludf.DUMMYFUNCTION("""COMPUTED_VALUE"""),101.16)</f>
        <v>101.16</v>
      </c>
      <c r="F237" s="2">
        <f>IFERROR(__xludf.DUMMYFUNCTION("""COMPUTED_VALUE"""),7.2446825E7)</f>
        <v>72446825</v>
      </c>
      <c r="G237" s="3">
        <f t="shared" si="1"/>
        <v>0.0258594463</v>
      </c>
    </row>
    <row r="238">
      <c r="A238" s="1">
        <f>IFERROR(__xludf.DUMMYFUNCTION("""COMPUTED_VALUE"""),43294.66666666667)</f>
        <v>43294.66667</v>
      </c>
      <c r="B238" s="2">
        <f>IFERROR(__xludf.DUMMYFUNCTION("""COMPUTED_VALUE"""),101.65)</f>
        <v>101.65</v>
      </c>
      <c r="C238" s="2">
        <f>IFERROR(__xludf.DUMMYFUNCTION("""COMPUTED_VALUE"""),105.6)</f>
        <v>105.6</v>
      </c>
      <c r="D238" s="2">
        <f>IFERROR(__xludf.DUMMYFUNCTION("""COMPUTED_VALUE"""),101.1)</f>
        <v>101.1</v>
      </c>
      <c r="E238" s="2">
        <f>IFERROR(__xludf.DUMMYFUNCTION("""COMPUTED_VALUE"""),105.43)</f>
        <v>105.43</v>
      </c>
      <c r="F238" s="2">
        <f>IFERROR(__xludf.DUMMYFUNCTION("""COMPUTED_VALUE"""),1.06139197E8)</f>
        <v>106139197</v>
      </c>
      <c r="G238" s="3">
        <f t="shared" si="1"/>
        <v>0.04221035983</v>
      </c>
    </row>
    <row r="239">
      <c r="A239" s="1">
        <f>IFERROR(__xludf.DUMMYFUNCTION("""COMPUTED_VALUE"""),43301.66666666667)</f>
        <v>43301.66667</v>
      </c>
      <c r="B239" s="2">
        <f>IFERROR(__xludf.DUMMYFUNCTION("""COMPUTED_VALUE"""),105.4)</f>
        <v>105.4</v>
      </c>
      <c r="C239" s="2">
        <f>IFERROR(__xludf.DUMMYFUNCTION("""COMPUTED_VALUE"""),108.2)</f>
        <v>108.2</v>
      </c>
      <c r="D239" s="2">
        <f>IFERROR(__xludf.DUMMYFUNCTION("""COMPUTED_VALUE"""),103.89)</f>
        <v>103.89</v>
      </c>
      <c r="E239" s="2">
        <f>IFERROR(__xludf.DUMMYFUNCTION("""COMPUTED_VALUE"""),106.27)</f>
        <v>106.27</v>
      </c>
      <c r="F239" s="2">
        <f>IFERROR(__xludf.DUMMYFUNCTION("""COMPUTED_VALUE"""),1.73393038E8)</f>
        <v>173393038</v>
      </c>
      <c r="G239" s="3">
        <f t="shared" si="1"/>
        <v>0.007967371716</v>
      </c>
    </row>
    <row r="240">
      <c r="A240" s="1">
        <f>IFERROR(__xludf.DUMMYFUNCTION("""COMPUTED_VALUE"""),43308.66666666667)</f>
        <v>43308.66667</v>
      </c>
      <c r="B240" s="2">
        <f>IFERROR(__xludf.DUMMYFUNCTION("""COMPUTED_VALUE"""),106.3)</f>
        <v>106.3</v>
      </c>
      <c r="C240" s="2">
        <f>IFERROR(__xludf.DUMMYFUNCTION("""COMPUTED_VALUE"""),111.15)</f>
        <v>111.15</v>
      </c>
      <c r="D240" s="2">
        <f>IFERROR(__xludf.DUMMYFUNCTION("""COMPUTED_VALUE"""),106.13)</f>
        <v>106.13</v>
      </c>
      <c r="E240" s="2">
        <f>IFERROR(__xludf.DUMMYFUNCTION("""COMPUTED_VALUE"""),107.68)</f>
        <v>107.68</v>
      </c>
      <c r="F240" s="2">
        <f>IFERROR(__xludf.DUMMYFUNCTION("""COMPUTED_VALUE"""),1.55199034E8)</f>
        <v>155199034</v>
      </c>
      <c r="G240" s="3">
        <f t="shared" si="1"/>
        <v>0.01326809071</v>
      </c>
    </row>
    <row r="241">
      <c r="A241" s="1">
        <f>IFERROR(__xludf.DUMMYFUNCTION("""COMPUTED_VALUE"""),43315.66666666667)</f>
        <v>43315.66667</v>
      </c>
      <c r="B241" s="2">
        <f>IFERROR(__xludf.DUMMYFUNCTION("""COMPUTED_VALUE"""),107.19)</f>
        <v>107.19</v>
      </c>
      <c r="C241" s="2">
        <f>IFERROR(__xludf.DUMMYFUNCTION("""COMPUTED_VALUE"""),108.09)</f>
        <v>108.09</v>
      </c>
      <c r="D241" s="2">
        <f>IFERROR(__xludf.DUMMYFUNCTION("""COMPUTED_VALUE"""),104.76)</f>
        <v>104.76</v>
      </c>
      <c r="E241" s="2">
        <f>IFERROR(__xludf.DUMMYFUNCTION("""COMPUTED_VALUE"""),108.04)</f>
        <v>108.04</v>
      </c>
      <c r="F241" s="2">
        <f>IFERROR(__xludf.DUMMYFUNCTION("""COMPUTED_VALUE"""),1.30716035E8)</f>
        <v>130716035</v>
      </c>
      <c r="G241" s="3">
        <f t="shared" si="1"/>
        <v>0.003343239227</v>
      </c>
    </row>
    <row r="242">
      <c r="A242" s="1">
        <f>IFERROR(__xludf.DUMMYFUNCTION("""COMPUTED_VALUE"""),43322.66666666667)</f>
        <v>43322.66667</v>
      </c>
      <c r="B242" s="2">
        <f>IFERROR(__xludf.DUMMYFUNCTION("""COMPUTED_VALUE"""),108.12)</f>
        <v>108.12</v>
      </c>
      <c r="C242" s="2">
        <f>IFERROR(__xludf.DUMMYFUNCTION("""COMPUTED_VALUE"""),110.16)</f>
        <v>110.16</v>
      </c>
      <c r="D242" s="2">
        <f>IFERROR(__xludf.DUMMYFUNCTION("""COMPUTED_VALUE"""),107.56)</f>
        <v>107.56</v>
      </c>
      <c r="E242" s="2">
        <f>IFERROR(__xludf.DUMMYFUNCTION("""COMPUTED_VALUE"""),109.0)</f>
        <v>109</v>
      </c>
      <c r="F242" s="2">
        <f>IFERROR(__xludf.DUMMYFUNCTION("""COMPUTED_VALUE"""),8.3694598E7)</f>
        <v>83694598</v>
      </c>
      <c r="G242" s="3">
        <f t="shared" si="1"/>
        <v>0.008885597927</v>
      </c>
    </row>
    <row r="243">
      <c r="A243" s="1">
        <f>IFERROR(__xludf.DUMMYFUNCTION("""COMPUTED_VALUE"""),43329.66666666667)</f>
        <v>43329.66667</v>
      </c>
      <c r="B243" s="2">
        <f>IFERROR(__xludf.DUMMYFUNCTION("""COMPUTED_VALUE"""),109.24)</f>
        <v>109.24</v>
      </c>
      <c r="C243" s="2">
        <f>IFERROR(__xludf.DUMMYFUNCTION("""COMPUTED_VALUE"""),109.75)</f>
        <v>109.75</v>
      </c>
      <c r="D243" s="2">
        <f>IFERROR(__xludf.DUMMYFUNCTION("""COMPUTED_VALUE"""),106.69)</f>
        <v>106.69</v>
      </c>
      <c r="E243" s="2">
        <f>IFERROR(__xludf.DUMMYFUNCTION("""COMPUTED_VALUE"""),107.58)</f>
        <v>107.58</v>
      </c>
      <c r="F243" s="2">
        <f>IFERROR(__xludf.DUMMYFUNCTION("""COMPUTED_VALUE"""),1.04691805E8)</f>
        <v>104691805</v>
      </c>
      <c r="G243" s="3">
        <f t="shared" si="1"/>
        <v>-0.01302752294</v>
      </c>
    </row>
    <row r="244">
      <c r="A244" s="1">
        <f>IFERROR(__xludf.DUMMYFUNCTION("""COMPUTED_VALUE"""),43336.66666666667)</f>
        <v>43336.66667</v>
      </c>
      <c r="B244" s="2">
        <f>IFERROR(__xludf.DUMMYFUNCTION("""COMPUTED_VALUE"""),107.51)</f>
        <v>107.51</v>
      </c>
      <c r="C244" s="2">
        <f>IFERROR(__xludf.DUMMYFUNCTION("""COMPUTED_VALUE"""),108.56)</f>
        <v>108.56</v>
      </c>
      <c r="D244" s="2">
        <f>IFERROR(__xludf.DUMMYFUNCTION("""COMPUTED_VALUE"""),105.78)</f>
        <v>105.78</v>
      </c>
      <c r="E244" s="2">
        <f>IFERROR(__xludf.DUMMYFUNCTION("""COMPUTED_VALUE"""),108.4)</f>
        <v>108.4</v>
      </c>
      <c r="F244" s="2">
        <f>IFERROR(__xludf.DUMMYFUNCTION("""COMPUTED_VALUE"""),9.4198444E7)</f>
        <v>94198444</v>
      </c>
      <c r="G244" s="3">
        <f t="shared" si="1"/>
        <v>0.007622234616</v>
      </c>
    </row>
    <row r="245">
      <c r="A245" s="1">
        <f>IFERROR(__xludf.DUMMYFUNCTION("""COMPUTED_VALUE"""),43343.66666666667)</f>
        <v>43343.66667</v>
      </c>
      <c r="B245" s="2">
        <f>IFERROR(__xludf.DUMMYFUNCTION("""COMPUTED_VALUE"""),109.27)</f>
        <v>109.27</v>
      </c>
      <c r="C245" s="2">
        <f>IFERROR(__xludf.DUMMYFUNCTION("""COMPUTED_VALUE"""),112.78)</f>
        <v>112.78</v>
      </c>
      <c r="D245" s="2">
        <f>IFERROR(__xludf.DUMMYFUNCTION("""COMPUTED_VALUE"""),108.51)</f>
        <v>108.51</v>
      </c>
      <c r="E245" s="2">
        <f>IFERROR(__xludf.DUMMYFUNCTION("""COMPUTED_VALUE"""),112.33)</f>
        <v>112.33</v>
      </c>
      <c r="F245" s="2">
        <f>IFERROR(__xludf.DUMMYFUNCTION("""COMPUTED_VALUE"""),1.05653318E8)</f>
        <v>105653318</v>
      </c>
      <c r="G245" s="3">
        <f t="shared" si="1"/>
        <v>0.03625461255</v>
      </c>
    </row>
    <row r="246">
      <c r="A246" s="1">
        <f>IFERROR(__xludf.DUMMYFUNCTION("""COMPUTED_VALUE"""),43350.66666666667)</f>
        <v>43350.66667</v>
      </c>
      <c r="B246" s="2">
        <f>IFERROR(__xludf.DUMMYFUNCTION("""COMPUTED_VALUE"""),110.85)</f>
        <v>110.85</v>
      </c>
      <c r="C246" s="2">
        <f>IFERROR(__xludf.DUMMYFUNCTION("""COMPUTED_VALUE"""),111.96)</f>
        <v>111.96</v>
      </c>
      <c r="D246" s="2">
        <f>IFERROR(__xludf.DUMMYFUNCTION("""COMPUTED_VALUE"""),107.23)</f>
        <v>107.23</v>
      </c>
      <c r="E246" s="2">
        <f>IFERROR(__xludf.DUMMYFUNCTION("""COMPUTED_VALUE"""),108.21)</f>
        <v>108.21</v>
      </c>
      <c r="F246" s="2">
        <f>IFERROR(__xludf.DUMMYFUNCTION("""COMPUTED_VALUE"""),1.01483263E8)</f>
        <v>101483263</v>
      </c>
      <c r="G246" s="3">
        <f t="shared" si="1"/>
        <v>-0.03667764622</v>
      </c>
    </row>
    <row r="247">
      <c r="A247" s="1">
        <f>IFERROR(__xludf.DUMMYFUNCTION("""COMPUTED_VALUE"""),43357.66666666667)</f>
        <v>43357.66667</v>
      </c>
      <c r="B247" s="2">
        <f>IFERROR(__xludf.DUMMYFUNCTION("""COMPUTED_VALUE"""),108.84)</f>
        <v>108.84</v>
      </c>
      <c r="C247" s="2">
        <f>IFERROR(__xludf.DUMMYFUNCTION("""COMPUTED_VALUE"""),113.73)</f>
        <v>113.73</v>
      </c>
      <c r="D247" s="2">
        <f>IFERROR(__xludf.DUMMYFUNCTION("""COMPUTED_VALUE"""),108.36)</f>
        <v>108.36</v>
      </c>
      <c r="E247" s="2">
        <f>IFERROR(__xludf.DUMMYFUNCTION("""COMPUTED_VALUE"""),113.37)</f>
        <v>113.37</v>
      </c>
      <c r="F247" s="2">
        <f>IFERROR(__xludf.DUMMYFUNCTION("""COMPUTED_VALUE"""),1.09098713E8)</f>
        <v>109098713</v>
      </c>
      <c r="G247" s="3">
        <f t="shared" si="1"/>
        <v>0.04768505683</v>
      </c>
    </row>
    <row r="248">
      <c r="A248" s="1">
        <f>IFERROR(__xludf.DUMMYFUNCTION("""COMPUTED_VALUE"""),43364.66666666667)</f>
        <v>43364.66667</v>
      </c>
      <c r="B248" s="2">
        <f>IFERROR(__xludf.DUMMYFUNCTION("""COMPUTED_VALUE"""),113.69)</f>
        <v>113.69</v>
      </c>
      <c r="C248" s="2">
        <f>IFERROR(__xludf.DUMMYFUNCTION("""COMPUTED_VALUE"""),115.29)</f>
        <v>115.29</v>
      </c>
      <c r="D248" s="2">
        <f>IFERROR(__xludf.DUMMYFUNCTION("""COMPUTED_VALUE"""),111.04)</f>
        <v>111.04</v>
      </c>
      <c r="E248" s="2">
        <f>IFERROR(__xludf.DUMMYFUNCTION("""COMPUTED_VALUE"""),114.26)</f>
        <v>114.26</v>
      </c>
      <c r="F248" s="2">
        <f>IFERROR(__xludf.DUMMYFUNCTION("""COMPUTED_VALUE"""),1.59580089E8)</f>
        <v>159580089</v>
      </c>
      <c r="G248" s="3">
        <f t="shared" si="1"/>
        <v>0.007850401341</v>
      </c>
    </row>
    <row r="249">
      <c r="A249" s="1">
        <f>IFERROR(__xludf.DUMMYFUNCTION("""COMPUTED_VALUE"""),43371.66666666667)</f>
        <v>43371.66667</v>
      </c>
      <c r="B249" s="2">
        <f>IFERROR(__xludf.DUMMYFUNCTION("""COMPUTED_VALUE"""),113.03)</f>
        <v>113.03</v>
      </c>
      <c r="C249" s="2">
        <f>IFERROR(__xludf.DUMMYFUNCTION("""COMPUTED_VALUE"""),115.1)</f>
        <v>115.1</v>
      </c>
      <c r="D249" s="2">
        <f>IFERROR(__xludf.DUMMYFUNCTION("""COMPUTED_VALUE"""),112.22)</f>
        <v>112.22</v>
      </c>
      <c r="E249" s="2">
        <f>IFERROR(__xludf.DUMMYFUNCTION("""COMPUTED_VALUE"""),114.37)</f>
        <v>114.37</v>
      </c>
      <c r="F249" s="2">
        <f>IFERROR(__xludf.DUMMYFUNCTION("""COMPUTED_VALUE"""),1.10093609E8)</f>
        <v>110093609</v>
      </c>
      <c r="G249" s="3">
        <f t="shared" si="1"/>
        <v>0.0009627166112</v>
      </c>
    </row>
    <row r="250">
      <c r="A250" s="1">
        <f>IFERROR(__xludf.DUMMYFUNCTION("""COMPUTED_VALUE"""),43378.66666666667)</f>
        <v>43378.66667</v>
      </c>
      <c r="B250" s="2">
        <f>IFERROR(__xludf.DUMMYFUNCTION("""COMPUTED_VALUE"""),114.75)</f>
        <v>114.75</v>
      </c>
      <c r="C250" s="2">
        <f>IFERROR(__xludf.DUMMYFUNCTION("""COMPUTED_VALUE"""),116.18)</f>
        <v>116.18</v>
      </c>
      <c r="D250" s="2">
        <f>IFERROR(__xludf.DUMMYFUNCTION("""COMPUTED_VALUE"""),110.64)</f>
        <v>110.64</v>
      </c>
      <c r="E250" s="2">
        <f>IFERROR(__xludf.DUMMYFUNCTION("""COMPUTED_VALUE"""),112.13)</f>
        <v>112.13</v>
      </c>
      <c r="F250" s="2">
        <f>IFERROR(__xludf.DUMMYFUNCTION("""COMPUTED_VALUE"""),1.20208912E8)</f>
        <v>120208912</v>
      </c>
      <c r="G250" s="3">
        <f t="shared" si="1"/>
        <v>-0.01958555565</v>
      </c>
    </row>
    <row r="251">
      <c r="A251" s="1">
        <f>IFERROR(__xludf.DUMMYFUNCTION("""COMPUTED_VALUE"""),43385.66666666667)</f>
        <v>43385.66667</v>
      </c>
      <c r="B251" s="2">
        <f>IFERROR(__xludf.DUMMYFUNCTION("""COMPUTED_VALUE"""),111.66)</f>
        <v>111.66</v>
      </c>
      <c r="C251" s="2">
        <f>IFERROR(__xludf.DUMMYFUNCTION("""COMPUTED_VALUE"""),113.08)</f>
        <v>113.08</v>
      </c>
      <c r="D251" s="2">
        <f>IFERROR(__xludf.DUMMYFUNCTION("""COMPUTED_VALUE"""),104.2)</f>
        <v>104.2</v>
      </c>
      <c r="E251" s="2">
        <f>IFERROR(__xludf.DUMMYFUNCTION("""COMPUTED_VALUE"""),109.57)</f>
        <v>109.57</v>
      </c>
      <c r="F251" s="2">
        <f>IFERROR(__xludf.DUMMYFUNCTION("""COMPUTED_VALUE"""),2.28861888E8)</f>
        <v>228861888</v>
      </c>
      <c r="G251" s="3">
        <f t="shared" si="1"/>
        <v>-0.022830643</v>
      </c>
    </row>
    <row r="252">
      <c r="A252" s="1">
        <f>IFERROR(__xludf.DUMMYFUNCTION("""COMPUTED_VALUE"""),43392.66666666667)</f>
        <v>43392.66667</v>
      </c>
      <c r="B252" s="2">
        <f>IFERROR(__xludf.DUMMYFUNCTION("""COMPUTED_VALUE"""),108.91)</f>
        <v>108.91</v>
      </c>
      <c r="C252" s="2">
        <f>IFERROR(__xludf.DUMMYFUNCTION("""COMPUTED_VALUE"""),111.81)</f>
        <v>111.81</v>
      </c>
      <c r="D252" s="2">
        <f>IFERROR(__xludf.DUMMYFUNCTION("""COMPUTED_VALUE"""),106.95)</f>
        <v>106.95</v>
      </c>
      <c r="E252" s="2">
        <f>IFERROR(__xludf.DUMMYFUNCTION("""COMPUTED_VALUE"""),108.66)</f>
        <v>108.66</v>
      </c>
      <c r="F252" s="2">
        <f>IFERROR(__xludf.DUMMYFUNCTION("""COMPUTED_VALUE"""),1.55518177E8)</f>
        <v>155518177</v>
      </c>
      <c r="G252" s="3">
        <f t="shared" si="1"/>
        <v>-0.008305193027</v>
      </c>
    </row>
    <row r="253">
      <c r="A253" s="1">
        <f>IFERROR(__xludf.DUMMYFUNCTION("""COMPUTED_VALUE"""),43399.66666666667)</f>
        <v>43399.66667</v>
      </c>
      <c r="B253" s="2">
        <f>IFERROR(__xludf.DUMMYFUNCTION("""COMPUTED_VALUE"""),109.32)</f>
        <v>109.32</v>
      </c>
      <c r="C253" s="2">
        <f>IFERROR(__xludf.DUMMYFUNCTION("""COMPUTED_VALUE"""),110.54)</f>
        <v>110.54</v>
      </c>
      <c r="D253" s="2">
        <f>IFERROR(__xludf.DUMMYFUNCTION("""COMPUTED_VALUE"""),101.59)</f>
        <v>101.59</v>
      </c>
      <c r="E253" s="2">
        <f>IFERROR(__xludf.DUMMYFUNCTION("""COMPUTED_VALUE"""),106.96)</f>
        <v>106.96</v>
      </c>
      <c r="F253" s="2">
        <f>IFERROR(__xludf.DUMMYFUNCTION("""COMPUTED_VALUE"""),2.51383718E8)</f>
        <v>251383718</v>
      </c>
      <c r="G253" s="3">
        <f t="shared" si="1"/>
        <v>-0.0156451316</v>
      </c>
    </row>
    <row r="254">
      <c r="A254" s="1">
        <f>IFERROR(__xludf.DUMMYFUNCTION("""COMPUTED_VALUE"""),43406.66666666667)</f>
        <v>43406.66667</v>
      </c>
      <c r="B254" s="2">
        <f>IFERROR(__xludf.DUMMYFUNCTION("""COMPUTED_VALUE"""),108.11)</f>
        <v>108.11</v>
      </c>
      <c r="C254" s="2">
        <f>IFERROR(__xludf.DUMMYFUNCTION("""COMPUTED_VALUE"""),108.7)</f>
        <v>108.7</v>
      </c>
      <c r="D254" s="2">
        <f>IFERROR(__xludf.DUMMYFUNCTION("""COMPUTED_VALUE"""),100.11)</f>
        <v>100.11</v>
      </c>
      <c r="E254" s="2">
        <f>IFERROR(__xludf.DUMMYFUNCTION("""COMPUTED_VALUE"""),106.16)</f>
        <v>106.16</v>
      </c>
      <c r="F254" s="2">
        <f>IFERROR(__xludf.DUMMYFUNCTION("""COMPUTED_VALUE"""),2.42639657E8)</f>
        <v>242639657</v>
      </c>
      <c r="G254" s="3">
        <f t="shared" si="1"/>
        <v>-0.007479431563</v>
      </c>
    </row>
    <row r="255">
      <c r="A255" s="1">
        <f>IFERROR(__xludf.DUMMYFUNCTION("""COMPUTED_VALUE"""),43413.66666666667)</f>
        <v>43413.66667</v>
      </c>
      <c r="B255" s="2">
        <f>IFERROR(__xludf.DUMMYFUNCTION("""COMPUTED_VALUE"""),106.37)</f>
        <v>106.37</v>
      </c>
      <c r="C255" s="2">
        <f>IFERROR(__xludf.DUMMYFUNCTION("""COMPUTED_VALUE"""),112.24)</f>
        <v>112.24</v>
      </c>
      <c r="D255" s="2">
        <f>IFERROR(__xludf.DUMMYFUNCTION("""COMPUTED_VALUE"""),105.9)</f>
        <v>105.9</v>
      </c>
      <c r="E255" s="2">
        <f>IFERROR(__xludf.DUMMYFUNCTION("""COMPUTED_VALUE"""),109.57)</f>
        <v>109.57</v>
      </c>
      <c r="F255" s="2">
        <f>IFERROR(__xludf.DUMMYFUNCTION("""COMPUTED_VALUE"""),1.47847424E8)</f>
        <v>147847424</v>
      </c>
      <c r="G255" s="3">
        <f t="shared" si="1"/>
        <v>0.0321213263</v>
      </c>
    </row>
    <row r="256">
      <c r="A256" s="1">
        <f>IFERROR(__xludf.DUMMYFUNCTION("""COMPUTED_VALUE"""),43420.66666666667)</f>
        <v>43420.66667</v>
      </c>
      <c r="B256" s="2">
        <f>IFERROR(__xludf.DUMMYFUNCTION("""COMPUTED_VALUE"""),109.42)</f>
        <v>109.42</v>
      </c>
      <c r="C256" s="2">
        <f>IFERROR(__xludf.DUMMYFUNCTION("""COMPUTED_VALUE"""),109.96)</f>
        <v>109.96</v>
      </c>
      <c r="D256" s="2">
        <f>IFERROR(__xludf.DUMMYFUNCTION("""COMPUTED_VALUE"""),103.91)</f>
        <v>103.91</v>
      </c>
      <c r="E256" s="2">
        <f>IFERROR(__xludf.DUMMYFUNCTION("""COMPUTED_VALUE"""),108.29)</f>
        <v>108.29</v>
      </c>
      <c r="F256" s="2">
        <f>IFERROR(__xludf.DUMMYFUNCTION("""COMPUTED_VALUE"""),1.80498817E8)</f>
        <v>180498817</v>
      </c>
      <c r="G256" s="3">
        <f t="shared" si="1"/>
        <v>-0.01168202975</v>
      </c>
    </row>
    <row r="257">
      <c r="A257" s="1">
        <f>IFERROR(__xludf.DUMMYFUNCTION("""COMPUTED_VALUE"""),43427.54166666667)</f>
        <v>43427.54167</v>
      </c>
      <c r="B257" s="2">
        <f>IFERROR(__xludf.DUMMYFUNCTION("""COMPUTED_VALUE"""),108.27)</f>
        <v>108.27</v>
      </c>
      <c r="C257" s="2">
        <f>IFERROR(__xludf.DUMMYFUNCTION("""COMPUTED_VALUE"""),108.56)</f>
        <v>108.56</v>
      </c>
      <c r="D257" s="2">
        <f>IFERROR(__xludf.DUMMYFUNCTION("""COMPUTED_VALUE"""),99.35)</f>
        <v>99.35</v>
      </c>
      <c r="E257" s="2">
        <f>IFERROR(__xludf.DUMMYFUNCTION("""COMPUTED_VALUE"""),103.07)</f>
        <v>103.07</v>
      </c>
      <c r="F257" s="2">
        <f>IFERROR(__xludf.DUMMYFUNCTION("""COMPUTED_VALUE"""),1.50780076E8)</f>
        <v>150780076</v>
      </c>
      <c r="G257" s="3">
        <f t="shared" si="1"/>
        <v>-0.04820389694</v>
      </c>
    </row>
    <row r="258">
      <c r="A258" s="1">
        <f>IFERROR(__xludf.DUMMYFUNCTION("""COMPUTED_VALUE"""),43434.66666666667)</f>
        <v>43434.66667</v>
      </c>
      <c r="B258" s="2">
        <f>IFERROR(__xludf.DUMMYFUNCTION("""COMPUTED_VALUE"""),104.79)</f>
        <v>104.79</v>
      </c>
      <c r="C258" s="2">
        <f>IFERROR(__xludf.DUMMYFUNCTION("""COMPUTED_VALUE"""),111.33)</f>
        <v>111.33</v>
      </c>
      <c r="D258" s="2">
        <f>IFERROR(__xludf.DUMMYFUNCTION("""COMPUTED_VALUE"""),104.58)</f>
        <v>104.58</v>
      </c>
      <c r="E258" s="2">
        <f>IFERROR(__xludf.DUMMYFUNCTION("""COMPUTED_VALUE"""),110.89)</f>
        <v>110.89</v>
      </c>
      <c r="F258" s="2">
        <f>IFERROR(__xludf.DUMMYFUNCTION("""COMPUTED_VALUE"""),1.70037931E8)</f>
        <v>170037931</v>
      </c>
      <c r="G258" s="3">
        <f t="shared" si="1"/>
        <v>0.07587076744</v>
      </c>
    </row>
    <row r="259">
      <c r="A259" s="1">
        <f>IFERROR(__xludf.DUMMYFUNCTION("""COMPUTED_VALUE"""),43441.66666666667)</f>
        <v>43441.66667</v>
      </c>
      <c r="B259" s="2">
        <f>IFERROR(__xludf.DUMMYFUNCTION("""COMPUTED_VALUE"""),113.0)</f>
        <v>113</v>
      </c>
      <c r="C259" s="2">
        <f>IFERROR(__xludf.DUMMYFUNCTION("""COMPUTED_VALUE"""),113.42)</f>
        <v>113.42</v>
      </c>
      <c r="D259" s="2">
        <f>IFERROR(__xludf.DUMMYFUNCTION("""COMPUTED_VALUE"""),104.3)</f>
        <v>104.3</v>
      </c>
      <c r="E259" s="2">
        <f>IFERROR(__xludf.DUMMYFUNCTION("""COMPUTED_VALUE"""),104.82)</f>
        <v>104.82</v>
      </c>
      <c r="F259" s="2">
        <f>IFERROR(__xludf.DUMMYFUNCTION("""COMPUTED_VALUE"""),1.74082124E8)</f>
        <v>174082124</v>
      </c>
      <c r="G259" s="3">
        <f t="shared" si="1"/>
        <v>-0.05473893047</v>
      </c>
    </row>
    <row r="260">
      <c r="A260" s="1">
        <f>IFERROR(__xludf.DUMMYFUNCTION("""COMPUTED_VALUE"""),43448.66666666667)</f>
        <v>43448.66667</v>
      </c>
      <c r="B260" s="2">
        <f>IFERROR(__xludf.DUMMYFUNCTION("""COMPUTED_VALUE"""),104.8)</f>
        <v>104.8</v>
      </c>
      <c r="C260" s="2">
        <f>IFERROR(__xludf.DUMMYFUNCTION("""COMPUTED_VALUE"""),111.27)</f>
        <v>111.27</v>
      </c>
      <c r="D260" s="2">
        <f>IFERROR(__xludf.DUMMYFUNCTION("""COMPUTED_VALUE"""),103.89)</f>
        <v>103.89</v>
      </c>
      <c r="E260" s="2">
        <f>IFERROR(__xludf.DUMMYFUNCTION("""COMPUTED_VALUE"""),106.03)</f>
        <v>106.03</v>
      </c>
      <c r="F260" s="2">
        <f>IFERROR(__xludf.DUMMYFUNCTION("""COMPUTED_VALUE"""),1.9774299E8)</f>
        <v>197742990</v>
      </c>
      <c r="G260" s="3">
        <f t="shared" si="1"/>
        <v>0.01154359855</v>
      </c>
    </row>
    <row r="261">
      <c r="A261" s="1">
        <f>IFERROR(__xludf.DUMMYFUNCTION("""COMPUTED_VALUE"""),43455.66666666667)</f>
        <v>43455.66667</v>
      </c>
      <c r="B261" s="2">
        <f>IFERROR(__xludf.DUMMYFUNCTION("""COMPUTED_VALUE"""),105.41)</f>
        <v>105.41</v>
      </c>
      <c r="C261" s="2">
        <f>IFERROR(__xludf.DUMMYFUNCTION("""COMPUTED_VALUE"""),106.88)</f>
        <v>106.88</v>
      </c>
      <c r="D261" s="2">
        <f>IFERROR(__xludf.DUMMYFUNCTION("""COMPUTED_VALUE"""),97.46)</f>
        <v>97.46</v>
      </c>
      <c r="E261" s="2">
        <f>IFERROR(__xludf.DUMMYFUNCTION("""COMPUTED_VALUE"""),98.23)</f>
        <v>98.23</v>
      </c>
      <c r="F261" s="2">
        <f>IFERROR(__xludf.DUMMYFUNCTION("""COMPUTED_VALUE"""),3.5605095E8)</f>
        <v>356050950</v>
      </c>
      <c r="G261" s="3">
        <f t="shared" si="1"/>
        <v>-0.07356408564</v>
      </c>
    </row>
    <row r="262">
      <c r="A262" s="1">
        <f>IFERROR(__xludf.DUMMYFUNCTION("""COMPUTED_VALUE"""),43462.66666666667)</f>
        <v>43462.66667</v>
      </c>
      <c r="B262" s="2">
        <f>IFERROR(__xludf.DUMMYFUNCTION("""COMPUTED_VALUE"""),97.68)</f>
        <v>97.68</v>
      </c>
      <c r="C262" s="2">
        <f>IFERROR(__xludf.DUMMYFUNCTION("""COMPUTED_VALUE"""),102.41)</f>
        <v>102.41</v>
      </c>
      <c r="D262" s="2">
        <f>IFERROR(__xludf.DUMMYFUNCTION("""COMPUTED_VALUE"""),93.96)</f>
        <v>93.96</v>
      </c>
      <c r="E262" s="2">
        <f>IFERROR(__xludf.DUMMYFUNCTION("""COMPUTED_VALUE"""),100.39)</f>
        <v>100.39</v>
      </c>
      <c r="F262" s="2">
        <f>IFERROR(__xludf.DUMMYFUNCTION("""COMPUTED_VALUE"""),1.83237806E8)</f>
        <v>183237806</v>
      </c>
      <c r="G262" s="3">
        <f t="shared" si="1"/>
        <v>0.021989209</v>
      </c>
    </row>
    <row r="263">
      <c r="A263" s="1">
        <f>IFERROR(__xludf.DUMMYFUNCTION("""COMPUTED_VALUE"""),43469.66666666667)</f>
        <v>43469.66667</v>
      </c>
      <c r="B263" s="2">
        <f>IFERROR(__xludf.DUMMYFUNCTION("""COMPUTED_VALUE"""),101.29)</f>
        <v>101.29</v>
      </c>
      <c r="C263" s="2">
        <f>IFERROR(__xludf.DUMMYFUNCTION("""COMPUTED_VALUE"""),102.51)</f>
        <v>102.51</v>
      </c>
      <c r="D263" s="2">
        <f>IFERROR(__xludf.DUMMYFUNCTION("""COMPUTED_VALUE"""),97.2)</f>
        <v>97.2</v>
      </c>
      <c r="E263" s="2">
        <f>IFERROR(__xludf.DUMMYFUNCTION("""COMPUTED_VALUE"""),101.93)</f>
        <v>101.93</v>
      </c>
      <c r="F263" s="2">
        <f>IFERROR(__xludf.DUMMYFUNCTION("""COMPUTED_VALUE"""),1.5514214E8)</f>
        <v>155142140</v>
      </c>
      <c r="G263" s="3">
        <f t="shared" si="1"/>
        <v>0.01534017332</v>
      </c>
    </row>
    <row r="264">
      <c r="A264" s="1">
        <f>IFERROR(__xludf.DUMMYFUNCTION("""COMPUTED_VALUE"""),43476.66666666667)</f>
        <v>43476.66667</v>
      </c>
      <c r="B264" s="2">
        <f>IFERROR(__xludf.DUMMYFUNCTION("""COMPUTED_VALUE"""),101.64)</f>
        <v>101.64</v>
      </c>
      <c r="C264" s="2">
        <f>IFERROR(__xludf.DUMMYFUNCTION("""COMPUTED_VALUE"""),104.88)</f>
        <v>104.88</v>
      </c>
      <c r="D264" s="2">
        <f>IFERROR(__xludf.DUMMYFUNCTION("""COMPUTED_VALUE"""),100.98)</f>
        <v>100.98</v>
      </c>
      <c r="E264" s="2">
        <f>IFERROR(__xludf.DUMMYFUNCTION("""COMPUTED_VALUE"""),102.8)</f>
        <v>102.8</v>
      </c>
      <c r="F264" s="2">
        <f>IFERROR(__xludf.DUMMYFUNCTION("""COMPUTED_VALUE"""),1.57833149E8)</f>
        <v>157833149</v>
      </c>
      <c r="G264" s="3">
        <f t="shared" si="1"/>
        <v>0.008535269302</v>
      </c>
    </row>
    <row r="265">
      <c r="A265" s="1">
        <f>IFERROR(__xludf.DUMMYFUNCTION("""COMPUTED_VALUE"""),43483.66666666667)</f>
        <v>43483.66667</v>
      </c>
      <c r="B265" s="2">
        <f>IFERROR(__xludf.DUMMYFUNCTION("""COMPUTED_VALUE"""),101.9)</f>
        <v>101.9</v>
      </c>
      <c r="C265" s="2">
        <f>IFERROR(__xludf.DUMMYFUNCTION("""COMPUTED_VALUE"""),107.9)</f>
        <v>107.9</v>
      </c>
      <c r="D265" s="2">
        <f>IFERROR(__xludf.DUMMYFUNCTION("""COMPUTED_VALUE"""),101.26)</f>
        <v>101.26</v>
      </c>
      <c r="E265" s="2">
        <f>IFERROR(__xludf.DUMMYFUNCTION("""COMPUTED_VALUE"""),107.71)</f>
        <v>107.71</v>
      </c>
      <c r="F265" s="2">
        <f>IFERROR(__xludf.DUMMYFUNCTION("""COMPUTED_VALUE"""),1.55699162E8)</f>
        <v>155699162</v>
      </c>
      <c r="G265" s="3">
        <f t="shared" si="1"/>
        <v>0.04776264591</v>
      </c>
    </row>
    <row r="266">
      <c r="A266" s="1">
        <f>IFERROR(__xludf.DUMMYFUNCTION("""COMPUTED_VALUE"""),43490.66666666667)</f>
        <v>43490.66667</v>
      </c>
      <c r="B266" s="2">
        <f>IFERROR(__xludf.DUMMYFUNCTION("""COMPUTED_VALUE"""),106.75)</f>
        <v>106.75</v>
      </c>
      <c r="C266" s="2">
        <f>IFERROR(__xludf.DUMMYFUNCTION("""COMPUTED_VALUE"""),107.88)</f>
        <v>107.88</v>
      </c>
      <c r="D266" s="2">
        <f>IFERROR(__xludf.DUMMYFUNCTION("""COMPUTED_VALUE"""),104.86)</f>
        <v>104.86</v>
      </c>
      <c r="E266" s="2">
        <f>IFERROR(__xludf.DUMMYFUNCTION("""COMPUTED_VALUE"""),107.17)</f>
        <v>107.17</v>
      </c>
      <c r="F266" s="2">
        <f>IFERROR(__xludf.DUMMYFUNCTION("""COMPUTED_VALUE"""),1.12628578E8)</f>
        <v>112628578</v>
      </c>
      <c r="G266" s="3">
        <f t="shared" si="1"/>
        <v>-0.005013462074</v>
      </c>
    </row>
    <row r="267">
      <c r="A267" s="1">
        <f>IFERROR(__xludf.DUMMYFUNCTION("""COMPUTED_VALUE"""),43497.66666666667)</f>
        <v>43497.66667</v>
      </c>
      <c r="B267" s="2">
        <f>IFERROR(__xludf.DUMMYFUNCTION("""COMPUTED_VALUE"""),106.26)</f>
        <v>106.26</v>
      </c>
      <c r="C267" s="2">
        <f>IFERROR(__xludf.DUMMYFUNCTION("""COMPUTED_VALUE"""),106.48)</f>
        <v>106.48</v>
      </c>
      <c r="D267" s="2">
        <f>IFERROR(__xludf.DUMMYFUNCTION("""COMPUTED_VALUE"""),102.17)</f>
        <v>102.17</v>
      </c>
      <c r="E267" s="2">
        <f>IFERROR(__xludf.DUMMYFUNCTION("""COMPUTED_VALUE"""),102.78)</f>
        <v>102.78</v>
      </c>
      <c r="F267" s="2">
        <f>IFERROR(__xludf.DUMMYFUNCTION("""COMPUTED_VALUE"""),2.01611213E8)</f>
        <v>201611213</v>
      </c>
      <c r="G267" s="3">
        <f t="shared" si="1"/>
        <v>-0.04096295605</v>
      </c>
    </row>
    <row r="268">
      <c r="A268" s="1">
        <f>IFERROR(__xludf.DUMMYFUNCTION("""COMPUTED_VALUE"""),43504.66666666667)</f>
        <v>43504.66667</v>
      </c>
      <c r="B268" s="2">
        <f>IFERROR(__xludf.DUMMYFUNCTION("""COMPUTED_VALUE"""),102.87)</f>
        <v>102.87</v>
      </c>
      <c r="C268" s="2">
        <f>IFERROR(__xludf.DUMMYFUNCTION("""COMPUTED_VALUE"""),107.27)</f>
        <v>107.27</v>
      </c>
      <c r="D268" s="2">
        <f>IFERROR(__xludf.DUMMYFUNCTION("""COMPUTED_VALUE"""),102.77)</f>
        <v>102.77</v>
      </c>
      <c r="E268" s="2">
        <f>IFERROR(__xludf.DUMMYFUNCTION("""COMPUTED_VALUE"""),105.67)</f>
        <v>105.67</v>
      </c>
      <c r="F268" s="2">
        <f>IFERROR(__xludf.DUMMYFUNCTION("""COMPUTED_VALUE"""),1.30472196E8)</f>
        <v>130472196</v>
      </c>
      <c r="G268" s="3">
        <f t="shared" si="1"/>
        <v>0.02811831096</v>
      </c>
    </row>
    <row r="269">
      <c r="A269" s="1">
        <f>IFERROR(__xludf.DUMMYFUNCTION("""COMPUTED_VALUE"""),43511.66666666667)</f>
        <v>43511.66667</v>
      </c>
      <c r="B269" s="2">
        <f>IFERROR(__xludf.DUMMYFUNCTION("""COMPUTED_VALUE"""),106.2)</f>
        <v>106.2</v>
      </c>
      <c r="C269" s="2">
        <f>IFERROR(__xludf.DUMMYFUNCTION("""COMPUTED_VALUE"""),108.3)</f>
        <v>108.3</v>
      </c>
      <c r="D269" s="2">
        <f>IFERROR(__xludf.DUMMYFUNCTION("""COMPUTED_VALUE"""),104.97)</f>
        <v>104.97</v>
      </c>
      <c r="E269" s="2">
        <f>IFERROR(__xludf.DUMMYFUNCTION("""COMPUTED_VALUE"""),108.22)</f>
        <v>108.22</v>
      </c>
      <c r="F269" s="2">
        <f>IFERROR(__xludf.DUMMYFUNCTION("""COMPUTED_VALUE"""),1.10757176E8)</f>
        <v>110757176</v>
      </c>
      <c r="G269" s="3">
        <f t="shared" si="1"/>
        <v>0.02413173086</v>
      </c>
    </row>
    <row r="270">
      <c r="A270" s="1">
        <f>IFERROR(__xludf.DUMMYFUNCTION("""COMPUTED_VALUE"""),43518.66666666667)</f>
        <v>43518.66667</v>
      </c>
      <c r="B270" s="2">
        <f>IFERROR(__xludf.DUMMYFUNCTION("""COMPUTED_VALUE"""),107.79)</f>
        <v>107.79</v>
      </c>
      <c r="C270" s="2">
        <f>IFERROR(__xludf.DUMMYFUNCTION("""COMPUTED_VALUE"""),111.2)</f>
        <v>111.2</v>
      </c>
      <c r="D270" s="2">
        <f>IFERROR(__xludf.DUMMYFUNCTION("""COMPUTED_VALUE"""),106.29)</f>
        <v>106.29</v>
      </c>
      <c r="E270" s="2">
        <f>IFERROR(__xludf.DUMMYFUNCTION("""COMPUTED_VALUE"""),110.97)</f>
        <v>110.97</v>
      </c>
      <c r="F270" s="2">
        <f>IFERROR(__xludf.DUMMYFUNCTION("""COMPUTED_VALUE"""),9.647258E7)</f>
        <v>96472580</v>
      </c>
      <c r="G270" s="3">
        <f t="shared" si="1"/>
        <v>0.02541119941</v>
      </c>
    </row>
    <row r="271">
      <c r="A271" s="1">
        <f>IFERROR(__xludf.DUMMYFUNCTION("""COMPUTED_VALUE"""),43525.66666666667)</f>
        <v>43525.66667</v>
      </c>
      <c r="B271" s="2">
        <f>IFERROR(__xludf.DUMMYFUNCTION("""COMPUTED_VALUE"""),111.76)</f>
        <v>111.76</v>
      </c>
      <c r="C271" s="2">
        <f>IFERROR(__xludf.DUMMYFUNCTION("""COMPUTED_VALUE"""),113.24)</f>
        <v>113.24</v>
      </c>
      <c r="D271" s="2">
        <f>IFERROR(__xludf.DUMMYFUNCTION("""COMPUTED_VALUE"""),110.88)</f>
        <v>110.88</v>
      </c>
      <c r="E271" s="2">
        <f>IFERROR(__xludf.DUMMYFUNCTION("""COMPUTED_VALUE"""),112.53)</f>
        <v>112.53</v>
      </c>
      <c r="F271" s="2">
        <f>IFERROR(__xludf.DUMMYFUNCTION("""COMPUTED_VALUE"""),1.19359497E8)</f>
        <v>119359497</v>
      </c>
      <c r="G271" s="3">
        <f t="shared" si="1"/>
        <v>0.01405785347</v>
      </c>
    </row>
    <row r="272">
      <c r="A272" s="1">
        <f>IFERROR(__xludf.DUMMYFUNCTION("""COMPUTED_VALUE"""),43532.66666666667)</f>
        <v>43532.66667</v>
      </c>
      <c r="B272" s="2">
        <f>IFERROR(__xludf.DUMMYFUNCTION("""COMPUTED_VALUE"""),113.02)</f>
        <v>113.02</v>
      </c>
      <c r="C272" s="2">
        <f>IFERROR(__xludf.DUMMYFUNCTION("""COMPUTED_VALUE"""),113.25)</f>
        <v>113.25</v>
      </c>
      <c r="D272" s="2">
        <f>IFERROR(__xludf.DUMMYFUNCTION("""COMPUTED_VALUE"""),108.8)</f>
        <v>108.8</v>
      </c>
      <c r="E272" s="2">
        <f>IFERROR(__xludf.DUMMYFUNCTION("""COMPUTED_VALUE"""),110.51)</f>
        <v>110.51</v>
      </c>
      <c r="F272" s="2">
        <f>IFERROR(__xludf.DUMMYFUNCTION("""COMPUTED_VALUE"""),1.11990712E8)</f>
        <v>111990712</v>
      </c>
      <c r="G272" s="3">
        <f t="shared" si="1"/>
        <v>-0.01795076868</v>
      </c>
    </row>
    <row r="273">
      <c r="A273" s="1">
        <f>IFERROR(__xludf.DUMMYFUNCTION("""COMPUTED_VALUE"""),43539.66666666667)</f>
        <v>43539.66667</v>
      </c>
      <c r="B273" s="2">
        <f>IFERROR(__xludf.DUMMYFUNCTION("""COMPUTED_VALUE"""),110.99)</f>
        <v>110.99</v>
      </c>
      <c r="C273" s="2">
        <f>IFERROR(__xludf.DUMMYFUNCTION("""COMPUTED_VALUE"""),117.25)</f>
        <v>117.25</v>
      </c>
      <c r="D273" s="2">
        <f>IFERROR(__xludf.DUMMYFUNCTION("""COMPUTED_VALUE"""),110.98)</f>
        <v>110.98</v>
      </c>
      <c r="E273" s="2">
        <f>IFERROR(__xludf.DUMMYFUNCTION("""COMPUTED_VALUE"""),115.91)</f>
        <v>115.91</v>
      </c>
      <c r="F273" s="2">
        <f>IFERROR(__xludf.DUMMYFUNCTION("""COMPUTED_VALUE"""),1.73532134E8)</f>
        <v>173532134</v>
      </c>
      <c r="G273" s="3">
        <f t="shared" si="1"/>
        <v>0.04886435617</v>
      </c>
    </row>
    <row r="274">
      <c r="A274" s="1">
        <f>IFERROR(__xludf.DUMMYFUNCTION("""COMPUTED_VALUE"""),43546.66666666667)</f>
        <v>43546.66667</v>
      </c>
      <c r="B274" s="2">
        <f>IFERROR(__xludf.DUMMYFUNCTION("""COMPUTED_VALUE"""),116.17)</f>
        <v>116.17</v>
      </c>
      <c r="C274" s="2">
        <f>IFERROR(__xludf.DUMMYFUNCTION("""COMPUTED_VALUE"""),120.82)</f>
        <v>120.82</v>
      </c>
      <c r="D274" s="2">
        <f>IFERROR(__xludf.DUMMYFUNCTION("""COMPUTED_VALUE"""),116.05)</f>
        <v>116.05</v>
      </c>
      <c r="E274" s="2">
        <f>IFERROR(__xludf.DUMMYFUNCTION("""COMPUTED_VALUE"""),117.05)</f>
        <v>117.05</v>
      </c>
      <c r="F274" s="2">
        <f>IFERROR(__xludf.DUMMYFUNCTION("""COMPUTED_VALUE"""),1.6038861E8)</f>
        <v>160388610</v>
      </c>
      <c r="G274" s="3">
        <f t="shared" si="1"/>
        <v>0.009835216979</v>
      </c>
    </row>
    <row r="275">
      <c r="A275" s="1">
        <f>IFERROR(__xludf.DUMMYFUNCTION("""COMPUTED_VALUE"""),43553.66666666667)</f>
        <v>43553.66667</v>
      </c>
      <c r="B275" s="2">
        <f>IFERROR(__xludf.DUMMYFUNCTION("""COMPUTED_VALUE"""),116.56)</f>
        <v>116.56</v>
      </c>
      <c r="C275" s="2">
        <f>IFERROR(__xludf.DUMMYFUNCTION("""COMPUTED_VALUE"""),118.71)</f>
        <v>118.71</v>
      </c>
      <c r="D275" s="2">
        <f>IFERROR(__xludf.DUMMYFUNCTION("""COMPUTED_VALUE"""),115.52)</f>
        <v>115.52</v>
      </c>
      <c r="E275" s="2">
        <f>IFERROR(__xludf.DUMMYFUNCTION("""COMPUTED_VALUE"""),117.94)</f>
        <v>117.94</v>
      </c>
      <c r="F275" s="2">
        <f>IFERROR(__xludf.DUMMYFUNCTION("""COMPUTED_VALUE"""),1.19632716E8)</f>
        <v>119632716</v>
      </c>
      <c r="G275" s="3">
        <f t="shared" si="1"/>
        <v>0.00760358821</v>
      </c>
    </row>
    <row r="276">
      <c r="A276" s="1">
        <f>IFERROR(__xludf.DUMMYFUNCTION("""COMPUTED_VALUE"""),43560.66666666667)</f>
        <v>43560.66667</v>
      </c>
      <c r="B276" s="2">
        <f>IFERROR(__xludf.DUMMYFUNCTION("""COMPUTED_VALUE"""),118.95)</f>
        <v>118.95</v>
      </c>
      <c r="C276" s="2">
        <f>IFERROR(__xludf.DUMMYFUNCTION("""COMPUTED_VALUE"""),120.43)</f>
        <v>120.43</v>
      </c>
      <c r="D276" s="2">
        <f>IFERROR(__xludf.DUMMYFUNCTION("""COMPUTED_VALUE"""),118.1)</f>
        <v>118.1</v>
      </c>
      <c r="E276" s="2">
        <f>IFERROR(__xludf.DUMMYFUNCTION("""COMPUTED_VALUE"""),119.89)</f>
        <v>119.89</v>
      </c>
      <c r="F276" s="2">
        <f>IFERROR(__xludf.DUMMYFUNCTION("""COMPUTED_VALUE"""),9.9731237E7)</f>
        <v>99731237</v>
      </c>
      <c r="G276" s="3">
        <f t="shared" si="1"/>
        <v>0.01653383076</v>
      </c>
    </row>
    <row r="277">
      <c r="A277" s="1">
        <f>IFERROR(__xludf.DUMMYFUNCTION("""COMPUTED_VALUE"""),43567.66666666667)</f>
        <v>43567.66667</v>
      </c>
      <c r="B277" s="2">
        <f>IFERROR(__xludf.DUMMYFUNCTION("""COMPUTED_VALUE"""),119.81)</f>
        <v>119.81</v>
      </c>
      <c r="C277" s="2">
        <f>IFERROR(__xludf.DUMMYFUNCTION("""COMPUTED_VALUE"""),120.98)</f>
        <v>120.98</v>
      </c>
      <c r="D277" s="2">
        <f>IFERROR(__xludf.DUMMYFUNCTION("""COMPUTED_VALUE"""),118.58)</f>
        <v>118.58</v>
      </c>
      <c r="E277" s="2">
        <f>IFERROR(__xludf.DUMMYFUNCTION("""COMPUTED_VALUE"""),120.95)</f>
        <v>120.95</v>
      </c>
      <c r="F277" s="2">
        <f>IFERROR(__xludf.DUMMYFUNCTION("""COMPUTED_VALUE"""),8.31596E7)</f>
        <v>83159600</v>
      </c>
      <c r="G277" s="3">
        <f t="shared" si="1"/>
        <v>0.008841437985</v>
      </c>
    </row>
    <row r="278">
      <c r="A278" s="1">
        <f>IFERROR(__xludf.DUMMYFUNCTION("""COMPUTED_VALUE"""),43573.66666666667)</f>
        <v>43573.66667</v>
      </c>
      <c r="B278" s="2">
        <f>IFERROR(__xludf.DUMMYFUNCTION("""COMPUTED_VALUE"""),120.94)</f>
        <v>120.94</v>
      </c>
      <c r="C278" s="2">
        <f>IFERROR(__xludf.DUMMYFUNCTION("""COMPUTED_VALUE"""),123.52)</f>
        <v>123.52</v>
      </c>
      <c r="D278" s="2">
        <f>IFERROR(__xludf.DUMMYFUNCTION("""COMPUTED_VALUE"""),120.1)</f>
        <v>120.1</v>
      </c>
      <c r="E278" s="2">
        <f>IFERROR(__xludf.DUMMYFUNCTION("""COMPUTED_VALUE"""),123.37)</f>
        <v>123.37</v>
      </c>
      <c r="F278" s="2">
        <f>IFERROR(__xludf.DUMMYFUNCTION("""COMPUTED_VALUE"""),7.7156295E7)</f>
        <v>77156295</v>
      </c>
      <c r="G278" s="3">
        <f t="shared" si="1"/>
        <v>0.02000826788</v>
      </c>
    </row>
    <row r="279">
      <c r="A279" s="1">
        <f>IFERROR(__xludf.DUMMYFUNCTION("""COMPUTED_VALUE"""),43581.66666666667)</f>
        <v>43581.66667</v>
      </c>
      <c r="B279" s="2">
        <f>IFERROR(__xludf.DUMMYFUNCTION("""COMPUTED_VALUE"""),122.62)</f>
        <v>122.62</v>
      </c>
      <c r="C279" s="2">
        <f>IFERROR(__xludf.DUMMYFUNCTION("""COMPUTED_VALUE"""),131.37)</f>
        <v>131.37</v>
      </c>
      <c r="D279" s="2">
        <f>IFERROR(__xludf.DUMMYFUNCTION("""COMPUTED_VALUE"""),122.57)</f>
        <v>122.57</v>
      </c>
      <c r="E279" s="2">
        <f>IFERROR(__xludf.DUMMYFUNCTION("""COMPUTED_VALUE"""),129.89)</f>
        <v>129.89</v>
      </c>
      <c r="F279" s="2">
        <f>IFERROR(__xludf.DUMMYFUNCTION("""COMPUTED_VALUE"""),1.3262005E8)</f>
        <v>132620050</v>
      </c>
      <c r="G279" s="3">
        <f t="shared" si="1"/>
        <v>0.05284915295</v>
      </c>
    </row>
    <row r="280">
      <c r="A280" s="1">
        <f>IFERROR(__xludf.DUMMYFUNCTION("""COMPUTED_VALUE"""),43588.66666666667)</f>
        <v>43588.66667</v>
      </c>
      <c r="B280" s="2">
        <f>IFERROR(__xludf.DUMMYFUNCTION("""COMPUTED_VALUE"""),129.9)</f>
        <v>129.9</v>
      </c>
      <c r="C280" s="2">
        <f>IFERROR(__xludf.DUMMYFUNCTION("""COMPUTED_VALUE"""),130.7)</f>
        <v>130.7</v>
      </c>
      <c r="D280" s="2">
        <f>IFERROR(__xludf.DUMMYFUNCTION("""COMPUTED_VALUE"""),125.52)</f>
        <v>125.52</v>
      </c>
      <c r="E280" s="2">
        <f>IFERROR(__xludf.DUMMYFUNCTION("""COMPUTED_VALUE"""),128.9)</f>
        <v>128.9</v>
      </c>
      <c r="F280" s="2">
        <f>IFERROR(__xludf.DUMMYFUNCTION("""COMPUTED_VALUE"""),1.19573665E8)</f>
        <v>119573665</v>
      </c>
      <c r="G280" s="3">
        <f t="shared" si="1"/>
        <v>-0.007621833859</v>
      </c>
    </row>
    <row r="281">
      <c r="A281" s="1">
        <f>IFERROR(__xludf.DUMMYFUNCTION("""COMPUTED_VALUE"""),43595.66666666667)</f>
        <v>43595.66667</v>
      </c>
      <c r="B281" s="2">
        <f>IFERROR(__xludf.DUMMYFUNCTION("""COMPUTED_VALUE"""),126.39)</f>
        <v>126.39</v>
      </c>
      <c r="C281" s="2">
        <f>IFERROR(__xludf.DUMMYFUNCTION("""COMPUTED_VALUE"""),128.56)</f>
        <v>128.56</v>
      </c>
      <c r="D281" s="2">
        <f>IFERROR(__xludf.DUMMYFUNCTION("""COMPUTED_VALUE"""),123.57)</f>
        <v>123.57</v>
      </c>
      <c r="E281" s="2">
        <f>IFERROR(__xludf.DUMMYFUNCTION("""COMPUTED_VALUE"""),127.13)</f>
        <v>127.13</v>
      </c>
      <c r="F281" s="2">
        <f>IFERROR(__xludf.DUMMYFUNCTION("""COMPUTED_VALUE"""),1.4682704E8)</f>
        <v>146827040</v>
      </c>
      <c r="G281" s="3">
        <f t="shared" si="1"/>
        <v>-0.01373157486</v>
      </c>
    </row>
    <row r="282">
      <c r="A282" s="1">
        <f>IFERROR(__xludf.DUMMYFUNCTION("""COMPUTED_VALUE"""),43602.66666666667)</f>
        <v>43602.66667</v>
      </c>
      <c r="B282" s="2">
        <f>IFERROR(__xludf.DUMMYFUNCTION("""COMPUTED_VALUE"""),124.11)</f>
        <v>124.11</v>
      </c>
      <c r="C282" s="2">
        <f>IFERROR(__xludf.DUMMYFUNCTION("""COMPUTED_VALUE"""),130.46)</f>
        <v>130.46</v>
      </c>
      <c r="D282" s="2">
        <f>IFERROR(__xludf.DUMMYFUNCTION("""COMPUTED_VALUE"""),123.04)</f>
        <v>123.04</v>
      </c>
      <c r="E282" s="2">
        <f>IFERROR(__xludf.DUMMYFUNCTION("""COMPUTED_VALUE"""),128.07)</f>
        <v>128.07</v>
      </c>
      <c r="F282" s="2">
        <f>IFERROR(__xludf.DUMMYFUNCTION("""COMPUTED_VALUE"""),1.39816701E8)</f>
        <v>139816701</v>
      </c>
      <c r="G282" s="3">
        <f t="shared" si="1"/>
        <v>0.007394006135</v>
      </c>
    </row>
    <row r="283">
      <c r="A283" s="1">
        <f>IFERROR(__xludf.DUMMYFUNCTION("""COMPUTED_VALUE"""),43609.66666666667)</f>
        <v>43609.66667</v>
      </c>
      <c r="B283" s="2">
        <f>IFERROR(__xludf.DUMMYFUNCTION("""COMPUTED_VALUE"""),126.52)</f>
        <v>126.52</v>
      </c>
      <c r="C283" s="2">
        <f>IFERROR(__xludf.DUMMYFUNCTION("""COMPUTED_VALUE"""),128.24)</f>
        <v>128.24</v>
      </c>
      <c r="D283" s="2">
        <f>IFERROR(__xludf.DUMMYFUNCTION("""COMPUTED_VALUE"""),124.74)</f>
        <v>124.74</v>
      </c>
      <c r="E283" s="2">
        <f>IFERROR(__xludf.DUMMYFUNCTION("""COMPUTED_VALUE"""),126.24)</f>
        <v>126.24</v>
      </c>
      <c r="F283" s="2">
        <f>IFERROR(__xludf.DUMMYFUNCTION("""COMPUTED_VALUE"""),9.2123847E7)</f>
        <v>92123847</v>
      </c>
      <c r="G283" s="3">
        <f t="shared" si="1"/>
        <v>-0.01428906067</v>
      </c>
    </row>
    <row r="284">
      <c r="A284" s="1">
        <f>IFERROR(__xludf.DUMMYFUNCTION("""COMPUTED_VALUE"""),43616.66666666667)</f>
        <v>43616.66667</v>
      </c>
      <c r="B284" s="2">
        <f>IFERROR(__xludf.DUMMYFUNCTION("""COMPUTED_VALUE"""),126.98)</f>
        <v>126.98</v>
      </c>
      <c r="C284" s="2">
        <f>IFERROR(__xludf.DUMMYFUNCTION("""COMPUTED_VALUE"""),128.0)</f>
        <v>128</v>
      </c>
      <c r="D284" s="2">
        <f>IFERROR(__xludf.DUMMYFUNCTION("""COMPUTED_VALUE"""),123.32)</f>
        <v>123.32</v>
      </c>
      <c r="E284" s="2">
        <f>IFERROR(__xludf.DUMMYFUNCTION("""COMPUTED_VALUE"""),123.68)</f>
        <v>123.68</v>
      </c>
      <c r="F284" s="2">
        <f>IFERROR(__xludf.DUMMYFUNCTION("""COMPUTED_VALUE"""),8.9367881E7)</f>
        <v>89367881</v>
      </c>
      <c r="G284" s="3">
        <f t="shared" si="1"/>
        <v>-0.02027883397</v>
      </c>
    </row>
    <row r="285">
      <c r="A285" s="1">
        <f>IFERROR(__xludf.DUMMYFUNCTION("""COMPUTED_VALUE"""),43623.66666666667)</f>
        <v>43623.66667</v>
      </c>
      <c r="B285" s="2">
        <f>IFERROR(__xludf.DUMMYFUNCTION("""COMPUTED_VALUE"""),123.85)</f>
        <v>123.85</v>
      </c>
      <c r="C285" s="2">
        <f>IFERROR(__xludf.DUMMYFUNCTION("""COMPUTED_VALUE"""),132.25)</f>
        <v>132.25</v>
      </c>
      <c r="D285" s="2">
        <f>IFERROR(__xludf.DUMMYFUNCTION("""COMPUTED_VALUE"""),119.01)</f>
        <v>119.01</v>
      </c>
      <c r="E285" s="2">
        <f>IFERROR(__xludf.DUMMYFUNCTION("""COMPUTED_VALUE"""),131.4)</f>
        <v>131.4</v>
      </c>
      <c r="F285" s="2">
        <f>IFERROR(__xludf.DUMMYFUNCTION("""COMPUTED_VALUE"""),1.47636968E8)</f>
        <v>147636968</v>
      </c>
      <c r="G285" s="3">
        <f t="shared" si="1"/>
        <v>0.06241914618</v>
      </c>
    </row>
    <row r="286">
      <c r="A286" s="1">
        <f>IFERROR(__xludf.DUMMYFUNCTION("""COMPUTED_VALUE"""),43630.66666666667)</f>
        <v>43630.66667</v>
      </c>
      <c r="B286" s="2">
        <f>IFERROR(__xludf.DUMMYFUNCTION("""COMPUTED_VALUE"""),132.4)</f>
        <v>132.4</v>
      </c>
      <c r="C286" s="2">
        <f>IFERROR(__xludf.DUMMYFUNCTION("""COMPUTED_VALUE"""),134.24)</f>
        <v>134.24</v>
      </c>
      <c r="D286" s="2">
        <f>IFERROR(__xludf.DUMMYFUNCTION("""COMPUTED_VALUE"""),130.71)</f>
        <v>130.71</v>
      </c>
      <c r="E286" s="2">
        <f>IFERROR(__xludf.DUMMYFUNCTION("""COMPUTED_VALUE"""),132.45)</f>
        <v>132.45</v>
      </c>
      <c r="F286" s="2">
        <f>IFERROR(__xludf.DUMMYFUNCTION("""COMPUTED_VALUE"""),1.02505844E8)</f>
        <v>102505844</v>
      </c>
      <c r="G286" s="3">
        <f t="shared" si="1"/>
        <v>0.00799086758</v>
      </c>
    </row>
    <row r="287">
      <c r="A287" s="1">
        <f>IFERROR(__xludf.DUMMYFUNCTION("""COMPUTED_VALUE"""),43637.66666666667)</f>
        <v>43637.66667</v>
      </c>
      <c r="B287" s="2">
        <f>IFERROR(__xludf.DUMMYFUNCTION("""COMPUTED_VALUE"""),132.63)</f>
        <v>132.63</v>
      </c>
      <c r="C287" s="2">
        <f>IFERROR(__xludf.DUMMYFUNCTION("""COMPUTED_VALUE"""),137.73)</f>
        <v>137.73</v>
      </c>
      <c r="D287" s="2">
        <f>IFERROR(__xludf.DUMMYFUNCTION("""COMPUTED_VALUE"""),132.53)</f>
        <v>132.53</v>
      </c>
      <c r="E287" s="2">
        <f>IFERROR(__xludf.DUMMYFUNCTION("""COMPUTED_VALUE"""),136.97)</f>
        <v>136.97</v>
      </c>
      <c r="F287" s="2">
        <f>IFERROR(__xludf.DUMMYFUNCTION("""COMPUTED_VALUE"""),1.33967168E8)</f>
        <v>133967168</v>
      </c>
      <c r="G287" s="3">
        <f t="shared" si="1"/>
        <v>0.03412608532</v>
      </c>
    </row>
    <row r="288">
      <c r="A288" s="1">
        <f>IFERROR(__xludf.DUMMYFUNCTION("""COMPUTED_VALUE"""),43644.66666666667)</f>
        <v>43644.66667</v>
      </c>
      <c r="B288" s="2">
        <f>IFERROR(__xludf.DUMMYFUNCTION("""COMPUTED_VALUE"""),137.0)</f>
        <v>137</v>
      </c>
      <c r="C288" s="2">
        <f>IFERROR(__xludf.DUMMYFUNCTION("""COMPUTED_VALUE"""),138.4)</f>
        <v>138.4</v>
      </c>
      <c r="D288" s="2">
        <f>IFERROR(__xludf.DUMMYFUNCTION("""COMPUTED_VALUE"""),132.73)</f>
        <v>132.73</v>
      </c>
      <c r="E288" s="2">
        <f>IFERROR(__xludf.DUMMYFUNCTION("""COMPUTED_VALUE"""),133.96)</f>
        <v>133.96</v>
      </c>
      <c r="F288" s="2">
        <f>IFERROR(__xludf.DUMMYFUNCTION("""COMPUTED_VALUE"""),1.24214457E8)</f>
        <v>124214457</v>
      </c>
      <c r="G288" s="3">
        <f t="shared" si="1"/>
        <v>-0.0219756151</v>
      </c>
    </row>
    <row r="289">
      <c r="A289" s="1">
        <f>IFERROR(__xludf.DUMMYFUNCTION("""COMPUTED_VALUE"""),43651.66666666667)</f>
        <v>43651.66667</v>
      </c>
      <c r="B289" s="2">
        <f>IFERROR(__xludf.DUMMYFUNCTION("""COMPUTED_VALUE"""),136.63)</f>
        <v>136.63</v>
      </c>
      <c r="C289" s="2">
        <f>IFERROR(__xludf.DUMMYFUNCTION("""COMPUTED_VALUE"""),137.74)</f>
        <v>137.74</v>
      </c>
      <c r="D289" s="2">
        <f>IFERROR(__xludf.DUMMYFUNCTION("""COMPUTED_VALUE"""),134.97)</f>
        <v>134.97</v>
      </c>
      <c r="E289" s="2">
        <f>IFERROR(__xludf.DUMMYFUNCTION("""COMPUTED_VALUE"""),137.06)</f>
        <v>137.06</v>
      </c>
      <c r="F289" s="2">
        <f>IFERROR(__xludf.DUMMYFUNCTION("""COMPUTED_VALUE"""),6.9662439E7)</f>
        <v>69662439</v>
      </c>
      <c r="G289" s="3">
        <f t="shared" si="1"/>
        <v>0.02314123619</v>
      </c>
    </row>
    <row r="290">
      <c r="A290" s="1">
        <f>IFERROR(__xludf.DUMMYFUNCTION("""COMPUTED_VALUE"""),43658.66666666667)</f>
        <v>43658.66667</v>
      </c>
      <c r="B290" s="2">
        <f>IFERROR(__xludf.DUMMYFUNCTION("""COMPUTED_VALUE"""),136.4)</f>
        <v>136.4</v>
      </c>
      <c r="C290" s="2">
        <f>IFERROR(__xludf.DUMMYFUNCTION("""COMPUTED_VALUE"""),139.22)</f>
        <v>139.22</v>
      </c>
      <c r="D290" s="2">
        <f>IFERROR(__xludf.DUMMYFUNCTION("""COMPUTED_VALUE"""),135.37)</f>
        <v>135.37</v>
      </c>
      <c r="E290" s="2">
        <f>IFERROR(__xludf.DUMMYFUNCTION("""COMPUTED_VALUE"""),138.9)</f>
        <v>138.9</v>
      </c>
      <c r="F290" s="2">
        <f>IFERROR(__xludf.DUMMYFUNCTION("""COMPUTED_VALUE"""),1.02201981E8)</f>
        <v>102201981</v>
      </c>
      <c r="G290" s="3">
        <f t="shared" si="1"/>
        <v>0.01342477747</v>
      </c>
    </row>
    <row r="291">
      <c r="A291" s="1">
        <f>IFERROR(__xludf.DUMMYFUNCTION("""COMPUTED_VALUE"""),43665.66666666667)</f>
        <v>43665.66667</v>
      </c>
      <c r="B291" s="2">
        <f>IFERROR(__xludf.DUMMYFUNCTION("""COMPUTED_VALUE"""),139.44)</f>
        <v>139.44</v>
      </c>
      <c r="C291" s="2">
        <f>IFERROR(__xludf.DUMMYFUNCTION("""COMPUTED_VALUE"""),140.67)</f>
        <v>140.67</v>
      </c>
      <c r="D291" s="2">
        <f>IFERROR(__xludf.DUMMYFUNCTION("""COMPUTED_VALUE"""),134.67)</f>
        <v>134.67</v>
      </c>
      <c r="E291" s="2">
        <f>IFERROR(__xludf.DUMMYFUNCTION("""COMPUTED_VALUE"""),136.62)</f>
        <v>136.62</v>
      </c>
      <c r="F291" s="2">
        <f>IFERROR(__xludf.DUMMYFUNCTION("""COMPUTED_VALUE"""),1.39389612E8)</f>
        <v>139389612</v>
      </c>
      <c r="G291" s="3">
        <f t="shared" si="1"/>
        <v>-0.01641468683</v>
      </c>
    </row>
    <row r="292">
      <c r="A292" s="1">
        <f>IFERROR(__xludf.DUMMYFUNCTION("""COMPUTED_VALUE"""),43672.66666666667)</f>
        <v>43672.66667</v>
      </c>
      <c r="B292" s="2">
        <f>IFERROR(__xludf.DUMMYFUNCTION("""COMPUTED_VALUE"""),137.41)</f>
        <v>137.41</v>
      </c>
      <c r="C292" s="2">
        <f>IFERROR(__xludf.DUMMYFUNCTION("""COMPUTED_VALUE"""),141.68)</f>
        <v>141.68</v>
      </c>
      <c r="D292" s="2">
        <f>IFERROR(__xludf.DUMMYFUNCTION("""COMPUTED_VALUE"""),137.33)</f>
        <v>137.33</v>
      </c>
      <c r="E292" s="2">
        <f>IFERROR(__xludf.DUMMYFUNCTION("""COMPUTED_VALUE"""),141.34)</f>
        <v>141.34</v>
      </c>
      <c r="F292" s="2">
        <f>IFERROR(__xludf.DUMMYFUNCTION("""COMPUTED_VALUE"""),1.01248107E8)</f>
        <v>101248107</v>
      </c>
      <c r="G292" s="3">
        <f t="shared" si="1"/>
        <v>0.03454838237</v>
      </c>
    </row>
    <row r="293">
      <c r="A293" s="1">
        <f>IFERROR(__xludf.DUMMYFUNCTION("""COMPUTED_VALUE"""),43679.66666666667)</f>
        <v>43679.66667</v>
      </c>
      <c r="B293" s="2">
        <f>IFERROR(__xludf.DUMMYFUNCTION("""COMPUTED_VALUE"""),141.5)</f>
        <v>141.5</v>
      </c>
      <c r="C293" s="2">
        <f>IFERROR(__xludf.DUMMYFUNCTION("""COMPUTED_VALUE"""),141.51)</f>
        <v>141.51</v>
      </c>
      <c r="D293" s="2">
        <f>IFERROR(__xludf.DUMMYFUNCTION("""COMPUTED_VALUE"""),135.08)</f>
        <v>135.08</v>
      </c>
      <c r="E293" s="2">
        <f>IFERROR(__xludf.DUMMYFUNCTION("""COMPUTED_VALUE"""),136.9)</f>
        <v>136.9</v>
      </c>
      <c r="F293" s="2">
        <f>IFERROR(__xludf.DUMMYFUNCTION("""COMPUTED_VALUE"""),1.4340031E8)</f>
        <v>143400310</v>
      </c>
      <c r="G293" s="3">
        <f t="shared" si="1"/>
        <v>-0.03141361257</v>
      </c>
    </row>
    <row r="294">
      <c r="A294" s="1">
        <f>IFERROR(__xludf.DUMMYFUNCTION("""COMPUTED_VALUE"""),43686.66666666667)</f>
        <v>43686.66667</v>
      </c>
      <c r="B294" s="2">
        <f>IFERROR(__xludf.DUMMYFUNCTION("""COMPUTED_VALUE"""),133.3)</f>
        <v>133.3</v>
      </c>
      <c r="C294" s="2">
        <f>IFERROR(__xludf.DUMMYFUNCTION("""COMPUTED_VALUE"""),139.38)</f>
        <v>139.38</v>
      </c>
      <c r="D294" s="2">
        <f>IFERROR(__xludf.DUMMYFUNCTION("""COMPUTED_VALUE"""),130.78)</f>
        <v>130.78</v>
      </c>
      <c r="E294" s="2">
        <f>IFERROR(__xludf.DUMMYFUNCTION("""COMPUTED_VALUE"""),137.71)</f>
        <v>137.71</v>
      </c>
      <c r="F294" s="2">
        <f>IFERROR(__xludf.DUMMYFUNCTION("""COMPUTED_VALUE"""),1.5982395E8)</f>
        <v>159823950</v>
      </c>
      <c r="G294" s="3">
        <f t="shared" si="1"/>
        <v>0.005916727538</v>
      </c>
    </row>
    <row r="295">
      <c r="A295" s="1">
        <f>IFERROR(__xludf.DUMMYFUNCTION("""COMPUTED_VALUE"""),43693.66666666667)</f>
        <v>43693.66667</v>
      </c>
      <c r="B295" s="2">
        <f>IFERROR(__xludf.DUMMYFUNCTION("""COMPUTED_VALUE"""),137.07)</f>
        <v>137.07</v>
      </c>
      <c r="C295" s="2">
        <f>IFERROR(__xludf.DUMMYFUNCTION("""COMPUTED_VALUE"""),138.8)</f>
        <v>138.8</v>
      </c>
      <c r="D295" s="2">
        <f>IFERROR(__xludf.DUMMYFUNCTION("""COMPUTED_VALUE"""),132.25)</f>
        <v>132.25</v>
      </c>
      <c r="E295" s="2">
        <f>IFERROR(__xludf.DUMMYFUNCTION("""COMPUTED_VALUE"""),136.13)</f>
        <v>136.13</v>
      </c>
      <c r="F295" s="2">
        <f>IFERROR(__xludf.DUMMYFUNCTION("""COMPUTED_VALUE"""),1.31659759E8)</f>
        <v>131659759</v>
      </c>
      <c r="G295" s="3">
        <f t="shared" si="1"/>
        <v>-0.0114733861</v>
      </c>
    </row>
    <row r="296">
      <c r="A296" s="1">
        <f>IFERROR(__xludf.DUMMYFUNCTION("""COMPUTED_VALUE"""),43700.66666666667)</f>
        <v>43700.66667</v>
      </c>
      <c r="B296" s="2">
        <f>IFERROR(__xludf.DUMMYFUNCTION("""COMPUTED_VALUE"""),137.85)</f>
        <v>137.85</v>
      </c>
      <c r="C296" s="2">
        <f>IFERROR(__xludf.DUMMYFUNCTION("""COMPUTED_VALUE"""),139.49)</f>
        <v>139.49</v>
      </c>
      <c r="D296" s="2">
        <f>IFERROR(__xludf.DUMMYFUNCTION("""COMPUTED_VALUE"""),132.8)</f>
        <v>132.8</v>
      </c>
      <c r="E296" s="2">
        <f>IFERROR(__xludf.DUMMYFUNCTION("""COMPUTED_VALUE"""),133.39)</f>
        <v>133.39</v>
      </c>
      <c r="F296" s="2">
        <f>IFERROR(__xludf.DUMMYFUNCTION("""COMPUTED_VALUE"""),1.17766903E8)</f>
        <v>117766903</v>
      </c>
      <c r="G296" s="3">
        <f t="shared" si="1"/>
        <v>-0.020127819</v>
      </c>
    </row>
    <row r="297">
      <c r="A297" s="1">
        <f>IFERROR(__xludf.DUMMYFUNCTION("""COMPUTED_VALUE"""),43707.66666666667)</f>
        <v>43707.66667</v>
      </c>
      <c r="B297" s="2">
        <f>IFERROR(__xludf.DUMMYFUNCTION("""COMPUTED_VALUE"""),134.99)</f>
        <v>134.99</v>
      </c>
      <c r="C297" s="2">
        <f>IFERROR(__xludf.DUMMYFUNCTION("""COMPUTED_VALUE"""),139.18)</f>
        <v>139.18</v>
      </c>
      <c r="D297" s="2">
        <f>IFERROR(__xludf.DUMMYFUNCTION("""COMPUTED_VALUE"""),133.55)</f>
        <v>133.55</v>
      </c>
      <c r="E297" s="2">
        <f>IFERROR(__xludf.DUMMYFUNCTION("""COMPUTED_VALUE"""),137.86)</f>
        <v>137.86</v>
      </c>
      <c r="F297" s="2">
        <f>IFERROR(__xludf.DUMMYFUNCTION("""COMPUTED_VALUE"""),1.04977573E8)</f>
        <v>104977573</v>
      </c>
      <c r="G297" s="3">
        <f t="shared" si="1"/>
        <v>0.03351075793</v>
      </c>
    </row>
    <row r="298">
      <c r="A298" s="1">
        <f>IFERROR(__xludf.DUMMYFUNCTION("""COMPUTED_VALUE"""),43714.66666666667)</f>
        <v>43714.66667</v>
      </c>
      <c r="B298" s="2">
        <f>IFERROR(__xludf.DUMMYFUNCTION("""COMPUTED_VALUE"""),136.61)</f>
        <v>136.61</v>
      </c>
      <c r="C298" s="2">
        <f>IFERROR(__xludf.DUMMYFUNCTION("""COMPUTED_VALUE"""),140.38)</f>
        <v>140.38</v>
      </c>
      <c r="D298" s="2">
        <f>IFERROR(__xludf.DUMMYFUNCTION("""COMPUTED_VALUE"""),135.7)</f>
        <v>135.7</v>
      </c>
      <c r="E298" s="2">
        <f>IFERROR(__xludf.DUMMYFUNCTION("""COMPUTED_VALUE"""),139.1)</f>
        <v>139.1</v>
      </c>
      <c r="F298" s="2">
        <f>IFERROR(__xludf.DUMMYFUNCTION("""COMPUTED_VALUE"""),8.3840107E7)</f>
        <v>83840107</v>
      </c>
      <c r="G298" s="3">
        <f t="shared" si="1"/>
        <v>0.008994632236</v>
      </c>
    </row>
    <row r="299">
      <c r="A299" s="1">
        <f>IFERROR(__xludf.DUMMYFUNCTION("""COMPUTED_VALUE"""),43721.66666666667)</f>
        <v>43721.66667</v>
      </c>
      <c r="B299" s="2">
        <f>IFERROR(__xludf.DUMMYFUNCTION("""COMPUTED_VALUE"""),139.59)</f>
        <v>139.59</v>
      </c>
      <c r="C299" s="2">
        <f>IFERROR(__xludf.DUMMYFUNCTION("""COMPUTED_VALUE"""),139.75)</f>
        <v>139.75</v>
      </c>
      <c r="D299" s="2">
        <f>IFERROR(__xludf.DUMMYFUNCTION("""COMPUTED_VALUE"""),134.51)</f>
        <v>134.51</v>
      </c>
      <c r="E299" s="2">
        <f>IFERROR(__xludf.DUMMYFUNCTION("""COMPUTED_VALUE"""),137.32)</f>
        <v>137.32</v>
      </c>
      <c r="F299" s="2">
        <f>IFERROR(__xludf.DUMMYFUNCTION("""COMPUTED_VALUE"""),1.29776465E8)</f>
        <v>129776465</v>
      </c>
      <c r="G299" s="3">
        <f t="shared" si="1"/>
        <v>-0.01279654925</v>
      </c>
    </row>
    <row r="300">
      <c r="A300" s="1">
        <f>IFERROR(__xludf.DUMMYFUNCTION("""COMPUTED_VALUE"""),43728.66666666667)</f>
        <v>43728.66667</v>
      </c>
      <c r="B300" s="2">
        <f>IFERROR(__xludf.DUMMYFUNCTION("""COMPUTED_VALUE"""),135.83)</f>
        <v>135.83</v>
      </c>
      <c r="C300" s="2">
        <f>IFERROR(__xludf.DUMMYFUNCTION("""COMPUTED_VALUE"""),142.37)</f>
        <v>142.37</v>
      </c>
      <c r="D300" s="2">
        <f>IFERROR(__xludf.DUMMYFUNCTION("""COMPUTED_VALUE"""),135.66)</f>
        <v>135.66</v>
      </c>
      <c r="E300" s="2">
        <f>IFERROR(__xludf.DUMMYFUNCTION("""COMPUTED_VALUE"""),139.44)</f>
        <v>139.44</v>
      </c>
      <c r="F300" s="2">
        <f>IFERROR(__xludf.DUMMYFUNCTION("""COMPUTED_VALUE"""),1.3531729E8)</f>
        <v>135317290</v>
      </c>
      <c r="G300" s="3">
        <f t="shared" si="1"/>
        <v>0.01543839208</v>
      </c>
    </row>
    <row r="301">
      <c r="A301" s="1">
        <f>IFERROR(__xludf.DUMMYFUNCTION("""COMPUTED_VALUE"""),43735.66666666667)</f>
        <v>43735.66667</v>
      </c>
      <c r="B301" s="2">
        <f>IFERROR(__xludf.DUMMYFUNCTION("""COMPUTED_VALUE"""),139.23)</f>
        <v>139.23</v>
      </c>
      <c r="C301" s="2">
        <f>IFERROR(__xludf.DUMMYFUNCTION("""COMPUTED_VALUE"""),140.69)</f>
        <v>140.69</v>
      </c>
      <c r="D301" s="2">
        <f>IFERROR(__xludf.DUMMYFUNCTION("""COMPUTED_VALUE"""),136.03)</f>
        <v>136.03</v>
      </c>
      <c r="E301" s="2">
        <f>IFERROR(__xludf.DUMMYFUNCTION("""COMPUTED_VALUE"""),137.73)</f>
        <v>137.73</v>
      </c>
      <c r="F301" s="2">
        <f>IFERROR(__xludf.DUMMYFUNCTION("""COMPUTED_VALUE"""),1.10281568E8)</f>
        <v>110281568</v>
      </c>
      <c r="G301" s="3">
        <f t="shared" si="1"/>
        <v>-0.01226333907</v>
      </c>
    </row>
    <row r="302">
      <c r="A302" s="1">
        <f>IFERROR(__xludf.DUMMYFUNCTION("""COMPUTED_VALUE"""),43742.66666666667)</f>
        <v>43742.66667</v>
      </c>
      <c r="B302" s="2">
        <f>IFERROR(__xludf.DUMMYFUNCTION("""COMPUTED_VALUE"""),138.05)</f>
        <v>138.05</v>
      </c>
      <c r="C302" s="2">
        <f>IFERROR(__xludf.DUMMYFUNCTION("""COMPUTED_VALUE"""),140.25)</f>
        <v>140.25</v>
      </c>
      <c r="D302" s="2">
        <f>IFERROR(__xludf.DUMMYFUNCTION("""COMPUTED_VALUE"""),133.22)</f>
        <v>133.22</v>
      </c>
      <c r="E302" s="2">
        <f>IFERROR(__xludf.DUMMYFUNCTION("""COMPUTED_VALUE"""),138.12)</f>
        <v>138.12</v>
      </c>
      <c r="F302" s="2">
        <f>IFERROR(__xludf.DUMMYFUNCTION("""COMPUTED_VALUE"""),1.23233428E8)</f>
        <v>123233428</v>
      </c>
      <c r="G302" s="3">
        <f t="shared" si="1"/>
        <v>0.002831627096</v>
      </c>
    </row>
    <row r="303">
      <c r="A303" s="1">
        <f>IFERROR(__xludf.DUMMYFUNCTION("""COMPUTED_VALUE"""),43749.66666666667)</f>
        <v>43749.66667</v>
      </c>
      <c r="B303" s="2">
        <f>IFERROR(__xludf.DUMMYFUNCTION("""COMPUTED_VALUE"""),137.14)</f>
        <v>137.14</v>
      </c>
      <c r="C303" s="2">
        <f>IFERROR(__xludf.DUMMYFUNCTION("""COMPUTED_VALUE"""),141.03)</f>
        <v>141.03</v>
      </c>
      <c r="D303" s="2">
        <f>IFERROR(__xludf.DUMMYFUNCTION("""COMPUTED_VALUE"""),135.62)</f>
        <v>135.62</v>
      </c>
      <c r="E303" s="2">
        <f>IFERROR(__xludf.DUMMYFUNCTION("""COMPUTED_VALUE"""),139.68)</f>
        <v>139.68</v>
      </c>
      <c r="F303" s="2">
        <f>IFERROR(__xludf.DUMMYFUNCTION("""COMPUTED_VALUE"""),1.07510772E8)</f>
        <v>107510772</v>
      </c>
      <c r="G303" s="3">
        <f t="shared" si="1"/>
        <v>0.0112945265</v>
      </c>
    </row>
    <row r="304">
      <c r="A304" s="1">
        <f>IFERROR(__xludf.DUMMYFUNCTION("""COMPUTED_VALUE"""),43756.66666666667)</f>
        <v>43756.66667</v>
      </c>
      <c r="B304" s="2">
        <f>IFERROR(__xludf.DUMMYFUNCTION("""COMPUTED_VALUE"""),139.69)</f>
        <v>139.69</v>
      </c>
      <c r="C304" s="2">
        <f>IFERROR(__xludf.DUMMYFUNCTION("""COMPUTED_VALUE"""),141.79)</f>
        <v>141.79</v>
      </c>
      <c r="D304" s="2">
        <f>IFERROR(__xludf.DUMMYFUNCTION("""COMPUTED_VALUE"""),136.56)</f>
        <v>136.56</v>
      </c>
      <c r="E304" s="2">
        <f>IFERROR(__xludf.DUMMYFUNCTION("""COMPUTED_VALUE"""),137.41)</f>
        <v>137.41</v>
      </c>
      <c r="F304" s="2">
        <f>IFERROR(__xludf.DUMMYFUNCTION("""COMPUTED_VALUE"""),1.08738313E8)</f>
        <v>108738313</v>
      </c>
      <c r="G304" s="3">
        <f t="shared" si="1"/>
        <v>-0.01625143184</v>
      </c>
    </row>
    <row r="305">
      <c r="A305" s="1">
        <f>IFERROR(__xludf.DUMMYFUNCTION("""COMPUTED_VALUE"""),43763.66666666667)</f>
        <v>43763.66667</v>
      </c>
      <c r="B305" s="2">
        <f>IFERROR(__xludf.DUMMYFUNCTION("""COMPUTED_VALUE"""),138.45)</f>
        <v>138.45</v>
      </c>
      <c r="C305" s="2">
        <f>IFERROR(__xludf.DUMMYFUNCTION("""COMPUTED_VALUE"""),141.14)</f>
        <v>141.14</v>
      </c>
      <c r="D305" s="2">
        <f>IFERROR(__xludf.DUMMYFUNCTION("""COMPUTED_VALUE"""),135.61)</f>
        <v>135.61</v>
      </c>
      <c r="E305" s="2">
        <f>IFERROR(__xludf.DUMMYFUNCTION("""COMPUTED_VALUE"""),140.73)</f>
        <v>140.73</v>
      </c>
      <c r="F305" s="2">
        <f>IFERROR(__xludf.DUMMYFUNCTION("""COMPUTED_VALUE"""),1.43269741E8)</f>
        <v>143269741</v>
      </c>
      <c r="G305" s="3">
        <f t="shared" si="1"/>
        <v>0.02416126919</v>
      </c>
    </row>
    <row r="306">
      <c r="A306" s="1">
        <f>IFERROR(__xludf.DUMMYFUNCTION("""COMPUTED_VALUE"""),43770.66666666667)</f>
        <v>43770.66667</v>
      </c>
      <c r="B306" s="2">
        <f>IFERROR(__xludf.DUMMYFUNCTION("""COMPUTED_VALUE"""),144.4)</f>
        <v>144.4</v>
      </c>
      <c r="C306" s="2">
        <f>IFERROR(__xludf.DUMMYFUNCTION("""COMPUTED_VALUE"""),145.67)</f>
        <v>145.67</v>
      </c>
      <c r="D306" s="2">
        <f>IFERROR(__xludf.DUMMYFUNCTION("""COMPUTED_VALUE"""),142.65)</f>
        <v>142.65</v>
      </c>
      <c r="E306" s="2">
        <f>IFERROR(__xludf.DUMMYFUNCTION("""COMPUTED_VALUE"""),143.72)</f>
        <v>143.72</v>
      </c>
      <c r="F306" s="2">
        <f>IFERROR(__xludf.DUMMYFUNCTION("""COMPUTED_VALUE"""),1.32099698E8)</f>
        <v>132099698</v>
      </c>
      <c r="G306" s="3">
        <f t="shared" si="1"/>
        <v>0.02124635827</v>
      </c>
    </row>
    <row r="307">
      <c r="A307" s="1">
        <f>IFERROR(__xludf.DUMMYFUNCTION("""COMPUTED_VALUE"""),43777.66666666667)</f>
        <v>43777.66667</v>
      </c>
      <c r="B307" s="2">
        <f>IFERROR(__xludf.DUMMYFUNCTION("""COMPUTED_VALUE"""),144.83)</f>
        <v>144.83</v>
      </c>
      <c r="C307" s="2">
        <f>IFERROR(__xludf.DUMMYFUNCTION("""COMPUTED_VALUE"""),145.99)</f>
        <v>145.99</v>
      </c>
      <c r="D307" s="2">
        <f>IFERROR(__xludf.DUMMYFUNCTION("""COMPUTED_VALUE"""),143.2)</f>
        <v>143.2</v>
      </c>
      <c r="E307" s="2">
        <f>IFERROR(__xludf.DUMMYFUNCTION("""COMPUTED_VALUE"""),145.96)</f>
        <v>145.96</v>
      </c>
      <c r="F307" s="2">
        <f>IFERROR(__xludf.DUMMYFUNCTION("""COMPUTED_VALUE"""),8.6277623E7)</f>
        <v>86277623</v>
      </c>
      <c r="G307" s="3">
        <f t="shared" si="1"/>
        <v>0.0155858614</v>
      </c>
    </row>
    <row r="308">
      <c r="A308" s="1">
        <f>IFERROR(__xludf.DUMMYFUNCTION("""COMPUTED_VALUE"""),43784.66666666667)</f>
        <v>43784.66667</v>
      </c>
      <c r="B308" s="2">
        <f>IFERROR(__xludf.DUMMYFUNCTION("""COMPUTED_VALUE"""),145.34)</f>
        <v>145.34</v>
      </c>
      <c r="C308" s="2">
        <f>IFERROR(__xludf.DUMMYFUNCTION("""COMPUTED_VALUE"""),149.99)</f>
        <v>149.99</v>
      </c>
      <c r="D308" s="2">
        <f>IFERROR(__xludf.DUMMYFUNCTION("""COMPUTED_VALUE"""),144.73)</f>
        <v>144.73</v>
      </c>
      <c r="E308" s="2">
        <f>IFERROR(__xludf.DUMMYFUNCTION("""COMPUTED_VALUE"""),149.97)</f>
        <v>149.97</v>
      </c>
      <c r="F308" s="2">
        <f>IFERROR(__xludf.DUMMYFUNCTION("""COMPUTED_VALUE"""),9.3727027E7)</f>
        <v>93727027</v>
      </c>
      <c r="G308" s="3">
        <f t="shared" si="1"/>
        <v>0.02747328035</v>
      </c>
    </row>
    <row r="309">
      <c r="A309" s="1">
        <f>IFERROR(__xludf.DUMMYFUNCTION("""COMPUTED_VALUE"""),43791.66666666667)</f>
        <v>43791.66667</v>
      </c>
      <c r="B309" s="2">
        <f>IFERROR(__xludf.DUMMYFUNCTION("""COMPUTED_VALUE"""),150.07)</f>
        <v>150.07</v>
      </c>
      <c r="C309" s="2">
        <f>IFERROR(__xludf.DUMMYFUNCTION("""COMPUTED_VALUE"""),151.33)</f>
        <v>151.33</v>
      </c>
      <c r="D309" s="2">
        <f>IFERROR(__xludf.DUMMYFUNCTION("""COMPUTED_VALUE"""),148.46)</f>
        <v>148.46</v>
      </c>
      <c r="E309" s="2">
        <f>IFERROR(__xludf.DUMMYFUNCTION("""COMPUTED_VALUE"""),149.59)</f>
        <v>149.59</v>
      </c>
      <c r="F309" s="2">
        <f>IFERROR(__xludf.DUMMYFUNCTION("""COMPUTED_VALUE"""),1.05652749E8)</f>
        <v>105652749</v>
      </c>
      <c r="G309" s="3">
        <f t="shared" si="1"/>
        <v>-0.002533840101</v>
      </c>
    </row>
    <row r="310">
      <c r="A310" s="1">
        <f>IFERROR(__xludf.DUMMYFUNCTION("""COMPUTED_VALUE"""),43798.54166666667)</f>
        <v>43798.54167</v>
      </c>
      <c r="B310" s="2">
        <f>IFERROR(__xludf.DUMMYFUNCTION("""COMPUTED_VALUE"""),150.0)</f>
        <v>150</v>
      </c>
      <c r="C310" s="2">
        <f>IFERROR(__xludf.DUMMYFUNCTION("""COMPUTED_VALUE"""),152.5)</f>
        <v>152.5</v>
      </c>
      <c r="D310" s="2">
        <f>IFERROR(__xludf.DUMMYFUNCTION("""COMPUTED_VALUE"""),149.92)</f>
        <v>149.92</v>
      </c>
      <c r="E310" s="2">
        <f>IFERROR(__xludf.DUMMYFUNCTION("""COMPUTED_VALUE"""),151.38)</f>
        <v>151.38</v>
      </c>
      <c r="F310" s="2">
        <f>IFERROR(__xludf.DUMMYFUNCTION("""COMPUTED_VALUE"""),7.4242278E7)</f>
        <v>74242278</v>
      </c>
      <c r="G310" s="3">
        <f t="shared" si="1"/>
        <v>0.01196604051</v>
      </c>
    </row>
    <row r="311">
      <c r="A311" s="1">
        <f>IFERROR(__xludf.DUMMYFUNCTION("""COMPUTED_VALUE"""),43805.66666666667)</f>
        <v>43805.66667</v>
      </c>
      <c r="B311" s="2">
        <f>IFERROR(__xludf.DUMMYFUNCTION("""COMPUTED_VALUE"""),151.81)</f>
        <v>151.81</v>
      </c>
      <c r="C311" s="2">
        <f>IFERROR(__xludf.DUMMYFUNCTION("""COMPUTED_VALUE"""),151.87)</f>
        <v>151.87</v>
      </c>
      <c r="D311" s="2">
        <f>IFERROR(__xludf.DUMMYFUNCTION("""COMPUTED_VALUE"""),146.65)</f>
        <v>146.65</v>
      </c>
      <c r="E311" s="2">
        <f>IFERROR(__xludf.DUMMYFUNCTION("""COMPUTED_VALUE"""),151.75)</f>
        <v>151.75</v>
      </c>
      <c r="F311" s="2">
        <f>IFERROR(__xludf.DUMMYFUNCTION("""COMPUTED_VALUE"""),1.04537379E8)</f>
        <v>104537379</v>
      </c>
      <c r="G311" s="3">
        <f t="shared" si="1"/>
        <v>0.002444180209</v>
      </c>
    </row>
    <row r="312">
      <c r="A312" s="1">
        <f>IFERROR(__xludf.DUMMYFUNCTION("""COMPUTED_VALUE"""),43812.66666666667)</f>
        <v>43812.66667</v>
      </c>
      <c r="B312" s="2">
        <f>IFERROR(__xludf.DUMMYFUNCTION("""COMPUTED_VALUE"""),150.99)</f>
        <v>150.99</v>
      </c>
      <c r="C312" s="2">
        <f>IFERROR(__xludf.DUMMYFUNCTION("""COMPUTED_VALUE"""),154.89)</f>
        <v>154.89</v>
      </c>
      <c r="D312" s="2">
        <f>IFERROR(__xludf.DUMMYFUNCTION("""COMPUTED_VALUE"""),150.27)</f>
        <v>150.27</v>
      </c>
      <c r="E312" s="2">
        <f>IFERROR(__xludf.DUMMYFUNCTION("""COMPUTED_VALUE"""),154.53)</f>
        <v>154.53</v>
      </c>
      <c r="F312" s="2">
        <f>IFERROR(__xludf.DUMMYFUNCTION("""COMPUTED_VALUE"""),8.3938101E7)</f>
        <v>83938101</v>
      </c>
      <c r="G312" s="3">
        <f t="shared" si="1"/>
        <v>0.01831960461</v>
      </c>
    </row>
    <row r="313">
      <c r="A313" s="1">
        <f>IFERROR(__xludf.DUMMYFUNCTION("""COMPUTED_VALUE"""),43819.66666666667)</f>
        <v>43819.66667</v>
      </c>
      <c r="B313" s="2">
        <f>IFERROR(__xludf.DUMMYFUNCTION("""COMPUTED_VALUE"""),155.11)</f>
        <v>155.11</v>
      </c>
      <c r="C313" s="2">
        <f>IFERROR(__xludf.DUMMYFUNCTION("""COMPUTED_VALUE"""),158.49)</f>
        <v>158.49</v>
      </c>
      <c r="D313" s="2">
        <f>IFERROR(__xludf.DUMMYFUNCTION("""COMPUTED_VALUE"""),153.75)</f>
        <v>153.75</v>
      </c>
      <c r="E313" s="2">
        <f>IFERROR(__xludf.DUMMYFUNCTION("""COMPUTED_VALUE"""),157.41)</f>
        <v>157.41</v>
      </c>
      <c r="F313" s="2">
        <f>IFERROR(__xludf.DUMMYFUNCTION("""COMPUTED_VALUE"""),1.53139781E8)</f>
        <v>153139781</v>
      </c>
      <c r="G313" s="3">
        <f t="shared" si="1"/>
        <v>0.01863715783</v>
      </c>
    </row>
    <row r="314">
      <c r="A314" s="1">
        <f>IFERROR(__xludf.DUMMYFUNCTION("""COMPUTED_VALUE"""),43826.66666666667)</f>
        <v>43826.66667</v>
      </c>
      <c r="B314" s="2">
        <f>IFERROR(__xludf.DUMMYFUNCTION("""COMPUTED_VALUE"""),158.12)</f>
        <v>158.12</v>
      </c>
      <c r="C314" s="2">
        <f>IFERROR(__xludf.DUMMYFUNCTION("""COMPUTED_VALUE"""),159.55)</f>
        <v>159.55</v>
      </c>
      <c r="D314" s="2">
        <f>IFERROR(__xludf.DUMMYFUNCTION("""COMPUTED_VALUE"""),157.12)</f>
        <v>157.12</v>
      </c>
      <c r="E314" s="2">
        <f>IFERROR(__xludf.DUMMYFUNCTION("""COMPUTED_VALUE"""),158.96)</f>
        <v>158.96</v>
      </c>
      <c r="F314" s="2">
        <f>IFERROR(__xludf.DUMMYFUNCTION("""COMPUTED_VALUE"""),5.9656712E7)</f>
        <v>59656712</v>
      </c>
      <c r="G314" s="3">
        <f t="shared" si="1"/>
        <v>0.009846896639</v>
      </c>
    </row>
    <row r="315">
      <c r="A315" s="1">
        <f>IFERROR(__xludf.DUMMYFUNCTION("""COMPUTED_VALUE"""),43833.66666666667)</f>
        <v>43833.66667</v>
      </c>
      <c r="B315" s="2">
        <f>IFERROR(__xludf.DUMMYFUNCTION("""COMPUTED_VALUE"""),158.99)</f>
        <v>158.99</v>
      </c>
      <c r="C315" s="2">
        <f>IFERROR(__xludf.DUMMYFUNCTION("""COMPUTED_VALUE"""),160.73)</f>
        <v>160.73</v>
      </c>
      <c r="D315" s="2">
        <f>IFERROR(__xludf.DUMMYFUNCTION("""COMPUTED_VALUE"""),156.45)</f>
        <v>156.45</v>
      </c>
      <c r="E315" s="2">
        <f>IFERROR(__xludf.DUMMYFUNCTION("""COMPUTED_VALUE"""),158.62)</f>
        <v>158.62</v>
      </c>
      <c r="F315" s="2">
        <f>IFERROR(__xludf.DUMMYFUNCTION("""COMPUTED_VALUE"""),7.850633E7)</f>
        <v>78506330</v>
      </c>
      <c r="G315" s="3">
        <f t="shared" si="1"/>
        <v>-0.002138902869</v>
      </c>
    </row>
    <row r="316">
      <c r="A316" s="1">
        <f>IFERROR(__xludf.DUMMYFUNCTION("""COMPUTED_VALUE"""),43840.66666666667)</f>
        <v>43840.66667</v>
      </c>
      <c r="B316" s="2">
        <f>IFERROR(__xludf.DUMMYFUNCTION("""COMPUTED_VALUE"""),157.08)</f>
        <v>157.08</v>
      </c>
      <c r="C316" s="2">
        <f>IFERROR(__xludf.DUMMYFUNCTION("""COMPUTED_VALUE"""),163.22)</f>
        <v>163.22</v>
      </c>
      <c r="D316" s="2">
        <f>IFERROR(__xludf.DUMMYFUNCTION("""COMPUTED_VALUE"""),156.51)</f>
        <v>156.51</v>
      </c>
      <c r="E316" s="2">
        <f>IFERROR(__xludf.DUMMYFUNCTION("""COMPUTED_VALUE"""),161.34)</f>
        <v>161.34</v>
      </c>
      <c r="F316" s="2">
        <f>IFERROR(__xludf.DUMMYFUNCTION("""COMPUTED_VALUE"""),1.12604365E8)</f>
        <v>112604365</v>
      </c>
      <c r="G316" s="3">
        <f t="shared" si="1"/>
        <v>0.01714790064</v>
      </c>
    </row>
    <row r="317">
      <c r="A317" s="1">
        <f>IFERROR(__xludf.DUMMYFUNCTION("""COMPUTED_VALUE"""),43847.66666666667)</f>
        <v>43847.66667</v>
      </c>
      <c r="B317" s="2">
        <f>IFERROR(__xludf.DUMMYFUNCTION("""COMPUTED_VALUE"""),161.76)</f>
        <v>161.76</v>
      </c>
      <c r="C317" s="2">
        <f>IFERROR(__xludf.DUMMYFUNCTION("""COMPUTED_VALUE"""),167.47)</f>
        <v>167.47</v>
      </c>
      <c r="D317" s="2">
        <f>IFERROR(__xludf.DUMMYFUNCTION("""COMPUTED_VALUE"""),161.26)</f>
        <v>161.26</v>
      </c>
      <c r="E317" s="2">
        <f>IFERROR(__xludf.DUMMYFUNCTION("""COMPUTED_VALUE"""),167.1)</f>
        <v>167.1</v>
      </c>
      <c r="F317" s="2">
        <f>IFERROR(__xludf.DUMMYFUNCTION("""COMPUTED_VALUE"""),1.2479268E8)</f>
        <v>124792680</v>
      </c>
      <c r="G317" s="3">
        <f t="shared" si="1"/>
        <v>0.03570100409</v>
      </c>
    </row>
    <row r="318">
      <c r="A318" s="1">
        <f>IFERROR(__xludf.DUMMYFUNCTION("""COMPUTED_VALUE"""),43854.66666666667)</f>
        <v>43854.66667</v>
      </c>
      <c r="B318" s="2">
        <f>IFERROR(__xludf.DUMMYFUNCTION("""COMPUTED_VALUE"""),166.68)</f>
        <v>166.68</v>
      </c>
      <c r="C318" s="2">
        <f>IFERROR(__xludf.DUMMYFUNCTION("""COMPUTED_VALUE"""),168.19)</f>
        <v>168.19</v>
      </c>
      <c r="D318" s="2">
        <f>IFERROR(__xludf.DUMMYFUNCTION("""COMPUTED_VALUE"""),164.45)</f>
        <v>164.45</v>
      </c>
      <c r="E318" s="2">
        <f>IFERROR(__xludf.DUMMYFUNCTION("""COMPUTED_VALUE"""),165.04)</f>
        <v>165.04</v>
      </c>
      <c r="F318" s="2">
        <f>IFERROR(__xludf.DUMMYFUNCTION("""COMPUTED_VALUE"""),9.8254851E7)</f>
        <v>98254851</v>
      </c>
      <c r="G318" s="3">
        <f t="shared" si="1"/>
        <v>-0.01232794734</v>
      </c>
    </row>
    <row r="319">
      <c r="A319" s="1">
        <f>IFERROR(__xludf.DUMMYFUNCTION("""COMPUTED_VALUE"""),43861.66666666667)</f>
        <v>43861.66667</v>
      </c>
      <c r="B319" s="2">
        <f>IFERROR(__xludf.DUMMYFUNCTION("""COMPUTED_VALUE"""),161.15)</f>
        <v>161.15</v>
      </c>
      <c r="C319" s="2">
        <f>IFERROR(__xludf.DUMMYFUNCTION("""COMPUTED_VALUE"""),174.05)</f>
        <v>174.05</v>
      </c>
      <c r="D319" s="2">
        <f>IFERROR(__xludf.DUMMYFUNCTION("""COMPUTED_VALUE"""),160.2)</f>
        <v>160.2</v>
      </c>
      <c r="E319" s="2">
        <f>IFERROR(__xludf.DUMMYFUNCTION("""COMPUTED_VALUE"""),170.23)</f>
        <v>170.23</v>
      </c>
      <c r="F319" s="2">
        <f>IFERROR(__xludf.DUMMYFUNCTION("""COMPUTED_VALUE"""),1.79845938E8)</f>
        <v>179845938</v>
      </c>
      <c r="G319" s="3">
        <f t="shared" si="1"/>
        <v>0.03144692196</v>
      </c>
    </row>
    <row r="320">
      <c r="A320" s="1">
        <f>IFERROR(__xludf.DUMMYFUNCTION("""COMPUTED_VALUE"""),43868.66666666667)</f>
        <v>43868.66667</v>
      </c>
      <c r="B320" s="2">
        <f>IFERROR(__xludf.DUMMYFUNCTION("""COMPUTED_VALUE"""),170.43)</f>
        <v>170.43</v>
      </c>
      <c r="C320" s="2">
        <f>IFERROR(__xludf.DUMMYFUNCTION("""COMPUTED_VALUE"""),185.63)</f>
        <v>185.63</v>
      </c>
      <c r="D320" s="2">
        <f>IFERROR(__xludf.DUMMYFUNCTION("""COMPUTED_VALUE"""),170.4)</f>
        <v>170.4</v>
      </c>
      <c r="E320" s="2">
        <f>IFERROR(__xludf.DUMMYFUNCTION("""COMPUTED_VALUE"""),183.89)</f>
        <v>183.89</v>
      </c>
      <c r="F320" s="2">
        <f>IFERROR(__xludf.DUMMYFUNCTION("""COMPUTED_VALUE"""),1.6704917E8)</f>
        <v>167049170</v>
      </c>
      <c r="G320" s="3">
        <f t="shared" si="1"/>
        <v>0.08024437526</v>
      </c>
    </row>
    <row r="321">
      <c r="A321" s="1">
        <f>IFERROR(__xludf.DUMMYFUNCTION("""COMPUTED_VALUE"""),43875.66666666667)</f>
        <v>43875.66667</v>
      </c>
      <c r="B321" s="2">
        <f>IFERROR(__xludf.DUMMYFUNCTION("""COMPUTED_VALUE"""),183.58)</f>
        <v>183.58</v>
      </c>
      <c r="C321" s="2">
        <f>IFERROR(__xludf.DUMMYFUNCTION("""COMPUTED_VALUE"""),190.7)</f>
        <v>190.7</v>
      </c>
      <c r="D321" s="2">
        <f>IFERROR(__xludf.DUMMYFUNCTION("""COMPUTED_VALUE"""),181.85)</f>
        <v>181.85</v>
      </c>
      <c r="E321" s="2">
        <f>IFERROR(__xludf.DUMMYFUNCTION("""COMPUTED_VALUE"""),185.35)</f>
        <v>185.35</v>
      </c>
      <c r="F321" s="2">
        <f>IFERROR(__xludf.DUMMYFUNCTION("""COMPUTED_VALUE"""),1.94512444E8)</f>
        <v>194512444</v>
      </c>
      <c r="G321" s="3">
        <f t="shared" si="1"/>
        <v>0.007939529066</v>
      </c>
    </row>
    <row r="322">
      <c r="A322" s="1">
        <f>IFERROR(__xludf.DUMMYFUNCTION("""COMPUTED_VALUE"""),43882.66666666667)</f>
        <v>43882.66667</v>
      </c>
      <c r="B322" s="2">
        <f>IFERROR(__xludf.DUMMYFUNCTION("""COMPUTED_VALUE"""),185.61)</f>
        <v>185.61</v>
      </c>
      <c r="C322" s="2">
        <f>IFERROR(__xludf.DUMMYFUNCTION("""COMPUTED_VALUE"""),188.18)</f>
        <v>188.18</v>
      </c>
      <c r="D322" s="2">
        <f>IFERROR(__xludf.DUMMYFUNCTION("""COMPUTED_VALUE"""),177.25)</f>
        <v>177.25</v>
      </c>
      <c r="E322" s="2">
        <f>IFERROR(__xludf.DUMMYFUNCTION("""COMPUTED_VALUE"""),178.59)</f>
        <v>178.59</v>
      </c>
      <c r="F322" s="2">
        <f>IFERROR(__xludf.DUMMYFUNCTION("""COMPUTED_VALUE"""),1.43313345E8)</f>
        <v>143313345</v>
      </c>
      <c r="G322" s="3">
        <f t="shared" si="1"/>
        <v>-0.03647154033</v>
      </c>
    </row>
    <row r="323">
      <c r="A323" s="1">
        <f>IFERROR(__xludf.DUMMYFUNCTION("""COMPUTED_VALUE"""),43889.66666666667)</f>
        <v>43889.66667</v>
      </c>
      <c r="B323" s="2">
        <f>IFERROR(__xludf.DUMMYFUNCTION("""COMPUTED_VALUE"""),167.77)</f>
        <v>167.77</v>
      </c>
      <c r="C323" s="2">
        <f>IFERROR(__xludf.DUMMYFUNCTION("""COMPUTED_VALUE"""),174.84)</f>
        <v>174.84</v>
      </c>
      <c r="D323" s="2">
        <f>IFERROR(__xludf.DUMMYFUNCTION("""COMPUTED_VALUE"""),152.0)</f>
        <v>152</v>
      </c>
      <c r="E323" s="2">
        <f>IFERROR(__xludf.DUMMYFUNCTION("""COMPUTED_VALUE"""),162.01)</f>
        <v>162.01</v>
      </c>
      <c r="F323" s="2">
        <f>IFERROR(__xludf.DUMMYFUNCTION("""COMPUTED_VALUE"""),3.83019972E8)</f>
        <v>383019972</v>
      </c>
      <c r="G323" s="3">
        <f t="shared" si="1"/>
        <v>-0.09283834481</v>
      </c>
    </row>
    <row r="324">
      <c r="A324" s="1">
        <f>IFERROR(__xludf.DUMMYFUNCTION("""COMPUTED_VALUE"""),43896.66666666667)</f>
        <v>43896.66667</v>
      </c>
      <c r="B324" s="2">
        <f>IFERROR(__xludf.DUMMYFUNCTION("""COMPUTED_VALUE"""),165.31)</f>
        <v>165.31</v>
      </c>
      <c r="C324" s="2">
        <f>IFERROR(__xludf.DUMMYFUNCTION("""COMPUTED_VALUE"""),175.0)</f>
        <v>175</v>
      </c>
      <c r="D324" s="2">
        <f>IFERROR(__xludf.DUMMYFUNCTION("""COMPUTED_VALUE"""),156.0)</f>
        <v>156</v>
      </c>
      <c r="E324" s="2">
        <f>IFERROR(__xludf.DUMMYFUNCTION("""COMPUTED_VALUE"""),161.57)</f>
        <v>161.57</v>
      </c>
      <c r="F324" s="2">
        <f>IFERROR(__xludf.DUMMYFUNCTION("""COMPUTED_VALUE"""),3.1316052E8)</f>
        <v>313160520</v>
      </c>
      <c r="G324" s="3">
        <f t="shared" si="1"/>
        <v>-0.002715881736</v>
      </c>
    </row>
    <row r="325">
      <c r="A325" s="1">
        <f>IFERROR(__xludf.DUMMYFUNCTION("""COMPUTED_VALUE"""),43903.66666666667)</f>
        <v>43903.66667</v>
      </c>
      <c r="B325" s="2">
        <f>IFERROR(__xludf.DUMMYFUNCTION("""COMPUTED_VALUE"""),151.0)</f>
        <v>151</v>
      </c>
      <c r="C325" s="2">
        <f>IFERROR(__xludf.DUMMYFUNCTION("""COMPUTED_VALUE"""),161.91)</f>
        <v>161.91</v>
      </c>
      <c r="D325" s="2">
        <f>IFERROR(__xludf.DUMMYFUNCTION("""COMPUTED_VALUE"""),138.58)</f>
        <v>138.58</v>
      </c>
      <c r="E325" s="2">
        <f>IFERROR(__xludf.DUMMYFUNCTION("""COMPUTED_VALUE"""),158.83)</f>
        <v>158.83</v>
      </c>
      <c r="F325" s="2">
        <f>IFERROR(__xludf.DUMMYFUNCTION("""COMPUTED_VALUE"""),3.78231775E8)</f>
        <v>378231775</v>
      </c>
      <c r="G325" s="3">
        <f t="shared" si="1"/>
        <v>-0.0169585938</v>
      </c>
    </row>
    <row r="326">
      <c r="A326" s="1">
        <f>IFERROR(__xludf.DUMMYFUNCTION("""COMPUTED_VALUE"""),43910.66666666667)</f>
        <v>43910.66667</v>
      </c>
      <c r="B326" s="2">
        <f>IFERROR(__xludf.DUMMYFUNCTION("""COMPUTED_VALUE"""),140.0)</f>
        <v>140</v>
      </c>
      <c r="C326" s="2">
        <f>IFERROR(__xludf.DUMMYFUNCTION("""COMPUTED_VALUE"""),150.15)</f>
        <v>150.15</v>
      </c>
      <c r="D326" s="2">
        <f>IFERROR(__xludf.DUMMYFUNCTION("""COMPUTED_VALUE"""),135.0)</f>
        <v>135</v>
      </c>
      <c r="E326" s="2">
        <f>IFERROR(__xludf.DUMMYFUNCTION("""COMPUTED_VALUE"""),137.35)</f>
        <v>137.35</v>
      </c>
      <c r="F326" s="2">
        <f>IFERROR(__xludf.DUMMYFUNCTION("""COMPUTED_VALUE"""),4.21347734E8)</f>
        <v>421347734</v>
      </c>
      <c r="G326" s="3">
        <f t="shared" si="1"/>
        <v>-0.1352389347</v>
      </c>
    </row>
    <row r="327">
      <c r="A327" s="1">
        <f>IFERROR(__xludf.DUMMYFUNCTION("""COMPUTED_VALUE"""),43917.66666666667)</f>
        <v>43917.66667</v>
      </c>
      <c r="B327" s="2">
        <f>IFERROR(__xludf.DUMMYFUNCTION("""COMPUTED_VALUE"""),137.01)</f>
        <v>137.01</v>
      </c>
      <c r="C327" s="2">
        <f>IFERROR(__xludf.DUMMYFUNCTION("""COMPUTED_VALUE"""),156.66)</f>
        <v>156.66</v>
      </c>
      <c r="D327" s="2">
        <f>IFERROR(__xludf.DUMMYFUNCTION("""COMPUTED_VALUE"""),132.52)</f>
        <v>132.52</v>
      </c>
      <c r="E327" s="2">
        <f>IFERROR(__xludf.DUMMYFUNCTION("""COMPUTED_VALUE"""),149.7)</f>
        <v>149.7</v>
      </c>
      <c r="F327" s="2">
        <f>IFERROR(__xludf.DUMMYFUNCTION("""COMPUTED_VALUE"""),3.58866845E8)</f>
        <v>358866845</v>
      </c>
      <c r="G327" s="3">
        <f t="shared" si="1"/>
        <v>0.0899162723</v>
      </c>
    </row>
    <row r="328">
      <c r="A328" s="1">
        <f>IFERROR(__xludf.DUMMYFUNCTION("""COMPUTED_VALUE"""),43924.66666666667)</f>
        <v>43924.66667</v>
      </c>
      <c r="B328" s="2">
        <f>IFERROR(__xludf.DUMMYFUNCTION("""COMPUTED_VALUE"""),152.44)</f>
        <v>152.44</v>
      </c>
      <c r="C328" s="2">
        <f>IFERROR(__xludf.DUMMYFUNCTION("""COMPUTED_VALUE"""),164.78)</f>
        <v>164.78</v>
      </c>
      <c r="D328" s="2">
        <f>IFERROR(__xludf.DUMMYFUNCTION("""COMPUTED_VALUE"""),150.01)</f>
        <v>150.01</v>
      </c>
      <c r="E328" s="2">
        <f>IFERROR(__xludf.DUMMYFUNCTION("""COMPUTED_VALUE"""),153.83)</f>
        <v>153.83</v>
      </c>
      <c r="F328" s="2">
        <f>IFERROR(__xludf.DUMMYFUNCTION("""COMPUTED_VALUE"""),2.90191457E8)</f>
        <v>290191457</v>
      </c>
      <c r="G328" s="3">
        <f t="shared" si="1"/>
        <v>0.02758851035</v>
      </c>
    </row>
    <row r="329">
      <c r="A329" s="1">
        <f>IFERROR(__xludf.DUMMYFUNCTION("""COMPUTED_VALUE"""),43930.66666666667)</f>
        <v>43930.66667</v>
      </c>
      <c r="B329" s="2">
        <f>IFERROR(__xludf.DUMMYFUNCTION("""COMPUTED_VALUE"""),160.32)</f>
        <v>160.32</v>
      </c>
      <c r="C329" s="2">
        <f>IFERROR(__xludf.DUMMYFUNCTION("""COMPUTED_VALUE"""),170.0)</f>
        <v>170</v>
      </c>
      <c r="D329" s="2">
        <f>IFERROR(__xludf.DUMMYFUNCTION("""COMPUTED_VALUE"""),157.58)</f>
        <v>157.58</v>
      </c>
      <c r="E329" s="2">
        <f>IFERROR(__xludf.DUMMYFUNCTION("""COMPUTED_VALUE"""),165.14)</f>
        <v>165.14</v>
      </c>
      <c r="F329" s="2">
        <f>IFERROR(__xludf.DUMMYFUNCTION("""COMPUTED_VALUE"""),2.29630744E8)</f>
        <v>229630744</v>
      </c>
      <c r="G329" s="3">
        <f t="shared" si="1"/>
        <v>0.07352271989</v>
      </c>
    </row>
    <row r="330">
      <c r="A330" s="1">
        <f>IFERROR(__xludf.DUMMYFUNCTION("""COMPUTED_VALUE"""),43938.66666666667)</f>
        <v>43938.66667</v>
      </c>
      <c r="B330" s="2">
        <f>IFERROR(__xludf.DUMMYFUNCTION("""COMPUTED_VALUE"""),164.35)</f>
        <v>164.35</v>
      </c>
      <c r="C330" s="2">
        <f>IFERROR(__xludf.DUMMYFUNCTION("""COMPUTED_VALUE"""),180.0)</f>
        <v>180</v>
      </c>
      <c r="D330" s="2">
        <f>IFERROR(__xludf.DUMMYFUNCTION("""COMPUTED_VALUE"""),162.3)</f>
        <v>162.3</v>
      </c>
      <c r="E330" s="2">
        <f>IFERROR(__xludf.DUMMYFUNCTION("""COMPUTED_VALUE"""),178.6)</f>
        <v>178.6</v>
      </c>
      <c r="F330" s="2">
        <f>IFERROR(__xludf.DUMMYFUNCTION("""COMPUTED_VALUE"""),2.3896567E8)</f>
        <v>238965670</v>
      </c>
      <c r="G330" s="3">
        <f t="shared" si="1"/>
        <v>0.08150660046</v>
      </c>
    </row>
    <row r="331">
      <c r="A331" s="1">
        <f>IFERROR(__xludf.DUMMYFUNCTION("""COMPUTED_VALUE"""),43945.66666666667)</f>
        <v>43945.66667</v>
      </c>
      <c r="B331" s="2">
        <f>IFERROR(__xludf.DUMMYFUNCTION("""COMPUTED_VALUE"""),176.63)</f>
        <v>176.63</v>
      </c>
      <c r="C331" s="2">
        <f>IFERROR(__xludf.DUMMYFUNCTION("""COMPUTED_VALUE"""),178.75)</f>
        <v>178.75</v>
      </c>
      <c r="D331" s="2">
        <f>IFERROR(__xludf.DUMMYFUNCTION("""COMPUTED_VALUE"""),166.11)</f>
        <v>166.11</v>
      </c>
      <c r="E331" s="2">
        <f>IFERROR(__xludf.DUMMYFUNCTION("""COMPUTED_VALUE"""),174.55)</f>
        <v>174.55</v>
      </c>
      <c r="F331" s="2">
        <f>IFERROR(__xludf.DUMMYFUNCTION("""COMPUTED_VALUE"""),1.94621072E8)</f>
        <v>194621072</v>
      </c>
      <c r="G331" s="3">
        <f t="shared" si="1"/>
        <v>-0.02267637178</v>
      </c>
    </row>
    <row r="332">
      <c r="A332" s="1">
        <f>IFERROR(__xludf.DUMMYFUNCTION("""COMPUTED_VALUE"""),43952.66666666667)</f>
        <v>43952.66667</v>
      </c>
      <c r="B332" s="2">
        <f>IFERROR(__xludf.DUMMYFUNCTION("""COMPUTED_VALUE"""),176.59)</f>
        <v>176.59</v>
      </c>
      <c r="C332" s="2">
        <f>IFERROR(__xludf.DUMMYFUNCTION("""COMPUTED_VALUE"""),180.4)</f>
        <v>180.4</v>
      </c>
      <c r="D332" s="2">
        <f>IFERROR(__xludf.DUMMYFUNCTION("""COMPUTED_VALUE"""),169.39)</f>
        <v>169.39</v>
      </c>
      <c r="E332" s="2">
        <f>IFERROR(__xludf.DUMMYFUNCTION("""COMPUTED_VALUE"""),174.57)</f>
        <v>174.57</v>
      </c>
      <c r="F332" s="2">
        <f>IFERROR(__xludf.DUMMYFUNCTION("""COMPUTED_VALUE"""),2.12119968E8)</f>
        <v>212119968</v>
      </c>
      <c r="G332" s="3">
        <f t="shared" si="1"/>
        <v>0.0001145803495</v>
      </c>
    </row>
    <row r="333">
      <c r="A333" s="1">
        <f>IFERROR(__xludf.DUMMYFUNCTION("""COMPUTED_VALUE"""),43959.66666666667)</f>
        <v>43959.66667</v>
      </c>
      <c r="B333" s="2">
        <f>IFERROR(__xludf.DUMMYFUNCTION("""COMPUTED_VALUE"""),174.49)</f>
        <v>174.49</v>
      </c>
      <c r="C333" s="2">
        <f>IFERROR(__xludf.DUMMYFUNCTION("""COMPUTED_VALUE"""),185.0)</f>
        <v>185</v>
      </c>
      <c r="D333" s="2">
        <f>IFERROR(__xludf.DUMMYFUNCTION("""COMPUTED_VALUE"""),173.8)</f>
        <v>173.8</v>
      </c>
      <c r="E333" s="2">
        <f>IFERROR(__xludf.DUMMYFUNCTION("""COMPUTED_VALUE"""),184.68)</f>
        <v>184.68</v>
      </c>
      <c r="F333" s="2">
        <f>IFERROR(__xludf.DUMMYFUNCTION("""COMPUTED_VALUE"""),1.58579959E8)</f>
        <v>158579959</v>
      </c>
      <c r="G333" s="3">
        <f t="shared" si="1"/>
        <v>0.05791373088</v>
      </c>
    </row>
    <row r="334">
      <c r="A334" s="1">
        <f>IFERROR(__xludf.DUMMYFUNCTION("""COMPUTED_VALUE"""),43966.66666666667)</f>
        <v>43966.66667</v>
      </c>
      <c r="B334" s="2">
        <f>IFERROR(__xludf.DUMMYFUNCTION("""COMPUTED_VALUE"""),183.15)</f>
        <v>183.15</v>
      </c>
      <c r="C334" s="2">
        <f>IFERROR(__xludf.DUMMYFUNCTION("""COMPUTED_VALUE"""),187.51)</f>
        <v>187.51</v>
      </c>
      <c r="D334" s="2">
        <f>IFERROR(__xludf.DUMMYFUNCTION("""COMPUTED_VALUE"""),175.68)</f>
        <v>175.68</v>
      </c>
      <c r="E334" s="2">
        <f>IFERROR(__xludf.DUMMYFUNCTION("""COMPUTED_VALUE"""),183.16)</f>
        <v>183.16</v>
      </c>
      <c r="F334" s="2">
        <f>IFERROR(__xludf.DUMMYFUNCTION("""COMPUTED_VALUE"""),1.9612664E8)</f>
        <v>196126640</v>
      </c>
      <c r="G334" s="3">
        <f t="shared" si="1"/>
        <v>-0.008230452675</v>
      </c>
    </row>
    <row r="335">
      <c r="A335" s="1">
        <f>IFERROR(__xludf.DUMMYFUNCTION("""COMPUTED_VALUE"""),43973.66666666667)</f>
        <v>43973.66667</v>
      </c>
      <c r="B335" s="2">
        <f>IFERROR(__xludf.DUMMYFUNCTION("""COMPUTED_VALUE"""),185.75)</f>
        <v>185.75</v>
      </c>
      <c r="C335" s="2">
        <f>IFERROR(__xludf.DUMMYFUNCTION("""COMPUTED_VALUE"""),186.67)</f>
        <v>186.67</v>
      </c>
      <c r="D335" s="2">
        <f>IFERROR(__xludf.DUMMYFUNCTION("""COMPUTED_VALUE"""),182.54)</f>
        <v>182.54</v>
      </c>
      <c r="E335" s="2">
        <f>IFERROR(__xludf.DUMMYFUNCTION("""COMPUTED_VALUE"""),183.51)</f>
        <v>183.51</v>
      </c>
      <c r="F335" s="2">
        <f>IFERROR(__xludf.DUMMYFUNCTION("""COMPUTED_VALUE"""),1.43313481E8)</f>
        <v>143313481</v>
      </c>
      <c r="G335" s="3">
        <f t="shared" si="1"/>
        <v>0.001910897576</v>
      </c>
    </row>
    <row r="336">
      <c r="A336" s="1">
        <f>IFERROR(__xludf.DUMMYFUNCTION("""COMPUTED_VALUE"""),43980.66666666667)</f>
        <v>43980.66667</v>
      </c>
      <c r="B336" s="2">
        <f>IFERROR(__xludf.DUMMYFUNCTION("""COMPUTED_VALUE"""),186.34)</f>
        <v>186.34</v>
      </c>
      <c r="C336" s="2">
        <f>IFERROR(__xludf.DUMMYFUNCTION("""COMPUTED_VALUE"""),186.5)</f>
        <v>186.5</v>
      </c>
      <c r="D336" s="2">
        <f>IFERROR(__xludf.DUMMYFUNCTION("""COMPUTED_VALUE"""),176.6)</f>
        <v>176.6</v>
      </c>
      <c r="E336" s="2">
        <f>IFERROR(__xludf.DUMMYFUNCTION("""COMPUTED_VALUE"""),183.25)</f>
        <v>183.25</v>
      </c>
      <c r="F336" s="2">
        <f>IFERROR(__xludf.DUMMYFUNCTION("""COMPUTED_VALUE"""),1.51569299E8)</f>
        <v>151569299</v>
      </c>
      <c r="G336" s="3">
        <f t="shared" si="1"/>
        <v>-0.001416816522</v>
      </c>
    </row>
    <row r="337">
      <c r="A337" s="1">
        <f>IFERROR(__xludf.DUMMYFUNCTION("""COMPUTED_VALUE"""),43987.66666666667)</f>
        <v>43987.66667</v>
      </c>
      <c r="B337" s="2">
        <f>IFERROR(__xludf.DUMMYFUNCTION("""COMPUTED_VALUE"""),182.54)</f>
        <v>182.54</v>
      </c>
      <c r="C337" s="2">
        <f>IFERROR(__xludf.DUMMYFUNCTION("""COMPUTED_VALUE"""),187.73)</f>
        <v>187.73</v>
      </c>
      <c r="D337" s="2">
        <f>IFERROR(__xludf.DUMMYFUNCTION("""COMPUTED_VALUE"""),181.35)</f>
        <v>181.35</v>
      </c>
      <c r="E337" s="2">
        <f>IFERROR(__xludf.DUMMYFUNCTION("""COMPUTED_VALUE"""),187.2)</f>
        <v>187.2</v>
      </c>
      <c r="F337" s="2">
        <f>IFERROR(__xludf.DUMMYFUNCTION("""COMPUTED_VALUE"""),1.49429874E8)</f>
        <v>149429874</v>
      </c>
      <c r="G337" s="3">
        <f t="shared" si="1"/>
        <v>0.02155525239</v>
      </c>
    </row>
    <row r="338">
      <c r="A338" s="1">
        <f>IFERROR(__xludf.DUMMYFUNCTION("""COMPUTED_VALUE"""),43994.66666666667)</f>
        <v>43994.66667</v>
      </c>
      <c r="B338" s="2">
        <f>IFERROR(__xludf.DUMMYFUNCTION("""COMPUTED_VALUE"""),185.94)</f>
        <v>185.94</v>
      </c>
      <c r="C338" s="2">
        <f>IFERROR(__xludf.DUMMYFUNCTION("""COMPUTED_VALUE"""),198.52)</f>
        <v>198.52</v>
      </c>
      <c r="D338" s="2">
        <f>IFERROR(__xludf.DUMMYFUNCTION("""COMPUTED_VALUE"""),184.44)</f>
        <v>184.44</v>
      </c>
      <c r="E338" s="2">
        <f>IFERROR(__xludf.DUMMYFUNCTION("""COMPUTED_VALUE"""),187.74)</f>
        <v>187.74</v>
      </c>
      <c r="F338" s="2">
        <f>IFERROR(__xludf.DUMMYFUNCTION("""COMPUTED_VALUE"""),2.03096094E8)</f>
        <v>203096094</v>
      </c>
      <c r="G338" s="3">
        <f t="shared" si="1"/>
        <v>0.002884615385</v>
      </c>
    </row>
    <row r="339">
      <c r="A339" s="1">
        <f>IFERROR(__xludf.DUMMYFUNCTION("""COMPUTED_VALUE"""),44001.66666666667)</f>
        <v>44001.66667</v>
      </c>
      <c r="B339" s="2">
        <f>IFERROR(__xludf.DUMMYFUNCTION("""COMPUTED_VALUE"""),184.58)</f>
        <v>184.58</v>
      </c>
      <c r="C339" s="2">
        <f>IFERROR(__xludf.DUMMYFUNCTION("""COMPUTED_VALUE"""),199.29)</f>
        <v>199.29</v>
      </c>
      <c r="D339" s="2">
        <f>IFERROR(__xludf.DUMMYFUNCTION("""COMPUTED_VALUE"""),184.01)</f>
        <v>184.01</v>
      </c>
      <c r="E339" s="2">
        <f>IFERROR(__xludf.DUMMYFUNCTION("""COMPUTED_VALUE"""),195.15)</f>
        <v>195.15</v>
      </c>
      <c r="F339" s="2">
        <f>IFERROR(__xludf.DUMMYFUNCTION("""COMPUTED_VALUE"""),1.68517456E8)</f>
        <v>168517456</v>
      </c>
      <c r="G339" s="3">
        <f t="shared" si="1"/>
        <v>0.03946947907</v>
      </c>
    </row>
    <row r="340">
      <c r="A340" s="1">
        <f>IFERROR(__xludf.DUMMYFUNCTION("""COMPUTED_VALUE"""),44008.66666666667)</f>
        <v>44008.66667</v>
      </c>
      <c r="B340" s="2">
        <f>IFERROR(__xludf.DUMMYFUNCTION("""COMPUTED_VALUE"""),195.79)</f>
        <v>195.79</v>
      </c>
      <c r="C340" s="2">
        <f>IFERROR(__xludf.DUMMYFUNCTION("""COMPUTED_VALUE"""),203.95)</f>
        <v>203.95</v>
      </c>
      <c r="D340" s="2">
        <f>IFERROR(__xludf.DUMMYFUNCTION("""COMPUTED_VALUE"""),194.88)</f>
        <v>194.88</v>
      </c>
      <c r="E340" s="2">
        <f>IFERROR(__xludf.DUMMYFUNCTION("""COMPUTED_VALUE"""),196.33)</f>
        <v>196.33</v>
      </c>
      <c r="F340" s="2">
        <f>IFERROR(__xludf.DUMMYFUNCTION("""COMPUTED_VALUE"""),1.82956736E8)</f>
        <v>182956736</v>
      </c>
      <c r="G340" s="3">
        <f t="shared" si="1"/>
        <v>0.006046630797</v>
      </c>
    </row>
    <row r="341">
      <c r="A341" s="1">
        <f>IFERROR(__xludf.DUMMYFUNCTION("""COMPUTED_VALUE"""),44014.66666666667)</f>
        <v>44014.66667</v>
      </c>
      <c r="B341" s="2">
        <f>IFERROR(__xludf.DUMMYFUNCTION("""COMPUTED_VALUE"""),195.78)</f>
        <v>195.78</v>
      </c>
      <c r="C341" s="2">
        <f>IFERROR(__xludf.DUMMYFUNCTION("""COMPUTED_VALUE"""),208.02)</f>
        <v>208.02</v>
      </c>
      <c r="D341" s="2">
        <f>IFERROR(__xludf.DUMMYFUNCTION("""COMPUTED_VALUE"""),193.55)</f>
        <v>193.55</v>
      </c>
      <c r="E341" s="2">
        <f>IFERROR(__xludf.DUMMYFUNCTION("""COMPUTED_VALUE"""),206.26)</f>
        <v>206.26</v>
      </c>
      <c r="F341" s="2">
        <f>IFERROR(__xludf.DUMMYFUNCTION("""COMPUTED_VALUE"""),1.22388837E8)</f>
        <v>122388837</v>
      </c>
      <c r="G341" s="3">
        <f t="shared" si="1"/>
        <v>0.05057810829</v>
      </c>
    </row>
    <row r="342">
      <c r="A342" s="1">
        <f>IFERROR(__xludf.DUMMYFUNCTION("""COMPUTED_VALUE"""),44022.66666666667)</f>
        <v>44022.66667</v>
      </c>
      <c r="B342" s="2">
        <f>IFERROR(__xludf.DUMMYFUNCTION("""COMPUTED_VALUE"""),208.83)</f>
        <v>208.83</v>
      </c>
      <c r="C342" s="2">
        <f>IFERROR(__xludf.DUMMYFUNCTION("""COMPUTED_VALUE"""),216.38)</f>
        <v>216.38</v>
      </c>
      <c r="D342" s="2">
        <f>IFERROR(__xludf.DUMMYFUNCTION("""COMPUTED_VALUE"""),207.99)</f>
        <v>207.99</v>
      </c>
      <c r="E342" s="2">
        <f>IFERROR(__xludf.DUMMYFUNCTION("""COMPUTED_VALUE"""),213.67)</f>
        <v>213.67</v>
      </c>
      <c r="F342" s="2">
        <f>IFERROR(__xludf.DUMMYFUNCTION("""COMPUTED_VALUE"""),1.583977E8)</f>
        <v>158397700</v>
      </c>
      <c r="G342" s="3">
        <f t="shared" si="1"/>
        <v>0.03592553088</v>
      </c>
    </row>
    <row r="343">
      <c r="A343" s="1">
        <f>IFERROR(__xludf.DUMMYFUNCTION("""COMPUTED_VALUE"""),44029.66666666667)</f>
        <v>44029.66667</v>
      </c>
      <c r="B343" s="2">
        <f>IFERROR(__xludf.DUMMYFUNCTION("""COMPUTED_VALUE"""),214.48)</f>
        <v>214.48</v>
      </c>
      <c r="C343" s="2">
        <f>IFERROR(__xludf.DUMMYFUNCTION("""COMPUTED_VALUE"""),215.8)</f>
        <v>215.8</v>
      </c>
      <c r="D343" s="2">
        <f>IFERROR(__xludf.DUMMYFUNCTION("""COMPUTED_VALUE"""),201.39)</f>
        <v>201.39</v>
      </c>
      <c r="E343" s="2">
        <f>IFERROR(__xludf.DUMMYFUNCTION("""COMPUTED_VALUE"""),202.88)</f>
        <v>202.88</v>
      </c>
      <c r="F343" s="2">
        <f>IFERROR(__xludf.DUMMYFUNCTION("""COMPUTED_VALUE"""),1.69482769E8)</f>
        <v>169482769</v>
      </c>
      <c r="G343" s="3">
        <f t="shared" si="1"/>
        <v>-0.05049843216</v>
      </c>
    </row>
    <row r="344">
      <c r="A344" s="1">
        <f>IFERROR(__xludf.DUMMYFUNCTION("""COMPUTED_VALUE"""),44036.66666666667)</f>
        <v>44036.66667</v>
      </c>
      <c r="B344" s="2">
        <f>IFERROR(__xludf.DUMMYFUNCTION("""COMPUTED_VALUE"""),205.0)</f>
        <v>205</v>
      </c>
      <c r="C344" s="2">
        <f>IFERROR(__xludf.DUMMYFUNCTION("""COMPUTED_VALUE"""),213.94)</f>
        <v>213.94</v>
      </c>
      <c r="D344" s="2">
        <f>IFERROR(__xludf.DUMMYFUNCTION("""COMPUTED_VALUE"""),197.51)</f>
        <v>197.51</v>
      </c>
      <c r="E344" s="2">
        <f>IFERROR(__xludf.DUMMYFUNCTION("""COMPUTED_VALUE"""),201.3)</f>
        <v>201.3</v>
      </c>
      <c r="F344" s="2">
        <f>IFERROR(__xludf.DUMMYFUNCTION("""COMPUTED_VALUE"""),2.31880329E8)</f>
        <v>231880329</v>
      </c>
      <c r="G344" s="3">
        <f t="shared" si="1"/>
        <v>-0.00778785489</v>
      </c>
    </row>
    <row r="345">
      <c r="A345" s="1">
        <f>IFERROR(__xludf.DUMMYFUNCTION("""COMPUTED_VALUE"""),44043.66666666667)</f>
        <v>44043.66667</v>
      </c>
      <c r="B345" s="2">
        <f>IFERROR(__xludf.DUMMYFUNCTION("""COMPUTED_VALUE"""),201.47)</f>
        <v>201.47</v>
      </c>
      <c r="C345" s="2">
        <f>IFERROR(__xludf.DUMMYFUNCTION("""COMPUTED_VALUE"""),205.1)</f>
        <v>205.1</v>
      </c>
      <c r="D345" s="2">
        <f>IFERROR(__xludf.DUMMYFUNCTION("""COMPUTED_VALUE"""),199.01)</f>
        <v>199.01</v>
      </c>
      <c r="E345" s="2">
        <f>IFERROR(__xludf.DUMMYFUNCTION("""COMPUTED_VALUE"""),205.01)</f>
        <v>205.01</v>
      </c>
      <c r="F345" s="2">
        <f>IFERROR(__xludf.DUMMYFUNCTION("""COMPUTED_VALUE"""),1.49372422E8)</f>
        <v>149372422</v>
      </c>
      <c r="G345" s="3">
        <f t="shared" si="1"/>
        <v>0.01843020368</v>
      </c>
    </row>
    <row r="346">
      <c r="A346" s="1">
        <f>IFERROR(__xludf.DUMMYFUNCTION("""COMPUTED_VALUE"""),44050.66666666667)</f>
        <v>44050.66667</v>
      </c>
      <c r="B346" s="2">
        <f>IFERROR(__xludf.DUMMYFUNCTION("""COMPUTED_VALUE"""),211.52)</f>
        <v>211.52</v>
      </c>
      <c r="C346" s="2">
        <f>IFERROR(__xludf.DUMMYFUNCTION("""COMPUTED_VALUE"""),217.64)</f>
        <v>217.64</v>
      </c>
      <c r="D346" s="2">
        <f>IFERROR(__xludf.DUMMYFUNCTION("""COMPUTED_VALUE"""),210.31)</f>
        <v>210.31</v>
      </c>
      <c r="E346" s="2">
        <f>IFERROR(__xludf.DUMMYFUNCTION("""COMPUTED_VALUE"""),212.48)</f>
        <v>212.48</v>
      </c>
      <c r="F346" s="2">
        <f>IFERROR(__xludf.DUMMYFUNCTION("""COMPUTED_VALUE"""),2.1759895E8)</f>
        <v>217598950</v>
      </c>
      <c r="G346" s="3">
        <f t="shared" si="1"/>
        <v>0.03643724696</v>
      </c>
    </row>
    <row r="347">
      <c r="A347" s="1">
        <f>IFERROR(__xludf.DUMMYFUNCTION("""COMPUTED_VALUE"""),44057.66666666667)</f>
        <v>44057.66667</v>
      </c>
      <c r="B347" s="2">
        <f>IFERROR(__xludf.DUMMYFUNCTION("""COMPUTED_VALUE"""),211.67)</f>
        <v>211.67</v>
      </c>
      <c r="C347" s="2">
        <f>IFERROR(__xludf.DUMMYFUNCTION("""COMPUTED_VALUE"""),211.88)</f>
        <v>211.88</v>
      </c>
      <c r="D347" s="2">
        <f>IFERROR(__xludf.DUMMYFUNCTION("""COMPUTED_VALUE"""),203.14)</f>
        <v>203.14</v>
      </c>
      <c r="E347" s="2">
        <f>IFERROR(__xludf.DUMMYFUNCTION("""COMPUTED_VALUE"""),208.9)</f>
        <v>208.9</v>
      </c>
      <c r="F347" s="2">
        <f>IFERROR(__xludf.DUMMYFUNCTION("""COMPUTED_VALUE"""),1.41752091E8)</f>
        <v>141752091</v>
      </c>
      <c r="G347" s="3">
        <f t="shared" si="1"/>
        <v>-0.01684864458</v>
      </c>
    </row>
    <row r="348">
      <c r="A348" s="1">
        <f>IFERROR(__xludf.DUMMYFUNCTION("""COMPUTED_VALUE"""),44064.66666666667)</f>
        <v>44064.66667</v>
      </c>
      <c r="B348" s="2">
        <f>IFERROR(__xludf.DUMMYFUNCTION("""COMPUTED_VALUE"""),209.6)</f>
        <v>209.6</v>
      </c>
      <c r="C348" s="2">
        <f>IFERROR(__xludf.DUMMYFUNCTION("""COMPUTED_VALUE"""),216.25)</f>
        <v>216.25</v>
      </c>
      <c r="D348" s="2">
        <f>IFERROR(__xludf.DUMMYFUNCTION("""COMPUTED_VALUE"""),208.91)</f>
        <v>208.91</v>
      </c>
      <c r="E348" s="2">
        <f>IFERROR(__xludf.DUMMYFUNCTION("""COMPUTED_VALUE"""),213.02)</f>
        <v>213.02</v>
      </c>
      <c r="F348" s="2">
        <f>IFERROR(__xludf.DUMMYFUNCTION("""COMPUTED_VALUE"""),1.32379282E8)</f>
        <v>132379282</v>
      </c>
      <c r="G348" s="3">
        <f t="shared" si="1"/>
        <v>0.01972235519</v>
      </c>
    </row>
    <row r="349">
      <c r="A349" s="1">
        <f>IFERROR(__xludf.DUMMYFUNCTION("""COMPUTED_VALUE"""),44071.66666666667)</f>
        <v>44071.66667</v>
      </c>
      <c r="B349" s="2">
        <f>IFERROR(__xludf.DUMMYFUNCTION("""COMPUTED_VALUE"""),214.79)</f>
        <v>214.79</v>
      </c>
      <c r="C349" s="2">
        <f>IFERROR(__xludf.DUMMYFUNCTION("""COMPUTED_VALUE"""),231.15)</f>
        <v>231.15</v>
      </c>
      <c r="D349" s="2">
        <f>IFERROR(__xludf.DUMMYFUNCTION("""COMPUTED_VALUE"""),212.43)</f>
        <v>212.43</v>
      </c>
      <c r="E349" s="2">
        <f>IFERROR(__xludf.DUMMYFUNCTION("""COMPUTED_VALUE"""),228.91)</f>
        <v>228.91</v>
      </c>
      <c r="F349" s="2">
        <f>IFERROR(__xludf.DUMMYFUNCTION("""COMPUTED_VALUE"""),1.71999762E8)</f>
        <v>171999762</v>
      </c>
      <c r="G349" s="3">
        <f t="shared" si="1"/>
        <v>0.07459393484</v>
      </c>
    </row>
    <row r="350">
      <c r="A350" s="1">
        <f>IFERROR(__xludf.DUMMYFUNCTION("""COMPUTED_VALUE"""),44078.66666666667)</f>
        <v>44078.66667</v>
      </c>
      <c r="B350" s="2">
        <f>IFERROR(__xludf.DUMMYFUNCTION("""COMPUTED_VALUE"""),227.0)</f>
        <v>227</v>
      </c>
      <c r="C350" s="2">
        <f>IFERROR(__xludf.DUMMYFUNCTION("""COMPUTED_VALUE"""),232.86)</f>
        <v>232.86</v>
      </c>
      <c r="D350" s="2">
        <f>IFERROR(__xludf.DUMMYFUNCTION("""COMPUTED_VALUE"""),205.19)</f>
        <v>205.19</v>
      </c>
      <c r="E350" s="2">
        <f>IFERROR(__xludf.DUMMYFUNCTION("""COMPUTED_VALUE"""),214.25)</f>
        <v>214.25</v>
      </c>
      <c r="F350" s="2">
        <f>IFERROR(__xludf.DUMMYFUNCTION("""COMPUTED_VALUE"""),2.0671059E8)</f>
        <v>206710590</v>
      </c>
      <c r="G350" s="3">
        <f t="shared" si="1"/>
        <v>-0.06404263684</v>
      </c>
    </row>
    <row r="351">
      <c r="A351" s="1">
        <f>IFERROR(__xludf.DUMMYFUNCTION("""COMPUTED_VALUE"""),44085.66666666667)</f>
        <v>44085.66667</v>
      </c>
      <c r="B351" s="2">
        <f>IFERROR(__xludf.DUMMYFUNCTION("""COMPUTED_VALUE"""),206.5)</f>
        <v>206.5</v>
      </c>
      <c r="C351" s="2">
        <f>IFERROR(__xludf.DUMMYFUNCTION("""COMPUTED_VALUE"""),214.84)</f>
        <v>214.84</v>
      </c>
      <c r="D351" s="2">
        <f>IFERROR(__xludf.DUMMYFUNCTION("""COMPUTED_VALUE"""),201.24)</f>
        <v>201.24</v>
      </c>
      <c r="E351" s="2">
        <f>IFERROR(__xludf.DUMMYFUNCTION("""COMPUTED_VALUE"""),204.03)</f>
        <v>204.03</v>
      </c>
      <c r="F351" s="2">
        <f>IFERROR(__xludf.DUMMYFUNCTION("""COMPUTED_VALUE"""),1.67684903E8)</f>
        <v>167684903</v>
      </c>
      <c r="G351" s="3">
        <f t="shared" si="1"/>
        <v>-0.04770128355</v>
      </c>
    </row>
    <row r="352">
      <c r="A352" s="1">
        <f>IFERROR(__xludf.DUMMYFUNCTION("""COMPUTED_VALUE"""),44092.66666666667)</f>
        <v>44092.66667</v>
      </c>
      <c r="B352" s="2">
        <f>IFERROR(__xludf.DUMMYFUNCTION("""COMPUTED_VALUE"""),204.24)</f>
        <v>204.24</v>
      </c>
      <c r="C352" s="2">
        <f>IFERROR(__xludf.DUMMYFUNCTION("""COMPUTED_VALUE"""),210.65)</f>
        <v>210.65</v>
      </c>
      <c r="D352" s="2">
        <f>IFERROR(__xludf.DUMMYFUNCTION("""COMPUTED_VALUE"""),196.25)</f>
        <v>196.25</v>
      </c>
      <c r="E352" s="2">
        <f>IFERROR(__xludf.DUMMYFUNCTION("""COMPUTED_VALUE"""),200.39)</f>
        <v>200.39</v>
      </c>
      <c r="F352" s="2">
        <f>IFERROR(__xludf.DUMMYFUNCTION("""COMPUTED_VALUE"""),1.67808757E8)</f>
        <v>167808757</v>
      </c>
      <c r="G352" s="3">
        <f t="shared" si="1"/>
        <v>-0.01784051365</v>
      </c>
    </row>
    <row r="353">
      <c r="A353" s="1">
        <f>IFERROR(__xludf.DUMMYFUNCTION("""COMPUTED_VALUE"""),44099.66666666667)</f>
        <v>44099.66667</v>
      </c>
      <c r="B353" s="2">
        <f>IFERROR(__xludf.DUMMYFUNCTION("""COMPUTED_VALUE"""),197.19)</f>
        <v>197.19</v>
      </c>
      <c r="C353" s="2">
        <f>IFERROR(__xludf.DUMMYFUNCTION("""COMPUTED_VALUE"""),209.04)</f>
        <v>209.04</v>
      </c>
      <c r="D353" s="2">
        <f>IFERROR(__xludf.DUMMYFUNCTION("""COMPUTED_VALUE"""),196.38)</f>
        <v>196.38</v>
      </c>
      <c r="E353" s="2">
        <f>IFERROR(__xludf.DUMMYFUNCTION("""COMPUTED_VALUE"""),207.82)</f>
        <v>207.82</v>
      </c>
      <c r="F353" s="2">
        <f>IFERROR(__xludf.DUMMYFUNCTION("""COMPUTED_VALUE"""),1.64800307E8)</f>
        <v>164800307</v>
      </c>
      <c r="G353" s="3">
        <f t="shared" si="1"/>
        <v>0.03707769849</v>
      </c>
    </row>
    <row r="354">
      <c r="A354" s="1">
        <f>IFERROR(__xludf.DUMMYFUNCTION("""COMPUTED_VALUE"""),44106.66666666667)</f>
        <v>44106.66667</v>
      </c>
      <c r="B354" s="2">
        <f>IFERROR(__xludf.DUMMYFUNCTION("""COMPUTED_VALUE"""),210.88)</f>
        <v>210.88</v>
      </c>
      <c r="C354" s="2">
        <f>IFERROR(__xludf.DUMMYFUNCTION("""COMPUTED_VALUE"""),213.99)</f>
        <v>213.99</v>
      </c>
      <c r="D354" s="2">
        <f>IFERROR(__xludf.DUMMYFUNCTION("""COMPUTED_VALUE"""),205.54)</f>
        <v>205.54</v>
      </c>
      <c r="E354" s="2">
        <f>IFERROR(__xludf.DUMMYFUNCTION("""COMPUTED_VALUE"""),206.19)</f>
        <v>206.19</v>
      </c>
      <c r="F354" s="2">
        <f>IFERROR(__xludf.DUMMYFUNCTION("""COMPUTED_VALUE"""),1.50611695E8)</f>
        <v>150611695</v>
      </c>
      <c r="G354" s="3">
        <f t="shared" si="1"/>
        <v>-0.007843325955</v>
      </c>
    </row>
    <row r="355">
      <c r="A355" s="1">
        <f>IFERROR(__xludf.DUMMYFUNCTION("""COMPUTED_VALUE"""),44113.66666666667)</f>
        <v>44113.66667</v>
      </c>
      <c r="B355" s="2">
        <f>IFERROR(__xludf.DUMMYFUNCTION("""COMPUTED_VALUE"""),207.22)</f>
        <v>207.22</v>
      </c>
      <c r="C355" s="2">
        <f>IFERROR(__xludf.DUMMYFUNCTION("""COMPUTED_VALUE"""),215.86)</f>
        <v>215.86</v>
      </c>
      <c r="D355" s="2">
        <f>IFERROR(__xludf.DUMMYFUNCTION("""COMPUTED_VALUE"""),204.82)</f>
        <v>204.82</v>
      </c>
      <c r="E355" s="2">
        <f>IFERROR(__xludf.DUMMYFUNCTION("""COMPUTED_VALUE"""),215.81)</f>
        <v>215.81</v>
      </c>
      <c r="F355" s="2">
        <f>IFERROR(__xludf.DUMMYFUNCTION("""COMPUTED_VALUE"""),1.2195076E8)</f>
        <v>121950760</v>
      </c>
      <c r="G355" s="3">
        <f t="shared" si="1"/>
        <v>0.0466559969</v>
      </c>
    </row>
    <row r="356">
      <c r="A356" s="1">
        <f>IFERROR(__xludf.DUMMYFUNCTION("""COMPUTED_VALUE"""),44120.66666666667)</f>
        <v>44120.66667</v>
      </c>
      <c r="B356" s="2">
        <f>IFERROR(__xludf.DUMMYFUNCTION("""COMPUTED_VALUE"""),218.79)</f>
        <v>218.79</v>
      </c>
      <c r="C356" s="2">
        <f>IFERROR(__xludf.DUMMYFUNCTION("""COMPUTED_VALUE"""),225.21)</f>
        <v>225.21</v>
      </c>
      <c r="D356" s="2">
        <f>IFERROR(__xludf.DUMMYFUNCTION("""COMPUTED_VALUE"""),216.01)</f>
        <v>216.01</v>
      </c>
      <c r="E356" s="2">
        <f>IFERROR(__xludf.DUMMYFUNCTION("""COMPUTED_VALUE"""),219.66)</f>
        <v>219.66</v>
      </c>
      <c r="F356" s="2">
        <f>IFERROR(__xludf.DUMMYFUNCTION("""COMPUTED_VALUE"""),1.4165487E8)</f>
        <v>141654870</v>
      </c>
      <c r="G356" s="3">
        <f t="shared" si="1"/>
        <v>0.01783976646</v>
      </c>
    </row>
    <row r="357">
      <c r="A357" s="1">
        <f>IFERROR(__xludf.DUMMYFUNCTION("""COMPUTED_VALUE"""),44127.66666666667)</f>
        <v>44127.66667</v>
      </c>
      <c r="B357" s="2">
        <f>IFERROR(__xludf.DUMMYFUNCTION("""COMPUTED_VALUE"""),220.42)</f>
        <v>220.42</v>
      </c>
      <c r="C357" s="2">
        <f>IFERROR(__xludf.DUMMYFUNCTION("""COMPUTED_VALUE"""),222.3)</f>
        <v>222.3</v>
      </c>
      <c r="D357" s="2">
        <f>IFERROR(__xludf.DUMMYFUNCTION("""COMPUTED_VALUE"""),211.7)</f>
        <v>211.7</v>
      </c>
      <c r="E357" s="2">
        <f>IFERROR(__xludf.DUMMYFUNCTION("""COMPUTED_VALUE"""),216.23)</f>
        <v>216.23</v>
      </c>
      <c r="F357" s="2">
        <f>IFERROR(__xludf.DUMMYFUNCTION("""COMPUTED_VALUE"""),1.14335316E8)</f>
        <v>114335316</v>
      </c>
      <c r="G357" s="3">
        <f t="shared" si="1"/>
        <v>-0.01561504143</v>
      </c>
    </row>
    <row r="358">
      <c r="A358" s="1">
        <f>IFERROR(__xludf.DUMMYFUNCTION("""COMPUTED_VALUE"""),44134.66666666667)</f>
        <v>44134.66667</v>
      </c>
      <c r="B358" s="2">
        <f>IFERROR(__xludf.DUMMYFUNCTION("""COMPUTED_VALUE"""),213.85)</f>
        <v>213.85</v>
      </c>
      <c r="C358" s="2">
        <f>IFERROR(__xludf.DUMMYFUNCTION("""COMPUTED_VALUE"""),216.34)</f>
        <v>216.34</v>
      </c>
      <c r="D358" s="2">
        <f>IFERROR(__xludf.DUMMYFUNCTION("""COMPUTED_VALUE"""),199.62)</f>
        <v>199.62</v>
      </c>
      <c r="E358" s="2">
        <f>IFERROR(__xludf.DUMMYFUNCTION("""COMPUTED_VALUE"""),202.47)</f>
        <v>202.47</v>
      </c>
      <c r="F358" s="2">
        <f>IFERROR(__xludf.DUMMYFUNCTION("""COMPUTED_VALUE"""),1.93420153E8)</f>
        <v>193420153</v>
      </c>
      <c r="G358" s="3">
        <f t="shared" si="1"/>
        <v>-0.06363594321</v>
      </c>
    </row>
    <row r="359">
      <c r="A359" s="1">
        <f>IFERROR(__xludf.DUMMYFUNCTION("""COMPUTED_VALUE"""),44141.66666666667)</f>
        <v>44141.66667</v>
      </c>
      <c r="B359" s="2">
        <f>IFERROR(__xludf.DUMMYFUNCTION("""COMPUTED_VALUE"""),204.29)</f>
        <v>204.29</v>
      </c>
      <c r="C359" s="2">
        <f>IFERROR(__xludf.DUMMYFUNCTION("""COMPUTED_VALUE"""),224.36)</f>
        <v>224.36</v>
      </c>
      <c r="D359" s="2">
        <f>IFERROR(__xludf.DUMMYFUNCTION("""COMPUTED_VALUE"""),200.12)</f>
        <v>200.12</v>
      </c>
      <c r="E359" s="2">
        <f>IFERROR(__xludf.DUMMYFUNCTION("""COMPUTED_VALUE"""),223.72)</f>
        <v>223.72</v>
      </c>
      <c r="F359" s="2">
        <f>IFERROR(__xludf.DUMMYFUNCTION("""COMPUTED_VALUE"""),1.61978002E8)</f>
        <v>161978002</v>
      </c>
      <c r="G359" s="3">
        <f t="shared" si="1"/>
        <v>0.1049538203</v>
      </c>
    </row>
    <row r="360">
      <c r="A360" s="1">
        <f>IFERROR(__xludf.DUMMYFUNCTION("""COMPUTED_VALUE"""),44148.66666666667)</f>
        <v>44148.66667</v>
      </c>
      <c r="B360" s="2">
        <f>IFERROR(__xludf.DUMMYFUNCTION("""COMPUTED_VALUE"""),224.44)</f>
        <v>224.44</v>
      </c>
      <c r="C360" s="2">
        <f>IFERROR(__xludf.DUMMYFUNCTION("""COMPUTED_VALUE"""),228.12)</f>
        <v>228.12</v>
      </c>
      <c r="D360" s="2">
        <f>IFERROR(__xludf.DUMMYFUNCTION("""COMPUTED_VALUE"""),209.72)</f>
        <v>209.72</v>
      </c>
      <c r="E360" s="2">
        <f>IFERROR(__xludf.DUMMYFUNCTION("""COMPUTED_VALUE"""),216.51)</f>
        <v>216.51</v>
      </c>
      <c r="F360" s="2">
        <f>IFERROR(__xludf.DUMMYFUNCTION("""COMPUTED_VALUE"""),1.5812728E8)</f>
        <v>158127280</v>
      </c>
      <c r="G360" s="3">
        <f t="shared" si="1"/>
        <v>-0.03222778473</v>
      </c>
    </row>
    <row r="361">
      <c r="A361" s="1">
        <f>IFERROR(__xludf.DUMMYFUNCTION("""COMPUTED_VALUE"""),44155.66666666667)</f>
        <v>44155.66667</v>
      </c>
      <c r="B361" s="2">
        <f>IFERROR(__xludf.DUMMYFUNCTION("""COMPUTED_VALUE"""),214.87)</f>
        <v>214.87</v>
      </c>
      <c r="C361" s="2">
        <f>IFERROR(__xludf.DUMMYFUNCTION("""COMPUTED_VALUE"""),217.74)</f>
        <v>217.74</v>
      </c>
      <c r="D361" s="2">
        <f>IFERROR(__xludf.DUMMYFUNCTION("""COMPUTED_VALUE"""),209.93)</f>
        <v>209.93</v>
      </c>
      <c r="E361" s="2">
        <f>IFERROR(__xludf.DUMMYFUNCTION("""COMPUTED_VALUE"""),210.39)</f>
        <v>210.39</v>
      </c>
      <c r="F361" s="2">
        <f>IFERROR(__xludf.DUMMYFUNCTION("""COMPUTED_VALUE"""),1.2511611E8)</f>
        <v>125116110</v>
      </c>
      <c r="G361" s="3">
        <f t="shared" si="1"/>
        <v>-0.02826659277</v>
      </c>
    </row>
    <row r="362">
      <c r="A362" s="1">
        <f>IFERROR(__xludf.DUMMYFUNCTION("""COMPUTED_VALUE"""),44162.54166666667)</f>
        <v>44162.54167</v>
      </c>
      <c r="B362" s="2">
        <f>IFERROR(__xludf.DUMMYFUNCTION("""COMPUTED_VALUE"""),210.95)</f>
        <v>210.95</v>
      </c>
      <c r="C362" s="2">
        <f>IFERROR(__xludf.DUMMYFUNCTION("""COMPUTED_VALUE"""),216.27)</f>
        <v>216.27</v>
      </c>
      <c r="D362" s="2">
        <f>IFERROR(__xludf.DUMMYFUNCTION("""COMPUTED_VALUE"""),208.16)</f>
        <v>208.16</v>
      </c>
      <c r="E362" s="2">
        <f>IFERROR(__xludf.DUMMYFUNCTION("""COMPUTED_VALUE"""),215.23)</f>
        <v>215.23</v>
      </c>
      <c r="F362" s="2">
        <f>IFERROR(__xludf.DUMMYFUNCTION("""COMPUTED_VALUE"""),9.5188338E7)</f>
        <v>95188338</v>
      </c>
      <c r="G362" s="3">
        <f t="shared" si="1"/>
        <v>0.02300489567</v>
      </c>
    </row>
    <row r="363">
      <c r="A363" s="1">
        <f>IFERROR(__xludf.DUMMYFUNCTION("""COMPUTED_VALUE"""),44169.66666666667)</f>
        <v>44169.66667</v>
      </c>
      <c r="B363" s="2">
        <f>IFERROR(__xludf.DUMMYFUNCTION("""COMPUTED_VALUE"""),214.1)</f>
        <v>214.1</v>
      </c>
      <c r="C363" s="2">
        <f>IFERROR(__xludf.DUMMYFUNCTION("""COMPUTED_VALUE"""),217.32)</f>
        <v>217.32</v>
      </c>
      <c r="D363" s="2">
        <f>IFERROR(__xludf.DUMMYFUNCTION("""COMPUTED_VALUE"""),210.84)</f>
        <v>210.84</v>
      </c>
      <c r="E363" s="2">
        <f>IFERROR(__xludf.DUMMYFUNCTION("""COMPUTED_VALUE"""),214.36)</f>
        <v>214.36</v>
      </c>
      <c r="F363" s="2">
        <f>IFERROR(__xludf.DUMMYFUNCTION("""COMPUTED_VALUE"""),1.37507541E8)</f>
        <v>137507541</v>
      </c>
      <c r="G363" s="3">
        <f t="shared" si="1"/>
        <v>-0.004042187427</v>
      </c>
    </row>
    <row r="364">
      <c r="A364" s="1">
        <f>IFERROR(__xludf.DUMMYFUNCTION("""COMPUTED_VALUE"""),44176.66666666667)</f>
        <v>44176.66667</v>
      </c>
      <c r="B364" s="2">
        <f>IFERROR(__xludf.DUMMYFUNCTION("""COMPUTED_VALUE"""),214.37)</f>
        <v>214.37</v>
      </c>
      <c r="C364" s="2">
        <f>IFERROR(__xludf.DUMMYFUNCTION("""COMPUTED_VALUE"""),216.95)</f>
        <v>216.95</v>
      </c>
      <c r="D364" s="2">
        <f>IFERROR(__xludf.DUMMYFUNCTION("""COMPUTED_VALUE"""),209.11)</f>
        <v>209.11</v>
      </c>
      <c r="E364" s="2">
        <f>IFERROR(__xludf.DUMMYFUNCTION("""COMPUTED_VALUE"""),213.26)</f>
        <v>213.26</v>
      </c>
      <c r="F364" s="2">
        <f>IFERROR(__xludf.DUMMYFUNCTION("""COMPUTED_VALUE"""),1.37791151E8)</f>
        <v>137791151</v>
      </c>
      <c r="G364" s="3">
        <f t="shared" si="1"/>
        <v>-0.005131554394</v>
      </c>
    </row>
    <row r="365">
      <c r="A365" s="1">
        <f>IFERROR(__xludf.DUMMYFUNCTION("""COMPUTED_VALUE"""),44183.66666666667)</f>
        <v>44183.66667</v>
      </c>
      <c r="B365" s="2">
        <f>IFERROR(__xludf.DUMMYFUNCTION("""COMPUTED_VALUE"""),213.1)</f>
        <v>213.1</v>
      </c>
      <c r="C365" s="2">
        <f>IFERROR(__xludf.DUMMYFUNCTION("""COMPUTED_VALUE"""),220.89)</f>
        <v>220.89</v>
      </c>
      <c r="D365" s="2">
        <f>IFERROR(__xludf.DUMMYFUNCTION("""COMPUTED_VALUE"""),212.24)</f>
        <v>212.24</v>
      </c>
      <c r="E365" s="2">
        <f>IFERROR(__xludf.DUMMYFUNCTION("""COMPUTED_VALUE"""),218.59)</f>
        <v>218.59</v>
      </c>
      <c r="F365" s="2">
        <f>IFERROR(__xludf.DUMMYFUNCTION("""COMPUTED_VALUE"""),1.86710444E8)</f>
        <v>186710444</v>
      </c>
      <c r="G365" s="3">
        <f t="shared" si="1"/>
        <v>0.02499296633</v>
      </c>
    </row>
    <row r="366">
      <c r="A366" s="1">
        <f>IFERROR(__xludf.DUMMYFUNCTION("""COMPUTED_VALUE"""),44189.54166666667)</f>
        <v>44189.54167</v>
      </c>
      <c r="B366" s="2">
        <f>IFERROR(__xludf.DUMMYFUNCTION("""COMPUTED_VALUE"""),217.55)</f>
        <v>217.55</v>
      </c>
      <c r="C366" s="2">
        <f>IFERROR(__xludf.DUMMYFUNCTION("""COMPUTED_VALUE"""),225.63)</f>
        <v>225.63</v>
      </c>
      <c r="D366" s="2">
        <f>IFERROR(__xludf.DUMMYFUNCTION("""COMPUTED_VALUE"""),217.28)</f>
        <v>217.28</v>
      </c>
      <c r="E366" s="2">
        <f>IFERROR(__xludf.DUMMYFUNCTION("""COMPUTED_VALUE"""),222.75)</f>
        <v>222.75</v>
      </c>
      <c r="F366" s="2">
        <f>IFERROR(__xludf.DUMMYFUNCTION("""COMPUTED_VALUE"""),8.9075493E7)</f>
        <v>89075493</v>
      </c>
      <c r="G366" s="3">
        <f t="shared" si="1"/>
        <v>0.01903106272</v>
      </c>
    </row>
    <row r="367">
      <c r="A367" s="1">
        <f>IFERROR(__xludf.DUMMYFUNCTION("""COMPUTED_VALUE"""),44196.66666666667)</f>
        <v>44196.66667</v>
      </c>
      <c r="B367" s="2">
        <f>IFERROR(__xludf.DUMMYFUNCTION("""COMPUTED_VALUE"""),224.45)</f>
        <v>224.45</v>
      </c>
      <c r="C367" s="2">
        <f>IFERROR(__xludf.DUMMYFUNCTION("""COMPUTED_VALUE"""),227.18)</f>
        <v>227.18</v>
      </c>
      <c r="D367" s="2">
        <f>IFERROR(__xludf.DUMMYFUNCTION("""COMPUTED_VALUE"""),219.68)</f>
        <v>219.68</v>
      </c>
      <c r="E367" s="2">
        <f>IFERROR(__xludf.DUMMYFUNCTION("""COMPUTED_VALUE"""),222.42)</f>
        <v>222.42</v>
      </c>
      <c r="F367" s="2">
        <f>IFERROR(__xludf.DUMMYFUNCTION("""COMPUTED_VALUE"""),7.6551178E7)</f>
        <v>76551178</v>
      </c>
      <c r="G367" s="3">
        <f t="shared" si="1"/>
        <v>-0.001481481481</v>
      </c>
    </row>
    <row r="368">
      <c r="A368" s="1"/>
      <c r="G368" s="3"/>
    </row>
    <row r="369">
      <c r="A369" s="1"/>
      <c r="G369" s="3"/>
    </row>
    <row r="370">
      <c r="A370" s="1"/>
      <c r="G370" s="3"/>
    </row>
    <row r="371">
      <c r="A371" s="1"/>
      <c r="G371" s="3"/>
    </row>
    <row r="372">
      <c r="A372" s="1"/>
      <c r="G372" s="3"/>
    </row>
    <row r="373">
      <c r="A373" s="1"/>
      <c r="G373" s="3"/>
    </row>
    <row r="374">
      <c r="A374" s="1"/>
      <c r="G374" s="3"/>
    </row>
    <row r="375">
      <c r="A375" s="1"/>
      <c r="G375" s="3"/>
    </row>
    <row r="376">
      <c r="A376" s="1"/>
      <c r="G376" s="3"/>
    </row>
    <row r="377">
      <c r="A377" s="1"/>
      <c r="G377" s="3"/>
    </row>
    <row r="378">
      <c r="A378" s="1"/>
      <c r="G378" s="3"/>
    </row>
    <row r="379">
      <c r="A379" s="1"/>
      <c r="G379" s="3"/>
    </row>
    <row r="380">
      <c r="A380" s="1"/>
      <c r="G380" s="3"/>
    </row>
    <row r="381">
      <c r="A381" s="1"/>
      <c r="G381" s="3"/>
    </row>
    <row r="382">
      <c r="A382" s="1"/>
      <c r="G382" s="3"/>
    </row>
    <row r="383">
      <c r="A383" s="1"/>
      <c r="G383" s="3"/>
    </row>
    <row r="384">
      <c r="A384" s="1"/>
      <c r="G384" s="3"/>
    </row>
    <row r="385">
      <c r="A385" s="1"/>
      <c r="G385" s="3"/>
    </row>
    <row r="386">
      <c r="A386" s="1"/>
      <c r="G386" s="3"/>
    </row>
    <row r="387">
      <c r="A387" s="1"/>
      <c r="G387" s="3"/>
    </row>
    <row r="388">
      <c r="A388" s="1"/>
      <c r="G388" s="3"/>
    </row>
    <row r="389">
      <c r="A389" s="1"/>
      <c r="G389" s="3"/>
    </row>
    <row r="390">
      <c r="A390" s="1"/>
      <c r="G390" s="3"/>
    </row>
    <row r="391">
      <c r="A391" s="1"/>
      <c r="G391" s="3"/>
    </row>
    <row r="392">
      <c r="A392" s="1"/>
      <c r="G392" s="3"/>
    </row>
    <row r="393">
      <c r="A393" s="1"/>
      <c r="G393" s="3"/>
    </row>
    <row r="394">
      <c r="A394" s="1"/>
      <c r="G394" s="3"/>
    </row>
    <row r="395">
      <c r="A395" s="1"/>
      <c r="G395" s="3"/>
    </row>
    <row r="396">
      <c r="A396" s="1"/>
      <c r="G396" s="3"/>
    </row>
    <row r="397">
      <c r="A397" s="1"/>
      <c r="G397" s="3"/>
    </row>
    <row r="398">
      <c r="A398" s="1"/>
      <c r="G398" s="3"/>
    </row>
    <row r="399">
      <c r="A399" s="1"/>
      <c r="G399" s="3"/>
    </row>
    <row r="400">
      <c r="A400" s="1"/>
      <c r="G400" s="3"/>
    </row>
    <row r="401">
      <c r="A401" s="1"/>
      <c r="G401" s="3"/>
    </row>
    <row r="402">
      <c r="A402" s="1"/>
      <c r="G402" s="3"/>
    </row>
    <row r="403">
      <c r="A403" s="1"/>
      <c r="G403" s="3"/>
    </row>
    <row r="404">
      <c r="A404" s="1"/>
      <c r="G404" s="3"/>
    </row>
    <row r="405">
      <c r="A405" s="1"/>
      <c r="G405" s="3"/>
    </row>
    <row r="406">
      <c r="A406" s="1"/>
      <c r="G406" s="3"/>
    </row>
    <row r="407">
      <c r="A407" s="1"/>
      <c r="G407" s="3"/>
    </row>
    <row r="408">
      <c r="A408" s="1"/>
      <c r="G408" s="3"/>
    </row>
    <row r="409">
      <c r="A409" s="1"/>
      <c r="G409" s="3"/>
    </row>
    <row r="410">
      <c r="A410" s="1"/>
      <c r="G410" s="3"/>
    </row>
    <row r="411">
      <c r="A411" s="1"/>
      <c r="G411" s="3"/>
    </row>
    <row r="412">
      <c r="A412" s="1"/>
      <c r="G412" s="3"/>
    </row>
    <row r="413">
      <c r="A413" s="1"/>
      <c r="G413" s="3"/>
    </row>
    <row r="414">
      <c r="A414" s="1"/>
      <c r="G414" s="3"/>
    </row>
    <row r="415">
      <c r="A415" s="1"/>
      <c r="G415" s="3"/>
    </row>
    <row r="416">
      <c r="A416" s="1"/>
      <c r="G416" s="3"/>
    </row>
    <row r="417">
      <c r="A417" s="1"/>
      <c r="G417" s="3"/>
    </row>
    <row r="418">
      <c r="A418" s="1"/>
      <c r="G418" s="3"/>
    </row>
    <row r="419">
      <c r="A419" s="1"/>
      <c r="G419" s="3"/>
    </row>
    <row r="420">
      <c r="A420" s="1"/>
      <c r="G420" s="3"/>
    </row>
    <row r="421">
      <c r="A421" s="1"/>
      <c r="G421" s="3"/>
    </row>
    <row r="422">
      <c r="A422" s="1"/>
      <c r="G422" s="3"/>
    </row>
    <row r="423">
      <c r="A423" s="1"/>
      <c r="G423" s="3"/>
    </row>
    <row r="424">
      <c r="A424" s="1"/>
      <c r="G424" s="3"/>
    </row>
    <row r="425">
      <c r="A425" s="1"/>
      <c r="G425" s="3"/>
    </row>
    <row r="426">
      <c r="A426" s="1"/>
      <c r="G426" s="3"/>
    </row>
    <row r="427">
      <c r="A427" s="1"/>
      <c r="G427" s="3"/>
    </row>
    <row r="428">
      <c r="A428" s="1"/>
      <c r="G428" s="3"/>
    </row>
    <row r="429">
      <c r="A429" s="1"/>
      <c r="G429" s="3"/>
    </row>
    <row r="430">
      <c r="A430" s="1"/>
      <c r="G430" s="3"/>
    </row>
    <row r="431">
      <c r="A431" s="1"/>
      <c r="G431" s="3"/>
    </row>
    <row r="432">
      <c r="A432" s="1"/>
      <c r="G432" s="3"/>
    </row>
    <row r="433">
      <c r="A433" s="1"/>
      <c r="G433" s="3"/>
    </row>
    <row r="434">
      <c r="A434" s="1"/>
      <c r="G434" s="3"/>
    </row>
    <row r="435">
      <c r="A435" s="1"/>
      <c r="G435" s="3"/>
    </row>
    <row r="436">
      <c r="A436" s="1"/>
      <c r="G436" s="3"/>
    </row>
    <row r="437">
      <c r="A437" s="1"/>
      <c r="G437" s="3"/>
    </row>
    <row r="438">
      <c r="A438" s="1"/>
      <c r="G438" s="3"/>
    </row>
    <row r="439">
      <c r="A439" s="1"/>
      <c r="G439" s="3"/>
    </row>
    <row r="440">
      <c r="A440" s="1"/>
      <c r="G440" s="3"/>
    </row>
    <row r="441">
      <c r="A441" s="1"/>
      <c r="G441" s="3"/>
    </row>
    <row r="442">
      <c r="A442" s="1"/>
      <c r="G442" s="3"/>
    </row>
    <row r="443">
      <c r="A443" s="1"/>
      <c r="G443" s="3"/>
    </row>
    <row r="444">
      <c r="A444" s="1"/>
      <c r="G444" s="3"/>
    </row>
    <row r="445">
      <c r="A445" s="1"/>
      <c r="G445" s="3"/>
    </row>
    <row r="446">
      <c r="A446" s="1"/>
      <c r="G446" s="3"/>
    </row>
    <row r="447">
      <c r="A447" s="1"/>
      <c r="G447" s="3"/>
    </row>
    <row r="448">
      <c r="A448" s="1"/>
      <c r="G448" s="3"/>
    </row>
    <row r="449">
      <c r="A449" s="1"/>
      <c r="G449" s="3"/>
    </row>
    <row r="450">
      <c r="A450" s="1"/>
      <c r="G450" s="3"/>
    </row>
    <row r="451">
      <c r="A451" s="1"/>
      <c r="G451" s="3"/>
    </row>
    <row r="452">
      <c r="A452" s="1"/>
      <c r="G452" s="3"/>
    </row>
    <row r="453">
      <c r="A453" s="1"/>
      <c r="G453" s="3"/>
    </row>
    <row r="454">
      <c r="A454" s="1"/>
      <c r="G454" s="3"/>
    </row>
    <row r="455">
      <c r="A455" s="1"/>
      <c r="G455" s="3"/>
    </row>
    <row r="456">
      <c r="A456" s="1"/>
      <c r="G456" s="3"/>
    </row>
    <row r="457">
      <c r="A457" s="1"/>
      <c r="G457" s="3"/>
    </row>
    <row r="458">
      <c r="A458" s="1"/>
      <c r="G458" s="3"/>
    </row>
    <row r="459">
      <c r="A459" s="1"/>
      <c r="G459" s="3"/>
    </row>
    <row r="460">
      <c r="A460" s="1"/>
      <c r="G460" s="3"/>
    </row>
    <row r="461">
      <c r="A461" s="1"/>
      <c r="G461" s="3"/>
    </row>
    <row r="462">
      <c r="A462" s="1"/>
      <c r="G462" s="3"/>
    </row>
    <row r="463">
      <c r="A463" s="1"/>
      <c r="G463" s="3"/>
    </row>
    <row r="464">
      <c r="A464" s="1"/>
      <c r="G464" s="3"/>
    </row>
    <row r="465">
      <c r="A465" s="1"/>
      <c r="G465" s="3"/>
    </row>
    <row r="466">
      <c r="A466" s="1"/>
      <c r="G466" s="3"/>
    </row>
    <row r="467">
      <c r="A467" s="1"/>
      <c r="G467" s="3"/>
    </row>
    <row r="468">
      <c r="A468" s="1"/>
      <c r="G468" s="3"/>
    </row>
    <row r="469">
      <c r="A469" s="1"/>
      <c r="G469" s="3"/>
    </row>
    <row r="470">
      <c r="A470" s="1"/>
      <c r="G470" s="3"/>
    </row>
    <row r="471">
      <c r="A471" s="1"/>
      <c r="G471" s="3"/>
    </row>
    <row r="472">
      <c r="A472" s="1"/>
      <c r="G472" s="3"/>
    </row>
    <row r="473">
      <c r="A473" s="1"/>
      <c r="G473" s="3"/>
    </row>
    <row r="474">
      <c r="A474" s="1"/>
      <c r="G474" s="3"/>
    </row>
    <row r="475">
      <c r="A475" s="1"/>
      <c r="G475" s="3"/>
    </row>
    <row r="476">
      <c r="A476" s="1"/>
      <c r="G476" s="3"/>
    </row>
    <row r="477">
      <c r="A477" s="1"/>
      <c r="G477" s="3"/>
    </row>
    <row r="478">
      <c r="A478" s="1"/>
      <c r="G478" s="3"/>
    </row>
    <row r="479">
      <c r="A479" s="1"/>
      <c r="G479" s="3"/>
    </row>
    <row r="480">
      <c r="A480" s="1"/>
      <c r="G480" s="3"/>
    </row>
    <row r="481">
      <c r="A481" s="1"/>
      <c r="G481" s="3"/>
    </row>
    <row r="482">
      <c r="A482" s="1"/>
      <c r="G482" s="3"/>
    </row>
    <row r="483">
      <c r="A483" s="1"/>
      <c r="G483" s="3"/>
    </row>
    <row r="484">
      <c r="A484" s="1"/>
      <c r="G484" s="3"/>
    </row>
    <row r="485">
      <c r="A485" s="1"/>
      <c r="G485" s="3"/>
    </row>
    <row r="486">
      <c r="A486" s="1"/>
      <c r="G486" s="3"/>
    </row>
    <row r="487">
      <c r="A487" s="1"/>
      <c r="G487" s="3"/>
    </row>
    <row r="488">
      <c r="A488" s="1"/>
      <c r="G488" s="3"/>
    </row>
    <row r="489">
      <c r="A489" s="1"/>
      <c r="G489" s="3"/>
    </row>
    <row r="490">
      <c r="A490" s="1"/>
      <c r="G490" s="3"/>
    </row>
    <row r="491">
      <c r="A491" s="1"/>
      <c r="G491" s="3"/>
    </row>
    <row r="492">
      <c r="A492" s="1"/>
      <c r="G492" s="3"/>
    </row>
    <row r="493">
      <c r="A493" s="1"/>
      <c r="G493" s="3"/>
    </row>
    <row r="494">
      <c r="A494" s="1"/>
      <c r="G494" s="3"/>
    </row>
    <row r="495">
      <c r="A495" s="1"/>
      <c r="G495" s="3"/>
    </row>
    <row r="496">
      <c r="A496" s="1"/>
      <c r="G496" s="3"/>
    </row>
    <row r="497">
      <c r="A497" s="1"/>
      <c r="G497" s="3"/>
    </row>
    <row r="498">
      <c r="A498" s="1"/>
      <c r="G498" s="3"/>
    </row>
    <row r="499">
      <c r="A499" s="1"/>
      <c r="G499" s="3"/>
    </row>
    <row r="500">
      <c r="A500" s="1"/>
      <c r="G500" s="3"/>
    </row>
    <row r="501">
      <c r="A501" s="1"/>
      <c r="G501" s="3"/>
    </row>
    <row r="502">
      <c r="A502" s="1"/>
      <c r="G502" s="3"/>
    </row>
    <row r="503">
      <c r="A503" s="1"/>
      <c r="G503" s="3"/>
    </row>
    <row r="504">
      <c r="A504" s="1"/>
      <c r="G504" s="3"/>
    </row>
    <row r="505">
      <c r="A505" s="1"/>
      <c r="G505" s="3"/>
    </row>
    <row r="506">
      <c r="A506" s="1"/>
      <c r="G506" s="3"/>
    </row>
    <row r="507">
      <c r="A507" s="1"/>
      <c r="G507" s="3"/>
    </row>
    <row r="508">
      <c r="A508" s="1"/>
      <c r="G508" s="3"/>
    </row>
    <row r="509">
      <c r="A509" s="1"/>
      <c r="G509" s="3"/>
    </row>
    <row r="510">
      <c r="A510" s="1"/>
      <c r="G510" s="3"/>
    </row>
    <row r="511">
      <c r="A511" s="1"/>
      <c r="G511" s="3"/>
    </row>
    <row r="512">
      <c r="A512" s="1"/>
      <c r="G512" s="3"/>
    </row>
    <row r="513">
      <c r="A513" s="1"/>
      <c r="G513" s="3"/>
    </row>
    <row r="514">
      <c r="A514" s="1"/>
      <c r="G514" s="3"/>
    </row>
    <row r="515">
      <c r="A515" s="1"/>
      <c r="G515" s="3"/>
    </row>
    <row r="516">
      <c r="A516" s="1"/>
      <c r="G516" s="3"/>
    </row>
    <row r="517">
      <c r="A517" s="1"/>
      <c r="G517" s="3"/>
    </row>
    <row r="518">
      <c r="A518" s="1"/>
      <c r="G518" s="3"/>
    </row>
    <row r="519">
      <c r="A519" s="1"/>
      <c r="G519" s="3"/>
    </row>
    <row r="520">
      <c r="A520" s="1"/>
      <c r="G520" s="3"/>
    </row>
    <row r="521">
      <c r="A521" s="1"/>
      <c r="G521" s="3"/>
    </row>
    <row r="522">
      <c r="A522" s="1"/>
      <c r="G522" s="3"/>
    </row>
    <row r="523">
      <c r="A523" s="1"/>
      <c r="G523" s="3"/>
    </row>
    <row r="524">
      <c r="A524" s="1"/>
      <c r="G524" s="3"/>
    </row>
    <row r="525">
      <c r="A525" s="1"/>
      <c r="G525" s="3"/>
    </row>
    <row r="526">
      <c r="A526" s="1"/>
      <c r="G526" s="3"/>
    </row>
    <row r="527">
      <c r="A527" s="1"/>
      <c r="G527" s="3"/>
    </row>
    <row r="528">
      <c r="A528" s="1"/>
      <c r="G528" s="3"/>
    </row>
    <row r="529">
      <c r="A529" s="1"/>
      <c r="G529" s="3"/>
    </row>
    <row r="530">
      <c r="A530" s="1"/>
      <c r="G530" s="3"/>
    </row>
    <row r="531">
      <c r="A531" s="1"/>
      <c r="G531" s="3"/>
    </row>
    <row r="532">
      <c r="A532" s="1"/>
      <c r="G532" s="3"/>
    </row>
    <row r="533">
      <c r="A533" s="1"/>
      <c r="G533" s="3"/>
    </row>
    <row r="534">
      <c r="A534" s="1"/>
      <c r="G534" s="3"/>
    </row>
    <row r="535">
      <c r="A535" s="1"/>
      <c r="G535" s="3"/>
    </row>
    <row r="536">
      <c r="A536" s="1"/>
      <c r="G536" s="3"/>
    </row>
    <row r="537">
      <c r="A537" s="1"/>
      <c r="G537" s="3"/>
    </row>
    <row r="538">
      <c r="A538" s="1"/>
      <c r="G538" s="3"/>
    </row>
    <row r="539">
      <c r="A539" s="1"/>
      <c r="G539" s="3"/>
    </row>
    <row r="540">
      <c r="A540" s="1"/>
      <c r="G540" s="3"/>
    </row>
    <row r="541">
      <c r="A541" s="1"/>
      <c r="G541" s="3"/>
    </row>
    <row r="542">
      <c r="A542" s="1"/>
      <c r="G542" s="3"/>
    </row>
    <row r="543">
      <c r="A543" s="1"/>
      <c r="G543" s="3"/>
    </row>
    <row r="544">
      <c r="A544" s="1"/>
      <c r="G544" s="3"/>
    </row>
    <row r="545">
      <c r="A545" s="1"/>
      <c r="G545" s="3"/>
    </row>
    <row r="546">
      <c r="A546" s="1"/>
      <c r="G546" s="3"/>
    </row>
    <row r="547">
      <c r="A547" s="1"/>
      <c r="G547" s="3"/>
    </row>
    <row r="548">
      <c r="A548" s="1"/>
      <c r="G548" s="3"/>
    </row>
    <row r="549">
      <c r="A549" s="1"/>
      <c r="G549" s="3"/>
    </row>
    <row r="550">
      <c r="A550" s="1"/>
      <c r="G550" s="3"/>
    </row>
    <row r="551">
      <c r="A551" s="1"/>
      <c r="G551" s="3"/>
    </row>
    <row r="552">
      <c r="A552" s="1"/>
      <c r="G552" s="3"/>
    </row>
    <row r="553">
      <c r="A553" s="1"/>
      <c r="G553" s="3"/>
    </row>
    <row r="554">
      <c r="A554" s="1"/>
      <c r="G554" s="3"/>
    </row>
    <row r="555">
      <c r="A555" s="1"/>
      <c r="G555" s="3"/>
    </row>
    <row r="556">
      <c r="A556" s="1"/>
      <c r="G556" s="3"/>
    </row>
    <row r="557">
      <c r="A557" s="1"/>
      <c r="G557" s="3"/>
    </row>
    <row r="558">
      <c r="A558" s="1"/>
      <c r="G558" s="3"/>
    </row>
    <row r="559">
      <c r="A559" s="1"/>
      <c r="G559" s="3"/>
    </row>
    <row r="560">
      <c r="A560" s="1"/>
      <c r="G560" s="3"/>
    </row>
    <row r="561">
      <c r="A561" s="1"/>
      <c r="G561" s="3"/>
    </row>
    <row r="562">
      <c r="A562" s="1"/>
      <c r="G562" s="3"/>
    </row>
    <row r="563">
      <c r="A563" s="1"/>
      <c r="G563" s="3"/>
    </row>
    <row r="564">
      <c r="A564" s="1"/>
      <c r="G564" s="3"/>
    </row>
    <row r="565">
      <c r="A565" s="1"/>
      <c r="G565" s="3"/>
    </row>
    <row r="566">
      <c r="A566" s="1"/>
      <c r="G566" s="3"/>
    </row>
    <row r="567">
      <c r="A567" s="1"/>
      <c r="G567" s="3"/>
    </row>
    <row r="568">
      <c r="A568" s="1"/>
      <c r="G568" s="3"/>
    </row>
    <row r="569">
      <c r="A569" s="1"/>
      <c r="G569" s="3"/>
    </row>
    <row r="570">
      <c r="A570" s="1"/>
      <c r="G570" s="3"/>
    </row>
    <row r="571">
      <c r="A571" s="1"/>
      <c r="G571" s="3"/>
    </row>
    <row r="572">
      <c r="A572" s="1"/>
      <c r="G572" s="3"/>
    </row>
    <row r="573">
      <c r="A573" s="1"/>
      <c r="G573" s="3"/>
    </row>
    <row r="574">
      <c r="A574" s="1"/>
      <c r="G574" s="3"/>
    </row>
    <row r="575">
      <c r="A575" s="1"/>
      <c r="G575" s="3"/>
    </row>
    <row r="576">
      <c r="A576" s="1"/>
      <c r="G576" s="3"/>
    </row>
    <row r="577">
      <c r="A577" s="1"/>
      <c r="G577" s="3"/>
    </row>
    <row r="578">
      <c r="A578" s="1"/>
      <c r="G578" s="3"/>
    </row>
    <row r="579">
      <c r="A579" s="1"/>
      <c r="G579" s="3"/>
    </row>
    <row r="580">
      <c r="A580" s="1"/>
      <c r="G580" s="3"/>
    </row>
    <row r="581">
      <c r="A581" s="1"/>
      <c r="G581" s="3"/>
    </row>
    <row r="582">
      <c r="A582" s="1"/>
      <c r="G582" s="3"/>
    </row>
    <row r="583">
      <c r="A583" s="1"/>
      <c r="G583" s="3"/>
    </row>
    <row r="584">
      <c r="A584" s="1"/>
      <c r="G584" s="3"/>
    </row>
    <row r="585">
      <c r="A585" s="1"/>
      <c r="G585" s="3"/>
    </row>
    <row r="586">
      <c r="A586" s="1"/>
      <c r="G586" s="3"/>
    </row>
    <row r="587">
      <c r="A587" s="1"/>
      <c r="G587" s="3"/>
    </row>
    <row r="588">
      <c r="A588" s="1"/>
      <c r="G588" s="3"/>
    </row>
    <row r="589">
      <c r="A589" s="1"/>
      <c r="G589" s="3"/>
    </row>
    <row r="590">
      <c r="A590" s="1"/>
      <c r="G590" s="3"/>
    </row>
    <row r="591">
      <c r="A591" s="1"/>
      <c r="G591" s="3"/>
    </row>
    <row r="592">
      <c r="A592" s="1"/>
      <c r="G592" s="3"/>
    </row>
    <row r="593">
      <c r="A593" s="1"/>
      <c r="G593" s="3"/>
    </row>
    <row r="594">
      <c r="A594" s="1"/>
      <c r="G594" s="3"/>
    </row>
    <row r="595">
      <c r="A595" s="1"/>
      <c r="G595" s="3"/>
    </row>
    <row r="596">
      <c r="A596" s="1"/>
      <c r="G596" s="3"/>
    </row>
    <row r="597">
      <c r="A597" s="1"/>
      <c r="G597" s="3"/>
    </row>
    <row r="598">
      <c r="A598" s="1"/>
      <c r="G598" s="3"/>
    </row>
    <row r="599">
      <c r="A599" s="1"/>
      <c r="G599" s="3"/>
    </row>
    <row r="600">
      <c r="A600" s="1"/>
      <c r="G600" s="3"/>
    </row>
    <row r="601">
      <c r="A601" s="1"/>
      <c r="G601" s="3"/>
    </row>
    <row r="602">
      <c r="A602" s="1"/>
      <c r="G602" s="3"/>
    </row>
    <row r="603">
      <c r="A603" s="1"/>
      <c r="G603" s="3"/>
    </row>
    <row r="604">
      <c r="A604" s="1"/>
      <c r="G604" s="3"/>
    </row>
    <row r="605">
      <c r="A605" s="1"/>
      <c r="G605" s="3"/>
    </row>
    <row r="606">
      <c r="A606" s="1"/>
      <c r="G606" s="3"/>
    </row>
    <row r="607">
      <c r="A607" s="1"/>
      <c r="G607" s="3"/>
    </row>
    <row r="608">
      <c r="A608" s="1"/>
      <c r="G608" s="3"/>
    </row>
    <row r="609">
      <c r="A609" s="1"/>
      <c r="G609" s="3"/>
    </row>
    <row r="610">
      <c r="A610" s="1"/>
      <c r="G610" s="3"/>
    </row>
    <row r="611">
      <c r="A611" s="1"/>
      <c r="G611" s="3"/>
    </row>
    <row r="612">
      <c r="A612" s="1"/>
      <c r="G612" s="3"/>
    </row>
    <row r="613">
      <c r="A613" s="1"/>
      <c r="G613" s="3"/>
    </row>
    <row r="614">
      <c r="A614" s="1"/>
      <c r="G614" s="3"/>
    </row>
    <row r="615">
      <c r="A615" s="1"/>
      <c r="G615" s="3"/>
    </row>
    <row r="616">
      <c r="A616" s="1"/>
      <c r="G616" s="3"/>
    </row>
    <row r="617">
      <c r="A617" s="1"/>
      <c r="G617" s="3"/>
    </row>
    <row r="618">
      <c r="A618" s="1"/>
      <c r="G618" s="3"/>
    </row>
    <row r="619">
      <c r="A619" s="1"/>
      <c r="G619" s="3"/>
    </row>
    <row r="620">
      <c r="A620" s="1"/>
      <c r="G620" s="3"/>
    </row>
    <row r="621">
      <c r="A621" s="1"/>
      <c r="G621" s="3"/>
    </row>
    <row r="622">
      <c r="A622" s="1"/>
      <c r="G622" s="3"/>
    </row>
    <row r="623">
      <c r="A623" s="1"/>
      <c r="G623" s="3"/>
    </row>
    <row r="624">
      <c r="A624" s="1"/>
      <c r="G624" s="3"/>
    </row>
    <row r="625">
      <c r="A625" s="1"/>
      <c r="G625" s="3"/>
    </row>
    <row r="626">
      <c r="A626" s="1"/>
      <c r="G626" s="3"/>
    </row>
    <row r="627">
      <c r="A627" s="1"/>
      <c r="G627" s="3"/>
    </row>
    <row r="628">
      <c r="A628" s="1"/>
      <c r="G628" s="3"/>
    </row>
    <row r="629">
      <c r="A629" s="1"/>
      <c r="G629" s="3"/>
    </row>
    <row r="630">
      <c r="A630" s="1"/>
      <c r="G630" s="3"/>
    </row>
    <row r="631">
      <c r="A631" s="1"/>
      <c r="G631" s="3"/>
    </row>
    <row r="632">
      <c r="A632" s="1"/>
      <c r="G632" s="3"/>
    </row>
    <row r="633">
      <c r="A633" s="1"/>
      <c r="G633" s="3"/>
    </row>
    <row r="634">
      <c r="A634" s="1"/>
      <c r="G634" s="3"/>
    </row>
    <row r="635">
      <c r="A635" s="1"/>
      <c r="G635" s="3"/>
    </row>
    <row r="636">
      <c r="A636" s="1"/>
      <c r="G636" s="3"/>
    </row>
    <row r="637">
      <c r="A637" s="1"/>
      <c r="G637" s="3"/>
    </row>
    <row r="638">
      <c r="A638" s="1"/>
      <c r="G638" s="3"/>
    </row>
    <row r="639">
      <c r="A639" s="1"/>
      <c r="G639" s="3"/>
    </row>
    <row r="640">
      <c r="A640" s="1"/>
      <c r="G640" s="3"/>
    </row>
    <row r="641">
      <c r="A641" s="1"/>
      <c r="G641" s="3"/>
    </row>
    <row r="642">
      <c r="A642" s="1"/>
      <c r="G642" s="3"/>
    </row>
    <row r="643">
      <c r="A643" s="1"/>
      <c r="G643" s="3"/>
    </row>
    <row r="644">
      <c r="A644" s="1"/>
      <c r="G644" s="3"/>
    </row>
    <row r="645">
      <c r="A645" s="1"/>
      <c r="G645" s="3"/>
    </row>
    <row r="646">
      <c r="A646" s="1"/>
      <c r="G646" s="3"/>
    </row>
    <row r="647">
      <c r="A647" s="1"/>
      <c r="G647" s="3"/>
    </row>
    <row r="648">
      <c r="A648" s="1"/>
      <c r="G648" s="3"/>
    </row>
    <row r="649">
      <c r="A649" s="1"/>
      <c r="G649" s="3"/>
    </row>
    <row r="650">
      <c r="A650" s="1"/>
      <c r="G650" s="3"/>
    </row>
    <row r="651">
      <c r="A651" s="1"/>
      <c r="G651" s="3"/>
    </row>
    <row r="652">
      <c r="A652" s="1"/>
      <c r="G652" s="3"/>
    </row>
    <row r="653">
      <c r="A653" s="1"/>
      <c r="G653" s="3"/>
    </row>
    <row r="654">
      <c r="A654" s="1"/>
      <c r="G654" s="3"/>
    </row>
    <row r="655">
      <c r="A655" s="1"/>
      <c r="G655" s="3"/>
    </row>
    <row r="656">
      <c r="A656" s="1"/>
      <c r="G656" s="3"/>
    </row>
    <row r="657">
      <c r="A657" s="1"/>
      <c r="G657" s="3"/>
    </row>
    <row r="658">
      <c r="A658" s="1"/>
      <c r="G658" s="3"/>
    </row>
    <row r="659">
      <c r="A659" s="1"/>
      <c r="G659" s="3"/>
    </row>
    <row r="660">
      <c r="A660" s="1"/>
      <c r="G660" s="3"/>
    </row>
    <row r="661">
      <c r="A661" s="1"/>
      <c r="G661" s="3"/>
    </row>
    <row r="662">
      <c r="A662" s="1"/>
      <c r="G662" s="3"/>
    </row>
    <row r="663">
      <c r="A663" s="1"/>
      <c r="G663" s="3"/>
    </row>
    <row r="664">
      <c r="A664" s="1"/>
      <c r="G664" s="3"/>
    </row>
    <row r="665">
      <c r="A665" s="1"/>
      <c r="G665" s="3"/>
    </row>
    <row r="666">
      <c r="A666" s="1"/>
      <c r="G666" s="3"/>
    </row>
    <row r="667">
      <c r="A667" s="1"/>
      <c r="G667" s="3"/>
    </row>
    <row r="668">
      <c r="A668" s="1"/>
      <c r="G668" s="3"/>
    </row>
    <row r="669">
      <c r="A669" s="1"/>
      <c r="G669" s="3"/>
    </row>
    <row r="670">
      <c r="A670" s="1"/>
      <c r="G670" s="3"/>
    </row>
    <row r="671">
      <c r="A671" s="1"/>
      <c r="G671" s="3"/>
    </row>
    <row r="672">
      <c r="A672" s="1"/>
      <c r="G672" s="3"/>
    </row>
    <row r="673">
      <c r="A673" s="1"/>
      <c r="G673" s="3"/>
    </row>
    <row r="674">
      <c r="A674" s="1"/>
      <c r="G674" s="3"/>
    </row>
    <row r="675">
      <c r="A675" s="1"/>
      <c r="G675" s="3"/>
    </row>
    <row r="676">
      <c r="A676" s="1"/>
      <c r="G676" s="3"/>
    </row>
    <row r="677">
      <c r="A677" s="1"/>
      <c r="G677" s="3"/>
    </row>
    <row r="678">
      <c r="A678" s="1"/>
      <c r="G678" s="3"/>
    </row>
    <row r="679">
      <c r="A679" s="1"/>
      <c r="G679" s="3"/>
    </row>
    <row r="680">
      <c r="A680" s="1"/>
      <c r="G680" s="3"/>
    </row>
    <row r="681">
      <c r="A681" s="1"/>
      <c r="G681" s="3"/>
    </row>
    <row r="682">
      <c r="A682" s="1"/>
      <c r="G682" s="3"/>
    </row>
    <row r="683">
      <c r="A683" s="1"/>
      <c r="G683" s="3"/>
    </row>
    <row r="684">
      <c r="A684" s="1"/>
      <c r="G684" s="3"/>
    </row>
    <row r="685">
      <c r="A685" s="1"/>
      <c r="G685" s="3"/>
    </row>
    <row r="686">
      <c r="A686" s="1"/>
      <c r="G686" s="3"/>
    </row>
    <row r="687">
      <c r="A687" s="1"/>
      <c r="G687" s="3"/>
    </row>
    <row r="688">
      <c r="A688" s="1"/>
      <c r="G688" s="3"/>
    </row>
    <row r="689">
      <c r="A689" s="1"/>
      <c r="G689" s="3"/>
    </row>
    <row r="690">
      <c r="A690" s="1"/>
      <c r="G690" s="3"/>
    </row>
    <row r="691">
      <c r="A691" s="1"/>
      <c r="G691" s="3"/>
    </row>
    <row r="692">
      <c r="A692" s="1"/>
      <c r="G692" s="3"/>
    </row>
    <row r="693">
      <c r="A693" s="1"/>
      <c r="G693" s="3"/>
    </row>
    <row r="694">
      <c r="A694" s="1"/>
      <c r="G694" s="3"/>
    </row>
    <row r="695">
      <c r="A695" s="1"/>
      <c r="G695" s="3"/>
    </row>
    <row r="696">
      <c r="A696" s="1"/>
      <c r="G696" s="3"/>
    </row>
    <row r="697">
      <c r="A697" s="1"/>
      <c r="G697" s="3"/>
    </row>
    <row r="698">
      <c r="A698" s="1"/>
      <c r="G698" s="3"/>
    </row>
    <row r="699">
      <c r="A699" s="1"/>
      <c r="G699" s="3"/>
    </row>
    <row r="700">
      <c r="A700" s="1"/>
      <c r="G700" s="3"/>
    </row>
    <row r="701">
      <c r="A701" s="1"/>
      <c r="G701" s="3"/>
    </row>
    <row r="702">
      <c r="A702" s="1"/>
      <c r="G702" s="3"/>
    </row>
    <row r="703">
      <c r="A703" s="1"/>
      <c r="G703" s="3"/>
    </row>
    <row r="704">
      <c r="A704" s="1"/>
      <c r="G704" s="3"/>
    </row>
    <row r="705">
      <c r="A705" s="1"/>
      <c r="G705" s="3"/>
    </row>
    <row r="706">
      <c r="A706" s="1"/>
      <c r="G706" s="3"/>
    </row>
    <row r="707">
      <c r="A707" s="1"/>
      <c r="G707" s="3"/>
    </row>
    <row r="708">
      <c r="A708" s="1"/>
      <c r="G708" s="3"/>
    </row>
    <row r="709">
      <c r="A709" s="1"/>
      <c r="G709" s="3"/>
    </row>
    <row r="710">
      <c r="A710" s="1"/>
      <c r="G710" s="3"/>
    </row>
    <row r="711">
      <c r="A711" s="1"/>
      <c r="G711" s="3"/>
    </row>
    <row r="712">
      <c r="A712" s="1"/>
      <c r="G712" s="3"/>
    </row>
    <row r="713">
      <c r="A713" s="1"/>
      <c r="G713" s="3"/>
    </row>
    <row r="714">
      <c r="A714" s="1"/>
      <c r="G714" s="3"/>
    </row>
    <row r="715">
      <c r="A715" s="1"/>
      <c r="G715" s="3"/>
    </row>
    <row r="716">
      <c r="A716" s="1"/>
      <c r="G716" s="3"/>
    </row>
    <row r="717">
      <c r="A717" s="1"/>
      <c r="G717" s="3"/>
    </row>
    <row r="718">
      <c r="A718" s="1"/>
      <c r="G718" s="3"/>
    </row>
    <row r="719">
      <c r="A719" s="1"/>
      <c r="G719" s="3"/>
    </row>
    <row r="720">
      <c r="A720" s="1"/>
      <c r="G720" s="3"/>
    </row>
    <row r="721">
      <c r="A721" s="1"/>
      <c r="G721" s="3"/>
    </row>
    <row r="722">
      <c r="A722" s="1"/>
      <c r="G722" s="3"/>
    </row>
    <row r="723">
      <c r="A723" s="1"/>
      <c r="G723" s="3"/>
    </row>
    <row r="724">
      <c r="A724" s="1"/>
      <c r="G724" s="3"/>
    </row>
    <row r="725">
      <c r="A725" s="1"/>
      <c r="G725" s="3"/>
    </row>
    <row r="726">
      <c r="A726" s="1"/>
      <c r="G726" s="3"/>
    </row>
    <row r="727">
      <c r="A727" s="1"/>
      <c r="G727" s="3"/>
    </row>
    <row r="728">
      <c r="A728" s="1"/>
      <c r="G728" s="3"/>
    </row>
    <row r="729">
      <c r="A729" s="1"/>
      <c r="G729" s="3"/>
    </row>
    <row r="730">
      <c r="A730" s="1"/>
      <c r="G730" s="3"/>
    </row>
    <row r="731">
      <c r="A731" s="1"/>
      <c r="G731" s="3"/>
    </row>
    <row r="732">
      <c r="A732" s="1"/>
      <c r="G732" s="3"/>
    </row>
    <row r="733">
      <c r="A733" s="1"/>
      <c r="G733" s="3"/>
    </row>
    <row r="734">
      <c r="A734" s="1"/>
      <c r="G734" s="3"/>
    </row>
    <row r="735">
      <c r="A735" s="1"/>
      <c r="G735" s="3"/>
    </row>
    <row r="736">
      <c r="A736" s="1"/>
      <c r="G736" s="3"/>
    </row>
    <row r="737">
      <c r="A737" s="1"/>
      <c r="G737" s="3"/>
    </row>
    <row r="738">
      <c r="A738" s="1"/>
      <c r="G738" s="3"/>
    </row>
    <row r="739">
      <c r="A739" s="1"/>
      <c r="G739" s="3"/>
    </row>
    <row r="740">
      <c r="A740" s="1"/>
      <c r="G740" s="3"/>
    </row>
    <row r="741">
      <c r="A741" s="1"/>
      <c r="G741" s="3"/>
    </row>
    <row r="742">
      <c r="A742" s="1"/>
      <c r="G742" s="3"/>
    </row>
    <row r="743">
      <c r="A743" s="1"/>
      <c r="G743" s="3"/>
    </row>
    <row r="744">
      <c r="A744" s="1"/>
      <c r="G744" s="3"/>
    </row>
    <row r="745">
      <c r="A745" s="1"/>
      <c r="G745" s="3"/>
    </row>
    <row r="746">
      <c r="A746" s="1"/>
      <c r="G746" s="3"/>
    </row>
    <row r="747">
      <c r="A747" s="1"/>
      <c r="G747" s="3"/>
    </row>
    <row r="748">
      <c r="A748" s="1"/>
      <c r="G748" s="3"/>
    </row>
    <row r="749">
      <c r="A749" s="1"/>
      <c r="G749" s="3"/>
    </row>
    <row r="750">
      <c r="A750" s="1"/>
      <c r="G750" s="3"/>
    </row>
    <row r="751">
      <c r="A751" s="1"/>
      <c r="G751" s="3"/>
    </row>
    <row r="752">
      <c r="A752" s="1"/>
      <c r="G752" s="3"/>
    </row>
    <row r="753">
      <c r="A753" s="1"/>
      <c r="G753" s="3"/>
    </row>
    <row r="754">
      <c r="A754" s="1"/>
      <c r="G754" s="3"/>
    </row>
    <row r="755">
      <c r="A755" s="1"/>
      <c r="G755" s="3"/>
    </row>
    <row r="756">
      <c r="A756" s="1"/>
      <c r="G756" s="3"/>
    </row>
    <row r="757">
      <c r="A757" s="1"/>
      <c r="G757" s="3"/>
    </row>
    <row r="758">
      <c r="A758" s="1"/>
      <c r="G758" s="3"/>
    </row>
    <row r="759">
      <c r="A759" s="1"/>
      <c r="G759" s="3"/>
    </row>
    <row r="760">
      <c r="A760" s="1"/>
      <c r="G760" s="3"/>
    </row>
    <row r="761">
      <c r="A761" s="1"/>
      <c r="G761" s="3"/>
    </row>
    <row r="762">
      <c r="A762" s="1"/>
      <c r="G762" s="3"/>
    </row>
    <row r="763">
      <c r="A763" s="1"/>
      <c r="G763" s="3"/>
    </row>
    <row r="764">
      <c r="A764" s="1"/>
      <c r="G764" s="3"/>
    </row>
    <row r="765">
      <c r="A765" s="1"/>
      <c r="G765" s="3"/>
    </row>
    <row r="766">
      <c r="A766" s="1"/>
      <c r="G766" s="3"/>
    </row>
    <row r="767">
      <c r="A767" s="1"/>
      <c r="G767" s="3"/>
    </row>
    <row r="768">
      <c r="A768" s="1"/>
      <c r="G768" s="3"/>
    </row>
    <row r="769">
      <c r="A769" s="1"/>
      <c r="G769" s="3"/>
    </row>
    <row r="770">
      <c r="A770" s="1"/>
      <c r="G770" s="3"/>
    </row>
    <row r="771">
      <c r="A771" s="1"/>
      <c r="G771" s="3"/>
    </row>
    <row r="772">
      <c r="A772" s="1"/>
      <c r="G772" s="3"/>
    </row>
    <row r="773">
      <c r="A773" s="1"/>
      <c r="G773" s="3"/>
    </row>
    <row r="774">
      <c r="A774" s="1"/>
      <c r="G774" s="3"/>
    </row>
    <row r="775">
      <c r="A775" s="1"/>
      <c r="G775" s="3"/>
    </row>
    <row r="776">
      <c r="A776" s="1"/>
      <c r="G776" s="3"/>
    </row>
    <row r="777">
      <c r="A777" s="1"/>
      <c r="G777" s="3"/>
    </row>
    <row r="778">
      <c r="A778" s="1"/>
      <c r="G778" s="3"/>
    </row>
    <row r="779">
      <c r="A779" s="1"/>
      <c r="G779" s="3"/>
    </row>
    <row r="780">
      <c r="A780" s="1"/>
      <c r="G780" s="3"/>
    </row>
    <row r="781">
      <c r="A781" s="1"/>
      <c r="G781" s="3"/>
    </row>
    <row r="782">
      <c r="A782" s="1"/>
      <c r="G782" s="3"/>
    </row>
    <row r="783">
      <c r="A783" s="1"/>
      <c r="G783" s="3"/>
    </row>
    <row r="784">
      <c r="A784" s="1"/>
      <c r="G784" s="3"/>
    </row>
    <row r="785">
      <c r="A785" s="1"/>
      <c r="G785" s="3"/>
    </row>
    <row r="786">
      <c r="A786" s="1"/>
      <c r="G786" s="3"/>
    </row>
    <row r="787">
      <c r="A787" s="1"/>
      <c r="G787" s="3"/>
    </row>
    <row r="788">
      <c r="A788" s="1"/>
      <c r="G788" s="3"/>
    </row>
    <row r="789">
      <c r="A789" s="1"/>
      <c r="G789" s="3"/>
    </row>
    <row r="790">
      <c r="A790" s="1"/>
      <c r="G790" s="3"/>
    </row>
    <row r="791">
      <c r="A791" s="1"/>
      <c r="G791" s="3"/>
    </row>
    <row r="792">
      <c r="A792" s="1"/>
      <c r="G792" s="3"/>
    </row>
    <row r="793">
      <c r="A793" s="1"/>
      <c r="G793" s="3"/>
    </row>
    <row r="794">
      <c r="A794" s="1"/>
      <c r="G794" s="3"/>
    </row>
    <row r="795">
      <c r="A795" s="1"/>
      <c r="G795" s="3"/>
    </row>
    <row r="796">
      <c r="A796" s="1"/>
      <c r="G796" s="3"/>
    </row>
    <row r="797">
      <c r="A797" s="1"/>
      <c r="G797" s="3"/>
    </row>
    <row r="798">
      <c r="A798" s="1"/>
      <c r="G798" s="3"/>
    </row>
    <row r="799">
      <c r="A799" s="1"/>
      <c r="G799" s="3"/>
    </row>
    <row r="800">
      <c r="A800" s="1"/>
      <c r="G800" s="3"/>
    </row>
    <row r="801">
      <c r="A801" s="1"/>
      <c r="G801" s="3"/>
    </row>
    <row r="802">
      <c r="A802" s="1"/>
      <c r="G802" s="3"/>
    </row>
    <row r="803">
      <c r="A803" s="1"/>
      <c r="G803" s="3"/>
    </row>
    <row r="804">
      <c r="A804" s="1"/>
      <c r="G804" s="3"/>
    </row>
    <row r="805">
      <c r="A805" s="1"/>
      <c r="G805" s="3"/>
    </row>
    <row r="806">
      <c r="A806" s="1"/>
      <c r="G806" s="3"/>
    </row>
    <row r="807">
      <c r="A807" s="1"/>
      <c r="G807" s="3"/>
    </row>
    <row r="808">
      <c r="A808" s="1"/>
      <c r="G808" s="3"/>
    </row>
    <row r="809">
      <c r="A809" s="1"/>
      <c r="G809" s="3"/>
    </row>
    <row r="810">
      <c r="A810" s="1"/>
      <c r="G810" s="3"/>
    </row>
    <row r="811">
      <c r="A811" s="1"/>
      <c r="G811" s="3"/>
    </row>
    <row r="812">
      <c r="A812" s="1"/>
      <c r="G812" s="3"/>
    </row>
    <row r="813">
      <c r="A813" s="1"/>
      <c r="G813" s="3"/>
    </row>
    <row r="814">
      <c r="A814" s="1"/>
      <c r="G814" s="3"/>
    </row>
    <row r="815">
      <c r="A815" s="1"/>
      <c r="G815" s="3"/>
    </row>
    <row r="816">
      <c r="A816" s="1"/>
      <c r="G816" s="3"/>
    </row>
    <row r="817">
      <c r="A817" s="1"/>
      <c r="G817" s="3"/>
    </row>
    <row r="818">
      <c r="A818" s="1"/>
      <c r="G818" s="3"/>
    </row>
    <row r="819">
      <c r="A819" s="1"/>
      <c r="G819" s="3"/>
    </row>
    <row r="820">
      <c r="A820" s="1"/>
      <c r="G820" s="3"/>
    </row>
    <row r="821">
      <c r="A821" s="1"/>
      <c r="G821" s="3"/>
    </row>
    <row r="822">
      <c r="A822" s="1"/>
      <c r="G822" s="3"/>
    </row>
    <row r="823">
      <c r="A823" s="1"/>
      <c r="G823" s="3"/>
    </row>
    <row r="824">
      <c r="A824" s="1"/>
      <c r="G824" s="3"/>
    </row>
    <row r="825">
      <c r="A825" s="1"/>
      <c r="G825" s="3"/>
    </row>
    <row r="826">
      <c r="A826" s="1"/>
      <c r="G826" s="3"/>
    </row>
    <row r="827">
      <c r="A827" s="1"/>
      <c r="G827" s="3"/>
    </row>
    <row r="828">
      <c r="A828" s="1"/>
      <c r="G828" s="3"/>
    </row>
    <row r="829">
      <c r="A829" s="1"/>
      <c r="G829" s="3"/>
    </row>
    <row r="830">
      <c r="A830" s="1"/>
      <c r="G830" s="3"/>
    </row>
    <row r="831">
      <c r="A831" s="1"/>
      <c r="G831" s="3"/>
    </row>
    <row r="832">
      <c r="A832" s="1"/>
      <c r="G832" s="3"/>
    </row>
    <row r="833">
      <c r="A833" s="1"/>
      <c r="G833" s="3"/>
    </row>
    <row r="834">
      <c r="A834" s="1"/>
      <c r="G834" s="3"/>
    </row>
    <row r="835">
      <c r="A835" s="1"/>
      <c r="G835" s="3"/>
    </row>
    <row r="836">
      <c r="A836" s="1"/>
      <c r="G836" s="3"/>
    </row>
    <row r="837">
      <c r="A837" s="1"/>
      <c r="G837" s="3"/>
    </row>
    <row r="838">
      <c r="A838" s="1"/>
      <c r="G838" s="3"/>
    </row>
    <row r="839">
      <c r="A839" s="1"/>
      <c r="G839" s="3"/>
    </row>
    <row r="840">
      <c r="A840" s="1"/>
      <c r="G840" s="3"/>
    </row>
    <row r="841">
      <c r="A841" s="1"/>
      <c r="G841" s="3"/>
    </row>
    <row r="842">
      <c r="A842" s="1"/>
      <c r="G842" s="3"/>
    </row>
    <row r="843">
      <c r="A843" s="1"/>
      <c r="G843" s="3"/>
    </row>
    <row r="844">
      <c r="A844" s="1"/>
      <c r="G844" s="3"/>
    </row>
    <row r="845">
      <c r="A845" s="1"/>
      <c r="G845" s="3"/>
    </row>
    <row r="846">
      <c r="A846" s="1"/>
      <c r="G846" s="3"/>
    </row>
    <row r="847">
      <c r="A847" s="1"/>
      <c r="G847" s="3"/>
    </row>
    <row r="848">
      <c r="A848" s="1"/>
      <c r="G848" s="3"/>
    </row>
    <row r="849">
      <c r="A849" s="1"/>
      <c r="G849" s="3"/>
    </row>
    <row r="850">
      <c r="A850" s="1"/>
      <c r="G850" s="3"/>
    </row>
    <row r="851">
      <c r="A851" s="1"/>
      <c r="G851" s="3"/>
    </row>
    <row r="852">
      <c r="A852" s="1"/>
      <c r="G852" s="3"/>
    </row>
    <row r="853">
      <c r="A853" s="1"/>
      <c r="G853" s="3"/>
    </row>
    <row r="854">
      <c r="A854" s="1"/>
      <c r="G854" s="3"/>
    </row>
    <row r="855">
      <c r="A855" s="1"/>
      <c r="G855" s="3"/>
    </row>
    <row r="856">
      <c r="A856" s="1"/>
      <c r="G856" s="3"/>
    </row>
    <row r="857">
      <c r="A857" s="1"/>
      <c r="G857" s="3"/>
    </row>
    <row r="858">
      <c r="A858" s="1"/>
      <c r="G858" s="3"/>
    </row>
    <row r="859">
      <c r="A859" s="1"/>
      <c r="G859" s="3"/>
    </row>
    <row r="860">
      <c r="A860" s="1"/>
      <c r="G860" s="3"/>
    </row>
    <row r="861">
      <c r="A861" s="1"/>
      <c r="G861" s="3"/>
    </row>
    <row r="862">
      <c r="A862" s="1"/>
      <c r="G862" s="3"/>
    </row>
    <row r="863">
      <c r="A863" s="1"/>
      <c r="G863" s="3"/>
    </row>
    <row r="864">
      <c r="A864" s="1"/>
      <c r="G864" s="3"/>
    </row>
    <row r="865">
      <c r="A865" s="1"/>
      <c r="G865" s="3"/>
    </row>
    <row r="866">
      <c r="A866" s="1"/>
      <c r="G866" s="3"/>
    </row>
    <row r="867">
      <c r="A867" s="1"/>
      <c r="G867" s="3"/>
    </row>
    <row r="868">
      <c r="A868" s="1"/>
      <c r="G868" s="3"/>
    </row>
    <row r="869">
      <c r="A869" s="1"/>
      <c r="G869" s="3"/>
    </row>
    <row r="870">
      <c r="A870" s="1"/>
      <c r="G870" s="3"/>
    </row>
    <row r="871">
      <c r="A871" s="1"/>
      <c r="G871" s="3"/>
    </row>
    <row r="872">
      <c r="A872" s="1"/>
      <c r="G872" s="3"/>
    </row>
    <row r="873">
      <c r="A873" s="1"/>
      <c r="G873" s="3"/>
    </row>
    <row r="874">
      <c r="A874" s="1"/>
      <c r="G874" s="3"/>
    </row>
    <row r="875">
      <c r="A875" s="1"/>
      <c r="G875" s="3"/>
    </row>
    <row r="876">
      <c r="A876" s="1"/>
      <c r="G876" s="3"/>
    </row>
    <row r="877">
      <c r="A877" s="1"/>
      <c r="G877" s="3"/>
    </row>
    <row r="878">
      <c r="A878" s="1"/>
      <c r="G878" s="3"/>
    </row>
    <row r="879">
      <c r="A879" s="1"/>
      <c r="G879" s="3"/>
    </row>
    <row r="880">
      <c r="A880" s="1"/>
      <c r="G880" s="3"/>
    </row>
    <row r="881">
      <c r="A881" s="1"/>
      <c r="G881" s="3"/>
    </row>
    <row r="882">
      <c r="A882" s="1"/>
      <c r="G882" s="3"/>
    </row>
    <row r="883">
      <c r="A883" s="1"/>
      <c r="G883" s="3"/>
    </row>
    <row r="884">
      <c r="A884" s="1"/>
      <c r="G884" s="3"/>
    </row>
    <row r="885">
      <c r="A885" s="1"/>
      <c r="G885" s="3"/>
    </row>
    <row r="886">
      <c r="A886" s="1"/>
      <c r="G886" s="3"/>
    </row>
    <row r="887">
      <c r="A887" s="1"/>
      <c r="G887" s="3"/>
    </row>
    <row r="888">
      <c r="A888" s="1"/>
      <c r="G888" s="3"/>
    </row>
    <row r="889">
      <c r="A889" s="1"/>
      <c r="G889" s="3"/>
    </row>
    <row r="890">
      <c r="A890" s="1"/>
      <c r="G890" s="3"/>
    </row>
    <row r="891">
      <c r="A891" s="1"/>
      <c r="G891" s="3"/>
    </row>
    <row r="892">
      <c r="A892" s="1"/>
      <c r="G892" s="3"/>
    </row>
    <row r="893">
      <c r="A893" s="1"/>
      <c r="G893" s="3"/>
    </row>
    <row r="894">
      <c r="A894" s="1"/>
      <c r="G894" s="3"/>
    </row>
    <row r="895">
      <c r="A895" s="1"/>
      <c r="G895" s="3"/>
    </row>
    <row r="896">
      <c r="A896" s="1"/>
      <c r="G896" s="3"/>
    </row>
    <row r="897">
      <c r="A897" s="1"/>
      <c r="G897" s="3"/>
    </row>
    <row r="898">
      <c r="A898" s="1"/>
      <c r="G898" s="3"/>
    </row>
    <row r="899">
      <c r="A899" s="1"/>
      <c r="G899" s="3"/>
    </row>
    <row r="900">
      <c r="A900" s="1"/>
      <c r="G900" s="3"/>
    </row>
    <row r="901">
      <c r="A901" s="1"/>
      <c r="G901" s="3"/>
    </row>
    <row r="902">
      <c r="A902" s="1"/>
      <c r="G902" s="3"/>
    </row>
    <row r="903">
      <c r="A903" s="1"/>
      <c r="G903" s="3"/>
    </row>
    <row r="904">
      <c r="A904" s="1"/>
      <c r="G904" s="3"/>
    </row>
    <row r="905">
      <c r="A905" s="1"/>
      <c r="G905" s="3"/>
    </row>
    <row r="906">
      <c r="A906" s="1"/>
      <c r="G906" s="3"/>
    </row>
    <row r="907">
      <c r="A907" s="1"/>
      <c r="G907" s="3"/>
    </row>
    <row r="908">
      <c r="A908" s="1"/>
      <c r="G908" s="3"/>
    </row>
    <row r="909">
      <c r="A909" s="1"/>
      <c r="G909" s="3"/>
    </row>
    <row r="910">
      <c r="A910" s="1"/>
      <c r="G910" s="3"/>
    </row>
    <row r="911">
      <c r="A911" s="1"/>
      <c r="G911" s="3"/>
    </row>
    <row r="912">
      <c r="A912" s="1"/>
      <c r="G912" s="3"/>
    </row>
    <row r="913">
      <c r="A913" s="1"/>
      <c r="G913" s="3"/>
    </row>
    <row r="914">
      <c r="A914" s="1"/>
      <c r="G914" s="3"/>
    </row>
    <row r="915">
      <c r="A915" s="1"/>
      <c r="G915" s="3"/>
    </row>
    <row r="916">
      <c r="A916" s="1"/>
      <c r="G916" s="3"/>
    </row>
    <row r="917">
      <c r="A917" s="1"/>
      <c r="G917" s="3"/>
    </row>
    <row r="918">
      <c r="A918" s="1"/>
      <c r="G918" s="3"/>
    </row>
    <row r="919">
      <c r="A919" s="1"/>
      <c r="G919" s="3"/>
    </row>
    <row r="920">
      <c r="A920" s="1"/>
      <c r="G920" s="3"/>
    </row>
    <row r="921">
      <c r="A921" s="1"/>
      <c r="G921" s="3"/>
    </row>
    <row r="922">
      <c r="A922" s="1"/>
      <c r="G922" s="3"/>
    </row>
    <row r="923">
      <c r="A923" s="1"/>
      <c r="G923" s="3"/>
    </row>
    <row r="924">
      <c r="A924" s="1"/>
      <c r="G924" s="3"/>
    </row>
    <row r="925">
      <c r="A925" s="1"/>
      <c r="G925" s="3"/>
    </row>
    <row r="926">
      <c r="A926" s="1"/>
      <c r="G926" s="3"/>
    </row>
    <row r="927">
      <c r="A927" s="1"/>
      <c r="G927" s="3"/>
    </row>
    <row r="928">
      <c r="A928" s="1"/>
      <c r="G928" s="3"/>
    </row>
    <row r="929">
      <c r="A929" s="1"/>
      <c r="G929" s="3"/>
    </row>
    <row r="930">
      <c r="A930" s="1"/>
      <c r="G930" s="3"/>
    </row>
    <row r="931">
      <c r="A931" s="1"/>
      <c r="G931" s="3"/>
    </row>
    <row r="932">
      <c r="A932" s="1"/>
      <c r="G932" s="3"/>
    </row>
    <row r="933">
      <c r="A933" s="1"/>
      <c r="G933" s="3"/>
    </row>
    <row r="934">
      <c r="A934" s="1"/>
      <c r="G934" s="3"/>
    </row>
    <row r="935">
      <c r="A935" s="1"/>
      <c r="G935" s="3"/>
    </row>
    <row r="936">
      <c r="A936" s="1"/>
      <c r="G936" s="3"/>
    </row>
    <row r="937">
      <c r="A937" s="1"/>
      <c r="G937" s="3"/>
    </row>
    <row r="938">
      <c r="A938" s="1"/>
      <c r="G938" s="3"/>
    </row>
    <row r="939">
      <c r="A939" s="1"/>
      <c r="G939" s="3"/>
    </row>
    <row r="940">
      <c r="A940" s="1"/>
      <c r="G940" s="3"/>
    </row>
    <row r="941">
      <c r="A941" s="1"/>
      <c r="G941" s="3"/>
    </row>
    <row r="942">
      <c r="A942" s="1"/>
      <c r="G942" s="3"/>
    </row>
    <row r="943">
      <c r="A943" s="1"/>
      <c r="G943" s="3"/>
    </row>
    <row r="944">
      <c r="A944" s="1"/>
      <c r="G944" s="3"/>
    </row>
    <row r="945">
      <c r="A945" s="1"/>
      <c r="G945" s="3"/>
    </row>
    <row r="946">
      <c r="A946" s="1"/>
      <c r="G946" s="3"/>
    </row>
    <row r="947">
      <c r="A947" s="1"/>
      <c r="G947" s="3"/>
    </row>
    <row r="948">
      <c r="A948" s="1"/>
      <c r="G948" s="3"/>
    </row>
    <row r="949">
      <c r="A949" s="1"/>
      <c r="G949" s="3"/>
    </row>
    <row r="950">
      <c r="A950" s="1"/>
      <c r="G950" s="3"/>
    </row>
    <row r="951">
      <c r="A951" s="1"/>
      <c r="G951" s="3"/>
    </row>
    <row r="952">
      <c r="A952" s="1"/>
      <c r="G952" s="3"/>
    </row>
    <row r="953">
      <c r="A953" s="1"/>
      <c r="G953" s="3"/>
    </row>
    <row r="954">
      <c r="A954" s="1"/>
      <c r="G954" s="3"/>
    </row>
    <row r="955">
      <c r="A955" s="1"/>
      <c r="G955" s="3"/>
    </row>
    <row r="956">
      <c r="A956" s="1"/>
      <c r="G956" s="3"/>
    </row>
    <row r="957">
      <c r="A957" s="1"/>
      <c r="G957" s="3"/>
    </row>
    <row r="958">
      <c r="A958" s="1"/>
      <c r="G958" s="3"/>
    </row>
    <row r="959">
      <c r="A959" s="1"/>
      <c r="G959" s="3"/>
    </row>
    <row r="960">
      <c r="A960" s="1"/>
      <c r="G960" s="3"/>
    </row>
    <row r="961">
      <c r="A961" s="1"/>
      <c r="G961" s="3"/>
    </row>
    <row r="962">
      <c r="A962" s="1"/>
      <c r="G962" s="3"/>
    </row>
    <row r="963">
      <c r="A963" s="1"/>
      <c r="G963" s="3"/>
    </row>
    <row r="964">
      <c r="A964" s="1"/>
      <c r="G964" s="3"/>
    </row>
    <row r="965">
      <c r="A965" s="1"/>
      <c r="G965" s="3"/>
    </row>
    <row r="966">
      <c r="A966" s="1"/>
      <c r="G966" s="3"/>
    </row>
    <row r="967">
      <c r="A967" s="1"/>
      <c r="G967" s="3"/>
    </row>
    <row r="968">
      <c r="A968" s="1"/>
      <c r="G968" s="3"/>
    </row>
    <row r="969">
      <c r="A969" s="1"/>
      <c r="G969" s="3"/>
    </row>
    <row r="970">
      <c r="A970" s="1"/>
      <c r="G970" s="3"/>
    </row>
    <row r="971">
      <c r="A971" s="1"/>
      <c r="G971" s="3"/>
    </row>
    <row r="972">
      <c r="A972" s="1"/>
      <c r="G972" s="3"/>
    </row>
    <row r="973">
      <c r="A973" s="1"/>
      <c r="G973" s="3"/>
    </row>
    <row r="974">
      <c r="A974" s="1"/>
      <c r="G974" s="3"/>
    </row>
    <row r="975">
      <c r="A975" s="1"/>
      <c r="G975" s="3"/>
    </row>
    <row r="976">
      <c r="A976" s="1"/>
      <c r="G976" s="3"/>
    </row>
    <row r="977">
      <c r="A977" s="1"/>
      <c r="G977" s="3"/>
    </row>
    <row r="978">
      <c r="A978" s="1"/>
      <c r="G978" s="3"/>
    </row>
    <row r="979">
      <c r="A979" s="1"/>
      <c r="G979" s="3"/>
    </row>
    <row r="980">
      <c r="A980" s="1"/>
      <c r="G980" s="3"/>
    </row>
    <row r="981">
      <c r="A981" s="1"/>
      <c r="G981" s="3"/>
    </row>
    <row r="982">
      <c r="A982" s="1"/>
      <c r="G982" s="3"/>
    </row>
    <row r="983">
      <c r="A983" s="1"/>
      <c r="G983" s="3"/>
    </row>
    <row r="984">
      <c r="A984" s="1"/>
      <c r="G984" s="3"/>
    </row>
    <row r="985">
      <c r="A985" s="1"/>
      <c r="G985" s="3"/>
    </row>
    <row r="986">
      <c r="A986" s="1"/>
      <c r="G986" s="3"/>
    </row>
    <row r="987">
      <c r="A987" s="1"/>
      <c r="G987" s="3"/>
    </row>
    <row r="988">
      <c r="A988" s="1"/>
      <c r="G988" s="3"/>
    </row>
    <row r="989">
      <c r="A989" s="1"/>
      <c r="G989" s="3"/>
    </row>
    <row r="990">
      <c r="A990" s="1"/>
      <c r="G990" s="3"/>
    </row>
    <row r="991">
      <c r="A991" s="1"/>
      <c r="G991" s="3"/>
    </row>
    <row r="992">
      <c r="A992" s="1"/>
      <c r="G992" s="3"/>
    </row>
    <row r="993">
      <c r="A993" s="1"/>
      <c r="G993" s="3"/>
    </row>
    <row r="994">
      <c r="A994" s="1"/>
      <c r="G994" s="3"/>
    </row>
    <row r="995">
      <c r="A995" s="1"/>
      <c r="G995" s="3"/>
    </row>
    <row r="996">
      <c r="A996" s="1"/>
      <c r="G996" s="3"/>
    </row>
    <row r="997">
      <c r="A997" s="1"/>
      <c r="G997" s="3"/>
    </row>
    <row r="998">
      <c r="A998" s="1"/>
      <c r="G998" s="3"/>
    </row>
    <row r="999">
      <c r="A999" s="1"/>
      <c r="G999" s="3"/>
    </row>
    <row r="1000">
      <c r="A1000" s="1"/>
      <c r="G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4" t="str">
        <f>IFERROR(__xludf.DUMMYFUNCTION("GOOGLEFINANCE(""NASDAQ:GOOG"",""all"",DATE(2014,1,1),DATE(2021,1,1),""weekly"")"),"Date")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  <c r="G1" s="3"/>
    </row>
    <row r="2">
      <c r="A2" s="1">
        <f>IFERROR(__xludf.DUMMYFUNCTION("""COMPUTED_VALUE"""),41642.666666666664)</f>
        <v>41642.66667</v>
      </c>
      <c r="B2" s="2">
        <f>IFERROR(__xludf.DUMMYFUNCTION("""COMPUTED_VALUE"""),560.16)</f>
        <v>560.16</v>
      </c>
      <c r="C2" s="2">
        <f>IFERROR(__xludf.DUMMYFUNCTION("""COMPUTED_VALUE"""),560.5)</f>
        <v>560.5</v>
      </c>
      <c r="D2" s="2">
        <f>IFERROR(__xludf.DUMMYFUNCTION("""COMPUTED_VALUE"""),552.46)</f>
        <v>552.46</v>
      </c>
      <c r="E2" s="2">
        <f>IFERROR(__xludf.DUMMYFUNCTION("""COMPUTED_VALUE"""),552.5)</f>
        <v>552.5</v>
      </c>
      <c r="F2" s="2">
        <f>IFERROR(__xludf.DUMMYFUNCTION("""COMPUTED_VALUE"""),6086957.0)</f>
        <v>6086957</v>
      </c>
      <c r="G2" s="3"/>
    </row>
    <row r="3">
      <c r="A3" s="1">
        <f>IFERROR(__xludf.DUMMYFUNCTION("""COMPUTED_VALUE"""),41649.666666666664)</f>
        <v>41649.66667</v>
      </c>
      <c r="B3" s="2">
        <f>IFERROR(__xludf.DUMMYFUNCTION("""COMPUTED_VALUE"""),556.5)</f>
        <v>556.5</v>
      </c>
      <c r="C3" s="2">
        <f>IFERROR(__xludf.DUMMYFUNCTION("""COMPUTED_VALUE"""),573.66)</f>
        <v>573.66</v>
      </c>
      <c r="D3" s="2">
        <f>IFERROR(__xludf.DUMMYFUNCTION("""COMPUTED_VALUE"""),553.22)</f>
        <v>553.22</v>
      </c>
      <c r="E3" s="2">
        <f>IFERROR(__xludf.DUMMYFUNCTION("""COMPUTED_VALUE"""),565.09)</f>
        <v>565.09</v>
      </c>
      <c r="F3" s="2">
        <f>IFERROR(__xludf.DUMMYFUNCTION("""COMPUTED_VALUE"""),1.079935E7)</f>
        <v>10799350</v>
      </c>
      <c r="G3" s="3">
        <f t="shared" ref="G3:G367" si="1">E3/E2-1</f>
        <v>0.02278733032</v>
      </c>
    </row>
    <row r="4">
      <c r="A4" s="1">
        <f>IFERROR(__xludf.DUMMYFUNCTION("""COMPUTED_VALUE"""),41656.666666666664)</f>
        <v>41656.66667</v>
      </c>
      <c r="B4" s="2">
        <f>IFERROR(__xludf.DUMMYFUNCTION("""COMPUTED_VALUE"""),563.27)</f>
        <v>563.27</v>
      </c>
      <c r="C4" s="2">
        <f>IFERROR(__xludf.DUMMYFUNCTION("""COMPUTED_VALUE"""),580.31)</f>
        <v>580.31</v>
      </c>
      <c r="D4" s="2">
        <f>IFERROR(__xludf.DUMMYFUNCTION("""COMPUTED_VALUE"""),558.58)</f>
        <v>558.58</v>
      </c>
      <c r="E4" s="2">
        <f>IFERROR(__xludf.DUMMYFUNCTION("""COMPUTED_VALUE"""),575.26)</f>
        <v>575.26</v>
      </c>
      <c r="F4" s="2">
        <f>IFERROR(__xludf.DUMMYFUNCTION("""COMPUTED_VALUE"""),1.131298E7)</f>
        <v>11312980</v>
      </c>
      <c r="G4" s="3">
        <f t="shared" si="1"/>
        <v>0.0179971332</v>
      </c>
    </row>
    <row r="5">
      <c r="A5" s="1">
        <f>IFERROR(__xludf.DUMMYFUNCTION("""COMPUTED_VALUE"""),41663.666666666664)</f>
        <v>41663.66667</v>
      </c>
      <c r="B5" s="2">
        <f>IFERROR(__xludf.DUMMYFUNCTION("""COMPUTED_VALUE"""),580.34)</f>
        <v>580.34</v>
      </c>
      <c r="C5" s="2">
        <f>IFERROR(__xludf.DUMMYFUNCTION("""COMPUTED_VALUE"""),583.94)</f>
        <v>583.94</v>
      </c>
      <c r="D5" s="2">
        <f>IFERROR(__xludf.DUMMYFUNCTION("""COMPUTED_VALUE"""),561.5)</f>
        <v>561.5</v>
      </c>
      <c r="E5" s="2">
        <f>IFERROR(__xludf.DUMMYFUNCTION("""COMPUTED_VALUE"""),561.91)</f>
        <v>561.91</v>
      </c>
      <c r="F5" s="2">
        <f>IFERROR(__xludf.DUMMYFUNCTION("""COMPUTED_VALUE"""),9432935.0)</f>
        <v>9432935</v>
      </c>
      <c r="G5" s="3">
        <f t="shared" si="1"/>
        <v>-0.02320689775</v>
      </c>
    </row>
    <row r="6">
      <c r="A6" s="1">
        <f>IFERROR(__xludf.DUMMYFUNCTION("""COMPUTED_VALUE"""),41670.666666666664)</f>
        <v>41670.66667</v>
      </c>
      <c r="B6" s="2">
        <f>IFERROR(__xludf.DUMMYFUNCTION("""COMPUTED_VALUE"""),562.82)</f>
        <v>562.82</v>
      </c>
      <c r="C6" s="2">
        <f>IFERROR(__xludf.DUMMYFUNCTION("""COMPUTED_VALUE"""),593.27)</f>
        <v>593.27</v>
      </c>
      <c r="D6" s="2">
        <f>IFERROR(__xludf.DUMMYFUNCTION("""COMPUTED_VALUE"""),541.13)</f>
        <v>541.13</v>
      </c>
      <c r="E6" s="2">
        <f>IFERROR(__xludf.DUMMYFUNCTION("""COMPUTED_VALUE"""),590.48)</f>
        <v>590.48</v>
      </c>
      <c r="F6" s="2">
        <f>IFERROR(__xludf.DUMMYFUNCTION("""COMPUTED_VALUE"""),1.9703243E7)</f>
        <v>19703243</v>
      </c>
      <c r="G6" s="3">
        <f t="shared" si="1"/>
        <v>0.05084444128</v>
      </c>
    </row>
    <row r="7">
      <c r="A7" s="1">
        <f>IFERROR(__xludf.DUMMYFUNCTION("""COMPUTED_VALUE"""),41677.666666666664)</f>
        <v>41677.66667</v>
      </c>
      <c r="B7" s="2">
        <f>IFERROR(__xludf.DUMMYFUNCTION("""COMPUTED_VALUE"""),589.37)</f>
        <v>589.37</v>
      </c>
      <c r="C7" s="2">
        <f>IFERROR(__xludf.DUMMYFUNCTION("""COMPUTED_VALUE"""),590.86)</f>
        <v>590.86</v>
      </c>
      <c r="D7" s="2">
        <f>IFERROR(__xludf.DUMMYFUNCTION("""COMPUTED_VALUE"""),564.01)</f>
        <v>564.01</v>
      </c>
      <c r="E7" s="2">
        <f>IFERROR(__xludf.DUMMYFUNCTION("""COMPUTED_VALUE"""),588.72)</f>
        <v>588.72</v>
      </c>
      <c r="F7" s="2">
        <f>IFERROR(__xludf.DUMMYFUNCTION("""COMPUTED_VALUE"""),1.442752E7)</f>
        <v>14427520</v>
      </c>
      <c r="G7" s="3">
        <f t="shared" si="1"/>
        <v>-0.002980625931</v>
      </c>
    </row>
    <row r="8">
      <c r="A8" s="1">
        <f>IFERROR(__xludf.DUMMYFUNCTION("""COMPUTED_VALUE"""),41684.666666666664)</f>
        <v>41684.66667</v>
      </c>
      <c r="B8" s="2">
        <f>IFERROR(__xludf.DUMMYFUNCTION("""COMPUTED_VALUE"""),585.9)</f>
        <v>585.9</v>
      </c>
      <c r="C8" s="2">
        <f>IFERROR(__xludf.DUMMYFUNCTION("""COMPUTED_VALUE"""),602.19)</f>
        <v>602.19</v>
      </c>
      <c r="D8" s="2">
        <f>IFERROR(__xludf.DUMMYFUNCTION("""COMPUTED_VALUE"""),584.51)</f>
        <v>584.51</v>
      </c>
      <c r="E8" s="2">
        <f>IFERROR(__xludf.DUMMYFUNCTION("""COMPUTED_VALUE"""),601.4)</f>
        <v>601.4</v>
      </c>
      <c r="F8" s="2">
        <f>IFERROR(__xludf.DUMMYFUNCTION("""COMPUTED_VALUE"""),9755376.0)</f>
        <v>9755376</v>
      </c>
      <c r="G8" s="3">
        <f t="shared" si="1"/>
        <v>0.02153825248</v>
      </c>
    </row>
    <row r="9">
      <c r="A9" s="1">
        <f>IFERROR(__xludf.DUMMYFUNCTION("""COMPUTED_VALUE"""),41691.666666666664)</f>
        <v>41691.66667</v>
      </c>
      <c r="B9" s="2">
        <f>IFERROR(__xludf.DUMMYFUNCTION("""COMPUTED_VALUE"""),600.75)</f>
        <v>600.75</v>
      </c>
      <c r="C9" s="2">
        <f>IFERROR(__xludf.DUMMYFUNCTION("""COMPUTED_VALUE"""),606.43)</f>
        <v>606.43</v>
      </c>
      <c r="D9" s="2">
        <f>IFERROR(__xludf.DUMMYFUNCTION("""COMPUTED_VALUE"""),598.75)</f>
        <v>598.75</v>
      </c>
      <c r="E9" s="2">
        <f>IFERROR(__xludf.DUMMYFUNCTION("""COMPUTED_VALUE"""),601.89)</f>
        <v>601.89</v>
      </c>
      <c r="F9" s="2">
        <f>IFERROR(__xludf.DUMMYFUNCTION("""COMPUTED_VALUE"""),7781476.0)</f>
        <v>7781476</v>
      </c>
      <c r="G9" s="3">
        <f t="shared" si="1"/>
        <v>0.0008147655471</v>
      </c>
    </row>
    <row r="10">
      <c r="A10" s="1">
        <f>IFERROR(__xludf.DUMMYFUNCTION("""COMPUTED_VALUE"""),41698.666666666664)</f>
        <v>41698.66667</v>
      </c>
      <c r="B10" s="2">
        <f>IFERROR(__xludf.DUMMYFUNCTION("""COMPUTED_VALUE"""),602.62)</f>
        <v>602.62</v>
      </c>
      <c r="C10" s="2">
        <f>IFERROR(__xludf.DUMMYFUNCTION("""COMPUTED_VALUE"""),614.44)</f>
        <v>614.44</v>
      </c>
      <c r="D10" s="2">
        <f>IFERROR(__xludf.DUMMYFUNCTION("""COMPUTED_VALUE"""),602.54)</f>
        <v>602.54</v>
      </c>
      <c r="E10" s="2">
        <f>IFERROR(__xludf.DUMMYFUNCTION("""COMPUTED_VALUE"""),607.82)</f>
        <v>607.82</v>
      </c>
      <c r="F10" s="2">
        <f>IFERROR(__xludf.DUMMYFUNCTION("""COMPUTED_VALUE"""),8678835.0)</f>
        <v>8678835</v>
      </c>
      <c r="G10" s="3">
        <f t="shared" si="1"/>
        <v>0.009852298593</v>
      </c>
    </row>
    <row r="11">
      <c r="A11" s="1">
        <f>IFERROR(__xludf.DUMMYFUNCTION("""COMPUTED_VALUE"""),41705.666666666664)</f>
        <v>41705.66667</v>
      </c>
      <c r="B11" s="2">
        <f>IFERROR(__xludf.DUMMYFUNCTION("""COMPUTED_VALUE"""),603.37)</f>
        <v>603.37</v>
      </c>
      <c r="C11" s="2">
        <f>IFERROR(__xludf.DUMMYFUNCTION("""COMPUTED_VALUE"""),613.49)</f>
        <v>613.49</v>
      </c>
      <c r="D11" s="2">
        <f>IFERROR(__xludf.DUMMYFUNCTION("""COMPUTED_VALUE"""),596.07)</f>
        <v>596.07</v>
      </c>
      <c r="E11" s="2">
        <f>IFERROR(__xludf.DUMMYFUNCTION("""COMPUTED_VALUE"""),607.39)</f>
        <v>607.39</v>
      </c>
      <c r="F11" s="2">
        <f>IFERROR(__xludf.DUMMYFUNCTION("""COMPUTED_VALUE"""),7601042.0)</f>
        <v>7601042</v>
      </c>
      <c r="G11" s="3">
        <f t="shared" si="1"/>
        <v>-0.0007074462834</v>
      </c>
    </row>
    <row r="12">
      <c r="A12" s="1">
        <f>IFERROR(__xludf.DUMMYFUNCTION("""COMPUTED_VALUE"""),41712.666666666664)</f>
        <v>41712.66667</v>
      </c>
      <c r="B12" s="2">
        <f>IFERROR(__xludf.DUMMYFUNCTION("""COMPUTED_VALUE"""),607.9)</f>
        <v>607.9</v>
      </c>
      <c r="C12" s="2">
        <f>IFERROR(__xludf.DUMMYFUNCTION("""COMPUTED_VALUE"""),608.81)</f>
        <v>608.81</v>
      </c>
      <c r="D12" s="2">
        <f>IFERROR(__xludf.DUMMYFUNCTION("""COMPUTED_VALUE"""),586.26)</f>
        <v>586.26</v>
      </c>
      <c r="E12" s="2">
        <f>IFERROR(__xludf.DUMMYFUNCTION("""COMPUTED_VALUE"""),586.4)</f>
        <v>586.4</v>
      </c>
      <c r="F12" s="2">
        <f>IFERROR(__xludf.DUMMYFUNCTION("""COMPUTED_VALUE"""),9545219.0)</f>
        <v>9545219</v>
      </c>
      <c r="G12" s="3">
        <f t="shared" si="1"/>
        <v>-0.03455769769</v>
      </c>
    </row>
    <row r="13">
      <c r="A13" s="1">
        <f>IFERROR(__xludf.DUMMYFUNCTION("""COMPUTED_VALUE"""),41719.666666666664)</f>
        <v>41719.66667</v>
      </c>
      <c r="B13" s="2">
        <f>IFERROR(__xludf.DUMMYFUNCTION("""COMPUTED_VALUE"""),589.62)</f>
        <v>589.62</v>
      </c>
      <c r="C13" s="2">
        <f>IFERROR(__xludf.DUMMYFUNCTION("""COMPUTED_VALUE"""),605.99)</f>
        <v>605.99</v>
      </c>
      <c r="D13" s="2">
        <f>IFERROR(__xludf.DUMMYFUNCTION("""COMPUTED_VALUE"""),589.05)</f>
        <v>589.05</v>
      </c>
      <c r="E13" s="2">
        <f>IFERROR(__xludf.DUMMYFUNCTION("""COMPUTED_VALUE"""),591.52)</f>
        <v>591.52</v>
      </c>
      <c r="F13" s="2">
        <f>IFERROR(__xludf.DUMMYFUNCTION("""COMPUTED_VALUE"""),1.0496685E7)</f>
        <v>10496685</v>
      </c>
      <c r="G13" s="3">
        <f t="shared" si="1"/>
        <v>0.008731241473</v>
      </c>
    </row>
    <row r="14">
      <c r="A14" s="1">
        <f>IFERROR(__xludf.DUMMYFUNCTION("""COMPUTED_VALUE"""),41726.666666666664)</f>
        <v>41726.66667</v>
      </c>
      <c r="B14" s="2">
        <f>IFERROR(__xludf.DUMMYFUNCTION("""COMPUTED_VALUE"""),566.45)</f>
        <v>566.45</v>
      </c>
      <c r="C14" s="2">
        <f>IFERROR(__xludf.DUMMYFUNCTION("""COMPUTED_VALUE"""),566.45)</f>
        <v>566.45</v>
      </c>
      <c r="D14" s="2">
        <f>IFERROR(__xludf.DUMMYFUNCTION("""COMPUTED_VALUE"""),551.41)</f>
        <v>551.41</v>
      </c>
      <c r="E14" s="2">
        <f>IFERROR(__xludf.DUMMYFUNCTION("""COMPUTED_VALUE"""),558.46)</f>
        <v>558.46</v>
      </c>
      <c r="F14" s="2">
        <f>IFERROR(__xludf.DUMMYFUNCTION("""COMPUTED_VALUE"""),54055.0)</f>
        <v>54055</v>
      </c>
      <c r="G14" s="3">
        <f t="shared" si="1"/>
        <v>-0.05588991074</v>
      </c>
    </row>
    <row r="15">
      <c r="A15" s="1">
        <f>IFERROR(__xludf.DUMMYFUNCTION("""COMPUTED_VALUE"""),41733.666666666664)</f>
        <v>41733.66667</v>
      </c>
      <c r="B15" s="2">
        <f>IFERROR(__xludf.DUMMYFUNCTION("""COMPUTED_VALUE"""),565.45)</f>
        <v>565.45</v>
      </c>
      <c r="C15" s="2">
        <f>IFERROR(__xludf.DUMMYFUNCTION("""COMPUTED_VALUE"""),603.17)</f>
        <v>603.17</v>
      </c>
      <c r="D15" s="2">
        <f>IFERROR(__xludf.DUMMYFUNCTION("""COMPUTED_VALUE"""),541.51)</f>
        <v>541.51</v>
      </c>
      <c r="E15" s="2">
        <f>IFERROR(__xludf.DUMMYFUNCTION("""COMPUTED_VALUE"""),541.65)</f>
        <v>541.65</v>
      </c>
      <c r="F15" s="2">
        <f>IFERROR(__xludf.DUMMYFUNCTION("""COMPUTED_VALUE"""),1.1630589E7)</f>
        <v>11630589</v>
      </c>
      <c r="G15" s="3">
        <f t="shared" si="1"/>
        <v>-0.03010063389</v>
      </c>
    </row>
    <row r="16">
      <c r="A16" s="1">
        <f>IFERROR(__xludf.DUMMYFUNCTION("""COMPUTED_VALUE"""),41740.666666666664)</f>
        <v>41740.66667</v>
      </c>
      <c r="B16" s="2">
        <f>IFERROR(__xludf.DUMMYFUNCTION("""COMPUTED_VALUE"""),539.26)</f>
        <v>539.26</v>
      </c>
      <c r="C16" s="2">
        <f>IFERROR(__xludf.DUMMYFUNCTION("""COMPUTED_VALUE"""),563.82)</f>
        <v>563.82</v>
      </c>
      <c r="D16" s="2">
        <f>IFERROR(__xludf.DUMMYFUNCTION("""COMPUTED_VALUE"""),525.09)</f>
        <v>525.09</v>
      </c>
      <c r="E16" s="2">
        <f>IFERROR(__xludf.DUMMYFUNCTION("""COMPUTED_VALUE"""),529.15)</f>
        <v>529.15</v>
      </c>
      <c r="F16" s="2">
        <f>IFERROR(__xludf.DUMMYFUNCTION("""COMPUTED_VALUE"""),1.8810631E7)</f>
        <v>18810631</v>
      </c>
      <c r="G16" s="3">
        <f t="shared" si="1"/>
        <v>-0.02307763316</v>
      </c>
    </row>
    <row r="17">
      <c r="A17" s="1">
        <f>IFERROR(__xludf.DUMMYFUNCTION("""COMPUTED_VALUE"""),41746.666666666664)</f>
        <v>41746.66667</v>
      </c>
      <c r="B17" s="2">
        <f>IFERROR(__xludf.DUMMYFUNCTION("""COMPUTED_VALUE"""),536.78)</f>
        <v>536.78</v>
      </c>
      <c r="C17" s="2">
        <f>IFERROR(__xludf.DUMMYFUNCTION("""COMPUTED_VALUE"""),555.47)</f>
        <v>555.47</v>
      </c>
      <c r="D17" s="2">
        <f>IFERROR(__xludf.DUMMYFUNCTION("""COMPUTED_VALUE"""),517.04)</f>
        <v>517.04</v>
      </c>
      <c r="E17" s="2">
        <f>IFERROR(__xludf.DUMMYFUNCTION("""COMPUTED_VALUE"""),534.63)</f>
        <v>534.63</v>
      </c>
      <c r="F17" s="2">
        <f>IFERROR(__xludf.DUMMYFUNCTION("""COMPUTED_VALUE"""),1.8090755E7)</f>
        <v>18090755</v>
      </c>
      <c r="G17" s="3">
        <f t="shared" si="1"/>
        <v>0.01035623169</v>
      </c>
    </row>
    <row r="18">
      <c r="A18" s="1">
        <f>IFERROR(__xludf.DUMMYFUNCTION("""COMPUTED_VALUE"""),41754.666666666664)</f>
        <v>41754.66667</v>
      </c>
      <c r="B18" s="2">
        <f>IFERROR(__xludf.DUMMYFUNCTION("""COMPUTED_VALUE"""),534.63)</f>
        <v>534.63</v>
      </c>
      <c r="C18" s="2">
        <f>IFERROR(__xludf.DUMMYFUNCTION("""COMPUTED_VALUE"""),535.76)</f>
        <v>535.76</v>
      </c>
      <c r="D18" s="2">
        <f>IFERROR(__xludf.DUMMYFUNCTION("""COMPUTED_VALUE"""),514.01)</f>
        <v>514.01</v>
      </c>
      <c r="E18" s="2">
        <f>IFERROR(__xludf.DUMMYFUNCTION("""COMPUTED_VALUE"""),514.77)</f>
        <v>514.77</v>
      </c>
      <c r="F18" s="2">
        <f>IFERROR(__xludf.DUMMYFUNCTION("""COMPUTED_VALUE"""),1.095093E7)</f>
        <v>10950930</v>
      </c>
      <c r="G18" s="3">
        <f t="shared" si="1"/>
        <v>-0.0371471859</v>
      </c>
    </row>
    <row r="19">
      <c r="A19" s="1">
        <f>IFERROR(__xludf.DUMMYFUNCTION("""COMPUTED_VALUE"""),41761.666666666664)</f>
        <v>41761.66667</v>
      </c>
      <c r="B19" s="2">
        <f>IFERROR(__xludf.DUMMYFUNCTION("""COMPUTED_VALUE"""),515.76)</f>
        <v>515.76</v>
      </c>
      <c r="C19" s="2">
        <f>IFERROR(__xludf.DUMMYFUNCTION("""COMPUTED_VALUE"""),532.54)</f>
        <v>532.54</v>
      </c>
      <c r="D19" s="2">
        <f>IFERROR(__xludf.DUMMYFUNCTION("""COMPUTED_VALUE"""),501.42)</f>
        <v>501.42</v>
      </c>
      <c r="E19" s="2">
        <f>IFERROR(__xludf.DUMMYFUNCTION("""COMPUTED_VALUE"""),526.48)</f>
        <v>526.48</v>
      </c>
      <c r="F19" s="2">
        <f>IFERROR(__xludf.DUMMYFUNCTION("""COMPUTED_VALUE"""),1.1351296E7)</f>
        <v>11351296</v>
      </c>
      <c r="G19" s="3">
        <f t="shared" si="1"/>
        <v>0.02274802339</v>
      </c>
    </row>
    <row r="20">
      <c r="A20" s="1">
        <f>IFERROR(__xludf.DUMMYFUNCTION("""COMPUTED_VALUE"""),41768.666666666664)</f>
        <v>41768.66667</v>
      </c>
      <c r="B20" s="2">
        <f>IFERROR(__xludf.DUMMYFUNCTION("""COMPUTED_VALUE"""),523.38)</f>
        <v>523.38</v>
      </c>
      <c r="C20" s="2">
        <f>IFERROR(__xludf.DUMMYFUNCTION("""COMPUTED_VALUE"""),527.45)</f>
        <v>527.45</v>
      </c>
      <c r="D20" s="2">
        <f>IFERROR(__xludf.DUMMYFUNCTION("""COMPUTED_VALUE"""),501.92)</f>
        <v>501.92</v>
      </c>
      <c r="E20" s="2">
        <f>IFERROR(__xludf.DUMMYFUNCTION("""COMPUTED_VALUE"""),517.31)</f>
        <v>517.31</v>
      </c>
      <c r="F20" s="2">
        <f>IFERROR(__xludf.DUMMYFUNCTION("""COMPUTED_VALUE"""),1.037078E7)</f>
        <v>10370780</v>
      </c>
      <c r="G20" s="3">
        <f t="shared" si="1"/>
        <v>-0.01741756572</v>
      </c>
    </row>
    <row r="21">
      <c r="A21" s="1">
        <f>IFERROR(__xludf.DUMMYFUNCTION("""COMPUTED_VALUE"""),41775.666666666664)</f>
        <v>41775.66667</v>
      </c>
      <c r="B21" s="2">
        <f>IFERROR(__xludf.DUMMYFUNCTION("""COMPUTED_VALUE"""),522.08)</f>
        <v>522.08</v>
      </c>
      <c r="C21" s="2">
        <f>IFERROR(__xludf.DUMMYFUNCTION("""COMPUTED_VALUE"""),534.6)</f>
        <v>534.6</v>
      </c>
      <c r="D21" s="2">
        <f>IFERROR(__xludf.DUMMYFUNCTION("""COMPUTED_VALUE"""),514.03)</f>
        <v>514.03</v>
      </c>
      <c r="E21" s="2">
        <f>IFERROR(__xludf.DUMMYFUNCTION("""COMPUTED_VALUE"""),519.2)</f>
        <v>519.2</v>
      </c>
      <c r="F21" s="2">
        <f>IFERROR(__xludf.DUMMYFUNCTION("""COMPUTED_VALUE"""),7934608.0)</f>
        <v>7934608</v>
      </c>
      <c r="G21" s="3">
        <f t="shared" si="1"/>
        <v>0.0036535153</v>
      </c>
    </row>
    <row r="22">
      <c r="A22" s="1">
        <f>IFERROR(__xludf.DUMMYFUNCTION("""COMPUTED_VALUE"""),41782.666666666664)</f>
        <v>41782.66667</v>
      </c>
      <c r="B22" s="2">
        <f>IFERROR(__xludf.DUMMYFUNCTION("""COMPUTED_VALUE"""),518.28)</f>
        <v>518.28</v>
      </c>
      <c r="C22" s="2">
        <f>IFERROR(__xludf.DUMMYFUNCTION("""COMPUTED_VALUE"""),552.12)</f>
        <v>552.12</v>
      </c>
      <c r="D22" s="2">
        <f>IFERROR(__xludf.DUMMYFUNCTION("""COMPUTED_VALUE"""),516.17)</f>
        <v>516.17</v>
      </c>
      <c r="E22" s="2">
        <f>IFERROR(__xludf.DUMMYFUNCTION("""COMPUTED_VALUE"""),551.19)</f>
        <v>551.19</v>
      </c>
      <c r="F22" s="2">
        <f>IFERROR(__xludf.DUMMYFUNCTION("""COMPUTED_VALUE"""),7791333.0)</f>
        <v>7791333</v>
      </c>
      <c r="G22" s="3">
        <f t="shared" si="1"/>
        <v>0.06161402157</v>
      </c>
    </row>
    <row r="23">
      <c r="A23" s="1">
        <f>IFERROR(__xludf.DUMMYFUNCTION("""COMPUTED_VALUE"""),41789.666666666664)</f>
        <v>41789.66667</v>
      </c>
      <c r="B23" s="2">
        <f>IFERROR(__xludf.DUMMYFUNCTION("""COMPUTED_VALUE"""),554.48)</f>
        <v>554.48</v>
      </c>
      <c r="C23" s="2">
        <f>IFERROR(__xludf.DUMMYFUNCTION("""COMPUTED_VALUE"""),566.29)</f>
        <v>566.29</v>
      </c>
      <c r="D23" s="2">
        <f>IFERROR(__xludf.DUMMYFUNCTION("""COMPUTED_VALUE"""),552.83)</f>
        <v>552.83</v>
      </c>
      <c r="E23" s="2">
        <f>IFERROR(__xludf.DUMMYFUNCTION("""COMPUTED_VALUE"""),558.36)</f>
        <v>558.36</v>
      </c>
      <c r="F23" s="2">
        <f>IFERROR(__xludf.DUMMYFUNCTION("""COMPUTED_VALUE"""),6865466.0)</f>
        <v>6865466</v>
      </c>
      <c r="G23" s="3">
        <f t="shared" si="1"/>
        <v>0.01300821858</v>
      </c>
    </row>
    <row r="24">
      <c r="A24" s="1">
        <f>IFERROR(__xludf.DUMMYFUNCTION("""COMPUTED_VALUE"""),41796.666666666664)</f>
        <v>41796.66667</v>
      </c>
      <c r="B24" s="2">
        <f>IFERROR(__xludf.DUMMYFUNCTION("""COMPUTED_VALUE"""),559.16)</f>
        <v>559.16</v>
      </c>
      <c r="C24" s="2">
        <f>IFERROR(__xludf.DUMMYFUNCTION("""COMPUTED_VALUE"""),559.36)</f>
        <v>559.36</v>
      </c>
      <c r="D24" s="2">
        <f>IFERROR(__xludf.DUMMYFUNCTION("""COMPUTED_VALUE"""),537.28)</f>
        <v>537.28</v>
      </c>
      <c r="E24" s="2">
        <f>IFERROR(__xludf.DUMMYFUNCTION("""COMPUTED_VALUE"""),554.81)</f>
        <v>554.81</v>
      </c>
      <c r="F24" s="2">
        <f>IFERROR(__xludf.DUMMYFUNCTION("""COMPUTED_VALUE"""),8526472.0)</f>
        <v>8526472</v>
      </c>
      <c r="G24" s="3">
        <f t="shared" si="1"/>
        <v>-0.006357905294</v>
      </c>
    </row>
    <row r="25">
      <c r="A25" s="1">
        <f>IFERROR(__xludf.DUMMYFUNCTION("""COMPUTED_VALUE"""),41803.666666666664)</f>
        <v>41803.66667</v>
      </c>
      <c r="B25" s="2">
        <f>IFERROR(__xludf.DUMMYFUNCTION("""COMPUTED_VALUE"""),555.62)</f>
        <v>555.62</v>
      </c>
      <c r="C25" s="2">
        <f>IFERROR(__xludf.DUMMYFUNCTION("""COMPUTED_VALUE"""),562.06)</f>
        <v>562.06</v>
      </c>
      <c r="D25" s="2">
        <f>IFERROR(__xludf.DUMMYFUNCTION("""COMPUTED_VALUE"""),544.07)</f>
        <v>544.07</v>
      </c>
      <c r="E25" s="2">
        <f>IFERROR(__xludf.DUMMYFUNCTION("""COMPUTED_VALUE"""),550.25)</f>
        <v>550.25</v>
      </c>
      <c r="F25" s="2">
        <f>IFERROR(__xludf.DUMMYFUNCTION("""COMPUTED_VALUE"""),6584780.0)</f>
        <v>6584780</v>
      </c>
      <c r="G25" s="3">
        <f t="shared" si="1"/>
        <v>-0.008219029938</v>
      </c>
    </row>
    <row r="26">
      <c r="A26" s="1">
        <f>IFERROR(__xludf.DUMMYFUNCTION("""COMPUTED_VALUE"""),41810.666666666664)</f>
        <v>41810.66667</v>
      </c>
      <c r="B26" s="2">
        <f>IFERROR(__xludf.DUMMYFUNCTION("""COMPUTED_VALUE"""),547.76)</f>
        <v>547.76</v>
      </c>
      <c r="C26" s="2">
        <f>IFERROR(__xludf.DUMMYFUNCTION("""COMPUTED_VALUE"""),556.05)</f>
        <v>556.05</v>
      </c>
      <c r="D26" s="2">
        <f>IFERROR(__xludf.DUMMYFUNCTION("""COMPUTED_VALUE"""),537.85)</f>
        <v>537.85</v>
      </c>
      <c r="E26" s="2">
        <f>IFERROR(__xludf.DUMMYFUNCTION("""COMPUTED_VALUE"""),554.84)</f>
        <v>554.84</v>
      </c>
      <c r="F26" s="2">
        <f>IFERROR(__xludf.DUMMYFUNCTION("""COMPUTED_VALUE"""),1.1835551E7)</f>
        <v>11835551</v>
      </c>
      <c r="G26" s="3">
        <f t="shared" si="1"/>
        <v>0.008341662881</v>
      </c>
    </row>
    <row r="27">
      <c r="A27" s="1">
        <f>IFERROR(__xludf.DUMMYFUNCTION("""COMPUTED_VALUE"""),41817.666666666664)</f>
        <v>41817.66667</v>
      </c>
      <c r="B27" s="2">
        <f>IFERROR(__xludf.DUMMYFUNCTION("""COMPUTED_VALUE"""),553.63)</f>
        <v>553.63</v>
      </c>
      <c r="C27" s="2">
        <f>IFERROR(__xludf.DUMMYFUNCTION("""COMPUTED_VALUE"""),580.86)</f>
        <v>580.86</v>
      </c>
      <c r="D27" s="2">
        <f>IFERROR(__xludf.DUMMYFUNCTION("""COMPUTED_VALUE"""),552.73)</f>
        <v>552.73</v>
      </c>
      <c r="E27" s="2">
        <f>IFERROR(__xludf.DUMMYFUNCTION("""COMPUTED_VALUE"""),575.66)</f>
        <v>575.66</v>
      </c>
      <c r="F27" s="2">
        <f>IFERROR(__xludf.DUMMYFUNCTION("""COMPUTED_VALUE"""),9669279.0)</f>
        <v>9669279</v>
      </c>
      <c r="G27" s="3">
        <f t="shared" si="1"/>
        <v>0.03752433134</v>
      </c>
    </row>
    <row r="28">
      <c r="A28" s="1">
        <f>IFERROR(__xludf.DUMMYFUNCTION("""COMPUTED_VALUE"""),41823.666666666664)</f>
        <v>41823.66667</v>
      </c>
      <c r="B28" s="2">
        <f>IFERROR(__xludf.DUMMYFUNCTION("""COMPUTED_VALUE"""),577.08)</f>
        <v>577.08</v>
      </c>
      <c r="C28" s="2">
        <f>IFERROR(__xludf.DUMMYFUNCTION("""COMPUTED_VALUE"""),583.84)</f>
        <v>583.84</v>
      </c>
      <c r="D28" s="2">
        <f>IFERROR(__xludf.DUMMYFUNCTION("""COMPUTED_VALUE"""),573.18)</f>
        <v>573.18</v>
      </c>
      <c r="E28" s="2">
        <f>IFERROR(__xludf.DUMMYFUNCTION("""COMPUTED_VALUE"""),583.13)</f>
        <v>583.13</v>
      </c>
      <c r="F28" s="2">
        <f>IFERROR(__xludf.DUMMYFUNCTION("""COMPUTED_VALUE"""),4524364.0)</f>
        <v>4524364</v>
      </c>
      <c r="G28" s="3">
        <f t="shared" si="1"/>
        <v>0.01297640969</v>
      </c>
    </row>
    <row r="29">
      <c r="A29" s="1">
        <f>IFERROR(__xludf.DUMMYFUNCTION("""COMPUTED_VALUE"""),41831.666666666664)</f>
        <v>41831.66667</v>
      </c>
      <c r="B29" s="2">
        <f>IFERROR(__xludf.DUMMYFUNCTION("""COMPUTED_VALUE"""),582.16)</f>
        <v>582.16</v>
      </c>
      <c r="C29" s="2">
        <f>IFERROR(__xludf.DUMMYFUNCTION("""COMPUTED_VALUE"""),584.82)</f>
        <v>584.82</v>
      </c>
      <c r="D29" s="2">
        <f>IFERROR(__xludf.DUMMYFUNCTION("""COMPUTED_VALUE"""),563.46)</f>
        <v>563.46</v>
      </c>
      <c r="E29" s="2">
        <f>IFERROR(__xludf.DUMMYFUNCTION("""COMPUTED_VALUE"""),577.59)</f>
        <v>577.59</v>
      </c>
      <c r="F29" s="2">
        <f>IFERROR(__xludf.DUMMYFUNCTION("""COMPUTED_VALUE"""),7055273.0)</f>
        <v>7055273</v>
      </c>
      <c r="G29" s="3">
        <f t="shared" si="1"/>
        <v>-0.009500454444</v>
      </c>
    </row>
    <row r="30">
      <c r="A30" s="1">
        <f>IFERROR(__xludf.DUMMYFUNCTION("""COMPUTED_VALUE"""),41838.666666666664)</f>
        <v>41838.66667</v>
      </c>
      <c r="B30" s="2">
        <f>IFERROR(__xludf.DUMMYFUNCTION("""COMPUTED_VALUE"""),581.0)</f>
        <v>581</v>
      </c>
      <c r="C30" s="2">
        <f>IFERROR(__xludf.DUMMYFUNCTION("""COMPUTED_VALUE"""),595.17)</f>
        <v>595.17</v>
      </c>
      <c r="D30" s="2">
        <f>IFERROR(__xludf.DUMMYFUNCTION("""COMPUTED_VALUE"""),567.05)</f>
        <v>567.05</v>
      </c>
      <c r="E30" s="2">
        <f>IFERROR(__xludf.DUMMYFUNCTION("""COMPUTED_VALUE"""),593.45)</f>
        <v>593.45</v>
      </c>
      <c r="F30" s="2">
        <f>IFERROR(__xludf.DUMMYFUNCTION("""COMPUTED_VALUE"""),1.1887529E7)</f>
        <v>11887529</v>
      </c>
      <c r="G30" s="3">
        <f t="shared" si="1"/>
        <v>0.02745892415</v>
      </c>
    </row>
    <row r="31">
      <c r="A31" s="1">
        <f>IFERROR(__xludf.DUMMYFUNCTION("""COMPUTED_VALUE"""),41845.666666666664)</f>
        <v>41845.66667</v>
      </c>
      <c r="B31" s="2">
        <f>IFERROR(__xludf.DUMMYFUNCTION("""COMPUTED_VALUE"""),590.13)</f>
        <v>590.13</v>
      </c>
      <c r="C31" s="2">
        <f>IFERROR(__xludf.DUMMYFUNCTION("""COMPUTED_VALUE"""),598.01)</f>
        <v>598.01</v>
      </c>
      <c r="D31" s="2">
        <f>IFERROR(__xludf.DUMMYFUNCTION("""COMPUTED_VALUE"""),583.63)</f>
        <v>583.63</v>
      </c>
      <c r="E31" s="2">
        <f>IFERROR(__xludf.DUMMYFUNCTION("""COMPUTED_VALUE"""),587.41)</f>
        <v>587.41</v>
      </c>
      <c r="F31" s="2">
        <f>IFERROR(__xludf.DUMMYFUNCTION("""COMPUTED_VALUE"""),6951032.0)</f>
        <v>6951032</v>
      </c>
      <c r="G31" s="3">
        <f t="shared" si="1"/>
        <v>-0.01017777403</v>
      </c>
    </row>
    <row r="32">
      <c r="A32" s="1">
        <f>IFERROR(__xludf.DUMMYFUNCTION("""COMPUTED_VALUE"""),41852.666666666664)</f>
        <v>41852.66667</v>
      </c>
      <c r="B32" s="2">
        <f>IFERROR(__xludf.DUMMYFUNCTION("""COMPUTED_VALUE"""),586.46)</f>
        <v>586.46</v>
      </c>
      <c r="C32" s="2">
        <f>IFERROR(__xludf.DUMMYFUNCTION("""COMPUTED_VALUE"""),590.88)</f>
        <v>590.88</v>
      </c>
      <c r="D32" s="2">
        <f>IFERROR(__xludf.DUMMYFUNCTION("""COMPUTED_VALUE"""),561.31)</f>
        <v>561.31</v>
      </c>
      <c r="E32" s="2">
        <f>IFERROR(__xludf.DUMMYFUNCTION("""COMPUTED_VALUE"""),564.52)</f>
        <v>564.52</v>
      </c>
      <c r="F32" s="2">
        <f>IFERROR(__xludf.DUMMYFUNCTION("""COMPUTED_VALUE"""),7394427.0)</f>
        <v>7394427</v>
      </c>
      <c r="G32" s="3">
        <f t="shared" si="1"/>
        <v>-0.03896767164</v>
      </c>
    </row>
    <row r="33">
      <c r="A33" s="1">
        <f>IFERROR(__xludf.DUMMYFUNCTION("""COMPUTED_VALUE"""),41859.666666666664)</f>
        <v>41859.66667</v>
      </c>
      <c r="B33" s="2">
        <f>IFERROR(__xludf.DUMMYFUNCTION("""COMPUTED_VALUE"""),567.48)</f>
        <v>567.48</v>
      </c>
      <c r="C33" s="2">
        <f>IFERROR(__xludf.DUMMYFUNCTION("""COMPUTED_VALUE"""),573.77)</f>
        <v>573.77</v>
      </c>
      <c r="D33" s="2">
        <f>IFERROR(__xludf.DUMMYFUNCTION("""COMPUTED_VALUE"""),558.47)</f>
        <v>558.47</v>
      </c>
      <c r="E33" s="2">
        <f>IFERROR(__xludf.DUMMYFUNCTION("""COMPUTED_VALUE"""),567.21)</f>
        <v>567.21</v>
      </c>
      <c r="F33" s="2">
        <f>IFERROR(__xludf.DUMMYFUNCTION("""COMPUTED_VALUE"""),6916122.0)</f>
        <v>6916122</v>
      </c>
      <c r="G33" s="3">
        <f t="shared" si="1"/>
        <v>0.004765110182</v>
      </c>
    </row>
    <row r="34">
      <c r="A34" s="1">
        <f>IFERROR(__xludf.DUMMYFUNCTION("""COMPUTED_VALUE"""),41866.666666666664)</f>
        <v>41866.66667</v>
      </c>
      <c r="B34" s="2">
        <f>IFERROR(__xludf.DUMMYFUNCTION("""COMPUTED_VALUE"""),568.43)</f>
        <v>568.43</v>
      </c>
      <c r="C34" s="2">
        <f>IFERROR(__xludf.DUMMYFUNCTION("""COMPUTED_VALUE"""),577.79)</f>
        <v>577.79</v>
      </c>
      <c r="D34" s="2">
        <f>IFERROR(__xludf.DUMMYFUNCTION("""COMPUTED_VALUE"""),559.34)</f>
        <v>559.34</v>
      </c>
      <c r="E34" s="2">
        <f>IFERROR(__xludf.DUMMYFUNCTION("""COMPUTED_VALUE"""),571.91)</f>
        <v>571.91</v>
      </c>
      <c r="F34" s="2">
        <f>IFERROR(__xludf.DUMMYFUNCTION("""COMPUTED_VALUE"""),6691630.0)</f>
        <v>6691630</v>
      </c>
      <c r="G34" s="3">
        <f t="shared" si="1"/>
        <v>0.00828617267</v>
      </c>
    </row>
    <row r="35">
      <c r="A35" s="1">
        <f>IFERROR(__xludf.DUMMYFUNCTION("""COMPUTED_VALUE"""),41873.666666666664)</f>
        <v>41873.66667</v>
      </c>
      <c r="B35" s="2">
        <f>IFERROR(__xludf.DUMMYFUNCTION("""COMPUTED_VALUE"""),574.53)</f>
        <v>574.53</v>
      </c>
      <c r="C35" s="2">
        <f>IFERROR(__xludf.DUMMYFUNCTION("""COMPUTED_VALUE"""),585.73)</f>
        <v>585.73</v>
      </c>
      <c r="D35" s="2">
        <f>IFERROR(__xludf.DUMMYFUNCTION("""COMPUTED_VALUE"""),574.42)</f>
        <v>574.42</v>
      </c>
      <c r="E35" s="2">
        <f>IFERROR(__xludf.DUMMYFUNCTION("""COMPUTED_VALUE"""),580.97)</f>
        <v>580.97</v>
      </c>
      <c r="F35" s="2">
        <f>IFERROR(__xludf.DUMMYFUNCTION("""COMPUTED_VALUE"""),4998946.0)</f>
        <v>4998946</v>
      </c>
      <c r="G35" s="3">
        <f t="shared" si="1"/>
        <v>0.01584165341</v>
      </c>
    </row>
    <row r="36">
      <c r="A36" s="1">
        <f>IFERROR(__xludf.DUMMYFUNCTION("""COMPUTED_VALUE"""),41880.666666666664)</f>
        <v>41880.66667</v>
      </c>
      <c r="B36" s="2">
        <f>IFERROR(__xludf.DUMMYFUNCTION("""COMPUTED_VALUE"""),583.12)</f>
        <v>583.12</v>
      </c>
      <c r="C36" s="2">
        <f>IFERROR(__xludf.DUMMYFUNCTION("""COMPUTED_VALUE"""),583.4)</f>
        <v>583.4</v>
      </c>
      <c r="D36" s="2">
        <f>IFERROR(__xludf.DUMMYFUNCTION("""COMPUTED_VALUE"""),565.52)</f>
        <v>565.52</v>
      </c>
      <c r="E36" s="2">
        <f>IFERROR(__xludf.DUMMYFUNCTION("""COMPUTED_VALUE"""),570.03)</f>
        <v>570.03</v>
      </c>
      <c r="F36" s="2">
        <f>IFERROR(__xludf.DUMMYFUNCTION("""COMPUTED_VALUE"""),7071630.0)</f>
        <v>7071630</v>
      </c>
      <c r="G36" s="3">
        <f t="shared" si="1"/>
        <v>-0.01883057645</v>
      </c>
    </row>
    <row r="37">
      <c r="A37" s="1">
        <f>IFERROR(__xludf.DUMMYFUNCTION("""COMPUTED_VALUE"""),41887.666666666664)</f>
        <v>41887.66667</v>
      </c>
      <c r="B37" s="2">
        <f>IFERROR(__xludf.DUMMYFUNCTION("""COMPUTED_VALUE"""),570.28)</f>
        <v>570.28</v>
      </c>
      <c r="C37" s="2">
        <f>IFERROR(__xludf.DUMMYFUNCTION("""COMPUTED_VALUE"""),584.94)</f>
        <v>584.94</v>
      </c>
      <c r="D37" s="2">
        <f>IFERROR(__xludf.DUMMYFUNCTION("""COMPUTED_VALUE"""),569.63)</f>
        <v>569.63</v>
      </c>
      <c r="E37" s="2">
        <f>IFERROR(__xludf.DUMMYFUNCTION("""COMPUTED_VALUE"""),584.47)</f>
        <v>584.47</v>
      </c>
      <c r="F37" s="2">
        <f>IFERROR(__xludf.DUMMYFUNCTION("""COMPUTED_VALUE"""),5880849.0)</f>
        <v>5880849</v>
      </c>
      <c r="G37" s="3">
        <f t="shared" si="1"/>
        <v>0.02533200007</v>
      </c>
    </row>
    <row r="38">
      <c r="A38" s="1">
        <f>IFERROR(__xludf.DUMMYFUNCTION("""COMPUTED_VALUE"""),41894.666666666664)</f>
        <v>41894.66667</v>
      </c>
      <c r="B38" s="2">
        <f>IFERROR(__xludf.DUMMYFUNCTION("""COMPUTED_VALUE"""),584.99)</f>
        <v>584.99</v>
      </c>
      <c r="C38" s="2">
        <f>IFERROR(__xludf.DUMMYFUNCTION("""COMPUTED_VALUE"""),590.15)</f>
        <v>590.15</v>
      </c>
      <c r="D38" s="2">
        <f>IFERROR(__xludf.DUMMYFUNCTION("""COMPUTED_VALUE"""),572.89)</f>
        <v>572.89</v>
      </c>
      <c r="E38" s="2">
        <f>IFERROR(__xludf.DUMMYFUNCTION("""COMPUTED_VALUE"""),574.04)</f>
        <v>574.04</v>
      </c>
      <c r="F38" s="2">
        <f>IFERROR(__xludf.DUMMYFUNCTION("""COMPUTED_VALUE"""),6506366.0)</f>
        <v>6506366</v>
      </c>
      <c r="G38" s="3">
        <f t="shared" si="1"/>
        <v>-0.0178452273</v>
      </c>
    </row>
    <row r="39">
      <c r="A39" s="1">
        <f>IFERROR(__xludf.DUMMYFUNCTION("""COMPUTED_VALUE"""),41901.666666666664)</f>
        <v>41901.66667</v>
      </c>
      <c r="B39" s="2">
        <f>IFERROR(__xludf.DUMMYFUNCTION("""COMPUTED_VALUE"""),571.37)</f>
        <v>571.37</v>
      </c>
      <c r="C39" s="2">
        <f>IFERROR(__xludf.DUMMYFUNCTION("""COMPUTED_VALUE"""),594.85)</f>
        <v>594.85</v>
      </c>
      <c r="D39" s="2">
        <f>IFERROR(__xludf.DUMMYFUNCTION("""COMPUTED_VALUE"""),566.65)</f>
        <v>566.65</v>
      </c>
      <c r="E39" s="2">
        <f>IFERROR(__xludf.DUMMYFUNCTION("""COMPUTED_VALUE"""),594.45)</f>
        <v>594.45</v>
      </c>
      <c r="F39" s="2">
        <f>IFERROR(__xludf.DUMMYFUNCTION("""COMPUTED_VALUE"""),9934581.0)</f>
        <v>9934581</v>
      </c>
      <c r="G39" s="3">
        <f t="shared" si="1"/>
        <v>0.03555501359</v>
      </c>
    </row>
    <row r="40">
      <c r="A40" s="1">
        <f>IFERROR(__xludf.DUMMYFUNCTION("""COMPUTED_VALUE"""),41908.666666666664)</f>
        <v>41908.66667</v>
      </c>
      <c r="B40" s="2">
        <f>IFERROR(__xludf.DUMMYFUNCTION("""COMPUTED_VALUE"""),592.19)</f>
        <v>592.19</v>
      </c>
      <c r="C40" s="2">
        <f>IFERROR(__xludf.DUMMYFUNCTION("""COMPUTED_VALUE"""),592.32)</f>
        <v>592.32</v>
      </c>
      <c r="D40" s="2">
        <f>IFERROR(__xludf.DUMMYFUNCTION("""COMPUTED_VALUE"""),572.61)</f>
        <v>572.61</v>
      </c>
      <c r="E40" s="2">
        <f>IFERROR(__xludf.DUMMYFUNCTION("""COMPUTED_VALUE"""),575.52)</f>
        <v>575.52</v>
      </c>
      <c r="F40" s="2">
        <f>IFERROR(__xludf.DUMMYFUNCTION("""COMPUTED_VALUE"""),8245107.0)</f>
        <v>8245107</v>
      </c>
      <c r="G40" s="3">
        <f t="shared" si="1"/>
        <v>-0.0318445622</v>
      </c>
    </row>
    <row r="41">
      <c r="A41" s="1">
        <f>IFERROR(__xludf.DUMMYFUNCTION("""COMPUTED_VALUE"""),41915.666666666664)</f>
        <v>41915.66667</v>
      </c>
      <c r="B41" s="2">
        <f>IFERROR(__xludf.DUMMYFUNCTION("""COMPUTED_VALUE"""),570.18)</f>
        <v>570.18</v>
      </c>
      <c r="C41" s="2">
        <f>IFERROR(__xludf.DUMMYFUNCTION("""COMPUTED_VALUE"""),578.26)</f>
        <v>578.26</v>
      </c>
      <c r="D41" s="2">
        <f>IFERROR(__xludf.DUMMYFUNCTION("""COMPUTED_VALUE"""),561.78)</f>
        <v>561.78</v>
      </c>
      <c r="E41" s="2">
        <f>IFERROR(__xludf.DUMMYFUNCTION("""COMPUTED_VALUE"""),573.71)</f>
        <v>573.71</v>
      </c>
      <c r="F41" s="2">
        <f>IFERROR(__xludf.DUMMYFUNCTION("""COMPUTED_VALUE"""),6658611.0)</f>
        <v>6658611</v>
      </c>
      <c r="G41" s="3">
        <f t="shared" si="1"/>
        <v>-0.003144981929</v>
      </c>
    </row>
    <row r="42">
      <c r="A42" s="1">
        <f>IFERROR(__xludf.DUMMYFUNCTION("""COMPUTED_VALUE"""),41922.666666666664)</f>
        <v>41922.66667</v>
      </c>
      <c r="B42" s="2">
        <f>IFERROR(__xludf.DUMMYFUNCTION("""COMPUTED_VALUE"""),577.21)</f>
        <v>577.21</v>
      </c>
      <c r="C42" s="2">
        <f>IFERROR(__xludf.DUMMYFUNCTION("""COMPUTED_VALUE"""),579.41)</f>
        <v>579.41</v>
      </c>
      <c r="D42" s="2">
        <f>IFERROR(__xludf.DUMMYFUNCTION("""COMPUTED_VALUE"""),542.56)</f>
        <v>542.56</v>
      </c>
      <c r="E42" s="2">
        <f>IFERROR(__xludf.DUMMYFUNCTION("""COMPUTED_VALUE"""),543.0)</f>
        <v>543</v>
      </c>
      <c r="F42" s="2">
        <f>IFERROR(__xludf.DUMMYFUNCTION("""COMPUTED_VALUE"""),1.0703962E7)</f>
        <v>10703962</v>
      </c>
      <c r="G42" s="3">
        <f t="shared" si="1"/>
        <v>-0.05352878632</v>
      </c>
    </row>
    <row r="43">
      <c r="A43" s="1">
        <f>IFERROR(__xludf.DUMMYFUNCTION("""COMPUTED_VALUE"""),41929.666666666664)</f>
        <v>41929.66667</v>
      </c>
      <c r="B43" s="2">
        <f>IFERROR(__xludf.DUMMYFUNCTION("""COMPUTED_VALUE"""),543.5)</f>
        <v>543.5</v>
      </c>
      <c r="C43" s="2">
        <f>IFERROR(__xludf.DUMMYFUNCTION("""COMPUTED_VALUE"""),548.0)</f>
        <v>548</v>
      </c>
      <c r="D43" s="2">
        <f>IFERROR(__xludf.DUMMYFUNCTION("""COMPUTED_VALUE"""),507.14)</f>
        <v>507.14</v>
      </c>
      <c r="E43" s="2">
        <f>IFERROR(__xludf.DUMMYFUNCTION("""COMPUTED_VALUE"""),509.77)</f>
        <v>509.77</v>
      </c>
      <c r="F43" s="2">
        <f>IFERROR(__xludf.DUMMYFUNCTION("""COMPUTED_VALUE"""),1.7737539E7)</f>
        <v>17737539</v>
      </c>
      <c r="G43" s="3">
        <f t="shared" si="1"/>
        <v>-0.06119705341</v>
      </c>
    </row>
    <row r="44">
      <c r="A44" s="1">
        <f>IFERROR(__xludf.DUMMYFUNCTION("""COMPUTED_VALUE"""),41936.666666666664)</f>
        <v>41936.66667</v>
      </c>
      <c r="B44" s="2">
        <f>IFERROR(__xludf.DUMMYFUNCTION("""COMPUTED_VALUE"""),508.06)</f>
        <v>508.06</v>
      </c>
      <c r="C44" s="2">
        <f>IFERROR(__xludf.DUMMYFUNCTION("""COMPUTED_VALUE"""),545.72)</f>
        <v>545.72</v>
      </c>
      <c r="D44" s="2">
        <f>IFERROR(__xludf.DUMMYFUNCTION("""COMPUTED_VALUE"""),506.71)</f>
        <v>506.71</v>
      </c>
      <c r="E44" s="2">
        <f>IFERROR(__xludf.DUMMYFUNCTION("""COMPUTED_VALUE"""),538.3)</f>
        <v>538.3</v>
      </c>
      <c r="F44" s="2">
        <f>IFERROR(__xludf.DUMMYFUNCTION("""COMPUTED_VALUE"""),1.2172562E7)</f>
        <v>12172562</v>
      </c>
      <c r="G44" s="3">
        <f t="shared" si="1"/>
        <v>0.05596641623</v>
      </c>
    </row>
    <row r="45">
      <c r="A45" s="1">
        <f>IFERROR(__xludf.DUMMYFUNCTION("""COMPUTED_VALUE"""),41943.666666666664)</f>
        <v>41943.66667</v>
      </c>
      <c r="B45" s="2">
        <f>IFERROR(__xludf.DUMMYFUNCTION("""COMPUTED_VALUE"""),535.56)</f>
        <v>535.56</v>
      </c>
      <c r="C45" s="2">
        <f>IFERROR(__xludf.DUMMYFUNCTION("""COMPUTED_VALUE"""),558.04)</f>
        <v>558.04</v>
      </c>
      <c r="D45" s="2">
        <f>IFERROR(__xludf.DUMMYFUNCTION("""COMPUTED_VALUE"""),535.56)</f>
        <v>535.56</v>
      </c>
      <c r="E45" s="2">
        <f>IFERROR(__xludf.DUMMYFUNCTION("""COMPUTED_VALUE"""),557.55)</f>
        <v>557.55</v>
      </c>
      <c r="F45" s="2">
        <f>IFERROR(__xludf.DUMMYFUNCTION("""COMPUTED_VALUE"""),7710006.0)</f>
        <v>7710006</v>
      </c>
      <c r="G45" s="3">
        <f t="shared" si="1"/>
        <v>0.03576072822</v>
      </c>
    </row>
    <row r="46">
      <c r="A46" s="1">
        <f>IFERROR(__xludf.DUMMYFUNCTION("""COMPUTED_VALUE"""),41950.666666666664)</f>
        <v>41950.66667</v>
      </c>
      <c r="B46" s="2">
        <f>IFERROR(__xludf.DUMMYFUNCTION("""COMPUTED_VALUE"""),553.98)</f>
        <v>553.98</v>
      </c>
      <c r="C46" s="2">
        <f>IFERROR(__xludf.DUMMYFUNCTION("""COMPUTED_VALUE"""),556.37)</f>
        <v>556.37</v>
      </c>
      <c r="D46" s="2">
        <f>IFERROR(__xludf.DUMMYFUNCTION("""COMPUTED_VALUE"""),537.19)</f>
        <v>537.19</v>
      </c>
      <c r="E46" s="2">
        <f>IFERROR(__xludf.DUMMYFUNCTION("""COMPUTED_VALUE"""),539.53)</f>
        <v>539.53</v>
      </c>
      <c r="F46" s="2">
        <f>IFERROR(__xludf.DUMMYFUNCTION("""COMPUTED_VALUE"""),7604875.0)</f>
        <v>7604875</v>
      </c>
      <c r="G46" s="3">
        <f t="shared" si="1"/>
        <v>-0.0323199713</v>
      </c>
    </row>
    <row r="47">
      <c r="A47" s="1">
        <f>IFERROR(__xludf.DUMMYFUNCTION("""COMPUTED_VALUE"""),41957.66666666667)</f>
        <v>41957.66667</v>
      </c>
      <c r="B47" s="2">
        <f>IFERROR(__xludf.DUMMYFUNCTION("""COMPUTED_VALUE"""),539.98)</f>
        <v>539.98</v>
      </c>
      <c r="C47" s="2">
        <f>IFERROR(__xludf.DUMMYFUNCTION("""COMPUTED_VALUE"""),550.43)</f>
        <v>550.43</v>
      </c>
      <c r="D47" s="2">
        <f>IFERROR(__xludf.DUMMYFUNCTION("""COMPUTED_VALUE"""),539.54)</f>
        <v>539.54</v>
      </c>
      <c r="E47" s="2">
        <f>IFERROR(__xludf.DUMMYFUNCTION("""COMPUTED_VALUE"""),542.91)</f>
        <v>542.91</v>
      </c>
      <c r="F47" s="2">
        <f>IFERROR(__xludf.DUMMYFUNCTION("""COMPUTED_VALUE"""),5844716.0)</f>
        <v>5844716</v>
      </c>
      <c r="G47" s="3">
        <f t="shared" si="1"/>
        <v>0.006264711879</v>
      </c>
    </row>
    <row r="48">
      <c r="A48" s="1">
        <f>IFERROR(__xludf.DUMMYFUNCTION("""COMPUTED_VALUE"""),41964.66666666667)</f>
        <v>41964.66667</v>
      </c>
      <c r="B48" s="2">
        <f>IFERROR(__xludf.DUMMYFUNCTION("""COMPUTED_VALUE"""),542.09)</f>
        <v>542.09</v>
      </c>
      <c r="C48" s="2">
        <f>IFERROR(__xludf.DUMMYFUNCTION("""COMPUTED_VALUE"""),542.3)</f>
        <v>542.3</v>
      </c>
      <c r="D48" s="2">
        <f>IFERROR(__xludf.DUMMYFUNCTION("""COMPUTED_VALUE"""),528.63)</f>
        <v>528.63</v>
      </c>
      <c r="E48" s="2">
        <f>IFERROR(__xludf.DUMMYFUNCTION("""COMPUTED_VALUE"""),536.03)</f>
        <v>536.03</v>
      </c>
      <c r="F48" s="2">
        <f>IFERROR(__xludf.DUMMYFUNCTION("""COMPUTED_VALUE"""),8844766.0)</f>
        <v>8844766</v>
      </c>
      <c r="G48" s="3">
        <f t="shared" si="1"/>
        <v>-0.01267245031</v>
      </c>
    </row>
    <row r="49">
      <c r="A49" s="1">
        <f>IFERROR(__xludf.DUMMYFUNCTION("""COMPUTED_VALUE"""),41971.66666666667)</f>
        <v>41971.66667</v>
      </c>
      <c r="B49" s="2">
        <f>IFERROR(__xludf.DUMMYFUNCTION("""COMPUTED_VALUE"""),536.18)</f>
        <v>536.18</v>
      </c>
      <c r="C49" s="2">
        <f>IFERROR(__xludf.DUMMYFUNCTION("""COMPUTED_VALUE"""),542.49)</f>
        <v>542.49</v>
      </c>
      <c r="D49" s="2">
        <f>IFERROR(__xludf.DUMMYFUNCTION("""COMPUTED_VALUE"""),534.15)</f>
        <v>534.15</v>
      </c>
      <c r="E49" s="2">
        <f>IFERROR(__xludf.DUMMYFUNCTION("""COMPUTED_VALUE"""),540.35)</f>
        <v>540.35</v>
      </c>
      <c r="F49" s="2">
        <f>IFERROR(__xludf.DUMMYFUNCTION("""COMPUTED_VALUE"""),6151383.0)</f>
        <v>6151383</v>
      </c>
      <c r="G49" s="3">
        <f t="shared" si="1"/>
        <v>0.008059250415</v>
      </c>
    </row>
    <row r="50">
      <c r="A50" s="1">
        <f>IFERROR(__xludf.DUMMYFUNCTION("""COMPUTED_VALUE"""),41978.66666666667)</f>
        <v>41978.66667</v>
      </c>
      <c r="B50" s="2">
        <f>IFERROR(__xludf.DUMMYFUNCTION("""COMPUTED_VALUE"""),537.42)</f>
        <v>537.42</v>
      </c>
      <c r="C50" s="2">
        <f>IFERROR(__xludf.DUMMYFUNCTION("""COMPUTED_VALUE"""),539.93)</f>
        <v>539.93</v>
      </c>
      <c r="D50" s="2">
        <f>IFERROR(__xludf.DUMMYFUNCTION("""COMPUTED_VALUE"""),522.84)</f>
        <v>522.84</v>
      </c>
      <c r="E50" s="2">
        <f>IFERROR(__xludf.DUMMYFUNCTION("""COMPUTED_VALUE"""),523.82)</f>
        <v>523.82</v>
      </c>
      <c r="F50" s="2">
        <f>IFERROR(__xludf.DUMMYFUNCTION("""COMPUTED_VALUE"""),8862225.0)</f>
        <v>8862225</v>
      </c>
      <c r="G50" s="3">
        <f t="shared" si="1"/>
        <v>-0.03059128343</v>
      </c>
    </row>
    <row r="51">
      <c r="A51" s="1">
        <f>IFERROR(__xludf.DUMMYFUNCTION("""COMPUTED_VALUE"""),41985.66666666667)</f>
        <v>41985.66667</v>
      </c>
      <c r="B51" s="2">
        <f>IFERROR(__xludf.DUMMYFUNCTION("""COMPUTED_VALUE"""),525.69)</f>
        <v>525.69</v>
      </c>
      <c r="C51" s="2">
        <f>IFERROR(__xludf.DUMMYFUNCTION("""COMPUTED_VALUE"""),534.86)</f>
        <v>534.86</v>
      </c>
      <c r="D51" s="2">
        <f>IFERROR(__xludf.DUMMYFUNCTION("""COMPUTED_VALUE"""),517.24)</f>
        <v>517.24</v>
      </c>
      <c r="E51" s="2">
        <f>IFERROR(__xludf.DUMMYFUNCTION("""COMPUTED_VALUE"""),517.24)</f>
        <v>517.24</v>
      </c>
      <c r="F51" s="2">
        <f>IFERROR(__xludf.DUMMYFUNCTION("""COMPUTED_VALUE"""),9515311.0)</f>
        <v>9515311</v>
      </c>
      <c r="G51" s="3">
        <f t="shared" si="1"/>
        <v>-0.01256156695</v>
      </c>
    </row>
    <row r="52">
      <c r="A52" s="1">
        <f>IFERROR(__xludf.DUMMYFUNCTION("""COMPUTED_VALUE"""),41992.66666666667)</f>
        <v>41992.66667</v>
      </c>
      <c r="B52" s="2">
        <f>IFERROR(__xludf.DUMMYFUNCTION("""COMPUTED_VALUE"""),521.31)</f>
        <v>521.31</v>
      </c>
      <c r="C52" s="2">
        <f>IFERROR(__xludf.DUMMYFUNCTION("""COMPUTED_VALUE"""),521.67)</f>
        <v>521.67</v>
      </c>
      <c r="D52" s="2">
        <f>IFERROR(__xludf.DUMMYFUNCTION("""COMPUTED_VALUE"""),487.66)</f>
        <v>487.66</v>
      </c>
      <c r="E52" s="2">
        <f>IFERROR(__xludf.DUMMYFUNCTION("""COMPUTED_VALUE"""),514.94)</f>
        <v>514.94</v>
      </c>
      <c r="F52" s="2">
        <f>IFERROR(__xludf.DUMMYFUNCTION("""COMPUTED_VALUE"""),1.6240316E7)</f>
        <v>16240316</v>
      </c>
      <c r="G52" s="3">
        <f t="shared" si="1"/>
        <v>-0.004446678524</v>
      </c>
    </row>
    <row r="53">
      <c r="A53" s="1">
        <f>IFERROR(__xludf.DUMMYFUNCTION("""COMPUTED_VALUE"""),41999.66666666667)</f>
        <v>41999.66667</v>
      </c>
      <c r="B53" s="2">
        <f>IFERROR(__xludf.DUMMYFUNCTION("""COMPUTED_VALUE"""),514.67)</f>
        <v>514.67</v>
      </c>
      <c r="C53" s="2">
        <f>IFERROR(__xludf.DUMMYFUNCTION("""COMPUTED_VALUE"""),533.1)</f>
        <v>533.1</v>
      </c>
      <c r="D53" s="2">
        <f>IFERROR(__xludf.DUMMYFUNCTION("""COMPUTED_VALUE"""),514.67)</f>
        <v>514.67</v>
      </c>
      <c r="E53" s="2">
        <f>IFERROR(__xludf.DUMMYFUNCTION("""COMPUTED_VALUE"""),532.57)</f>
        <v>532.57</v>
      </c>
      <c r="F53" s="2">
        <f>IFERROR(__xludf.DUMMYFUNCTION("""COMPUTED_VALUE"""),6656928.0)</f>
        <v>6656928</v>
      </c>
      <c r="G53" s="3">
        <f t="shared" si="1"/>
        <v>0.03423699849</v>
      </c>
    </row>
    <row r="54">
      <c r="A54" s="1">
        <f>IFERROR(__xludf.DUMMYFUNCTION("""COMPUTED_VALUE"""),42006.66666666667)</f>
        <v>42006.66667</v>
      </c>
      <c r="B54" s="2">
        <f>IFERROR(__xludf.DUMMYFUNCTION("""COMPUTED_VALUE"""),530.73)</f>
        <v>530.73</v>
      </c>
      <c r="C54" s="2">
        <f>IFERROR(__xludf.DUMMYFUNCTION("""COMPUTED_VALUE"""),534.01)</f>
        <v>534.01</v>
      </c>
      <c r="D54" s="2">
        <f>IFERROR(__xludf.DUMMYFUNCTION("""COMPUTED_VALUE"""),522.67)</f>
        <v>522.67</v>
      </c>
      <c r="E54" s="2">
        <f>IFERROR(__xludf.DUMMYFUNCTION("""COMPUTED_VALUE"""),523.37)</f>
        <v>523.37</v>
      </c>
      <c r="F54" s="2">
        <f>IFERROR(__xludf.DUMMYFUNCTION("""COMPUTED_VALUE"""),5968508.0)</f>
        <v>5968508</v>
      </c>
      <c r="G54" s="3">
        <f t="shared" si="1"/>
        <v>-0.01727472445</v>
      </c>
    </row>
    <row r="55">
      <c r="A55" s="1">
        <f>IFERROR(__xludf.DUMMYFUNCTION("""COMPUTED_VALUE"""),42013.66666666667)</f>
        <v>42013.66667</v>
      </c>
      <c r="B55" s="2">
        <f>IFERROR(__xludf.DUMMYFUNCTION("""COMPUTED_VALUE"""),521.83)</f>
        <v>521.83</v>
      </c>
      <c r="C55" s="2">
        <f>IFERROR(__xludf.DUMMYFUNCTION("""COMPUTED_VALUE"""),522.89)</f>
        <v>522.89</v>
      </c>
      <c r="D55" s="2">
        <f>IFERROR(__xludf.DUMMYFUNCTION("""COMPUTED_VALUE"""),489.66)</f>
        <v>489.66</v>
      </c>
      <c r="E55" s="2">
        <f>IFERROR(__xludf.DUMMYFUNCTION("""COMPUTED_VALUE"""),494.81)</f>
        <v>494.81</v>
      </c>
      <c r="F55" s="2">
        <f>IFERROR(__xludf.DUMMYFUNCTION("""COMPUTED_VALUE"""),1.2415664E7)</f>
        <v>12415664</v>
      </c>
      <c r="G55" s="3">
        <f t="shared" si="1"/>
        <v>-0.05456942507</v>
      </c>
    </row>
    <row r="56">
      <c r="A56" s="1">
        <f>IFERROR(__xludf.DUMMYFUNCTION("""COMPUTED_VALUE"""),42020.66666666667)</f>
        <v>42020.66667</v>
      </c>
      <c r="B56" s="2">
        <f>IFERROR(__xludf.DUMMYFUNCTION("""COMPUTED_VALUE"""),493.58)</f>
        <v>493.58</v>
      </c>
      <c r="C56" s="2">
        <f>IFERROR(__xludf.DUMMYFUNCTION("""COMPUTED_VALUE"""),506.8)</f>
        <v>506.8</v>
      </c>
      <c r="D56" s="2">
        <f>IFERROR(__xludf.DUMMYFUNCTION("""COMPUTED_VALUE"""),486.22)</f>
        <v>486.22</v>
      </c>
      <c r="E56" s="2">
        <f>IFERROR(__xludf.DUMMYFUNCTION("""COMPUTED_VALUE"""),506.69)</f>
        <v>506.69</v>
      </c>
      <c r="F56" s="2">
        <f>IFERROR(__xludf.DUMMYFUNCTION("""COMPUTED_VALUE"""),1.1919169E7)</f>
        <v>11919169</v>
      </c>
      <c r="G56" s="3">
        <f t="shared" si="1"/>
        <v>0.02400921566</v>
      </c>
    </row>
    <row r="57">
      <c r="A57" s="1">
        <f>IFERROR(__xludf.DUMMYFUNCTION("""COMPUTED_VALUE"""),42027.66666666667)</f>
        <v>42027.66667</v>
      </c>
      <c r="B57" s="2">
        <f>IFERROR(__xludf.DUMMYFUNCTION("""COMPUTED_VALUE"""),509.6)</f>
        <v>509.6</v>
      </c>
      <c r="C57" s="2">
        <f>IFERROR(__xludf.DUMMYFUNCTION("""COMPUTED_VALUE"""),540.69)</f>
        <v>540.69</v>
      </c>
      <c r="D57" s="2">
        <f>IFERROR(__xludf.DUMMYFUNCTION("""COMPUTED_VALUE"""),504.63)</f>
        <v>504.63</v>
      </c>
      <c r="E57" s="2">
        <f>IFERROR(__xludf.DUMMYFUNCTION("""COMPUTED_VALUE"""),538.47)</f>
        <v>538.47</v>
      </c>
      <c r="F57" s="2">
        <f>IFERROR(__xludf.DUMMYFUNCTION("""COMPUTED_VALUE"""),9433420.0)</f>
        <v>9433420</v>
      </c>
      <c r="G57" s="3">
        <f t="shared" si="1"/>
        <v>0.06272079575</v>
      </c>
    </row>
    <row r="58">
      <c r="A58" s="1">
        <f>IFERROR(__xludf.DUMMYFUNCTION("""COMPUTED_VALUE"""),42034.66666666667)</f>
        <v>42034.66667</v>
      </c>
      <c r="B58" s="2">
        <f>IFERROR(__xludf.DUMMYFUNCTION("""COMPUTED_VALUE"""),537.05)</f>
        <v>537.05</v>
      </c>
      <c r="C58" s="2">
        <f>IFERROR(__xludf.DUMMYFUNCTION("""COMPUTED_VALUE"""),538.39)</f>
        <v>538.39</v>
      </c>
      <c r="D58" s="2">
        <f>IFERROR(__xludf.DUMMYFUNCTION("""COMPUTED_VALUE"""),499.83)</f>
        <v>499.83</v>
      </c>
      <c r="E58" s="2">
        <f>IFERROR(__xludf.DUMMYFUNCTION("""COMPUTED_VALUE"""),533.06)</f>
        <v>533.06</v>
      </c>
      <c r="F58" s="2">
        <f>IFERROR(__xludf.DUMMYFUNCTION("""COMPUTED_VALUE"""),1.4883499E7)</f>
        <v>14883499</v>
      </c>
      <c r="G58" s="3">
        <f t="shared" si="1"/>
        <v>-0.01004698498</v>
      </c>
    </row>
    <row r="59">
      <c r="A59" s="1">
        <f>IFERROR(__xludf.DUMMYFUNCTION("""COMPUTED_VALUE"""),42041.66666666667)</f>
        <v>42041.66667</v>
      </c>
      <c r="B59" s="2">
        <f>IFERROR(__xludf.DUMMYFUNCTION("""COMPUTED_VALUE"""),530.27)</f>
        <v>530.27</v>
      </c>
      <c r="C59" s="2">
        <f>IFERROR(__xludf.DUMMYFUNCTION("""COMPUTED_VALUE"""),535.73)</f>
        <v>535.73</v>
      </c>
      <c r="D59" s="2">
        <f>IFERROR(__xludf.DUMMYFUNCTION("""COMPUTED_VALUE"""),517.13)</f>
        <v>517.13</v>
      </c>
      <c r="E59" s="2">
        <f>IFERROR(__xludf.DUMMYFUNCTION("""COMPUTED_VALUE"""),529.55)</f>
        <v>529.55</v>
      </c>
      <c r="F59" s="2">
        <f>IFERROR(__xludf.DUMMYFUNCTION("""COMPUTED_VALUE"""),1.0137523E7)</f>
        <v>10137523</v>
      </c>
      <c r="G59" s="3">
        <f t="shared" si="1"/>
        <v>-0.00658462462</v>
      </c>
    </row>
    <row r="60">
      <c r="A60" s="1">
        <f>IFERROR(__xludf.DUMMYFUNCTION("""COMPUTED_VALUE"""),42048.66666666667)</f>
        <v>42048.66667</v>
      </c>
      <c r="B60" s="2">
        <f>IFERROR(__xludf.DUMMYFUNCTION("""COMPUTED_VALUE"""),526.55)</f>
        <v>526.55</v>
      </c>
      <c r="C60" s="2">
        <f>IFERROR(__xludf.DUMMYFUNCTION("""COMPUTED_VALUE"""),548.4)</f>
        <v>548.4</v>
      </c>
      <c r="D60" s="2">
        <f>IFERROR(__xludf.DUMMYFUNCTION("""COMPUTED_VALUE"""),524.58)</f>
        <v>524.58</v>
      </c>
      <c r="E60" s="2">
        <f>IFERROR(__xludf.DUMMYFUNCTION("""COMPUTED_VALUE"""),547.51)</f>
        <v>547.51</v>
      </c>
      <c r="F60" s="2">
        <f>IFERROR(__xludf.DUMMYFUNCTION("""COMPUTED_VALUE"""),7894272.0)</f>
        <v>7894272</v>
      </c>
      <c r="G60" s="3">
        <f t="shared" si="1"/>
        <v>0.03391558871</v>
      </c>
    </row>
    <row r="61">
      <c r="A61" s="1">
        <f>IFERROR(__xludf.DUMMYFUNCTION("""COMPUTED_VALUE"""),42055.66666666667)</f>
        <v>42055.66667</v>
      </c>
      <c r="B61" s="2">
        <f>IFERROR(__xludf.DUMMYFUNCTION("""COMPUTED_VALUE"""),545.33)</f>
        <v>545.33</v>
      </c>
      <c r="C61" s="2">
        <f>IFERROR(__xludf.DUMMYFUNCTION("""COMPUTED_VALUE"""),548.49)</f>
        <v>548.49</v>
      </c>
      <c r="D61" s="2">
        <f>IFERROR(__xludf.DUMMYFUNCTION("""COMPUTED_VALUE"""),534.33)</f>
        <v>534.33</v>
      </c>
      <c r="E61" s="2">
        <f>IFERROR(__xludf.DUMMYFUNCTION("""COMPUTED_VALUE"""),537.47)</f>
        <v>537.47</v>
      </c>
      <c r="F61" s="2">
        <f>IFERROR(__xludf.DUMMYFUNCTION("""COMPUTED_VALUE"""),5490218.0)</f>
        <v>5490218</v>
      </c>
      <c r="G61" s="3">
        <f t="shared" si="1"/>
        <v>-0.01833756461</v>
      </c>
    </row>
    <row r="62">
      <c r="A62" s="1">
        <f>IFERROR(__xludf.DUMMYFUNCTION("""COMPUTED_VALUE"""),42062.66666666667)</f>
        <v>42062.66667</v>
      </c>
      <c r="B62" s="2">
        <f>IFERROR(__xludf.DUMMYFUNCTION("""COMPUTED_VALUE"""),534.58)</f>
        <v>534.58</v>
      </c>
      <c r="C62" s="2">
        <f>IFERROR(__xludf.DUMMYFUNCTION("""COMPUTED_VALUE"""),563.16)</f>
        <v>563.16</v>
      </c>
      <c r="D62" s="2">
        <f>IFERROR(__xludf.DUMMYFUNCTION("""COMPUTED_VALUE"""),526.8)</f>
        <v>526.8</v>
      </c>
      <c r="E62" s="2">
        <f>IFERROR(__xludf.DUMMYFUNCTION("""COMPUTED_VALUE"""),556.87)</f>
        <v>556.87</v>
      </c>
      <c r="F62" s="2">
        <f>IFERROR(__xludf.DUMMYFUNCTION("""COMPUTED_VALUE"""),8986113.0)</f>
        <v>8986113</v>
      </c>
      <c r="G62" s="3">
        <f t="shared" si="1"/>
        <v>0.03609503786</v>
      </c>
    </row>
    <row r="63">
      <c r="A63" s="1">
        <f>IFERROR(__xludf.DUMMYFUNCTION("""COMPUTED_VALUE"""),42069.66666666667)</f>
        <v>42069.66667</v>
      </c>
      <c r="B63" s="2">
        <f>IFERROR(__xludf.DUMMYFUNCTION("""COMPUTED_VALUE"""),558.99)</f>
        <v>558.99</v>
      </c>
      <c r="C63" s="2">
        <f>IFERROR(__xludf.DUMMYFUNCTION("""COMPUTED_VALUE"""),576.33)</f>
        <v>576.33</v>
      </c>
      <c r="D63" s="2">
        <f>IFERROR(__xludf.DUMMYFUNCTION("""COMPUTED_VALUE"""),557.22)</f>
        <v>557.22</v>
      </c>
      <c r="E63" s="2">
        <f>IFERROR(__xludf.DUMMYFUNCTION("""COMPUTED_VALUE"""),566.13)</f>
        <v>566.13</v>
      </c>
      <c r="F63" s="2">
        <f>IFERROR(__xludf.DUMMYFUNCTION("""COMPUTED_VALUE"""),8735953.0)</f>
        <v>8735953</v>
      </c>
      <c r="G63" s="3">
        <f t="shared" si="1"/>
        <v>0.0166286566</v>
      </c>
    </row>
    <row r="64">
      <c r="A64" s="1">
        <f>IFERROR(__xludf.DUMMYFUNCTION("""COMPUTED_VALUE"""),42076.66666666667)</f>
        <v>42076.66667</v>
      </c>
      <c r="B64" s="2">
        <f>IFERROR(__xludf.DUMMYFUNCTION("""COMPUTED_VALUE"""),565.31)</f>
        <v>565.31</v>
      </c>
      <c r="C64" s="2">
        <f>IFERROR(__xludf.DUMMYFUNCTION("""COMPUTED_VALUE"""),568.71)</f>
        <v>568.71</v>
      </c>
      <c r="D64" s="2">
        <f>IFERROR(__xludf.DUMMYFUNCTION("""COMPUTED_VALUE"""),542.73)</f>
        <v>542.73</v>
      </c>
      <c r="E64" s="2">
        <f>IFERROR(__xludf.DUMMYFUNCTION("""COMPUTED_VALUE"""),545.82)</f>
        <v>545.82</v>
      </c>
      <c r="F64" s="2">
        <f>IFERROR(__xludf.DUMMYFUNCTION("""COMPUTED_VALUE"""),7747100.0)</f>
        <v>7747100</v>
      </c>
      <c r="G64" s="3">
        <f t="shared" si="1"/>
        <v>-0.03587515235</v>
      </c>
    </row>
    <row r="65">
      <c r="A65" s="1">
        <f>IFERROR(__xludf.DUMMYFUNCTION("""COMPUTED_VALUE"""),42083.66666666667)</f>
        <v>42083.66667</v>
      </c>
      <c r="B65" s="2">
        <f>IFERROR(__xludf.DUMMYFUNCTION("""COMPUTED_VALUE"""),549.44)</f>
        <v>549.44</v>
      </c>
      <c r="C65" s="2">
        <f>IFERROR(__xludf.DUMMYFUNCTION("""COMPUTED_VALUE"""),560.18)</f>
        <v>560.18</v>
      </c>
      <c r="D65" s="2">
        <f>IFERROR(__xludf.DUMMYFUNCTION("""COMPUTED_VALUE"""),544.51)</f>
        <v>544.51</v>
      </c>
      <c r="E65" s="2">
        <f>IFERROR(__xludf.DUMMYFUNCTION("""COMPUTED_VALUE"""),558.83)</f>
        <v>558.83</v>
      </c>
      <c r="F65" s="2">
        <f>IFERROR(__xludf.DUMMYFUNCTION("""COMPUTED_VALUE"""),9369516.0)</f>
        <v>9369516</v>
      </c>
      <c r="G65" s="3">
        <f t="shared" si="1"/>
        <v>0.02383569675</v>
      </c>
    </row>
    <row r="66">
      <c r="A66" s="1">
        <f>IFERROR(__xludf.DUMMYFUNCTION("""COMPUTED_VALUE"""),42090.66666666667)</f>
        <v>42090.66667</v>
      </c>
      <c r="B66" s="2">
        <f>IFERROR(__xludf.DUMMYFUNCTION("""COMPUTED_VALUE"""),558.9)</f>
        <v>558.9</v>
      </c>
      <c r="C66" s="2">
        <f>IFERROR(__xludf.DUMMYFUNCTION("""COMPUTED_VALUE"""),573.02)</f>
        <v>573.02</v>
      </c>
      <c r="D66" s="2">
        <f>IFERROR(__xludf.DUMMYFUNCTION("""COMPUTED_VALUE"""),546.63)</f>
        <v>546.63</v>
      </c>
      <c r="E66" s="2">
        <f>IFERROR(__xludf.DUMMYFUNCTION("""COMPUTED_VALUE"""),546.84)</f>
        <v>546.84</v>
      </c>
      <c r="F66" s="2">
        <f>IFERROR(__xludf.DUMMYFUNCTION("""COMPUTED_VALUE"""),9822578.0)</f>
        <v>9822578</v>
      </c>
      <c r="G66" s="3">
        <f t="shared" si="1"/>
        <v>-0.02145554104</v>
      </c>
    </row>
    <row r="67">
      <c r="A67" s="1">
        <f>IFERROR(__xludf.DUMMYFUNCTION("""COMPUTED_VALUE"""),42096.66666666667)</f>
        <v>42096.66667</v>
      </c>
      <c r="B67" s="2">
        <f>IFERROR(__xludf.DUMMYFUNCTION("""COMPUTED_VALUE"""),550.11)</f>
        <v>550.11</v>
      </c>
      <c r="C67" s="2">
        <f>IFERROR(__xludf.DUMMYFUNCTION("""COMPUTED_VALUE"""),553.19)</f>
        <v>553.19</v>
      </c>
      <c r="D67" s="2">
        <f>IFERROR(__xludf.DUMMYFUNCTION("""COMPUTED_VALUE"""),532.38)</f>
        <v>532.38</v>
      </c>
      <c r="E67" s="2">
        <f>IFERROR(__xludf.DUMMYFUNCTION("""COMPUTED_VALUE"""),534.06)</f>
        <v>534.06</v>
      </c>
      <c r="F67" s="2">
        <f>IFERROR(__xludf.DUMMYFUNCTION("""COMPUTED_VALUE"""),6537090.0)</f>
        <v>6537090</v>
      </c>
      <c r="G67" s="3">
        <f t="shared" si="1"/>
        <v>-0.02337063858</v>
      </c>
    </row>
    <row r="68">
      <c r="A68" s="1">
        <f>IFERROR(__xludf.DUMMYFUNCTION("""COMPUTED_VALUE"""),42104.66666666667)</f>
        <v>42104.66667</v>
      </c>
      <c r="B68" s="2">
        <f>IFERROR(__xludf.DUMMYFUNCTION("""COMPUTED_VALUE"""),530.76)</f>
        <v>530.76</v>
      </c>
      <c r="C68" s="2">
        <f>IFERROR(__xludf.DUMMYFUNCTION("""COMPUTED_VALUE"""),542.36)</f>
        <v>542.36</v>
      </c>
      <c r="D68" s="2">
        <f>IFERROR(__xludf.DUMMYFUNCTION("""COMPUTED_VALUE"""),528.12)</f>
        <v>528.12</v>
      </c>
      <c r="E68" s="2">
        <f>IFERROR(__xludf.DUMMYFUNCTION("""COMPUTED_VALUE"""),538.53)</f>
        <v>538.53</v>
      </c>
      <c r="F68" s="2">
        <f>IFERROR(__xludf.DUMMYFUNCTION("""COMPUTED_VALUE"""),6754557.0)</f>
        <v>6754557</v>
      </c>
      <c r="G68" s="3">
        <f t="shared" si="1"/>
        <v>0.008369846085</v>
      </c>
    </row>
    <row r="69">
      <c r="A69" s="1">
        <f>IFERROR(__xludf.DUMMYFUNCTION("""COMPUTED_VALUE"""),42111.66666666667)</f>
        <v>42111.66667</v>
      </c>
      <c r="B69" s="2">
        <f>IFERROR(__xludf.DUMMYFUNCTION("""COMPUTED_VALUE"""),536.94)</f>
        <v>536.94</v>
      </c>
      <c r="C69" s="2">
        <f>IFERROR(__xludf.DUMMYFUNCTION("""COMPUTED_VALUE"""),542.57)</f>
        <v>542.57</v>
      </c>
      <c r="D69" s="2">
        <f>IFERROR(__xludf.DUMMYFUNCTION("""COMPUTED_VALUE"""),519.58)</f>
        <v>519.58</v>
      </c>
      <c r="E69" s="2">
        <f>IFERROR(__xludf.DUMMYFUNCTION("""COMPUTED_VALUE"""),522.62)</f>
        <v>522.62</v>
      </c>
      <c r="F69" s="2">
        <f>IFERROR(__xludf.DUMMYFUNCTION("""COMPUTED_VALUE"""),9992623.0)</f>
        <v>9992623</v>
      </c>
      <c r="G69" s="3">
        <f t="shared" si="1"/>
        <v>-0.02954338663</v>
      </c>
    </row>
    <row r="70">
      <c r="A70" s="1">
        <f>IFERROR(__xludf.DUMMYFUNCTION("""COMPUTED_VALUE"""),42118.66666666667)</f>
        <v>42118.66667</v>
      </c>
      <c r="B70" s="2">
        <f>IFERROR(__xludf.DUMMYFUNCTION("""COMPUTED_VALUE"""),524.16)</f>
        <v>524.16</v>
      </c>
      <c r="C70" s="2">
        <f>IFERROR(__xludf.DUMMYFUNCTION("""COMPUTED_VALUE"""),569.58)</f>
        <v>569.58</v>
      </c>
      <c r="D70" s="2">
        <f>IFERROR(__xludf.DUMMYFUNCTION("""COMPUTED_VALUE"""),523.06)</f>
        <v>523.06</v>
      </c>
      <c r="E70" s="2">
        <f>IFERROR(__xludf.DUMMYFUNCTION("""COMPUTED_VALUE"""),563.51)</f>
        <v>563.51</v>
      </c>
      <c r="F70" s="2">
        <f>IFERROR(__xludf.DUMMYFUNCTION("""COMPUTED_VALUE"""),1.419681E7)</f>
        <v>14196810</v>
      </c>
      <c r="G70" s="3">
        <f t="shared" si="1"/>
        <v>0.07824040412</v>
      </c>
    </row>
    <row r="71">
      <c r="A71" s="1">
        <f>IFERROR(__xludf.DUMMYFUNCTION("""COMPUTED_VALUE"""),42125.66666666667)</f>
        <v>42125.66667</v>
      </c>
      <c r="B71" s="2">
        <f>IFERROR(__xludf.DUMMYFUNCTION("""COMPUTED_VALUE"""),563.39)</f>
        <v>563.39</v>
      </c>
      <c r="C71" s="2">
        <f>IFERROR(__xludf.DUMMYFUNCTION("""COMPUTED_VALUE"""),565.95)</f>
        <v>565.95</v>
      </c>
      <c r="D71" s="2">
        <f>IFERROR(__xludf.DUMMYFUNCTION("""COMPUTED_VALUE"""),532.1)</f>
        <v>532.1</v>
      </c>
      <c r="E71" s="2">
        <f>IFERROR(__xludf.DUMMYFUNCTION("""COMPUTED_VALUE"""),537.9)</f>
        <v>537.9</v>
      </c>
      <c r="F71" s="2">
        <f>IFERROR(__xludf.DUMMYFUNCTION("""COMPUTED_VALUE"""),9438178.0)</f>
        <v>9438178</v>
      </c>
      <c r="G71" s="3">
        <f t="shared" si="1"/>
        <v>-0.04544728576</v>
      </c>
    </row>
    <row r="72">
      <c r="A72" s="1">
        <f>IFERROR(__xludf.DUMMYFUNCTION("""COMPUTED_VALUE"""),42132.66666666667)</f>
        <v>42132.66667</v>
      </c>
      <c r="B72" s="2">
        <f>IFERROR(__xludf.DUMMYFUNCTION("""COMPUTED_VALUE"""),538.53)</f>
        <v>538.53</v>
      </c>
      <c r="C72" s="2">
        <f>IFERROR(__xludf.DUMMYFUNCTION("""COMPUTED_VALUE"""),544.07)</f>
        <v>544.07</v>
      </c>
      <c r="D72" s="2">
        <f>IFERROR(__xludf.DUMMYFUNCTION("""COMPUTED_VALUE"""),521.09)</f>
        <v>521.09</v>
      </c>
      <c r="E72" s="2">
        <f>IFERROR(__xludf.DUMMYFUNCTION("""COMPUTED_VALUE"""),538.22)</f>
        <v>538.22</v>
      </c>
      <c r="F72" s="2">
        <f>IFERROR(__xludf.DUMMYFUNCTION("""COMPUTED_VALUE"""),7331908.0)</f>
        <v>7331908</v>
      </c>
      <c r="G72" s="3">
        <f t="shared" si="1"/>
        <v>0.0005949061164</v>
      </c>
    </row>
    <row r="73">
      <c r="A73" s="1">
        <f>IFERROR(__xludf.DUMMYFUNCTION("""COMPUTED_VALUE"""),42139.66666666667)</f>
        <v>42139.66667</v>
      </c>
      <c r="B73" s="2">
        <f>IFERROR(__xludf.DUMMYFUNCTION("""COMPUTED_VALUE"""),538.37)</f>
        <v>538.37</v>
      </c>
      <c r="C73" s="2">
        <f>IFERROR(__xludf.DUMMYFUNCTION("""COMPUTED_VALUE"""),541.98)</f>
        <v>541.98</v>
      </c>
      <c r="D73" s="2">
        <f>IFERROR(__xludf.DUMMYFUNCTION("""COMPUTED_VALUE"""),525.26)</f>
        <v>525.26</v>
      </c>
      <c r="E73" s="2">
        <f>IFERROR(__xludf.DUMMYFUNCTION("""COMPUTED_VALUE"""),533.85)</f>
        <v>533.85</v>
      </c>
      <c r="F73" s="2">
        <f>IFERROR(__xludf.DUMMYFUNCTION("""COMPUTED_VALUE"""),7167800.0)</f>
        <v>7167800</v>
      </c>
      <c r="G73" s="3">
        <f t="shared" si="1"/>
        <v>-0.008119356397</v>
      </c>
    </row>
    <row r="74">
      <c r="A74" s="1">
        <f>IFERROR(__xludf.DUMMYFUNCTION("""COMPUTED_VALUE"""),42146.66666666667)</f>
        <v>42146.66667</v>
      </c>
      <c r="B74" s="2">
        <f>IFERROR(__xludf.DUMMYFUNCTION("""COMPUTED_VALUE"""),532.0)</f>
        <v>532</v>
      </c>
      <c r="C74" s="2">
        <f>IFERROR(__xludf.DUMMYFUNCTION("""COMPUTED_VALUE"""),544.19)</f>
        <v>544.19</v>
      </c>
      <c r="D74" s="2">
        <f>IFERROR(__xludf.DUMMYFUNCTION("""COMPUTED_VALUE"""),528.85)</f>
        <v>528.85</v>
      </c>
      <c r="E74" s="2">
        <f>IFERROR(__xludf.DUMMYFUNCTION("""COMPUTED_VALUE"""),540.11)</f>
        <v>540.11</v>
      </c>
      <c r="F74" s="2">
        <f>IFERROR(__xludf.DUMMYFUNCTION("""COMPUTED_VALUE"""),8040103.0)</f>
        <v>8040103</v>
      </c>
      <c r="G74" s="3">
        <f t="shared" si="1"/>
        <v>0.0117261403</v>
      </c>
    </row>
    <row r="75">
      <c r="A75" s="1">
        <f>IFERROR(__xludf.DUMMYFUNCTION("""COMPUTED_VALUE"""),42153.66666666667)</f>
        <v>42153.66667</v>
      </c>
      <c r="B75" s="2">
        <f>IFERROR(__xludf.DUMMYFUNCTION("""COMPUTED_VALUE"""),538.12)</f>
        <v>538.12</v>
      </c>
      <c r="C75" s="2">
        <f>IFERROR(__xludf.DUMMYFUNCTION("""COMPUTED_VALUE"""),540.61)</f>
        <v>540.61</v>
      </c>
      <c r="D75" s="2">
        <f>IFERROR(__xludf.DUMMYFUNCTION("""COMPUTED_VALUE"""),529.88)</f>
        <v>529.88</v>
      </c>
      <c r="E75" s="2">
        <f>IFERROR(__xludf.DUMMYFUNCTION("""COMPUTED_VALUE"""),532.11)</f>
        <v>532.11</v>
      </c>
      <c r="F75" s="2">
        <f>IFERROR(__xludf.DUMMYFUNCTION("""COMPUTED_VALUE"""),7558787.0)</f>
        <v>7558787</v>
      </c>
      <c r="G75" s="3">
        <f t="shared" si="1"/>
        <v>-0.0148117976</v>
      </c>
    </row>
    <row r="76">
      <c r="A76" s="1">
        <f>IFERROR(__xludf.DUMMYFUNCTION("""COMPUTED_VALUE"""),42160.66666666667)</f>
        <v>42160.66667</v>
      </c>
      <c r="B76" s="2">
        <f>IFERROR(__xludf.DUMMYFUNCTION("""COMPUTED_VALUE"""),536.79)</f>
        <v>536.79</v>
      </c>
      <c r="C76" s="2">
        <f>IFERROR(__xludf.DUMMYFUNCTION("""COMPUTED_VALUE"""),543.5)</f>
        <v>543.5</v>
      </c>
      <c r="D76" s="2">
        <f>IFERROR(__xludf.DUMMYFUNCTION("""COMPUTED_VALUE"""),529.76)</f>
        <v>529.76</v>
      </c>
      <c r="E76" s="2">
        <f>IFERROR(__xludf.DUMMYFUNCTION("""COMPUTED_VALUE"""),533.33)</f>
        <v>533.33</v>
      </c>
      <c r="F76" s="2">
        <f>IFERROR(__xludf.DUMMYFUNCTION("""COMPUTED_VALUE"""),8296914.0)</f>
        <v>8296914</v>
      </c>
      <c r="G76" s="3">
        <f t="shared" si="1"/>
        <v>0.002292759016</v>
      </c>
    </row>
    <row r="77">
      <c r="A77" s="1">
        <f>IFERROR(__xludf.DUMMYFUNCTION("""COMPUTED_VALUE"""),42167.66666666667)</f>
        <v>42167.66667</v>
      </c>
      <c r="B77" s="2">
        <f>IFERROR(__xludf.DUMMYFUNCTION("""COMPUTED_VALUE"""),533.31)</f>
        <v>533.31</v>
      </c>
      <c r="C77" s="2">
        <f>IFERROR(__xludf.DUMMYFUNCTION("""COMPUTED_VALUE"""),538.98)</f>
        <v>538.98</v>
      </c>
      <c r="D77" s="2">
        <f>IFERROR(__xludf.DUMMYFUNCTION("""COMPUTED_VALUE"""),523.01)</f>
        <v>523.01</v>
      </c>
      <c r="E77" s="2">
        <f>IFERROR(__xludf.DUMMYFUNCTION("""COMPUTED_VALUE"""),532.33)</f>
        <v>532.33</v>
      </c>
      <c r="F77" s="2">
        <f>IFERROR(__xludf.DUMMYFUNCTION("""COMPUTED_VALUE"""),6967688.0)</f>
        <v>6967688</v>
      </c>
      <c r="G77" s="3">
        <f t="shared" si="1"/>
        <v>-0.001875011719</v>
      </c>
    </row>
    <row r="78">
      <c r="A78" s="1">
        <f>IFERROR(__xludf.DUMMYFUNCTION("""COMPUTED_VALUE"""),42174.66666666667)</f>
        <v>42174.66667</v>
      </c>
      <c r="B78" s="2">
        <f>IFERROR(__xludf.DUMMYFUNCTION("""COMPUTED_VALUE"""),528.0)</f>
        <v>528</v>
      </c>
      <c r="C78" s="2">
        <f>IFERROR(__xludf.DUMMYFUNCTION("""COMPUTED_VALUE"""),538.25)</f>
        <v>538.25</v>
      </c>
      <c r="D78" s="2">
        <f>IFERROR(__xludf.DUMMYFUNCTION("""COMPUTED_VALUE"""),524.0)</f>
        <v>524</v>
      </c>
      <c r="E78" s="2">
        <f>IFERROR(__xludf.DUMMYFUNCTION("""COMPUTED_VALUE"""),536.69)</f>
        <v>536.69</v>
      </c>
      <c r="F78" s="2">
        <f>IFERROR(__xludf.DUMMYFUNCTION("""COMPUTED_VALUE"""),7725338.0)</f>
        <v>7725338</v>
      </c>
      <c r="G78" s="3">
        <f t="shared" si="1"/>
        <v>0.008190408205</v>
      </c>
    </row>
    <row r="79">
      <c r="A79" s="1">
        <f>IFERROR(__xludf.DUMMYFUNCTION("""COMPUTED_VALUE"""),42181.66666666667)</f>
        <v>42181.66667</v>
      </c>
      <c r="B79" s="2">
        <f>IFERROR(__xludf.DUMMYFUNCTION("""COMPUTED_VALUE"""),539.59)</f>
        <v>539.59</v>
      </c>
      <c r="C79" s="2">
        <f>IFERROR(__xludf.DUMMYFUNCTION("""COMPUTED_VALUE"""),543.74)</f>
        <v>543.74</v>
      </c>
      <c r="D79" s="2">
        <f>IFERROR(__xludf.DUMMYFUNCTION("""COMPUTED_VALUE"""),531.35)</f>
        <v>531.35</v>
      </c>
      <c r="E79" s="2">
        <f>IFERROR(__xludf.DUMMYFUNCTION("""COMPUTED_VALUE"""),531.69)</f>
        <v>531.69</v>
      </c>
      <c r="F79" s="2">
        <f>IFERROR(__xludf.DUMMYFUNCTION("""COMPUTED_VALUE"""),7179167.0)</f>
        <v>7179167</v>
      </c>
      <c r="G79" s="3">
        <f t="shared" si="1"/>
        <v>-0.009316365127</v>
      </c>
    </row>
    <row r="80">
      <c r="A80" s="1">
        <f>IFERROR(__xludf.DUMMYFUNCTION("""COMPUTED_VALUE"""),42187.66666666667)</f>
        <v>42187.66667</v>
      </c>
      <c r="B80" s="2">
        <f>IFERROR(__xludf.DUMMYFUNCTION("""COMPUTED_VALUE"""),525.0)</f>
        <v>525</v>
      </c>
      <c r="C80" s="2">
        <f>IFERROR(__xludf.DUMMYFUNCTION("""COMPUTED_VALUE"""),528.61)</f>
        <v>528.61</v>
      </c>
      <c r="D80" s="2">
        <f>IFERROR(__xludf.DUMMYFUNCTION("""COMPUTED_VALUE"""),518.23)</f>
        <v>518.23</v>
      </c>
      <c r="E80" s="2">
        <f>IFERROR(__xludf.DUMMYFUNCTION("""COMPUTED_VALUE"""),523.4)</f>
        <v>523.4</v>
      </c>
      <c r="F80" s="2">
        <f>IFERROR(__xludf.DUMMYFUNCTION("""COMPUTED_VALUE"""),7370673.0)</f>
        <v>7370673</v>
      </c>
      <c r="G80" s="3">
        <f t="shared" si="1"/>
        <v>-0.01559179221</v>
      </c>
    </row>
    <row r="81">
      <c r="A81" s="1">
        <f>IFERROR(__xludf.DUMMYFUNCTION("""COMPUTED_VALUE"""),42195.66666666667)</f>
        <v>42195.66667</v>
      </c>
      <c r="B81" s="2">
        <f>IFERROR(__xludf.DUMMYFUNCTION("""COMPUTED_VALUE"""),519.5)</f>
        <v>519.5</v>
      </c>
      <c r="C81" s="2">
        <f>IFERROR(__xludf.DUMMYFUNCTION("""COMPUTED_VALUE"""),532.56)</f>
        <v>532.56</v>
      </c>
      <c r="D81" s="2">
        <f>IFERROR(__xludf.DUMMYFUNCTION("""COMPUTED_VALUE"""),515.18)</f>
        <v>515.18</v>
      </c>
      <c r="E81" s="2">
        <f>IFERROR(__xludf.DUMMYFUNCTION("""COMPUTED_VALUE"""),530.13)</f>
        <v>530.13</v>
      </c>
      <c r="F81" s="2">
        <f>IFERROR(__xludf.DUMMYFUNCTION("""COMPUTED_VALUE"""),7973482.0)</f>
        <v>7973482</v>
      </c>
      <c r="G81" s="3">
        <f t="shared" si="1"/>
        <v>0.01285823462</v>
      </c>
    </row>
    <row r="82">
      <c r="A82" s="1">
        <f>IFERROR(__xludf.DUMMYFUNCTION("""COMPUTED_VALUE"""),42202.66666666667)</f>
        <v>42202.66667</v>
      </c>
      <c r="B82" s="2">
        <f>IFERROR(__xludf.DUMMYFUNCTION("""COMPUTED_VALUE"""),532.88)</f>
        <v>532.88</v>
      </c>
      <c r="C82" s="2">
        <f>IFERROR(__xludf.DUMMYFUNCTION("""COMPUTED_VALUE"""),674.47)</f>
        <v>674.47</v>
      </c>
      <c r="D82" s="2">
        <f>IFERROR(__xludf.DUMMYFUNCTION("""COMPUTED_VALUE"""),532.4)</f>
        <v>532.4</v>
      </c>
      <c r="E82" s="2">
        <f>IFERROR(__xludf.DUMMYFUNCTION("""COMPUTED_VALUE"""),672.93)</f>
        <v>672.93</v>
      </c>
      <c r="F82" s="2">
        <f>IFERROR(__xludf.DUMMYFUNCTION("""COMPUTED_VALUE"""),2.3168356E7)</f>
        <v>23168356</v>
      </c>
      <c r="G82" s="3">
        <f t="shared" si="1"/>
        <v>0.2693678909</v>
      </c>
    </row>
    <row r="83">
      <c r="A83" s="1">
        <f>IFERROR(__xludf.DUMMYFUNCTION("""COMPUTED_VALUE"""),42209.66666666667)</f>
        <v>42209.66667</v>
      </c>
      <c r="B83" s="2">
        <f>IFERROR(__xludf.DUMMYFUNCTION("""COMPUTED_VALUE"""),659.24)</f>
        <v>659.24</v>
      </c>
      <c r="C83" s="2">
        <f>IFERROR(__xludf.DUMMYFUNCTION("""COMPUTED_VALUE"""),678.64)</f>
        <v>678.64</v>
      </c>
      <c r="D83" s="2">
        <f>IFERROR(__xludf.DUMMYFUNCTION("""COMPUTED_VALUE"""),622.52)</f>
        <v>622.52</v>
      </c>
      <c r="E83" s="2">
        <f>IFERROR(__xludf.DUMMYFUNCTION("""COMPUTED_VALUE"""),623.56)</f>
        <v>623.56</v>
      </c>
      <c r="F83" s="2">
        <f>IFERROR(__xludf.DUMMYFUNCTION("""COMPUTED_VALUE"""),1.9822233E7)</f>
        <v>19822233</v>
      </c>
      <c r="G83" s="3">
        <f t="shared" si="1"/>
        <v>-0.07336572898</v>
      </c>
    </row>
    <row r="84">
      <c r="A84" s="1">
        <f>IFERROR(__xludf.DUMMYFUNCTION("""COMPUTED_VALUE"""),42216.66666666667)</f>
        <v>42216.66667</v>
      </c>
      <c r="B84" s="2">
        <f>IFERROR(__xludf.DUMMYFUNCTION("""COMPUTED_VALUE"""),621.0)</f>
        <v>621</v>
      </c>
      <c r="C84" s="2">
        <f>IFERROR(__xludf.DUMMYFUNCTION("""COMPUTED_VALUE"""),635.22)</f>
        <v>635.22</v>
      </c>
      <c r="D84" s="2">
        <f>IFERROR(__xludf.DUMMYFUNCTION("""COMPUTED_VALUE"""),620.5)</f>
        <v>620.5</v>
      </c>
      <c r="E84" s="2">
        <f>IFERROR(__xludf.DUMMYFUNCTION("""COMPUTED_VALUE"""),625.61)</f>
        <v>625.61</v>
      </c>
      <c r="F84" s="2">
        <f>IFERROR(__xludf.DUMMYFUNCTION("""COMPUTED_VALUE"""),9158129.0)</f>
        <v>9158129</v>
      </c>
      <c r="G84" s="3">
        <f t="shared" si="1"/>
        <v>0.003287574572</v>
      </c>
    </row>
    <row r="85">
      <c r="A85" s="1">
        <f>IFERROR(__xludf.DUMMYFUNCTION("""COMPUTED_VALUE"""),42223.66666666667)</f>
        <v>42223.66667</v>
      </c>
      <c r="B85" s="2">
        <f>IFERROR(__xludf.DUMMYFUNCTION("""COMPUTED_VALUE"""),625.34)</f>
        <v>625.34</v>
      </c>
      <c r="C85" s="2">
        <f>IFERROR(__xludf.DUMMYFUNCTION("""COMPUTED_VALUE"""),647.86)</f>
        <v>647.86</v>
      </c>
      <c r="D85" s="2">
        <f>IFERROR(__xludf.DUMMYFUNCTION("""COMPUTED_VALUE"""),625.34)</f>
        <v>625.34</v>
      </c>
      <c r="E85" s="2">
        <f>IFERROR(__xludf.DUMMYFUNCTION("""COMPUTED_VALUE"""),635.3)</f>
        <v>635.3</v>
      </c>
      <c r="F85" s="2">
        <f>IFERROR(__xludf.DUMMYFUNCTION("""COMPUTED_VALUE"""),8106123.0)</f>
        <v>8106123</v>
      </c>
      <c r="G85" s="3">
        <f t="shared" si="1"/>
        <v>0.01548888285</v>
      </c>
    </row>
    <row r="86">
      <c r="A86" s="1">
        <f>IFERROR(__xludf.DUMMYFUNCTION("""COMPUTED_VALUE"""),42230.66666666667)</f>
        <v>42230.66667</v>
      </c>
      <c r="B86" s="2">
        <f>IFERROR(__xludf.DUMMYFUNCTION("""COMPUTED_VALUE"""),639.48)</f>
        <v>639.48</v>
      </c>
      <c r="C86" s="2">
        <f>IFERROR(__xludf.DUMMYFUNCTION("""COMPUTED_VALUE"""),674.9)</f>
        <v>674.9</v>
      </c>
      <c r="D86" s="2">
        <f>IFERROR(__xludf.DUMMYFUNCTION("""COMPUTED_VALUE"""),631.25)</f>
        <v>631.25</v>
      </c>
      <c r="E86" s="2">
        <f>IFERROR(__xludf.DUMMYFUNCTION("""COMPUTED_VALUE"""),657.12)</f>
        <v>657.12</v>
      </c>
      <c r="F86" s="2">
        <f>IFERROR(__xludf.DUMMYFUNCTION("""COMPUTED_VALUE"""),1.2662021E7)</f>
        <v>12662021</v>
      </c>
      <c r="G86" s="3">
        <f t="shared" si="1"/>
        <v>0.03434597828</v>
      </c>
    </row>
    <row r="87">
      <c r="A87" s="1">
        <f>IFERROR(__xludf.DUMMYFUNCTION("""COMPUTED_VALUE"""),42237.66666666667)</f>
        <v>42237.66667</v>
      </c>
      <c r="B87" s="2">
        <f>IFERROR(__xludf.DUMMYFUNCTION("""COMPUTED_VALUE"""),656.8)</f>
        <v>656.8</v>
      </c>
      <c r="C87" s="2">
        <f>IFERROR(__xludf.DUMMYFUNCTION("""COMPUTED_VALUE"""),667.0)</f>
        <v>667</v>
      </c>
      <c r="D87" s="2">
        <f>IFERROR(__xludf.DUMMYFUNCTION("""COMPUTED_VALUE"""),612.33)</f>
        <v>612.33</v>
      </c>
      <c r="E87" s="2">
        <f>IFERROR(__xludf.DUMMYFUNCTION("""COMPUTED_VALUE"""),612.48)</f>
        <v>612.48</v>
      </c>
      <c r="F87" s="2">
        <f>IFERROR(__xludf.DUMMYFUNCTION("""COMPUTED_VALUE"""),1.1762338E7)</f>
        <v>11762338</v>
      </c>
      <c r="G87" s="3">
        <f t="shared" si="1"/>
        <v>-0.06793279766</v>
      </c>
    </row>
    <row r="88">
      <c r="A88" s="1">
        <f>IFERROR(__xludf.DUMMYFUNCTION("""COMPUTED_VALUE"""),42244.66666666667)</f>
        <v>42244.66667</v>
      </c>
      <c r="B88" s="2">
        <f>IFERROR(__xludf.DUMMYFUNCTION("""COMPUTED_VALUE"""),573.0)</f>
        <v>573</v>
      </c>
      <c r="C88" s="2">
        <f>IFERROR(__xludf.DUMMYFUNCTION("""COMPUTED_VALUE"""),643.59)</f>
        <v>643.59</v>
      </c>
      <c r="D88" s="2">
        <f>IFERROR(__xludf.DUMMYFUNCTION("""COMPUTED_VALUE"""),565.05)</f>
        <v>565.05</v>
      </c>
      <c r="E88" s="2">
        <f>IFERROR(__xludf.DUMMYFUNCTION("""COMPUTED_VALUE"""),630.38)</f>
        <v>630.38</v>
      </c>
      <c r="F88" s="2">
        <f>IFERROR(__xludf.DUMMYFUNCTION("""COMPUTED_VALUE"""),1.9014228E7)</f>
        <v>19014228</v>
      </c>
      <c r="G88" s="3">
        <f t="shared" si="1"/>
        <v>0.0292254441</v>
      </c>
    </row>
    <row r="89">
      <c r="A89" s="1">
        <f>IFERROR(__xludf.DUMMYFUNCTION("""COMPUTED_VALUE"""),42251.66666666667)</f>
        <v>42251.66667</v>
      </c>
      <c r="B89" s="2">
        <f>IFERROR(__xludf.DUMMYFUNCTION("""COMPUTED_VALUE"""),627.54)</f>
        <v>627.54</v>
      </c>
      <c r="C89" s="2">
        <f>IFERROR(__xludf.DUMMYFUNCTION("""COMPUTED_VALUE"""),635.8)</f>
        <v>635.8</v>
      </c>
      <c r="D89" s="2">
        <f>IFERROR(__xludf.DUMMYFUNCTION("""COMPUTED_VALUE"""),594.1)</f>
        <v>594.1</v>
      </c>
      <c r="E89" s="2">
        <f>IFERROR(__xludf.DUMMYFUNCTION("""COMPUTED_VALUE"""),600.7)</f>
        <v>600.7</v>
      </c>
      <c r="F89" s="2">
        <f>IFERROR(__xludf.DUMMYFUNCTION("""COMPUTED_VALUE"""),1.2303487E7)</f>
        <v>12303487</v>
      </c>
      <c r="G89" s="3">
        <f t="shared" si="1"/>
        <v>-0.04708271201</v>
      </c>
    </row>
    <row r="90">
      <c r="A90" s="1">
        <f>IFERROR(__xludf.DUMMYFUNCTION("""COMPUTED_VALUE"""),42258.66666666667)</f>
        <v>42258.66667</v>
      </c>
      <c r="B90" s="2">
        <f>IFERROR(__xludf.DUMMYFUNCTION("""COMPUTED_VALUE"""),612.49)</f>
        <v>612.49</v>
      </c>
      <c r="C90" s="2">
        <f>IFERROR(__xludf.DUMMYFUNCTION("""COMPUTED_VALUE"""),626.52)</f>
        <v>626.52</v>
      </c>
      <c r="D90" s="2">
        <f>IFERROR(__xludf.DUMMYFUNCTION("""COMPUTED_VALUE"""),604.12)</f>
        <v>604.12</v>
      </c>
      <c r="E90" s="2">
        <f>IFERROR(__xludf.DUMMYFUNCTION("""COMPUTED_VALUE"""),625.77)</f>
        <v>625.77</v>
      </c>
      <c r="F90" s="2">
        <f>IFERROR(__xludf.DUMMYFUNCTION("""COMPUTED_VALUE"""),7260453.0)</f>
        <v>7260453</v>
      </c>
      <c r="G90" s="3">
        <f t="shared" si="1"/>
        <v>0.04173464292</v>
      </c>
    </row>
    <row r="91">
      <c r="A91" s="1">
        <f>IFERROR(__xludf.DUMMYFUNCTION("""COMPUTED_VALUE"""),42265.66666666667)</f>
        <v>42265.66667</v>
      </c>
      <c r="B91" s="2">
        <f>IFERROR(__xludf.DUMMYFUNCTION("""COMPUTED_VALUE"""),625.7)</f>
        <v>625.7</v>
      </c>
      <c r="C91" s="2">
        <f>IFERROR(__xludf.DUMMYFUNCTION("""COMPUTED_VALUE"""),650.9)</f>
        <v>650.9</v>
      </c>
      <c r="D91" s="2">
        <f>IFERROR(__xludf.DUMMYFUNCTION("""COMPUTED_VALUE"""),619.43)</f>
        <v>619.43</v>
      </c>
      <c r="E91" s="2">
        <f>IFERROR(__xludf.DUMMYFUNCTION("""COMPUTED_VALUE"""),629.25)</f>
        <v>629.25</v>
      </c>
      <c r="F91" s="2">
        <f>IFERROR(__xludf.DUMMYFUNCTION("""COMPUTED_VALUE"""),1.2481198E7)</f>
        <v>12481198</v>
      </c>
      <c r="G91" s="3">
        <f t="shared" si="1"/>
        <v>0.005561148665</v>
      </c>
    </row>
    <row r="92">
      <c r="A92" s="1">
        <f>IFERROR(__xludf.DUMMYFUNCTION("""COMPUTED_VALUE"""),42272.66666666667)</f>
        <v>42272.66667</v>
      </c>
      <c r="B92" s="2">
        <f>IFERROR(__xludf.DUMMYFUNCTION("""COMPUTED_VALUE"""),634.4)</f>
        <v>634.4</v>
      </c>
      <c r="C92" s="2">
        <f>IFERROR(__xludf.DUMMYFUNCTION("""COMPUTED_VALUE"""),636.49)</f>
        <v>636.49</v>
      </c>
      <c r="D92" s="2">
        <f>IFERROR(__xludf.DUMMYFUNCTION("""COMPUTED_VALUE"""),611.0)</f>
        <v>611</v>
      </c>
      <c r="E92" s="2">
        <f>IFERROR(__xludf.DUMMYFUNCTION("""COMPUTED_VALUE"""),611.97)</f>
        <v>611.97</v>
      </c>
      <c r="F92" s="2">
        <f>IFERROR(__xludf.DUMMYFUNCTION("""COMPUTED_VALUE"""),1.0236431E7)</f>
        <v>10236431</v>
      </c>
      <c r="G92" s="3">
        <f t="shared" si="1"/>
        <v>-0.02746126341</v>
      </c>
    </row>
    <row r="93">
      <c r="A93" s="1">
        <f>IFERROR(__xludf.DUMMYFUNCTION("""COMPUTED_VALUE"""),42279.66666666667)</f>
        <v>42279.66667</v>
      </c>
      <c r="B93" s="2">
        <f>IFERROR(__xludf.DUMMYFUNCTION("""COMPUTED_VALUE"""),610.34)</f>
        <v>610.34</v>
      </c>
      <c r="C93" s="2">
        <f>IFERROR(__xludf.DUMMYFUNCTION("""COMPUTED_VALUE"""),627.34)</f>
        <v>627.34</v>
      </c>
      <c r="D93" s="2">
        <f>IFERROR(__xludf.DUMMYFUNCTION("""COMPUTED_VALUE"""),589.38)</f>
        <v>589.38</v>
      </c>
      <c r="E93" s="2">
        <f>IFERROR(__xludf.DUMMYFUNCTION("""COMPUTED_VALUE"""),626.91)</f>
        <v>626.91</v>
      </c>
      <c r="F93" s="2">
        <f>IFERROR(__xludf.DUMMYFUNCTION("""COMPUTED_VALUE"""),1.2403798E7)</f>
        <v>12403798</v>
      </c>
      <c r="G93" s="3">
        <f t="shared" si="1"/>
        <v>0.02441296142</v>
      </c>
    </row>
    <row r="94">
      <c r="A94" s="1">
        <f>IFERROR(__xludf.DUMMYFUNCTION("""COMPUTED_VALUE"""),42286.66666666667)</f>
        <v>42286.66667</v>
      </c>
      <c r="B94" s="2">
        <f>IFERROR(__xludf.DUMMYFUNCTION("""COMPUTED_VALUE"""),632.0)</f>
        <v>632</v>
      </c>
      <c r="C94" s="2">
        <f>IFERROR(__xludf.DUMMYFUNCTION("""COMPUTED_VALUE"""),650.61)</f>
        <v>650.61</v>
      </c>
      <c r="D94" s="2">
        <f>IFERROR(__xludf.DUMMYFUNCTION("""COMPUTED_VALUE"""),625.56)</f>
        <v>625.56</v>
      </c>
      <c r="E94" s="2">
        <f>IFERROR(__xludf.DUMMYFUNCTION("""COMPUTED_VALUE"""),643.61)</f>
        <v>643.61</v>
      </c>
      <c r="F94" s="2">
        <f>IFERROR(__xludf.DUMMYFUNCTION("""COMPUTED_VALUE"""),9964021.0)</f>
        <v>9964021</v>
      </c>
      <c r="G94" s="3">
        <f t="shared" si="1"/>
        <v>0.02663859246</v>
      </c>
    </row>
    <row r="95">
      <c r="A95" s="1">
        <f>IFERROR(__xludf.DUMMYFUNCTION("""COMPUTED_VALUE"""),42293.66666666667)</f>
        <v>42293.66667</v>
      </c>
      <c r="B95" s="2">
        <f>IFERROR(__xludf.DUMMYFUNCTION("""COMPUTED_VALUE"""),642.09)</f>
        <v>642.09</v>
      </c>
      <c r="C95" s="2">
        <f>IFERROR(__xludf.DUMMYFUNCTION("""COMPUTED_VALUE"""),664.97)</f>
        <v>664.97</v>
      </c>
      <c r="D95" s="2">
        <f>IFERROR(__xludf.DUMMYFUNCTION("""COMPUTED_VALUE"""),639.01)</f>
        <v>639.01</v>
      </c>
      <c r="E95" s="2">
        <f>IFERROR(__xludf.DUMMYFUNCTION("""COMPUTED_VALUE"""),662.2)</f>
        <v>662.2</v>
      </c>
      <c r="F95" s="2">
        <f>IFERROR(__xludf.DUMMYFUNCTION("""COMPUTED_VALUE"""),7996152.0)</f>
        <v>7996152</v>
      </c>
      <c r="G95" s="3">
        <f t="shared" si="1"/>
        <v>0.02888395146</v>
      </c>
    </row>
    <row r="96">
      <c r="A96" s="1">
        <f>IFERROR(__xludf.DUMMYFUNCTION("""COMPUTED_VALUE"""),42300.66666666667)</f>
        <v>42300.66667</v>
      </c>
      <c r="B96" s="2">
        <f>IFERROR(__xludf.DUMMYFUNCTION("""COMPUTED_VALUE"""),661.18)</f>
        <v>661.18</v>
      </c>
      <c r="C96" s="2">
        <f>IFERROR(__xludf.DUMMYFUNCTION("""COMPUTED_VALUE"""),730.0)</f>
        <v>730</v>
      </c>
      <c r="D96" s="2">
        <f>IFERROR(__xludf.DUMMYFUNCTION("""COMPUTED_VALUE"""),641.73)</f>
        <v>641.73</v>
      </c>
      <c r="E96" s="2">
        <f>IFERROR(__xludf.DUMMYFUNCTION("""COMPUTED_VALUE"""),702.0)</f>
        <v>702</v>
      </c>
      <c r="F96" s="2">
        <f>IFERROR(__xludf.DUMMYFUNCTION("""COMPUTED_VALUE"""),1.6494604E7)</f>
        <v>16494604</v>
      </c>
      <c r="G96" s="3">
        <f t="shared" si="1"/>
        <v>0.06010268801</v>
      </c>
    </row>
    <row r="97">
      <c r="A97" s="1">
        <f>IFERROR(__xludf.DUMMYFUNCTION("""COMPUTED_VALUE"""),42307.66666666667)</f>
        <v>42307.66667</v>
      </c>
      <c r="B97" s="2">
        <f>IFERROR(__xludf.DUMMYFUNCTION("""COMPUTED_VALUE"""),701.55)</f>
        <v>701.55</v>
      </c>
      <c r="C97" s="2">
        <f>IFERROR(__xludf.DUMMYFUNCTION("""COMPUTED_VALUE"""),719.15)</f>
        <v>719.15</v>
      </c>
      <c r="D97" s="2">
        <f>IFERROR(__xludf.DUMMYFUNCTION("""COMPUTED_VALUE"""),701.26)</f>
        <v>701.26</v>
      </c>
      <c r="E97" s="2">
        <f>IFERROR(__xludf.DUMMYFUNCTION("""COMPUTED_VALUE"""),710.81)</f>
        <v>710.81</v>
      </c>
      <c r="F97" s="2">
        <f>IFERROR(__xludf.DUMMYFUNCTION("""COMPUTED_VALUE"""),1.0506067E7)</f>
        <v>10506067</v>
      </c>
      <c r="G97" s="3">
        <f t="shared" si="1"/>
        <v>0.01254985755</v>
      </c>
    </row>
    <row r="98">
      <c r="A98" s="1">
        <f>IFERROR(__xludf.DUMMYFUNCTION("""COMPUTED_VALUE"""),42314.66666666667)</f>
        <v>42314.66667</v>
      </c>
      <c r="B98" s="2">
        <f>IFERROR(__xludf.DUMMYFUNCTION("""COMPUTED_VALUE"""),711.06)</f>
        <v>711.06</v>
      </c>
      <c r="C98" s="2">
        <f>IFERROR(__xludf.DUMMYFUNCTION("""COMPUTED_VALUE"""),739.48)</f>
        <v>739.48</v>
      </c>
      <c r="D98" s="2">
        <f>IFERROR(__xludf.DUMMYFUNCTION("""COMPUTED_VALUE"""),705.85)</f>
        <v>705.85</v>
      </c>
      <c r="E98" s="2">
        <f>IFERROR(__xludf.DUMMYFUNCTION("""COMPUTED_VALUE"""),733.76)</f>
        <v>733.76</v>
      </c>
      <c r="F98" s="2">
        <f>IFERROR(__xludf.DUMMYFUNCTION("""COMPUTED_VALUE"""),8531478.0)</f>
        <v>8531478</v>
      </c>
      <c r="G98" s="3">
        <f t="shared" si="1"/>
        <v>0.03228710907</v>
      </c>
    </row>
    <row r="99">
      <c r="A99" s="1">
        <f>IFERROR(__xludf.DUMMYFUNCTION("""COMPUTED_VALUE"""),42321.66666666667)</f>
        <v>42321.66667</v>
      </c>
      <c r="B99" s="2">
        <f>IFERROR(__xludf.DUMMYFUNCTION("""COMPUTED_VALUE"""),730.2)</f>
        <v>730.2</v>
      </c>
      <c r="C99" s="2">
        <f>IFERROR(__xludf.DUMMYFUNCTION("""COMPUTED_VALUE"""),741.0)</f>
        <v>741</v>
      </c>
      <c r="D99" s="2">
        <f>IFERROR(__xludf.DUMMYFUNCTION("""COMPUTED_VALUE"""),716.73)</f>
        <v>716.73</v>
      </c>
      <c r="E99" s="2">
        <f>IFERROR(__xludf.DUMMYFUNCTION("""COMPUTED_VALUE"""),717.0)</f>
        <v>717</v>
      </c>
      <c r="F99" s="2">
        <f>IFERROR(__xludf.DUMMYFUNCTION("""COMPUTED_VALUE"""),8957454.0)</f>
        <v>8957454</v>
      </c>
      <c r="G99" s="3">
        <f t="shared" si="1"/>
        <v>-0.022841256</v>
      </c>
    </row>
    <row r="100">
      <c r="A100" s="1">
        <f>IFERROR(__xludf.DUMMYFUNCTION("""COMPUTED_VALUE"""),42328.66666666667)</f>
        <v>42328.66667</v>
      </c>
      <c r="B100" s="2">
        <f>IFERROR(__xludf.DUMMYFUNCTION("""COMPUTED_VALUE"""),715.6)</f>
        <v>715.6</v>
      </c>
      <c r="C100" s="2">
        <f>IFERROR(__xludf.DUMMYFUNCTION("""COMPUTED_VALUE"""),757.92)</f>
        <v>757.92</v>
      </c>
      <c r="D100" s="2">
        <f>IFERROR(__xludf.DUMMYFUNCTION("""COMPUTED_VALUE"""),711.33)</f>
        <v>711.33</v>
      </c>
      <c r="E100" s="2">
        <f>IFERROR(__xludf.DUMMYFUNCTION("""COMPUTED_VALUE"""),756.6)</f>
        <v>756.6</v>
      </c>
      <c r="F100" s="2">
        <f>IFERROR(__xludf.DUMMYFUNCTION("""COMPUTED_VALUE"""),8642218.0)</f>
        <v>8642218</v>
      </c>
      <c r="G100" s="3">
        <f t="shared" si="1"/>
        <v>0.05523012552</v>
      </c>
    </row>
    <row r="101">
      <c r="A101" s="1">
        <f>IFERROR(__xludf.DUMMYFUNCTION("""COMPUTED_VALUE"""),42335.66666666667)</f>
        <v>42335.66667</v>
      </c>
      <c r="B101" s="2">
        <f>IFERROR(__xludf.DUMMYFUNCTION("""COMPUTED_VALUE"""),757.45)</f>
        <v>757.45</v>
      </c>
      <c r="C101" s="2">
        <f>IFERROR(__xludf.DUMMYFUNCTION("""COMPUTED_VALUE"""),762.71)</f>
        <v>762.71</v>
      </c>
      <c r="D101" s="2">
        <f>IFERROR(__xludf.DUMMYFUNCTION("""COMPUTED_VALUE"""),737.63)</f>
        <v>737.63</v>
      </c>
      <c r="E101" s="2">
        <f>IFERROR(__xludf.DUMMYFUNCTION("""COMPUTED_VALUE"""),750.26)</f>
        <v>750.26</v>
      </c>
      <c r="F101" s="2">
        <f>IFERROR(__xludf.DUMMYFUNCTION("""COMPUTED_VALUE"""),5710334.0)</f>
        <v>5710334</v>
      </c>
      <c r="G101" s="3">
        <f t="shared" si="1"/>
        <v>-0.008379592916</v>
      </c>
    </row>
    <row r="102">
      <c r="A102" s="1">
        <f>IFERROR(__xludf.DUMMYFUNCTION("""COMPUTED_VALUE"""),42342.66666666667)</f>
        <v>42342.66667</v>
      </c>
      <c r="B102" s="2">
        <f>IFERROR(__xludf.DUMMYFUNCTION("""COMPUTED_VALUE"""),748.81)</f>
        <v>748.81</v>
      </c>
      <c r="C102" s="2">
        <f>IFERROR(__xludf.DUMMYFUNCTION("""COMPUTED_VALUE"""),775.96)</f>
        <v>775.96</v>
      </c>
      <c r="D102" s="2">
        <f>IFERROR(__xludf.DUMMYFUNCTION("""COMPUTED_VALUE"""),741.27)</f>
        <v>741.27</v>
      </c>
      <c r="E102" s="2">
        <f>IFERROR(__xludf.DUMMYFUNCTION("""COMPUTED_VALUE"""),766.81)</f>
        <v>766.81</v>
      </c>
      <c r="F102" s="2">
        <f>IFERROR(__xludf.DUMMYFUNCTION("""COMPUTED_VALUE"""),1.1810542E7)</f>
        <v>11810542</v>
      </c>
      <c r="G102" s="3">
        <f t="shared" si="1"/>
        <v>0.02205901954</v>
      </c>
    </row>
    <row r="103">
      <c r="A103" s="1">
        <f>IFERROR(__xludf.DUMMYFUNCTION("""COMPUTED_VALUE"""),42349.66666666667)</f>
        <v>42349.66667</v>
      </c>
      <c r="B103" s="2">
        <f>IFERROR(__xludf.DUMMYFUNCTION("""COMPUTED_VALUE"""),767.77)</f>
        <v>767.77</v>
      </c>
      <c r="C103" s="2">
        <f>IFERROR(__xludf.DUMMYFUNCTION("""COMPUTED_VALUE"""),768.73)</f>
        <v>768.73</v>
      </c>
      <c r="D103" s="2">
        <f>IFERROR(__xludf.DUMMYFUNCTION("""COMPUTED_VALUE"""),736.75)</f>
        <v>736.75</v>
      </c>
      <c r="E103" s="2">
        <f>IFERROR(__xludf.DUMMYFUNCTION("""COMPUTED_VALUE"""),738.87)</f>
        <v>738.87</v>
      </c>
      <c r="F103" s="2">
        <f>IFERROR(__xludf.DUMMYFUNCTION("""COMPUTED_VALUE"""),1.0554569E7)</f>
        <v>10554569</v>
      </c>
      <c r="G103" s="3">
        <f t="shared" si="1"/>
        <v>-0.03643666619</v>
      </c>
    </row>
    <row r="104">
      <c r="A104" s="1">
        <f>IFERROR(__xludf.DUMMYFUNCTION("""COMPUTED_VALUE"""),42356.66666666667)</f>
        <v>42356.66667</v>
      </c>
      <c r="B104" s="2">
        <f>IFERROR(__xludf.DUMMYFUNCTION("""COMPUTED_VALUE"""),741.79)</f>
        <v>741.79</v>
      </c>
      <c r="C104" s="2">
        <f>IFERROR(__xludf.DUMMYFUNCTION("""COMPUTED_VALUE"""),762.68)</f>
        <v>762.68</v>
      </c>
      <c r="D104" s="2">
        <f>IFERROR(__xludf.DUMMYFUNCTION("""COMPUTED_VALUE"""),724.17)</f>
        <v>724.17</v>
      </c>
      <c r="E104" s="2">
        <f>IFERROR(__xludf.DUMMYFUNCTION("""COMPUTED_VALUE"""),739.31)</f>
        <v>739.31</v>
      </c>
      <c r="F104" s="2">
        <f>IFERROR(__xludf.DUMMYFUNCTION("""COMPUTED_VALUE"""),1.1782877E7)</f>
        <v>11782877</v>
      </c>
      <c r="G104" s="3">
        <f t="shared" si="1"/>
        <v>0.0005955039452</v>
      </c>
    </row>
    <row r="105">
      <c r="A105" s="1">
        <f>IFERROR(__xludf.DUMMYFUNCTION("""COMPUTED_VALUE"""),42362.66666666667)</f>
        <v>42362.66667</v>
      </c>
      <c r="B105" s="2">
        <f>IFERROR(__xludf.DUMMYFUNCTION("""COMPUTED_VALUE"""),746.13)</f>
        <v>746.13</v>
      </c>
      <c r="C105" s="2">
        <f>IFERROR(__xludf.DUMMYFUNCTION("""COMPUTED_VALUE"""),754.85)</f>
        <v>754.85</v>
      </c>
      <c r="D105" s="2">
        <f>IFERROR(__xludf.DUMMYFUNCTION("""COMPUTED_VALUE"""),740.0)</f>
        <v>740</v>
      </c>
      <c r="E105" s="2">
        <f>IFERROR(__xludf.DUMMYFUNCTION("""COMPUTED_VALUE"""),748.4)</f>
        <v>748.4</v>
      </c>
      <c r="F105" s="2">
        <f>IFERROR(__xludf.DUMMYFUNCTION("""COMPUTED_VALUE"""),4985172.0)</f>
        <v>4985172</v>
      </c>
      <c r="G105" s="3">
        <f t="shared" si="1"/>
        <v>0.01229524827</v>
      </c>
    </row>
    <row r="106">
      <c r="A106" s="1">
        <f>IFERROR(__xludf.DUMMYFUNCTION("""COMPUTED_VALUE"""),42369.66666666667)</f>
        <v>42369.66667</v>
      </c>
      <c r="B106" s="2">
        <f>IFERROR(__xludf.DUMMYFUNCTION("""COMPUTED_VALUE"""),752.92)</f>
        <v>752.92</v>
      </c>
      <c r="C106" s="2">
        <f>IFERROR(__xludf.DUMMYFUNCTION("""COMPUTED_VALUE"""),779.98)</f>
        <v>779.98</v>
      </c>
      <c r="D106" s="2">
        <f>IFERROR(__xludf.DUMMYFUNCTION("""COMPUTED_VALUE"""),749.52)</f>
        <v>749.52</v>
      </c>
      <c r="E106" s="2">
        <f>IFERROR(__xludf.DUMMYFUNCTION("""COMPUTED_VALUE"""),758.88)</f>
        <v>758.88</v>
      </c>
      <c r="F106" s="2">
        <f>IFERROR(__xludf.DUMMYFUNCTION("""COMPUTED_VALUE"""),6075172.0)</f>
        <v>6075172</v>
      </c>
      <c r="G106" s="3">
        <f t="shared" si="1"/>
        <v>0.01400320684</v>
      </c>
    </row>
    <row r="107">
      <c r="A107" s="1">
        <f>IFERROR(__xludf.DUMMYFUNCTION("""COMPUTED_VALUE"""),42377.66666666667)</f>
        <v>42377.66667</v>
      </c>
      <c r="B107" s="2">
        <f>IFERROR(__xludf.DUMMYFUNCTION("""COMPUTED_VALUE"""),743.0)</f>
        <v>743</v>
      </c>
      <c r="C107" s="2">
        <f>IFERROR(__xludf.DUMMYFUNCTION("""COMPUTED_VALUE"""),752.0)</f>
        <v>752</v>
      </c>
      <c r="D107" s="2">
        <f>IFERROR(__xludf.DUMMYFUNCTION("""COMPUTED_VALUE"""),713.0)</f>
        <v>713</v>
      </c>
      <c r="E107" s="2">
        <f>IFERROR(__xludf.DUMMYFUNCTION("""COMPUTED_VALUE"""),714.47)</f>
        <v>714.47</v>
      </c>
      <c r="F107" s="2">
        <f>IFERROR(__xludf.DUMMYFUNCTION("""COMPUTED_VALUE"""),1.2585099E7)</f>
        <v>12585099</v>
      </c>
      <c r="G107" s="3">
        <f t="shared" si="1"/>
        <v>-0.05852045119</v>
      </c>
    </row>
    <row r="108">
      <c r="A108" s="1">
        <f>IFERROR(__xludf.DUMMYFUNCTION("""COMPUTED_VALUE"""),42384.66666666667)</f>
        <v>42384.66667</v>
      </c>
      <c r="B108" s="2">
        <f>IFERROR(__xludf.DUMMYFUNCTION("""COMPUTED_VALUE"""),716.61)</f>
        <v>716.61</v>
      </c>
      <c r="C108" s="2">
        <f>IFERROR(__xludf.DUMMYFUNCTION("""COMPUTED_VALUE"""),734.74)</f>
        <v>734.74</v>
      </c>
      <c r="D108" s="2">
        <f>IFERROR(__xludf.DUMMYFUNCTION("""COMPUTED_VALUE"""),685.37)</f>
        <v>685.37</v>
      </c>
      <c r="E108" s="2">
        <f>IFERROR(__xludf.DUMMYFUNCTION("""COMPUTED_VALUE"""),694.45)</f>
        <v>694.45</v>
      </c>
      <c r="F108" s="2">
        <f>IFERROR(__xludf.DUMMYFUNCTION("""COMPUTED_VALUE"""),1.2450737E7)</f>
        <v>12450737</v>
      </c>
      <c r="G108" s="3">
        <f t="shared" si="1"/>
        <v>-0.02802077064</v>
      </c>
    </row>
    <row r="109">
      <c r="A109" s="1">
        <f>IFERROR(__xludf.DUMMYFUNCTION("""COMPUTED_VALUE"""),42391.66666666667)</f>
        <v>42391.66667</v>
      </c>
      <c r="B109" s="2">
        <f>IFERROR(__xludf.DUMMYFUNCTION("""COMPUTED_VALUE"""),703.3)</f>
        <v>703.3</v>
      </c>
      <c r="C109" s="2">
        <f>IFERROR(__xludf.DUMMYFUNCTION("""COMPUTED_VALUE"""),728.13)</f>
        <v>728.13</v>
      </c>
      <c r="D109" s="2">
        <f>IFERROR(__xludf.DUMMYFUNCTION("""COMPUTED_VALUE"""),673.26)</f>
        <v>673.26</v>
      </c>
      <c r="E109" s="2">
        <f>IFERROR(__xludf.DUMMYFUNCTION("""COMPUTED_VALUE"""),725.25)</f>
        <v>725.25</v>
      </c>
      <c r="F109" s="2">
        <f>IFERROR(__xludf.DUMMYFUNCTION("""COMPUTED_VALUE"""),1.0137048E7)</f>
        <v>10137048</v>
      </c>
      <c r="G109" s="3">
        <f t="shared" si="1"/>
        <v>0.04435164519</v>
      </c>
    </row>
    <row r="110">
      <c r="A110" s="1">
        <f>IFERROR(__xludf.DUMMYFUNCTION("""COMPUTED_VALUE"""),42398.66666666667)</f>
        <v>42398.66667</v>
      </c>
      <c r="B110" s="2">
        <f>IFERROR(__xludf.DUMMYFUNCTION("""COMPUTED_VALUE"""),723.58)</f>
        <v>723.58</v>
      </c>
      <c r="C110" s="2">
        <f>IFERROR(__xludf.DUMMYFUNCTION("""COMPUTED_VALUE"""),744.99)</f>
        <v>744.99</v>
      </c>
      <c r="D110" s="2">
        <f>IFERROR(__xludf.DUMMYFUNCTION("""COMPUTED_VALUE"""),694.39)</f>
        <v>694.39</v>
      </c>
      <c r="E110" s="2">
        <f>IFERROR(__xludf.DUMMYFUNCTION("""COMPUTED_VALUE"""),742.95)</f>
        <v>742.95</v>
      </c>
      <c r="F110" s="2">
        <f>IFERROR(__xludf.DUMMYFUNCTION("""COMPUTED_VALUE"""),1.138835E7)</f>
        <v>11388350</v>
      </c>
      <c r="G110" s="3">
        <f t="shared" si="1"/>
        <v>0.02440537746</v>
      </c>
    </row>
    <row r="111">
      <c r="A111" s="1">
        <f>IFERROR(__xludf.DUMMYFUNCTION("""COMPUTED_VALUE"""),42405.66666666667)</f>
        <v>42405.66667</v>
      </c>
      <c r="B111" s="2">
        <f>IFERROR(__xludf.DUMMYFUNCTION("""COMPUTED_VALUE"""),750.46)</f>
        <v>750.46</v>
      </c>
      <c r="C111" s="2">
        <f>IFERROR(__xludf.DUMMYFUNCTION("""COMPUTED_VALUE"""),789.87)</f>
        <v>789.87</v>
      </c>
      <c r="D111" s="2">
        <f>IFERROR(__xludf.DUMMYFUNCTION("""COMPUTED_VALUE"""),680.15)</f>
        <v>680.15</v>
      </c>
      <c r="E111" s="2">
        <f>IFERROR(__xludf.DUMMYFUNCTION("""COMPUTED_VALUE"""),683.57)</f>
        <v>683.57</v>
      </c>
      <c r="F111" s="2">
        <f>IFERROR(__xludf.DUMMYFUNCTION("""COMPUTED_VALUE"""),2.7932736E7)</f>
        <v>27932736</v>
      </c>
      <c r="G111" s="3">
        <f t="shared" si="1"/>
        <v>-0.07992462481</v>
      </c>
    </row>
    <row r="112">
      <c r="A112" s="1">
        <f>IFERROR(__xludf.DUMMYFUNCTION("""COMPUTED_VALUE"""),42412.66666666667)</f>
        <v>42412.66667</v>
      </c>
      <c r="B112" s="2">
        <f>IFERROR(__xludf.DUMMYFUNCTION("""COMPUTED_VALUE"""),667.85)</f>
        <v>667.85</v>
      </c>
      <c r="C112" s="2">
        <f>IFERROR(__xludf.DUMMYFUNCTION("""COMPUTED_VALUE"""),701.31)</f>
        <v>701.31</v>
      </c>
      <c r="D112" s="2">
        <f>IFERROR(__xludf.DUMMYFUNCTION("""COMPUTED_VALUE"""),663.06)</f>
        <v>663.06</v>
      </c>
      <c r="E112" s="2">
        <f>IFERROR(__xludf.DUMMYFUNCTION("""COMPUTED_VALUE"""),682.4)</f>
        <v>682.4</v>
      </c>
      <c r="F112" s="2">
        <f>IFERROR(__xludf.DUMMYFUNCTION("""COMPUTED_VALUE"""),1.5659692E7)</f>
        <v>15659692</v>
      </c>
      <c r="G112" s="3">
        <f t="shared" si="1"/>
        <v>-0.001711602323</v>
      </c>
    </row>
    <row r="113">
      <c r="A113" s="1">
        <f>IFERROR(__xludf.DUMMYFUNCTION("""COMPUTED_VALUE"""),42419.66666666667)</f>
        <v>42419.66667</v>
      </c>
      <c r="B113" s="2">
        <f>IFERROR(__xludf.DUMMYFUNCTION("""COMPUTED_VALUE"""),692.98)</f>
        <v>692.98</v>
      </c>
      <c r="C113" s="2">
        <f>IFERROR(__xludf.DUMMYFUNCTION("""COMPUTED_VALUE"""),712.35)</f>
        <v>712.35</v>
      </c>
      <c r="D113" s="2">
        <f>IFERROR(__xludf.DUMMYFUNCTION("""COMPUTED_VALUE"""),685.05)</f>
        <v>685.05</v>
      </c>
      <c r="E113" s="2">
        <f>IFERROR(__xludf.DUMMYFUNCTION("""COMPUTED_VALUE"""),700.91)</f>
        <v>700.91</v>
      </c>
      <c r="F113" s="2">
        <f>IFERROR(__xludf.DUMMYFUNCTION("""COMPUTED_VALUE"""),8485184.0)</f>
        <v>8485184</v>
      </c>
      <c r="G113" s="3">
        <f t="shared" si="1"/>
        <v>0.02712485346</v>
      </c>
    </row>
    <row r="114">
      <c r="A114" s="1">
        <f>IFERROR(__xludf.DUMMYFUNCTION("""COMPUTED_VALUE"""),42426.66666666667)</f>
        <v>42426.66667</v>
      </c>
      <c r="B114" s="2">
        <f>IFERROR(__xludf.DUMMYFUNCTION("""COMPUTED_VALUE"""),707.45)</f>
        <v>707.45</v>
      </c>
      <c r="C114" s="2">
        <f>IFERROR(__xludf.DUMMYFUNCTION("""COMPUTED_VALUE"""),713.43)</f>
        <v>713.43</v>
      </c>
      <c r="D114" s="2">
        <f>IFERROR(__xludf.DUMMYFUNCTION("""COMPUTED_VALUE"""),680.78)</f>
        <v>680.78</v>
      </c>
      <c r="E114" s="2">
        <f>IFERROR(__xludf.DUMMYFUNCTION("""COMPUTED_VALUE"""),705.07)</f>
        <v>705.07</v>
      </c>
      <c r="F114" s="2">
        <f>IFERROR(__xludf.DUMMYFUNCTION("""COMPUTED_VALUE"""),9808357.0)</f>
        <v>9808357</v>
      </c>
      <c r="G114" s="3">
        <f t="shared" si="1"/>
        <v>0.005935141459</v>
      </c>
    </row>
    <row r="115">
      <c r="A115" s="1">
        <f>IFERROR(__xludf.DUMMYFUNCTION("""COMPUTED_VALUE"""),42433.66666666667)</f>
        <v>42433.66667</v>
      </c>
      <c r="B115" s="2">
        <f>IFERROR(__xludf.DUMMYFUNCTION("""COMPUTED_VALUE"""),700.32)</f>
        <v>700.32</v>
      </c>
      <c r="C115" s="2">
        <f>IFERROR(__xludf.DUMMYFUNCTION("""COMPUTED_VALUE"""),720.0)</f>
        <v>720</v>
      </c>
      <c r="D115" s="2">
        <f>IFERROR(__xludf.DUMMYFUNCTION("""COMPUTED_VALUE"""),697.68)</f>
        <v>697.68</v>
      </c>
      <c r="E115" s="2">
        <f>IFERROR(__xludf.DUMMYFUNCTION("""COMPUTED_VALUE"""),710.89)</f>
        <v>710.89</v>
      </c>
      <c r="F115" s="2">
        <f>IFERROR(__xludf.DUMMYFUNCTION("""COMPUTED_VALUE"""),1.0191618E7)</f>
        <v>10191618</v>
      </c>
      <c r="G115" s="3">
        <f t="shared" si="1"/>
        <v>0.008254499553</v>
      </c>
    </row>
    <row r="116">
      <c r="A116" s="1">
        <f>IFERROR(__xludf.DUMMYFUNCTION("""COMPUTED_VALUE"""),42440.66666666667)</f>
        <v>42440.66667</v>
      </c>
      <c r="B116" s="2">
        <f>IFERROR(__xludf.DUMMYFUNCTION("""COMPUTED_VALUE"""),706.9)</f>
        <v>706.9</v>
      </c>
      <c r="C116" s="2">
        <f>IFERROR(__xludf.DUMMYFUNCTION("""COMPUTED_VALUE"""),726.92)</f>
        <v>726.92</v>
      </c>
      <c r="D116" s="2">
        <f>IFERROR(__xludf.DUMMYFUNCTION("""COMPUTED_VALUE"""),685.34)</f>
        <v>685.34</v>
      </c>
      <c r="E116" s="2">
        <f>IFERROR(__xludf.DUMMYFUNCTION("""COMPUTED_VALUE"""),726.82)</f>
        <v>726.82</v>
      </c>
      <c r="F116" s="2">
        <f>IFERROR(__xludf.DUMMYFUNCTION("""COMPUTED_VALUE"""),1.1290212E7)</f>
        <v>11290212</v>
      </c>
      <c r="G116" s="3">
        <f t="shared" si="1"/>
        <v>0.02240853015</v>
      </c>
    </row>
    <row r="117">
      <c r="A117" s="1">
        <f>IFERROR(__xludf.DUMMYFUNCTION("""COMPUTED_VALUE"""),42447.66666666667)</f>
        <v>42447.66667</v>
      </c>
      <c r="B117" s="2">
        <f>IFERROR(__xludf.DUMMYFUNCTION("""COMPUTED_VALUE"""),726.81)</f>
        <v>726.81</v>
      </c>
      <c r="C117" s="2">
        <f>IFERROR(__xludf.DUMMYFUNCTION("""COMPUTED_VALUE"""),743.07)</f>
        <v>743.07</v>
      </c>
      <c r="D117" s="2">
        <f>IFERROR(__xludf.DUMMYFUNCTION("""COMPUTED_VALUE"""),724.51)</f>
        <v>724.51</v>
      </c>
      <c r="E117" s="2">
        <f>IFERROR(__xludf.DUMMYFUNCTION("""COMPUTED_VALUE"""),737.6)</f>
        <v>737.6</v>
      </c>
      <c r="F117" s="2">
        <f>IFERROR(__xludf.DUMMYFUNCTION("""COMPUTED_VALUE"""),9905130.0)</f>
        <v>9905130</v>
      </c>
      <c r="G117" s="3">
        <f t="shared" si="1"/>
        <v>0.01483173275</v>
      </c>
    </row>
    <row r="118">
      <c r="A118" s="1">
        <f>IFERROR(__xludf.DUMMYFUNCTION("""COMPUTED_VALUE"""),42453.66666666667)</f>
        <v>42453.66667</v>
      </c>
      <c r="B118" s="2">
        <f>IFERROR(__xludf.DUMMYFUNCTION("""COMPUTED_VALUE"""),736.5)</f>
        <v>736.5</v>
      </c>
      <c r="C118" s="2">
        <f>IFERROR(__xludf.DUMMYFUNCTION("""COMPUTED_VALUE"""),745.72)</f>
        <v>745.72</v>
      </c>
      <c r="D118" s="2">
        <f>IFERROR(__xludf.DUMMYFUNCTION("""COMPUTED_VALUE"""),731.0)</f>
        <v>731</v>
      </c>
      <c r="E118" s="2">
        <f>IFERROR(__xludf.DUMMYFUNCTION("""COMPUTED_VALUE"""),735.3)</f>
        <v>735.3</v>
      </c>
      <c r="F118" s="2">
        <f>IFERROR(__xludf.DUMMYFUNCTION("""COMPUTED_VALUE"""),6133242.0)</f>
        <v>6133242</v>
      </c>
      <c r="G118" s="3">
        <f t="shared" si="1"/>
        <v>-0.003118221258</v>
      </c>
    </row>
    <row r="119">
      <c r="A119" s="1">
        <f>IFERROR(__xludf.DUMMYFUNCTION("""COMPUTED_VALUE"""),42461.66666666667)</f>
        <v>42461.66667</v>
      </c>
      <c r="B119" s="2">
        <f>IFERROR(__xludf.DUMMYFUNCTION("""COMPUTED_VALUE"""),736.79)</f>
        <v>736.79</v>
      </c>
      <c r="C119" s="2">
        <f>IFERROR(__xludf.DUMMYFUNCTION("""COMPUTED_VALUE"""),757.88)</f>
        <v>757.88</v>
      </c>
      <c r="D119" s="2">
        <f>IFERROR(__xludf.DUMMYFUNCTION("""COMPUTED_VALUE"""),728.76)</f>
        <v>728.76</v>
      </c>
      <c r="E119" s="2">
        <f>IFERROR(__xludf.DUMMYFUNCTION("""COMPUTED_VALUE"""),749.91)</f>
        <v>749.91</v>
      </c>
      <c r="F119" s="2">
        <f>IFERROR(__xludf.DUMMYFUNCTION("""COMPUTED_VALUE"""),8283055.0)</f>
        <v>8283055</v>
      </c>
      <c r="G119" s="3">
        <f t="shared" si="1"/>
        <v>0.01986944104</v>
      </c>
    </row>
    <row r="120">
      <c r="A120" s="1">
        <f>IFERROR(__xludf.DUMMYFUNCTION("""COMPUTED_VALUE"""),42468.66666666667)</f>
        <v>42468.66667</v>
      </c>
      <c r="B120" s="2">
        <f>IFERROR(__xludf.DUMMYFUNCTION("""COMPUTED_VALUE"""),750.06)</f>
        <v>750.06</v>
      </c>
      <c r="C120" s="2">
        <f>IFERROR(__xludf.DUMMYFUNCTION("""COMPUTED_VALUE"""),752.8)</f>
        <v>752.8</v>
      </c>
      <c r="D120" s="2">
        <f>IFERROR(__xludf.DUMMYFUNCTION("""COMPUTED_VALUE"""),735.37)</f>
        <v>735.37</v>
      </c>
      <c r="E120" s="2">
        <f>IFERROR(__xludf.DUMMYFUNCTION("""COMPUTED_VALUE"""),739.15)</f>
        <v>739.15</v>
      </c>
      <c r="F120" s="2">
        <f>IFERROR(__xludf.DUMMYFUNCTION("""COMPUTED_VALUE"""),6064369.0)</f>
        <v>6064369</v>
      </c>
      <c r="G120" s="3">
        <f t="shared" si="1"/>
        <v>-0.01434838847</v>
      </c>
    </row>
    <row r="121">
      <c r="A121" s="1">
        <f>IFERROR(__xludf.DUMMYFUNCTION("""COMPUTED_VALUE"""),42475.66666666667)</f>
        <v>42475.66667</v>
      </c>
      <c r="B121" s="2">
        <f>IFERROR(__xludf.DUMMYFUNCTION("""COMPUTED_VALUE"""),743.02)</f>
        <v>743.02</v>
      </c>
      <c r="C121" s="2">
        <f>IFERROR(__xludf.DUMMYFUNCTION("""COMPUTED_VALUE"""),761.0)</f>
        <v>761</v>
      </c>
      <c r="D121" s="2">
        <f>IFERROR(__xludf.DUMMYFUNCTION("""COMPUTED_VALUE"""),731.01)</f>
        <v>731.01</v>
      </c>
      <c r="E121" s="2">
        <f>IFERROR(__xludf.DUMMYFUNCTION("""COMPUTED_VALUE"""),759.0)</f>
        <v>759</v>
      </c>
      <c r="F121" s="2">
        <f>IFERROR(__xludf.DUMMYFUNCTION("""COMPUTED_VALUE"""),7225324.0)</f>
        <v>7225324</v>
      </c>
      <c r="G121" s="3">
        <f t="shared" si="1"/>
        <v>0.02685517148</v>
      </c>
    </row>
    <row r="122">
      <c r="A122" s="1">
        <f>IFERROR(__xludf.DUMMYFUNCTION("""COMPUTED_VALUE"""),42482.66666666667)</f>
        <v>42482.66667</v>
      </c>
      <c r="B122" s="2">
        <f>IFERROR(__xludf.DUMMYFUNCTION("""COMPUTED_VALUE"""),760.46)</f>
        <v>760.46</v>
      </c>
      <c r="C122" s="2">
        <f>IFERROR(__xludf.DUMMYFUNCTION("""COMPUTED_VALUE"""),769.9)</f>
        <v>769.9</v>
      </c>
      <c r="D122" s="2">
        <f>IFERROR(__xludf.DUMMYFUNCTION("""COMPUTED_VALUE"""),713.61)</f>
        <v>713.61</v>
      </c>
      <c r="E122" s="2">
        <f>IFERROR(__xludf.DUMMYFUNCTION("""COMPUTED_VALUE"""),718.77)</f>
        <v>718.77</v>
      </c>
      <c r="F122" s="2">
        <f>IFERROR(__xludf.DUMMYFUNCTION("""COMPUTED_VALUE"""),1.4131019E7)</f>
        <v>14131019</v>
      </c>
      <c r="G122" s="3">
        <f t="shared" si="1"/>
        <v>-0.05300395257</v>
      </c>
    </row>
    <row r="123">
      <c r="A123" s="1">
        <f>IFERROR(__xludf.DUMMYFUNCTION("""COMPUTED_VALUE"""),42489.66666666667)</f>
        <v>42489.66667</v>
      </c>
      <c r="B123" s="2">
        <f>IFERROR(__xludf.DUMMYFUNCTION("""COMPUTED_VALUE"""),716.1)</f>
        <v>716.1</v>
      </c>
      <c r="C123" s="2">
        <f>IFERROR(__xludf.DUMMYFUNCTION("""COMPUTED_VALUE"""),725.77)</f>
        <v>725.77</v>
      </c>
      <c r="D123" s="2">
        <f>IFERROR(__xludf.DUMMYFUNCTION("""COMPUTED_VALUE"""),689.0)</f>
        <v>689</v>
      </c>
      <c r="E123" s="2">
        <f>IFERROR(__xludf.DUMMYFUNCTION("""COMPUTED_VALUE"""),693.01)</f>
        <v>693.01</v>
      </c>
      <c r="F123" s="2">
        <f>IFERROR(__xludf.DUMMYFUNCTION("""COMPUTED_VALUE"""),1.3157281E7)</f>
        <v>13157281</v>
      </c>
      <c r="G123" s="3">
        <f t="shared" si="1"/>
        <v>-0.03583900274</v>
      </c>
    </row>
    <row r="124">
      <c r="A124" s="1">
        <f>IFERROR(__xludf.DUMMYFUNCTION("""COMPUTED_VALUE"""),42496.66666666667)</f>
        <v>42496.66667</v>
      </c>
      <c r="B124" s="2">
        <f>IFERROR(__xludf.DUMMYFUNCTION("""COMPUTED_VALUE"""),697.63)</f>
        <v>697.63</v>
      </c>
      <c r="C124" s="2">
        <f>IFERROR(__xludf.DUMMYFUNCTION("""COMPUTED_VALUE"""),711.86)</f>
        <v>711.86</v>
      </c>
      <c r="D124" s="2">
        <f>IFERROR(__xludf.DUMMYFUNCTION("""COMPUTED_VALUE"""),689.01)</f>
        <v>689.01</v>
      </c>
      <c r="E124" s="2">
        <f>IFERROR(__xludf.DUMMYFUNCTION("""COMPUTED_VALUE"""),711.12)</f>
        <v>711.12</v>
      </c>
      <c r="F124" s="2">
        <f>IFERROR(__xludf.DUMMYFUNCTION("""COMPUTED_VALUE"""),8395373.0)</f>
        <v>8395373</v>
      </c>
      <c r="G124" s="3">
        <f t="shared" si="1"/>
        <v>0.02613237904</v>
      </c>
    </row>
    <row r="125">
      <c r="A125" s="1">
        <f>IFERROR(__xludf.DUMMYFUNCTION("""COMPUTED_VALUE"""),42503.66666666667)</f>
        <v>42503.66667</v>
      </c>
      <c r="B125" s="2">
        <f>IFERROR(__xludf.DUMMYFUNCTION("""COMPUTED_VALUE"""),712.0)</f>
        <v>712</v>
      </c>
      <c r="C125" s="2">
        <f>IFERROR(__xludf.DUMMYFUNCTION("""COMPUTED_VALUE"""),724.48)</f>
        <v>724.48</v>
      </c>
      <c r="D125" s="2">
        <f>IFERROR(__xludf.DUMMYFUNCTION("""COMPUTED_VALUE"""),709.0)</f>
        <v>709</v>
      </c>
      <c r="E125" s="2">
        <f>IFERROR(__xludf.DUMMYFUNCTION("""COMPUTED_VALUE"""),710.83)</f>
        <v>710.83</v>
      </c>
      <c r="F125" s="2">
        <f>IFERROR(__xludf.DUMMYFUNCTION("""COMPUTED_VALUE"""),7447774.0)</f>
        <v>7447774</v>
      </c>
      <c r="G125" s="3">
        <f t="shared" si="1"/>
        <v>-0.0004078074024</v>
      </c>
    </row>
    <row r="126">
      <c r="A126" s="1">
        <f>IFERROR(__xludf.DUMMYFUNCTION("""COMPUTED_VALUE"""),42510.66666666667)</f>
        <v>42510.66667</v>
      </c>
      <c r="B126" s="2">
        <f>IFERROR(__xludf.DUMMYFUNCTION("""COMPUTED_VALUE"""),709.13)</f>
        <v>709.13</v>
      </c>
      <c r="C126" s="2">
        <f>IFERROR(__xludf.DUMMYFUNCTION("""COMPUTED_VALUE"""),721.52)</f>
        <v>721.52</v>
      </c>
      <c r="D126" s="2">
        <f>IFERROR(__xludf.DUMMYFUNCTION("""COMPUTED_VALUE"""),696.8)</f>
        <v>696.8</v>
      </c>
      <c r="E126" s="2">
        <f>IFERROR(__xludf.DUMMYFUNCTION("""COMPUTED_VALUE"""),709.74)</f>
        <v>709.74</v>
      </c>
      <c r="F126" s="2">
        <f>IFERROR(__xludf.DUMMYFUNCTION("""COMPUTED_VALUE"""),8583751.0)</f>
        <v>8583751</v>
      </c>
      <c r="G126" s="3">
        <f t="shared" si="1"/>
        <v>-0.00153341868</v>
      </c>
    </row>
    <row r="127">
      <c r="A127" s="1">
        <f>IFERROR(__xludf.DUMMYFUNCTION("""COMPUTED_VALUE"""),42517.66666666667)</f>
        <v>42517.66667</v>
      </c>
      <c r="B127" s="2">
        <f>IFERROR(__xludf.DUMMYFUNCTION("""COMPUTED_VALUE"""),706.53)</f>
        <v>706.53</v>
      </c>
      <c r="C127" s="2">
        <f>IFERROR(__xludf.DUMMYFUNCTION("""COMPUTED_VALUE"""),733.94)</f>
        <v>733.94</v>
      </c>
      <c r="D127" s="2">
        <f>IFERROR(__xludf.DUMMYFUNCTION("""COMPUTED_VALUE"""),704.18)</f>
        <v>704.18</v>
      </c>
      <c r="E127" s="2">
        <f>IFERROR(__xludf.DUMMYFUNCTION("""COMPUTED_VALUE"""),732.66)</f>
        <v>732.66</v>
      </c>
      <c r="F127" s="2">
        <f>IFERROR(__xludf.DUMMYFUNCTION("""COMPUTED_VALUE"""),8443971.0)</f>
        <v>8443971</v>
      </c>
      <c r="G127" s="3">
        <f t="shared" si="1"/>
        <v>0.03229351594</v>
      </c>
    </row>
    <row r="128">
      <c r="A128" s="1">
        <f>IFERROR(__xludf.DUMMYFUNCTION("""COMPUTED_VALUE"""),42524.66666666667)</f>
        <v>42524.66667</v>
      </c>
      <c r="B128" s="2">
        <f>IFERROR(__xludf.DUMMYFUNCTION("""COMPUTED_VALUE"""),731.74)</f>
        <v>731.74</v>
      </c>
      <c r="C128" s="2">
        <f>IFERROR(__xludf.DUMMYFUNCTION("""COMPUTED_VALUE"""),739.73)</f>
        <v>739.73</v>
      </c>
      <c r="D128" s="2">
        <f>IFERROR(__xludf.DUMMYFUNCTION("""COMPUTED_VALUE"""),720.56)</f>
        <v>720.56</v>
      </c>
      <c r="E128" s="2">
        <f>IFERROR(__xludf.DUMMYFUNCTION("""COMPUTED_VALUE"""),722.34)</f>
        <v>722.34</v>
      </c>
      <c r="F128" s="2">
        <f>IFERROR(__xludf.DUMMYFUNCTION("""COMPUTED_VALUE"""),5951198.0)</f>
        <v>5951198</v>
      </c>
      <c r="G128" s="3">
        <f t="shared" si="1"/>
        <v>-0.01408566047</v>
      </c>
    </row>
    <row r="129">
      <c r="A129" s="1">
        <f>IFERROR(__xludf.DUMMYFUNCTION("""COMPUTED_VALUE"""),42531.66666666667)</f>
        <v>42531.66667</v>
      </c>
      <c r="B129" s="2">
        <f>IFERROR(__xludf.DUMMYFUNCTION("""COMPUTED_VALUE"""),724.91)</f>
        <v>724.91</v>
      </c>
      <c r="C129" s="2">
        <f>IFERROR(__xludf.DUMMYFUNCTION("""COMPUTED_VALUE"""),729.54)</f>
        <v>729.54</v>
      </c>
      <c r="D129" s="2">
        <f>IFERROR(__xludf.DUMMYFUNCTION("""COMPUTED_VALUE"""),714.61)</f>
        <v>714.61</v>
      </c>
      <c r="E129" s="2">
        <f>IFERROR(__xludf.DUMMYFUNCTION("""COMPUTED_VALUE"""),719.41)</f>
        <v>719.41</v>
      </c>
      <c r="F129" s="2">
        <f>IFERROR(__xludf.DUMMYFUNCTION("""COMPUTED_VALUE"""),6691871.0)</f>
        <v>6691871</v>
      </c>
      <c r="G129" s="3">
        <f t="shared" si="1"/>
        <v>-0.004056261594</v>
      </c>
    </row>
    <row r="130">
      <c r="A130" s="1">
        <f>IFERROR(__xludf.DUMMYFUNCTION("""COMPUTED_VALUE"""),42538.66666666667)</f>
        <v>42538.66667</v>
      </c>
      <c r="B130" s="2">
        <f>IFERROR(__xludf.DUMMYFUNCTION("""COMPUTED_VALUE"""),716.51)</f>
        <v>716.51</v>
      </c>
      <c r="C130" s="2">
        <f>IFERROR(__xludf.DUMMYFUNCTION("""COMPUTED_VALUE"""),725.44)</f>
        <v>725.44</v>
      </c>
      <c r="D130" s="2">
        <f>IFERROR(__xludf.DUMMYFUNCTION("""COMPUTED_VALUE"""),688.45)</f>
        <v>688.45</v>
      </c>
      <c r="E130" s="2">
        <f>IFERROR(__xludf.DUMMYFUNCTION("""COMPUTED_VALUE"""),691.72)</f>
        <v>691.72</v>
      </c>
      <c r="F130" s="2">
        <f>IFERROR(__xludf.DUMMYFUNCTION("""COMPUTED_VALUE"""),9164340.0)</f>
        <v>9164340</v>
      </c>
      <c r="G130" s="3">
        <f t="shared" si="1"/>
        <v>-0.03848987365</v>
      </c>
    </row>
    <row r="131">
      <c r="A131" s="1">
        <f>IFERROR(__xludf.DUMMYFUNCTION("""COMPUTED_VALUE"""),42545.66666666667)</f>
        <v>42545.66667</v>
      </c>
      <c r="B131" s="2">
        <f>IFERROR(__xludf.DUMMYFUNCTION("""COMPUTED_VALUE"""),698.77)</f>
        <v>698.77</v>
      </c>
      <c r="C131" s="2">
        <f>IFERROR(__xludf.DUMMYFUNCTION("""COMPUTED_VALUE"""),702.77)</f>
        <v>702.77</v>
      </c>
      <c r="D131" s="2">
        <f>IFERROR(__xludf.DUMMYFUNCTION("""COMPUTED_VALUE"""),673.45)</f>
        <v>673.45</v>
      </c>
      <c r="E131" s="2">
        <f>IFERROR(__xludf.DUMMYFUNCTION("""COMPUTED_VALUE"""),675.22)</f>
        <v>675.22</v>
      </c>
      <c r="F131" s="2">
        <f>IFERROR(__xludf.DUMMYFUNCTION("""COMPUTED_VALUE"""),1.1352927E7)</f>
        <v>11352927</v>
      </c>
      <c r="G131" s="3">
        <f t="shared" si="1"/>
        <v>-0.02385358237</v>
      </c>
    </row>
    <row r="132">
      <c r="A132" s="1">
        <f>IFERROR(__xludf.DUMMYFUNCTION("""COMPUTED_VALUE"""),42552.66666666667)</f>
        <v>42552.66667</v>
      </c>
      <c r="B132" s="2">
        <f>IFERROR(__xludf.DUMMYFUNCTION("""COMPUTED_VALUE"""),671.0)</f>
        <v>671</v>
      </c>
      <c r="C132" s="2">
        <f>IFERROR(__xludf.DUMMYFUNCTION("""COMPUTED_VALUE"""),700.65)</f>
        <v>700.65</v>
      </c>
      <c r="D132" s="2">
        <f>IFERROR(__xludf.DUMMYFUNCTION("""COMPUTED_VALUE"""),663.28)</f>
        <v>663.28</v>
      </c>
      <c r="E132" s="2">
        <f>IFERROR(__xludf.DUMMYFUNCTION("""COMPUTED_VALUE"""),699.21)</f>
        <v>699.21</v>
      </c>
      <c r="F132" s="2">
        <f>IFERROR(__xludf.DUMMYFUNCTION("""COMPUTED_VALUE"""),9689832.0)</f>
        <v>9689832</v>
      </c>
      <c r="G132" s="3">
        <f t="shared" si="1"/>
        <v>0.03552916087</v>
      </c>
    </row>
    <row r="133">
      <c r="A133" s="1">
        <f>IFERROR(__xludf.DUMMYFUNCTION("""COMPUTED_VALUE"""),42559.66666666667)</f>
        <v>42559.66667</v>
      </c>
      <c r="B133" s="2">
        <f>IFERROR(__xludf.DUMMYFUNCTION("""COMPUTED_VALUE"""),696.06)</f>
        <v>696.06</v>
      </c>
      <c r="C133" s="2">
        <f>IFERROR(__xludf.DUMMYFUNCTION("""COMPUTED_VALUE"""),705.71)</f>
        <v>705.71</v>
      </c>
      <c r="D133" s="2">
        <f>IFERROR(__xludf.DUMMYFUNCTION("""COMPUTED_VALUE"""),688.22)</f>
        <v>688.22</v>
      </c>
      <c r="E133" s="2">
        <f>IFERROR(__xludf.DUMMYFUNCTION("""COMPUTED_VALUE"""),705.63)</f>
        <v>705.63</v>
      </c>
      <c r="F133" s="2">
        <f>IFERROR(__xludf.DUMMYFUNCTION("""COMPUTED_VALUE"""),5753907.0)</f>
        <v>5753907</v>
      </c>
      <c r="G133" s="3">
        <f t="shared" si="1"/>
        <v>0.009181790878</v>
      </c>
    </row>
    <row r="134">
      <c r="A134" s="1">
        <f>IFERROR(__xludf.DUMMYFUNCTION("""COMPUTED_VALUE"""),42566.66666666667)</f>
        <v>42566.66667</v>
      </c>
      <c r="B134" s="2">
        <f>IFERROR(__xludf.DUMMYFUNCTION("""COMPUTED_VALUE"""),708.05)</f>
        <v>708.05</v>
      </c>
      <c r="C134" s="2">
        <f>IFERROR(__xludf.DUMMYFUNCTION("""COMPUTED_VALUE"""),725.74)</f>
        <v>725.74</v>
      </c>
      <c r="D134" s="2">
        <f>IFERROR(__xludf.DUMMYFUNCTION("""COMPUTED_VALUE"""),707.24)</f>
        <v>707.24</v>
      </c>
      <c r="E134" s="2">
        <f>IFERROR(__xludf.DUMMYFUNCTION("""COMPUTED_VALUE"""),719.85)</f>
        <v>719.85</v>
      </c>
      <c r="F134" s="2">
        <f>IFERROR(__xludf.DUMMYFUNCTION("""COMPUTED_VALUE"""),5614091.0)</f>
        <v>5614091</v>
      </c>
      <c r="G134" s="3">
        <f t="shared" si="1"/>
        <v>0.02015220441</v>
      </c>
    </row>
    <row r="135">
      <c r="A135" s="1">
        <f>IFERROR(__xludf.DUMMYFUNCTION("""COMPUTED_VALUE"""),42573.66666666667)</f>
        <v>42573.66667</v>
      </c>
      <c r="B135" s="2">
        <f>IFERROR(__xludf.DUMMYFUNCTION("""COMPUTED_VALUE"""),722.71)</f>
        <v>722.71</v>
      </c>
      <c r="C135" s="2">
        <f>IFERROR(__xludf.DUMMYFUNCTION("""COMPUTED_VALUE"""),743.24)</f>
        <v>743.24</v>
      </c>
      <c r="D135" s="2">
        <f>IFERROR(__xludf.DUMMYFUNCTION("""COMPUTED_VALUE"""),721.19)</f>
        <v>721.19</v>
      </c>
      <c r="E135" s="2">
        <f>IFERROR(__xludf.DUMMYFUNCTION("""COMPUTED_VALUE"""),742.74)</f>
        <v>742.74</v>
      </c>
      <c r="F135" s="2">
        <f>IFERROR(__xludf.DUMMYFUNCTION("""COMPUTED_VALUE"""),6098762.0)</f>
        <v>6098762</v>
      </c>
      <c r="G135" s="3">
        <f t="shared" si="1"/>
        <v>0.03179829131</v>
      </c>
    </row>
    <row r="136">
      <c r="A136" s="1">
        <f>IFERROR(__xludf.DUMMYFUNCTION("""COMPUTED_VALUE"""),42580.66666666667)</f>
        <v>42580.66667</v>
      </c>
      <c r="B136" s="2">
        <f>IFERROR(__xludf.DUMMYFUNCTION("""COMPUTED_VALUE"""),740.67)</f>
        <v>740.67</v>
      </c>
      <c r="C136" s="2">
        <f>IFERROR(__xludf.DUMMYFUNCTION("""COMPUTED_VALUE"""),778.55)</f>
        <v>778.55</v>
      </c>
      <c r="D136" s="2">
        <f>IFERROR(__xludf.DUMMYFUNCTION("""COMPUTED_VALUE"""),734.27)</f>
        <v>734.27</v>
      </c>
      <c r="E136" s="2">
        <f>IFERROR(__xludf.DUMMYFUNCTION("""COMPUTED_VALUE"""),768.79)</f>
        <v>768.79</v>
      </c>
      <c r="F136" s="2">
        <f>IFERROR(__xludf.DUMMYFUNCTION("""COMPUTED_VALUE"""),1.1103338E7)</f>
        <v>11103338</v>
      </c>
      <c r="G136" s="3">
        <f t="shared" si="1"/>
        <v>0.03507283841</v>
      </c>
    </row>
    <row r="137">
      <c r="A137" s="1">
        <f>IFERROR(__xludf.DUMMYFUNCTION("""COMPUTED_VALUE"""),42587.66666666667)</f>
        <v>42587.66667</v>
      </c>
      <c r="B137" s="2">
        <f>IFERROR(__xludf.DUMMYFUNCTION("""COMPUTED_VALUE"""),761.09)</f>
        <v>761.09</v>
      </c>
      <c r="C137" s="2">
        <f>IFERROR(__xludf.DUMMYFUNCTION("""COMPUTED_VALUE"""),783.04)</f>
        <v>783.04</v>
      </c>
      <c r="D137" s="2">
        <f>IFERROR(__xludf.DUMMYFUNCTION("""COMPUTED_VALUE"""),761.09)</f>
        <v>761.09</v>
      </c>
      <c r="E137" s="2">
        <f>IFERROR(__xludf.DUMMYFUNCTION("""COMPUTED_VALUE"""),782.22)</f>
        <v>782.22</v>
      </c>
      <c r="F137" s="2">
        <f>IFERROR(__xludf.DUMMYFUNCTION("""COMPUTED_VALUE"""),8713875.0)</f>
        <v>8713875</v>
      </c>
      <c r="G137" s="3">
        <f t="shared" si="1"/>
        <v>0.01746900974</v>
      </c>
    </row>
    <row r="138">
      <c r="A138" s="1">
        <f>IFERROR(__xludf.DUMMYFUNCTION("""COMPUTED_VALUE"""),42594.66666666667)</f>
        <v>42594.66667</v>
      </c>
      <c r="B138" s="2">
        <f>IFERROR(__xludf.DUMMYFUNCTION("""COMPUTED_VALUE"""),782.0)</f>
        <v>782</v>
      </c>
      <c r="C138" s="2">
        <f>IFERROR(__xludf.DUMMYFUNCTION("""COMPUTED_VALUE"""),789.75)</f>
        <v>789.75</v>
      </c>
      <c r="D138" s="2">
        <f>IFERROR(__xludf.DUMMYFUNCTION("""COMPUTED_VALUE"""),778.09)</f>
        <v>778.09</v>
      </c>
      <c r="E138" s="2">
        <f>IFERROR(__xludf.DUMMYFUNCTION("""COMPUTED_VALUE"""),783.22)</f>
        <v>783.22</v>
      </c>
      <c r="F138" s="2">
        <f>IFERROR(__xludf.DUMMYFUNCTION("""COMPUTED_VALUE"""),4928725.0)</f>
        <v>4928725</v>
      </c>
      <c r="G138" s="3">
        <f t="shared" si="1"/>
        <v>0.001278412723</v>
      </c>
    </row>
    <row r="139">
      <c r="A139" s="1">
        <f>IFERROR(__xludf.DUMMYFUNCTION("""COMPUTED_VALUE"""),42601.66666666667)</f>
        <v>42601.66667</v>
      </c>
      <c r="B139" s="2">
        <f>IFERROR(__xludf.DUMMYFUNCTION("""COMPUTED_VALUE"""),783.75)</f>
        <v>783.75</v>
      </c>
      <c r="C139" s="2">
        <f>IFERROR(__xludf.DUMMYFUNCTION("""COMPUTED_VALUE"""),787.49)</f>
        <v>787.49</v>
      </c>
      <c r="D139" s="2">
        <f>IFERROR(__xludf.DUMMYFUNCTION("""COMPUTED_VALUE"""),773.13)</f>
        <v>773.13</v>
      </c>
      <c r="E139" s="2">
        <f>IFERROR(__xludf.DUMMYFUNCTION("""COMPUTED_VALUE"""),775.42)</f>
        <v>775.42</v>
      </c>
      <c r="F139" s="2">
        <f>IFERROR(__xludf.DUMMYFUNCTION("""COMPUTED_VALUE"""),4471434.0)</f>
        <v>4471434</v>
      </c>
      <c r="G139" s="3">
        <f t="shared" si="1"/>
        <v>-0.009958887669</v>
      </c>
    </row>
    <row r="140">
      <c r="A140" s="1">
        <f>IFERROR(__xludf.DUMMYFUNCTION("""COMPUTED_VALUE"""),42608.66666666667)</f>
        <v>42608.66667</v>
      </c>
      <c r="B140" s="2">
        <f>IFERROR(__xludf.DUMMYFUNCTION("""COMPUTED_VALUE"""),773.27)</f>
        <v>773.27</v>
      </c>
      <c r="C140" s="2">
        <f>IFERROR(__xludf.DUMMYFUNCTION("""COMPUTED_VALUE"""),776.44)</f>
        <v>776.44</v>
      </c>
      <c r="D140" s="2">
        <f>IFERROR(__xludf.DUMMYFUNCTION("""COMPUTED_VALUE"""),763.18)</f>
        <v>763.18</v>
      </c>
      <c r="E140" s="2">
        <f>IFERROR(__xludf.DUMMYFUNCTION("""COMPUTED_VALUE"""),769.54)</f>
        <v>769.54</v>
      </c>
      <c r="F140" s="2">
        <f>IFERROR(__xludf.DUMMYFUNCTION("""COMPUTED_VALUE"""),5045157.0)</f>
        <v>5045157</v>
      </c>
      <c r="G140" s="3">
        <f t="shared" si="1"/>
        <v>-0.007582987284</v>
      </c>
    </row>
    <row r="141">
      <c r="A141" s="1">
        <f>IFERROR(__xludf.DUMMYFUNCTION("""COMPUTED_VALUE"""),42615.66666666667)</f>
        <v>42615.66667</v>
      </c>
      <c r="B141" s="2">
        <f>IFERROR(__xludf.DUMMYFUNCTION("""COMPUTED_VALUE"""),768.74)</f>
        <v>768.74</v>
      </c>
      <c r="C141" s="2">
        <f>IFERROR(__xludf.DUMMYFUNCTION("""COMPUTED_VALUE"""),774.99)</f>
        <v>774.99</v>
      </c>
      <c r="D141" s="2">
        <f>IFERROR(__xludf.DUMMYFUNCTION("""COMPUTED_VALUE"""),764.3)</f>
        <v>764.3</v>
      </c>
      <c r="E141" s="2">
        <f>IFERROR(__xludf.DUMMYFUNCTION("""COMPUTED_VALUE"""),771.46)</f>
        <v>771.46</v>
      </c>
      <c r="F141" s="2">
        <f>IFERROR(__xludf.DUMMYFUNCTION("""COMPUTED_VALUE"""),5223939.0)</f>
        <v>5223939</v>
      </c>
      <c r="G141" s="3">
        <f t="shared" si="1"/>
        <v>0.002494997011</v>
      </c>
    </row>
    <row r="142">
      <c r="A142" s="1">
        <f>IFERROR(__xludf.DUMMYFUNCTION("""COMPUTED_VALUE"""),42622.66666666667)</f>
        <v>42622.66667</v>
      </c>
      <c r="B142" s="2">
        <f>IFERROR(__xludf.DUMMYFUNCTION("""COMPUTED_VALUE"""),773.45)</f>
        <v>773.45</v>
      </c>
      <c r="C142" s="2">
        <f>IFERROR(__xludf.DUMMYFUNCTION("""COMPUTED_VALUE"""),782.73)</f>
        <v>782.73</v>
      </c>
      <c r="D142" s="2">
        <f>IFERROR(__xludf.DUMMYFUNCTION("""COMPUTED_VALUE"""),759.66)</f>
        <v>759.66</v>
      </c>
      <c r="E142" s="2">
        <f>IFERROR(__xludf.DUMMYFUNCTION("""COMPUTED_VALUE"""),759.66)</f>
        <v>759.66</v>
      </c>
      <c r="F142" s="2">
        <f>IFERROR(__xludf.DUMMYFUNCTION("""COMPUTED_VALUE"""),5492603.0)</f>
        <v>5492603</v>
      </c>
      <c r="G142" s="3">
        <f t="shared" si="1"/>
        <v>-0.01529567314</v>
      </c>
    </row>
    <row r="143">
      <c r="A143" s="1">
        <f>IFERROR(__xludf.DUMMYFUNCTION("""COMPUTED_VALUE"""),42629.66666666667)</f>
        <v>42629.66667</v>
      </c>
      <c r="B143" s="2">
        <f>IFERROR(__xludf.DUMMYFUNCTION("""COMPUTED_VALUE"""),755.13)</f>
        <v>755.13</v>
      </c>
      <c r="C143" s="2">
        <f>IFERROR(__xludf.DUMMYFUNCTION("""COMPUTED_VALUE"""),773.8)</f>
        <v>773.8</v>
      </c>
      <c r="D143" s="2">
        <f>IFERROR(__xludf.DUMMYFUNCTION("""COMPUTED_VALUE"""),754.0)</f>
        <v>754</v>
      </c>
      <c r="E143" s="2">
        <f>IFERROR(__xludf.DUMMYFUNCTION("""COMPUTED_VALUE"""),768.88)</f>
        <v>768.88</v>
      </c>
      <c r="F143" s="2">
        <f>IFERROR(__xludf.DUMMYFUNCTION("""COMPUTED_VALUE"""),7196611.0)</f>
        <v>7196611</v>
      </c>
      <c r="G143" s="3">
        <f t="shared" si="1"/>
        <v>0.01213700866</v>
      </c>
    </row>
    <row r="144">
      <c r="A144" s="1">
        <f>IFERROR(__xludf.DUMMYFUNCTION("""COMPUTED_VALUE"""),42636.66666666667)</f>
        <v>42636.66667</v>
      </c>
      <c r="B144" s="2">
        <f>IFERROR(__xludf.DUMMYFUNCTION("""COMPUTED_VALUE"""),772.42)</f>
        <v>772.42</v>
      </c>
      <c r="C144" s="2">
        <f>IFERROR(__xludf.DUMMYFUNCTION("""COMPUTED_VALUE"""),789.85)</f>
        <v>789.85</v>
      </c>
      <c r="D144" s="2">
        <f>IFERROR(__xludf.DUMMYFUNCTION("""COMPUTED_VALUE"""),764.44)</f>
        <v>764.44</v>
      </c>
      <c r="E144" s="2">
        <f>IFERROR(__xludf.DUMMYFUNCTION("""COMPUTED_VALUE"""),786.9)</f>
        <v>786.9</v>
      </c>
      <c r="F144" s="2">
        <f>IFERROR(__xludf.DUMMYFUNCTION("""COMPUTED_VALUE"""),6217425.0)</f>
        <v>6217425</v>
      </c>
      <c r="G144" s="3">
        <f t="shared" si="1"/>
        <v>0.02343668713</v>
      </c>
    </row>
    <row r="145">
      <c r="A145" s="1">
        <f>IFERROR(__xludf.DUMMYFUNCTION("""COMPUTED_VALUE"""),42643.66666666667)</f>
        <v>42643.66667</v>
      </c>
      <c r="B145" s="2">
        <f>IFERROR(__xludf.DUMMYFUNCTION("""COMPUTED_VALUE"""),782.74)</f>
        <v>782.74</v>
      </c>
      <c r="C145" s="2">
        <f>IFERROR(__xludf.DUMMYFUNCTION("""COMPUTED_VALUE"""),785.99)</f>
        <v>785.99</v>
      </c>
      <c r="D145" s="2">
        <f>IFERROR(__xludf.DUMMYFUNCTION("""COMPUTED_VALUE"""),773.07)</f>
        <v>773.07</v>
      </c>
      <c r="E145" s="2">
        <f>IFERROR(__xludf.DUMMYFUNCTION("""COMPUTED_VALUE"""),777.29)</f>
        <v>777.29</v>
      </c>
      <c r="F145" s="2">
        <f>IFERROR(__xludf.DUMMYFUNCTION("""COMPUTED_VALUE"""),6696366.0)</f>
        <v>6696366</v>
      </c>
      <c r="G145" s="3">
        <f t="shared" si="1"/>
        <v>-0.01221247935</v>
      </c>
    </row>
    <row r="146">
      <c r="A146" s="1">
        <f>IFERROR(__xludf.DUMMYFUNCTION("""COMPUTED_VALUE"""),42650.66666666667)</f>
        <v>42650.66667</v>
      </c>
      <c r="B146" s="2">
        <f>IFERROR(__xludf.DUMMYFUNCTION("""COMPUTED_VALUE"""),774.25)</f>
        <v>774.25</v>
      </c>
      <c r="C146" s="2">
        <f>IFERROR(__xludf.DUMMYFUNCTION("""COMPUTED_VALUE"""),782.07)</f>
        <v>782.07</v>
      </c>
      <c r="D146" s="2">
        <f>IFERROR(__xludf.DUMMYFUNCTION("""COMPUTED_VALUE"""),769.5)</f>
        <v>769.5</v>
      </c>
      <c r="E146" s="2">
        <f>IFERROR(__xludf.DUMMYFUNCTION("""COMPUTED_VALUE"""),775.08)</f>
        <v>775.08</v>
      </c>
      <c r="F146" s="2">
        <f>IFERROR(__xludf.DUMMYFUNCTION("""COMPUTED_VALUE"""),5945172.0)</f>
        <v>5945172</v>
      </c>
      <c r="G146" s="3">
        <f t="shared" si="1"/>
        <v>-0.002843211671</v>
      </c>
    </row>
    <row r="147">
      <c r="A147" s="1">
        <f>IFERROR(__xludf.DUMMYFUNCTION("""COMPUTED_VALUE"""),42657.66666666667)</f>
        <v>42657.66667</v>
      </c>
      <c r="B147" s="2">
        <f>IFERROR(__xludf.DUMMYFUNCTION("""COMPUTED_VALUE"""),777.71)</f>
        <v>777.71</v>
      </c>
      <c r="C147" s="2">
        <f>IFERROR(__xludf.DUMMYFUNCTION("""COMPUTED_VALUE"""),792.28)</f>
        <v>792.28</v>
      </c>
      <c r="D147" s="2">
        <f>IFERROR(__xludf.DUMMYFUNCTION("""COMPUTED_VALUE"""),773.0)</f>
        <v>773</v>
      </c>
      <c r="E147" s="2">
        <f>IFERROR(__xludf.DUMMYFUNCTION("""COMPUTED_VALUE"""),778.53)</f>
        <v>778.53</v>
      </c>
      <c r="F147" s="2">
        <f>IFERROR(__xludf.DUMMYFUNCTION("""COMPUTED_VALUE"""),5702583.0)</f>
        <v>5702583</v>
      </c>
      <c r="G147" s="3">
        <f t="shared" si="1"/>
        <v>0.004451153429</v>
      </c>
    </row>
    <row r="148">
      <c r="A148" s="1">
        <f>IFERROR(__xludf.DUMMYFUNCTION("""COMPUTED_VALUE"""),42664.66666666667)</f>
        <v>42664.66667</v>
      </c>
      <c r="B148" s="2">
        <f>IFERROR(__xludf.DUMMYFUNCTION("""COMPUTED_VALUE"""),779.8)</f>
        <v>779.8</v>
      </c>
      <c r="C148" s="2">
        <f>IFERROR(__xludf.DUMMYFUNCTION("""COMPUTED_VALUE"""),804.63)</f>
        <v>804.63</v>
      </c>
      <c r="D148" s="2">
        <f>IFERROR(__xludf.DUMMYFUNCTION("""COMPUTED_VALUE"""),777.5)</f>
        <v>777.5</v>
      </c>
      <c r="E148" s="2">
        <f>IFERROR(__xludf.DUMMYFUNCTION("""COMPUTED_VALUE"""),799.37)</f>
        <v>799.37</v>
      </c>
      <c r="F148" s="2">
        <f>IFERROR(__xludf.DUMMYFUNCTION("""COMPUTED_VALUE"""),7940383.0)</f>
        <v>7940383</v>
      </c>
      <c r="G148" s="3">
        <f t="shared" si="1"/>
        <v>0.02676839685</v>
      </c>
    </row>
    <row r="149">
      <c r="A149" s="1">
        <f>IFERROR(__xludf.DUMMYFUNCTION("""COMPUTED_VALUE"""),42671.66666666667)</f>
        <v>42671.66667</v>
      </c>
      <c r="B149" s="2">
        <f>IFERROR(__xludf.DUMMYFUNCTION("""COMPUTED_VALUE"""),804.9)</f>
        <v>804.9</v>
      </c>
      <c r="C149" s="2">
        <f>IFERROR(__xludf.DUMMYFUNCTION("""COMPUTED_VALUE"""),816.68)</f>
        <v>816.68</v>
      </c>
      <c r="D149" s="2">
        <f>IFERROR(__xludf.DUMMYFUNCTION("""COMPUTED_VALUE"""),791.5)</f>
        <v>791.5</v>
      </c>
      <c r="E149" s="2">
        <f>IFERROR(__xludf.DUMMYFUNCTION("""COMPUTED_VALUE"""),795.37)</f>
        <v>795.37</v>
      </c>
      <c r="F149" s="2">
        <f>IFERROR(__xludf.DUMMYFUNCTION("""COMPUTED_VALUE"""),1.1940774E7)</f>
        <v>11940774</v>
      </c>
      <c r="G149" s="3">
        <f t="shared" si="1"/>
        <v>-0.005003940603</v>
      </c>
    </row>
    <row r="150">
      <c r="A150" s="1">
        <f>IFERROR(__xludf.DUMMYFUNCTION("""COMPUTED_VALUE"""),42678.66666666667)</f>
        <v>42678.66667</v>
      </c>
      <c r="B150" s="2">
        <f>IFERROR(__xludf.DUMMYFUNCTION("""COMPUTED_VALUE"""),795.47)</f>
        <v>795.47</v>
      </c>
      <c r="C150" s="2">
        <f>IFERROR(__xludf.DUMMYFUNCTION("""COMPUTED_VALUE"""),796.86)</f>
        <v>796.86</v>
      </c>
      <c r="D150" s="2">
        <f>IFERROR(__xludf.DUMMYFUNCTION("""COMPUTED_VALUE"""),750.56)</f>
        <v>750.56</v>
      </c>
      <c r="E150" s="2">
        <f>IFERROR(__xludf.DUMMYFUNCTION("""COMPUTED_VALUE"""),762.02)</f>
        <v>762.02</v>
      </c>
      <c r="F150" s="2">
        <f>IFERROR(__xludf.DUMMYFUNCTION("""COMPUTED_VALUE"""),1.0830041E7)</f>
        <v>10830041</v>
      </c>
      <c r="G150" s="3">
        <f t="shared" si="1"/>
        <v>-0.04193017086</v>
      </c>
    </row>
    <row r="151">
      <c r="A151" s="1">
        <f>IFERROR(__xludf.DUMMYFUNCTION("""COMPUTED_VALUE"""),42685.66666666667)</f>
        <v>42685.66667</v>
      </c>
      <c r="B151" s="2">
        <f>IFERROR(__xludf.DUMMYFUNCTION("""COMPUTED_VALUE"""),774.5)</f>
        <v>774.5</v>
      </c>
      <c r="C151" s="2">
        <f>IFERROR(__xludf.DUMMYFUNCTION("""COMPUTED_VALUE"""),795.63)</f>
        <v>795.63</v>
      </c>
      <c r="D151" s="2">
        <f>IFERROR(__xludf.DUMMYFUNCTION("""COMPUTED_VALUE"""),750.38)</f>
        <v>750.38</v>
      </c>
      <c r="E151" s="2">
        <f>IFERROR(__xludf.DUMMYFUNCTION("""COMPUTED_VALUE"""),754.02)</f>
        <v>754.02</v>
      </c>
      <c r="F151" s="2">
        <f>IFERROR(__xludf.DUMMYFUNCTION("""COMPUTED_VALUE"""),1.2736062E7)</f>
        <v>12736062</v>
      </c>
      <c r="G151" s="3">
        <f t="shared" si="1"/>
        <v>-0.01049841212</v>
      </c>
    </row>
    <row r="152">
      <c r="A152" s="1">
        <f>IFERROR(__xludf.DUMMYFUNCTION("""COMPUTED_VALUE"""),42692.66666666667)</f>
        <v>42692.66667</v>
      </c>
      <c r="B152" s="2">
        <f>IFERROR(__xludf.DUMMYFUNCTION("""COMPUTED_VALUE"""),755.6)</f>
        <v>755.6</v>
      </c>
      <c r="C152" s="2">
        <f>IFERROR(__xludf.DUMMYFUNCTION("""COMPUTED_VALUE"""),775.0)</f>
        <v>775</v>
      </c>
      <c r="D152" s="2">
        <f>IFERROR(__xludf.DUMMYFUNCTION("""COMPUTED_VALUE"""),727.54)</f>
        <v>727.54</v>
      </c>
      <c r="E152" s="2">
        <f>IFERROR(__xludf.DUMMYFUNCTION("""COMPUTED_VALUE"""),760.54)</f>
        <v>760.54</v>
      </c>
      <c r="F152" s="2">
        <f>IFERROR(__xludf.DUMMYFUNCTION("""COMPUTED_VALUE"""),1.0362173E7)</f>
        <v>10362173</v>
      </c>
      <c r="G152" s="3">
        <f t="shared" si="1"/>
        <v>0.008646985491</v>
      </c>
    </row>
    <row r="153">
      <c r="A153" s="1">
        <f>IFERROR(__xludf.DUMMYFUNCTION("""COMPUTED_VALUE"""),42699.66666666667)</f>
        <v>42699.66667</v>
      </c>
      <c r="B153" s="2">
        <f>IFERROR(__xludf.DUMMYFUNCTION("""COMPUTED_VALUE"""),762.61)</f>
        <v>762.61</v>
      </c>
      <c r="C153" s="2">
        <f>IFERROR(__xludf.DUMMYFUNCTION("""COMPUTED_VALUE"""),776.96)</f>
        <v>776.96</v>
      </c>
      <c r="D153" s="2">
        <f>IFERROR(__xludf.DUMMYFUNCTION("""COMPUTED_VALUE"""),755.25)</f>
        <v>755.25</v>
      </c>
      <c r="E153" s="2">
        <f>IFERROR(__xludf.DUMMYFUNCTION("""COMPUTED_VALUE"""),761.68)</f>
        <v>761.68</v>
      </c>
      <c r="F153" s="2">
        <f>IFERROR(__xludf.DUMMYFUNCTION("""COMPUTED_VALUE"""),4989585.0)</f>
        <v>4989585</v>
      </c>
      <c r="G153" s="3">
        <f t="shared" si="1"/>
        <v>0.001498934967</v>
      </c>
    </row>
    <row r="154">
      <c r="A154" s="1">
        <f>IFERROR(__xludf.DUMMYFUNCTION("""COMPUTED_VALUE"""),42706.66666666667)</f>
        <v>42706.66667</v>
      </c>
      <c r="B154" s="2">
        <f>IFERROR(__xludf.DUMMYFUNCTION("""COMPUTED_VALUE"""),760.0)</f>
        <v>760</v>
      </c>
      <c r="C154" s="2">
        <f>IFERROR(__xludf.DUMMYFUNCTION("""COMPUTED_VALUE"""),779.53)</f>
        <v>779.53</v>
      </c>
      <c r="D154" s="2">
        <f>IFERROR(__xludf.DUMMYFUNCTION("""COMPUTED_VALUE"""),737.02)</f>
        <v>737.02</v>
      </c>
      <c r="E154" s="2">
        <f>IFERROR(__xludf.DUMMYFUNCTION("""COMPUTED_VALUE"""),750.5)</f>
        <v>750.5</v>
      </c>
      <c r="F154" s="2">
        <f>IFERROR(__xludf.DUMMYFUNCTION("""COMPUTED_VALUE"""),1.066809E7)</f>
        <v>10668090</v>
      </c>
      <c r="G154" s="3">
        <f t="shared" si="1"/>
        <v>-0.01467808003</v>
      </c>
    </row>
    <row r="155">
      <c r="A155" s="1">
        <f>IFERROR(__xludf.DUMMYFUNCTION("""COMPUTED_VALUE"""),42713.66666666667)</f>
        <v>42713.66667</v>
      </c>
      <c r="B155" s="2">
        <f>IFERROR(__xludf.DUMMYFUNCTION("""COMPUTED_VALUE"""),757.71)</f>
        <v>757.71</v>
      </c>
      <c r="C155" s="2">
        <f>IFERROR(__xludf.DUMMYFUNCTION("""COMPUTED_VALUE"""),789.43)</f>
        <v>789.43</v>
      </c>
      <c r="D155" s="2">
        <f>IFERROR(__xludf.DUMMYFUNCTION("""COMPUTED_VALUE"""),752.9)</f>
        <v>752.9</v>
      </c>
      <c r="E155" s="2">
        <f>IFERROR(__xludf.DUMMYFUNCTION("""COMPUTED_VALUE"""),789.29)</f>
        <v>789.29</v>
      </c>
      <c r="F155" s="2">
        <f>IFERROR(__xludf.DUMMYFUNCTION("""COMPUTED_VALUE"""),8155851.0)</f>
        <v>8155851</v>
      </c>
      <c r="G155" s="3">
        <f t="shared" si="1"/>
        <v>0.05168554297</v>
      </c>
    </row>
    <row r="156">
      <c r="A156" s="1">
        <f>IFERROR(__xludf.DUMMYFUNCTION("""COMPUTED_VALUE"""),42720.66666666667)</f>
        <v>42720.66667</v>
      </c>
      <c r="B156" s="2">
        <f>IFERROR(__xludf.DUMMYFUNCTION("""COMPUTED_VALUE"""),785.04)</f>
        <v>785.04</v>
      </c>
      <c r="C156" s="2">
        <f>IFERROR(__xludf.DUMMYFUNCTION("""COMPUTED_VALUE"""),804.38)</f>
        <v>804.38</v>
      </c>
      <c r="D156" s="2">
        <f>IFERROR(__xludf.DUMMYFUNCTION("""COMPUTED_VALUE"""),784.36)</f>
        <v>784.36</v>
      </c>
      <c r="E156" s="2">
        <f>IFERROR(__xludf.DUMMYFUNCTION("""COMPUTED_VALUE"""),790.8)</f>
        <v>790.8</v>
      </c>
      <c r="F156" s="2">
        <f>IFERROR(__xludf.DUMMYFUNCTION("""COMPUTED_VALUE"""),1.0023771E7)</f>
        <v>10023771</v>
      </c>
      <c r="G156" s="3">
        <f t="shared" si="1"/>
        <v>0.001913111784</v>
      </c>
    </row>
    <row r="157">
      <c r="A157" s="1">
        <f>IFERROR(__xludf.DUMMYFUNCTION("""COMPUTED_VALUE"""),42727.66666666667)</f>
        <v>42727.66667</v>
      </c>
      <c r="B157" s="2">
        <f>IFERROR(__xludf.DUMMYFUNCTION("""COMPUTED_VALUE"""),790.22)</f>
        <v>790.22</v>
      </c>
      <c r="C157" s="2">
        <f>IFERROR(__xludf.DUMMYFUNCTION("""COMPUTED_VALUE"""),798.65)</f>
        <v>798.65</v>
      </c>
      <c r="D157" s="2">
        <f>IFERROR(__xludf.DUMMYFUNCTION("""COMPUTED_VALUE"""),786.27)</f>
        <v>786.27</v>
      </c>
      <c r="E157" s="2">
        <f>IFERROR(__xludf.DUMMYFUNCTION("""COMPUTED_VALUE"""),789.91)</f>
        <v>789.91</v>
      </c>
      <c r="F157" s="2">
        <f>IFERROR(__xludf.DUMMYFUNCTION("""COMPUTED_VALUE"""),4990560.0)</f>
        <v>4990560</v>
      </c>
      <c r="G157" s="3">
        <f t="shared" si="1"/>
        <v>-0.00112544259</v>
      </c>
    </row>
    <row r="158">
      <c r="A158" s="1">
        <f>IFERROR(__xludf.DUMMYFUNCTION("""COMPUTED_VALUE"""),42734.66666666667)</f>
        <v>42734.66667</v>
      </c>
      <c r="B158" s="2">
        <f>IFERROR(__xludf.DUMMYFUNCTION("""COMPUTED_VALUE"""),790.68)</f>
        <v>790.68</v>
      </c>
      <c r="C158" s="2">
        <f>IFERROR(__xludf.DUMMYFUNCTION("""COMPUTED_VALUE"""),797.86)</f>
        <v>797.86</v>
      </c>
      <c r="D158" s="2">
        <f>IFERROR(__xludf.DUMMYFUNCTION("""COMPUTED_VALUE"""),770.41)</f>
        <v>770.41</v>
      </c>
      <c r="E158" s="2">
        <f>IFERROR(__xludf.DUMMYFUNCTION("""COMPUTED_VALUE"""),771.82)</f>
        <v>771.82</v>
      </c>
      <c r="F158" s="2">
        <f>IFERROR(__xludf.DUMMYFUNCTION("""COMPUTED_VALUE"""),4457367.0)</f>
        <v>4457367</v>
      </c>
      <c r="G158" s="3">
        <f t="shared" si="1"/>
        <v>-0.02290134319</v>
      </c>
    </row>
    <row r="159">
      <c r="A159" s="1">
        <f>IFERROR(__xludf.DUMMYFUNCTION("""COMPUTED_VALUE"""),42741.66666666667)</f>
        <v>42741.66667</v>
      </c>
      <c r="B159" s="2">
        <f>IFERROR(__xludf.DUMMYFUNCTION("""COMPUTED_VALUE"""),778.81)</f>
        <v>778.81</v>
      </c>
      <c r="C159" s="2">
        <f>IFERROR(__xludf.DUMMYFUNCTION("""COMPUTED_VALUE"""),807.9)</f>
        <v>807.9</v>
      </c>
      <c r="D159" s="2">
        <f>IFERROR(__xludf.DUMMYFUNCTION("""COMPUTED_VALUE"""),775.8)</f>
        <v>775.8</v>
      </c>
      <c r="E159" s="2">
        <f>IFERROR(__xludf.DUMMYFUNCTION("""COMPUTED_VALUE"""),806.15)</f>
        <v>806.15</v>
      </c>
      <c r="F159" s="2">
        <f>IFERROR(__xludf.DUMMYFUNCTION("""COMPUTED_VALUE"""),5705563.0)</f>
        <v>5705563</v>
      </c>
      <c r="G159" s="3">
        <f t="shared" si="1"/>
        <v>0.04447928273</v>
      </c>
    </row>
    <row r="160">
      <c r="A160" s="1">
        <f>IFERROR(__xludf.DUMMYFUNCTION("""COMPUTED_VALUE"""),42748.66666666667)</f>
        <v>42748.66667</v>
      </c>
      <c r="B160" s="2">
        <f>IFERROR(__xludf.DUMMYFUNCTION("""COMPUTED_VALUE"""),806.4)</f>
        <v>806.4</v>
      </c>
      <c r="C160" s="2">
        <f>IFERROR(__xludf.DUMMYFUNCTION("""COMPUTED_VALUE"""),811.22)</f>
        <v>811.22</v>
      </c>
      <c r="D160" s="2">
        <f>IFERROR(__xludf.DUMMYFUNCTION("""COMPUTED_VALUE"""),799.17)</f>
        <v>799.17</v>
      </c>
      <c r="E160" s="2">
        <f>IFERROR(__xludf.DUMMYFUNCTION("""COMPUTED_VALUE"""),807.88)</f>
        <v>807.88</v>
      </c>
      <c r="F160" s="2">
        <f>IFERROR(__xludf.DUMMYFUNCTION("""COMPUTED_VALUE"""),5969633.0)</f>
        <v>5969633</v>
      </c>
      <c r="G160" s="3">
        <f t="shared" si="1"/>
        <v>0.002146002605</v>
      </c>
    </row>
    <row r="161">
      <c r="A161" s="1">
        <f>IFERROR(__xludf.DUMMYFUNCTION("""COMPUTED_VALUE"""),42755.66666666667)</f>
        <v>42755.66667</v>
      </c>
      <c r="B161" s="2">
        <f>IFERROR(__xludf.DUMMYFUNCTION("""COMPUTED_VALUE"""),807.08)</f>
        <v>807.08</v>
      </c>
      <c r="C161" s="2">
        <f>IFERROR(__xludf.DUMMYFUNCTION("""COMPUTED_VALUE"""),809.48)</f>
        <v>809.48</v>
      </c>
      <c r="D161" s="2">
        <f>IFERROR(__xludf.DUMMYFUNCTION("""COMPUTED_VALUE"""),800.37)</f>
        <v>800.37</v>
      </c>
      <c r="E161" s="2">
        <f>IFERROR(__xludf.DUMMYFUNCTION("""COMPUTED_VALUE"""),805.02)</f>
        <v>805.02</v>
      </c>
      <c r="F161" s="2">
        <f>IFERROR(__xludf.DUMMYFUNCTION("""COMPUTED_VALUE"""),5245892.0)</f>
        <v>5245892</v>
      </c>
      <c r="G161" s="3">
        <f t="shared" si="1"/>
        <v>-0.003540129722</v>
      </c>
    </row>
    <row r="162">
      <c r="A162" s="1">
        <f>IFERROR(__xludf.DUMMYFUNCTION("""COMPUTED_VALUE"""),42762.66666666667)</f>
        <v>42762.66667</v>
      </c>
      <c r="B162" s="2">
        <f>IFERROR(__xludf.DUMMYFUNCTION("""COMPUTED_VALUE"""),807.25)</f>
        <v>807.25</v>
      </c>
      <c r="C162" s="2">
        <f>IFERROR(__xludf.DUMMYFUNCTION("""COMPUTED_VALUE"""),841.95)</f>
        <v>841.95</v>
      </c>
      <c r="D162" s="2">
        <f>IFERROR(__xludf.DUMMYFUNCTION("""COMPUTED_VALUE"""),803.74)</f>
        <v>803.74</v>
      </c>
      <c r="E162" s="2">
        <f>IFERROR(__xludf.DUMMYFUNCTION("""COMPUTED_VALUE"""),823.31)</f>
        <v>823.31</v>
      </c>
      <c r="F162" s="2">
        <f>IFERROR(__xludf.DUMMYFUNCTION("""COMPUTED_VALUE"""),1.1004604E7)</f>
        <v>11004604</v>
      </c>
      <c r="G162" s="3">
        <f t="shared" si="1"/>
        <v>0.02271993242</v>
      </c>
    </row>
    <row r="163">
      <c r="A163" s="1">
        <f>IFERROR(__xludf.DUMMYFUNCTION("""COMPUTED_VALUE"""),42769.66666666667)</f>
        <v>42769.66667</v>
      </c>
      <c r="B163" s="2">
        <f>IFERROR(__xludf.DUMMYFUNCTION("""COMPUTED_VALUE"""),814.66)</f>
        <v>814.66</v>
      </c>
      <c r="C163" s="2">
        <f>IFERROR(__xludf.DUMMYFUNCTION("""COMPUTED_VALUE"""),815.84)</f>
        <v>815.84</v>
      </c>
      <c r="D163" s="2">
        <f>IFERROR(__xludf.DUMMYFUNCTION("""COMPUTED_VALUE"""),790.52)</f>
        <v>790.52</v>
      </c>
      <c r="E163" s="2">
        <f>IFERROR(__xludf.DUMMYFUNCTION("""COMPUTED_VALUE"""),801.49)</f>
        <v>801.49</v>
      </c>
      <c r="F163" s="2">
        <f>IFERROR(__xludf.DUMMYFUNCTION("""COMPUTED_VALUE"""),1.0432459E7)</f>
        <v>10432459</v>
      </c>
      <c r="G163" s="3">
        <f t="shared" si="1"/>
        <v>-0.02650277538</v>
      </c>
    </row>
    <row r="164">
      <c r="A164" s="1">
        <f>IFERROR(__xludf.DUMMYFUNCTION("""COMPUTED_VALUE"""),42776.66666666667)</f>
        <v>42776.66667</v>
      </c>
      <c r="B164" s="2">
        <f>IFERROR(__xludf.DUMMYFUNCTION("""COMPUTED_VALUE"""),799.7)</f>
        <v>799.7</v>
      </c>
      <c r="C164" s="2">
        <f>IFERROR(__xludf.DUMMYFUNCTION("""COMPUTED_VALUE"""),815.25)</f>
        <v>815.25</v>
      </c>
      <c r="D164" s="2">
        <f>IFERROR(__xludf.DUMMYFUNCTION("""COMPUTED_VALUE"""),795.25)</f>
        <v>795.25</v>
      </c>
      <c r="E164" s="2">
        <f>IFERROR(__xludf.DUMMYFUNCTION("""COMPUTED_VALUE"""),813.67)</f>
        <v>813.67</v>
      </c>
      <c r="F164" s="2">
        <f>IFERROR(__xludf.DUMMYFUNCTION("""COMPUTED_VALUE"""),5707061.0)</f>
        <v>5707061</v>
      </c>
      <c r="G164" s="3">
        <f t="shared" si="1"/>
        <v>0.01519669615</v>
      </c>
    </row>
    <row r="165">
      <c r="A165" s="1">
        <f>IFERROR(__xludf.DUMMYFUNCTION("""COMPUTED_VALUE"""),42783.66666666667)</f>
        <v>42783.66667</v>
      </c>
      <c r="B165" s="2">
        <f>IFERROR(__xludf.DUMMYFUNCTION("""COMPUTED_VALUE"""),816.0)</f>
        <v>816</v>
      </c>
      <c r="C165" s="2">
        <f>IFERROR(__xludf.DUMMYFUNCTION("""COMPUTED_VALUE"""),828.07)</f>
        <v>828.07</v>
      </c>
      <c r="D165" s="2">
        <f>IFERROR(__xludf.DUMMYFUNCTION("""COMPUTED_VALUE"""),815.49)</f>
        <v>815.49</v>
      </c>
      <c r="E165" s="2">
        <f>IFERROR(__xludf.DUMMYFUNCTION("""COMPUTED_VALUE"""),828.07)</f>
        <v>828.07</v>
      </c>
      <c r="F165" s="2">
        <f>IFERROR(__xludf.DUMMYFUNCTION("""COMPUTED_VALUE"""),6480338.0)</f>
        <v>6480338</v>
      </c>
      <c r="G165" s="3">
        <f t="shared" si="1"/>
        <v>0.01769759239</v>
      </c>
    </row>
    <row r="166">
      <c r="A166" s="1">
        <f>IFERROR(__xludf.DUMMYFUNCTION("""COMPUTED_VALUE"""),42790.66666666667)</f>
        <v>42790.66667</v>
      </c>
      <c r="B166" s="2">
        <f>IFERROR(__xludf.DUMMYFUNCTION("""COMPUTED_VALUE"""),828.66)</f>
        <v>828.66</v>
      </c>
      <c r="C166" s="2">
        <f>IFERROR(__xludf.DUMMYFUNCTION("""COMPUTED_VALUE"""),833.45)</f>
        <v>833.45</v>
      </c>
      <c r="D166" s="2">
        <f>IFERROR(__xludf.DUMMYFUNCTION("""COMPUTED_VALUE"""),822.88)</f>
        <v>822.88</v>
      </c>
      <c r="E166" s="2">
        <f>IFERROR(__xludf.DUMMYFUNCTION("""COMPUTED_VALUE"""),828.64)</f>
        <v>828.64</v>
      </c>
      <c r="F166" s="2">
        <f>IFERROR(__xludf.DUMMYFUNCTION("""COMPUTED_VALUE"""),5114558.0)</f>
        <v>5114558</v>
      </c>
      <c r="G166" s="3">
        <f t="shared" si="1"/>
        <v>0.0006883476035</v>
      </c>
    </row>
    <row r="167">
      <c r="A167" s="1">
        <f>IFERROR(__xludf.DUMMYFUNCTION("""COMPUTED_VALUE"""),42797.66666666667)</f>
        <v>42797.66667</v>
      </c>
      <c r="B167" s="2">
        <f>IFERROR(__xludf.DUMMYFUNCTION("""COMPUTED_VALUE"""),824.55)</f>
        <v>824.55</v>
      </c>
      <c r="C167" s="2">
        <f>IFERROR(__xludf.DUMMYFUNCTION("""COMPUTED_VALUE"""),836.26)</f>
        <v>836.26</v>
      </c>
      <c r="D167" s="2">
        <f>IFERROR(__xludf.DUMMYFUNCTION("""COMPUTED_VALUE"""),820.2)</f>
        <v>820.2</v>
      </c>
      <c r="E167" s="2">
        <f>IFERROR(__xludf.DUMMYFUNCTION("""COMPUTED_VALUE"""),829.08)</f>
        <v>829.08</v>
      </c>
      <c r="F167" s="2">
        <f>IFERROR(__xludf.DUMMYFUNCTION("""COMPUTED_VALUE"""),6697629.0)</f>
        <v>6697629</v>
      </c>
      <c r="G167" s="3">
        <f t="shared" si="1"/>
        <v>0.0005309905387</v>
      </c>
    </row>
    <row r="168">
      <c r="A168" s="1">
        <f>IFERROR(__xludf.DUMMYFUNCTION("""COMPUTED_VALUE"""),42804.66666666667)</f>
        <v>42804.66667</v>
      </c>
      <c r="B168" s="2">
        <f>IFERROR(__xludf.DUMMYFUNCTION("""COMPUTED_VALUE"""),826.95)</f>
        <v>826.95</v>
      </c>
      <c r="C168" s="2">
        <f>IFERROR(__xludf.DUMMYFUNCTION("""COMPUTED_VALUE"""),844.91)</f>
        <v>844.91</v>
      </c>
      <c r="D168" s="2">
        <f>IFERROR(__xludf.DUMMYFUNCTION("""COMPUTED_VALUE"""),822.4)</f>
        <v>822.4</v>
      </c>
      <c r="E168" s="2">
        <f>IFERROR(__xludf.DUMMYFUNCTION("""COMPUTED_VALUE"""),843.25)</f>
        <v>843.25</v>
      </c>
      <c r="F168" s="2">
        <f>IFERROR(__xludf.DUMMYFUNCTION("""COMPUTED_VALUE"""),6101981.0)</f>
        <v>6101981</v>
      </c>
      <c r="G168" s="3">
        <f t="shared" si="1"/>
        <v>0.01709123366</v>
      </c>
    </row>
    <row r="169">
      <c r="A169" s="1">
        <f>IFERROR(__xludf.DUMMYFUNCTION("""COMPUTED_VALUE"""),42811.66666666667)</f>
        <v>42811.66667</v>
      </c>
      <c r="B169" s="2">
        <f>IFERROR(__xludf.DUMMYFUNCTION("""COMPUTED_VALUE"""),844.0)</f>
        <v>844</v>
      </c>
      <c r="C169" s="2">
        <f>IFERROR(__xludf.DUMMYFUNCTION("""COMPUTED_VALUE"""),853.4)</f>
        <v>853.4</v>
      </c>
      <c r="D169" s="2">
        <f>IFERROR(__xludf.DUMMYFUNCTION("""COMPUTED_VALUE"""),840.77)</f>
        <v>840.77</v>
      </c>
      <c r="E169" s="2">
        <f>IFERROR(__xludf.DUMMYFUNCTION("""COMPUTED_VALUE"""),852.12)</f>
        <v>852.12</v>
      </c>
      <c r="F169" s="2">
        <f>IFERROR(__xludf.DUMMYFUNCTION("""COMPUTED_VALUE"""),6079350.0)</f>
        <v>6079350</v>
      </c>
      <c r="G169" s="3">
        <f t="shared" si="1"/>
        <v>0.01051882597</v>
      </c>
    </row>
    <row r="170">
      <c r="A170" s="1">
        <f>IFERROR(__xludf.DUMMYFUNCTION("""COMPUTED_VALUE"""),42818.66666666667)</f>
        <v>42818.66667</v>
      </c>
      <c r="B170" s="2">
        <f>IFERROR(__xludf.DUMMYFUNCTION("""COMPUTED_VALUE"""),850.01)</f>
        <v>850.01</v>
      </c>
      <c r="C170" s="2">
        <f>IFERROR(__xludf.DUMMYFUNCTION("""COMPUTED_VALUE"""),853.5)</f>
        <v>853.5</v>
      </c>
      <c r="D170" s="2">
        <f>IFERROR(__xludf.DUMMYFUNCTION("""COMPUTED_VALUE"""),808.89)</f>
        <v>808.89</v>
      </c>
      <c r="E170" s="2">
        <f>IFERROR(__xludf.DUMMYFUNCTION("""COMPUTED_VALUE"""),814.43)</f>
        <v>814.43</v>
      </c>
      <c r="F170" s="2">
        <f>IFERROR(__xludf.DUMMYFUNCTION("""COMPUTED_VALUE"""),1.0564532E7)</f>
        <v>10564532</v>
      </c>
      <c r="G170" s="3">
        <f t="shared" si="1"/>
        <v>-0.0442308595</v>
      </c>
    </row>
    <row r="171">
      <c r="A171" s="1">
        <f>IFERROR(__xludf.DUMMYFUNCTION("""COMPUTED_VALUE"""),42825.66666666667)</f>
        <v>42825.66667</v>
      </c>
      <c r="B171" s="2">
        <f>IFERROR(__xludf.DUMMYFUNCTION("""COMPUTED_VALUE"""),806.95)</f>
        <v>806.95</v>
      </c>
      <c r="C171" s="2">
        <f>IFERROR(__xludf.DUMMYFUNCTION("""COMPUTED_VALUE"""),833.68)</f>
        <v>833.68</v>
      </c>
      <c r="D171" s="2">
        <f>IFERROR(__xludf.DUMMYFUNCTION("""COMPUTED_VALUE"""),803.37)</f>
        <v>803.37</v>
      </c>
      <c r="E171" s="2">
        <f>IFERROR(__xludf.DUMMYFUNCTION("""COMPUTED_VALUE"""),829.56)</f>
        <v>829.56</v>
      </c>
      <c r="F171" s="2">
        <f>IFERROR(__xludf.DUMMYFUNCTION("""COMPUTED_VALUE"""),7759085.0)</f>
        <v>7759085</v>
      </c>
      <c r="G171" s="3">
        <f t="shared" si="1"/>
        <v>0.01857740997</v>
      </c>
    </row>
    <row r="172">
      <c r="A172" s="1">
        <f>IFERROR(__xludf.DUMMYFUNCTION("""COMPUTED_VALUE"""),42832.66666666667)</f>
        <v>42832.66667</v>
      </c>
      <c r="B172" s="2">
        <f>IFERROR(__xludf.DUMMYFUNCTION("""COMPUTED_VALUE"""),829.22)</f>
        <v>829.22</v>
      </c>
      <c r="C172" s="2">
        <f>IFERROR(__xludf.DUMMYFUNCTION("""COMPUTED_VALUE"""),842.45)</f>
        <v>842.45</v>
      </c>
      <c r="D172" s="2">
        <f>IFERROR(__xludf.DUMMYFUNCTION("""COMPUTED_VALUE"""),820.51)</f>
        <v>820.51</v>
      </c>
      <c r="E172" s="2">
        <f>IFERROR(__xludf.DUMMYFUNCTION("""COMPUTED_VALUE"""),824.67)</f>
        <v>824.67</v>
      </c>
      <c r="F172" s="2">
        <f>IFERROR(__xludf.DUMMYFUNCTION("""COMPUTED_VALUE"""),6583880.0)</f>
        <v>6583880</v>
      </c>
      <c r="G172" s="3">
        <f t="shared" si="1"/>
        <v>-0.005894691162</v>
      </c>
    </row>
    <row r="173">
      <c r="A173" s="1">
        <f>IFERROR(__xludf.DUMMYFUNCTION("""COMPUTED_VALUE"""),42838.66666666667)</f>
        <v>42838.66667</v>
      </c>
      <c r="B173" s="2">
        <f>IFERROR(__xludf.DUMMYFUNCTION("""COMPUTED_VALUE"""),825.39)</f>
        <v>825.39</v>
      </c>
      <c r="C173" s="2">
        <f>IFERROR(__xludf.DUMMYFUNCTION("""COMPUTED_VALUE"""),829.35)</f>
        <v>829.35</v>
      </c>
      <c r="D173" s="2">
        <f>IFERROR(__xludf.DUMMYFUNCTION("""COMPUTED_VALUE"""),817.02)</f>
        <v>817.02</v>
      </c>
      <c r="E173" s="2">
        <f>IFERROR(__xludf.DUMMYFUNCTION("""COMPUTED_VALUE"""),823.56)</f>
        <v>823.56</v>
      </c>
      <c r="F173" s="2">
        <f>IFERROR(__xludf.DUMMYFUNCTION("""COMPUTED_VALUE"""),4081479.0)</f>
        <v>4081479</v>
      </c>
      <c r="G173" s="3">
        <f t="shared" si="1"/>
        <v>-0.001345992943</v>
      </c>
    </row>
    <row r="174">
      <c r="A174" s="1">
        <f>IFERROR(__xludf.DUMMYFUNCTION("""COMPUTED_VALUE"""),42846.66666666667)</f>
        <v>42846.66667</v>
      </c>
      <c r="B174" s="2">
        <f>IFERROR(__xludf.DUMMYFUNCTION("""COMPUTED_VALUE"""),825.01)</f>
        <v>825.01</v>
      </c>
      <c r="C174" s="2">
        <f>IFERROR(__xludf.DUMMYFUNCTION("""COMPUTED_VALUE"""),845.2)</f>
        <v>845.2</v>
      </c>
      <c r="D174" s="2">
        <f>IFERROR(__xludf.DUMMYFUNCTION("""COMPUTED_VALUE"""),824.47)</f>
        <v>824.47</v>
      </c>
      <c r="E174" s="2">
        <f>IFERROR(__xludf.DUMMYFUNCTION("""COMPUTED_VALUE"""),843.19)</f>
        <v>843.19</v>
      </c>
      <c r="F174" s="2">
        <f>IFERROR(__xludf.DUMMYFUNCTION("""COMPUTED_VALUE"""),4968681.0)</f>
        <v>4968681</v>
      </c>
      <c r="G174" s="3">
        <f t="shared" si="1"/>
        <v>0.02383554325</v>
      </c>
    </row>
    <row r="175">
      <c r="A175" s="1">
        <f>IFERROR(__xludf.DUMMYFUNCTION("""COMPUTED_VALUE"""),42853.66666666667)</f>
        <v>42853.66667</v>
      </c>
      <c r="B175" s="2">
        <f>IFERROR(__xludf.DUMMYFUNCTION("""COMPUTED_VALUE"""),851.2)</f>
        <v>851.2</v>
      </c>
      <c r="C175" s="2">
        <f>IFERROR(__xludf.DUMMYFUNCTION("""COMPUTED_VALUE"""),916.85)</f>
        <v>916.85</v>
      </c>
      <c r="D175" s="2">
        <f>IFERROR(__xludf.DUMMYFUNCTION("""COMPUTED_VALUE"""),849.86)</f>
        <v>849.86</v>
      </c>
      <c r="E175" s="2">
        <f>IFERROR(__xludf.DUMMYFUNCTION("""COMPUTED_VALUE"""),905.96)</f>
        <v>905.96</v>
      </c>
      <c r="F175" s="2">
        <f>IFERROR(__xludf.DUMMYFUNCTION("""COMPUTED_VALUE"""),9584751.0)</f>
        <v>9584751</v>
      </c>
      <c r="G175" s="3">
        <f t="shared" si="1"/>
        <v>0.07444348249</v>
      </c>
    </row>
    <row r="176">
      <c r="A176" s="1">
        <f>IFERROR(__xludf.DUMMYFUNCTION("""COMPUTED_VALUE"""),42860.66666666667)</f>
        <v>42860.66667</v>
      </c>
      <c r="B176" s="2">
        <f>IFERROR(__xludf.DUMMYFUNCTION("""COMPUTED_VALUE"""),901.94)</f>
        <v>901.94</v>
      </c>
      <c r="C176" s="2">
        <f>IFERROR(__xludf.DUMMYFUNCTION("""COMPUTED_VALUE"""),935.93)</f>
        <v>935.93</v>
      </c>
      <c r="D176" s="2">
        <f>IFERROR(__xludf.DUMMYFUNCTION("""COMPUTED_VALUE"""),901.45)</f>
        <v>901.45</v>
      </c>
      <c r="E176" s="2">
        <f>IFERROR(__xludf.DUMMYFUNCTION("""COMPUTED_VALUE"""),927.13)</f>
        <v>927.13</v>
      </c>
      <c r="F176" s="2">
        <f>IFERROR(__xludf.DUMMYFUNCTION("""COMPUTED_VALUE"""),8536163.0)</f>
        <v>8536163</v>
      </c>
      <c r="G176" s="3">
        <f t="shared" si="1"/>
        <v>0.02336747759</v>
      </c>
    </row>
    <row r="177">
      <c r="A177" s="1">
        <f>IFERROR(__xludf.DUMMYFUNCTION("""COMPUTED_VALUE"""),42867.66666666667)</f>
        <v>42867.66667</v>
      </c>
      <c r="B177" s="2">
        <f>IFERROR(__xludf.DUMMYFUNCTION("""COMPUTED_VALUE"""),926.12)</f>
        <v>926.12</v>
      </c>
      <c r="C177" s="2">
        <f>IFERROR(__xludf.DUMMYFUNCTION("""COMPUTED_VALUE"""),937.5)</f>
        <v>937.5</v>
      </c>
      <c r="D177" s="2">
        <f>IFERROR(__xludf.DUMMYFUNCTION("""COMPUTED_VALUE"""),923.03)</f>
        <v>923.03</v>
      </c>
      <c r="E177" s="2">
        <f>IFERROR(__xludf.DUMMYFUNCTION("""COMPUTED_VALUE"""),932.22)</f>
        <v>932.22</v>
      </c>
      <c r="F177" s="2">
        <f>IFERROR(__xludf.DUMMYFUNCTION("""COMPUTED_VALUE"""),5971546.0)</f>
        <v>5971546</v>
      </c>
      <c r="G177" s="3">
        <f t="shared" si="1"/>
        <v>0.005490060725</v>
      </c>
    </row>
    <row r="178">
      <c r="A178" s="1">
        <f>IFERROR(__xludf.DUMMYFUNCTION("""COMPUTED_VALUE"""),42874.66666666667)</f>
        <v>42874.66667</v>
      </c>
      <c r="B178" s="2">
        <f>IFERROR(__xludf.DUMMYFUNCTION("""COMPUTED_VALUE"""),932.95)</f>
        <v>932.95</v>
      </c>
      <c r="C178" s="2">
        <f>IFERROR(__xludf.DUMMYFUNCTION("""COMPUTED_VALUE"""),943.11)</f>
        <v>943.11</v>
      </c>
      <c r="D178" s="2">
        <f>IFERROR(__xludf.DUMMYFUNCTION("""COMPUTED_VALUE"""),918.14)</f>
        <v>918.14</v>
      </c>
      <c r="E178" s="2">
        <f>IFERROR(__xludf.DUMMYFUNCTION("""COMPUTED_VALUE"""),934.01)</f>
        <v>934.01</v>
      </c>
      <c r="F178" s="2">
        <f>IFERROR(__xludf.DUMMYFUNCTION("""COMPUTED_VALUE"""),7429968.0)</f>
        <v>7429968</v>
      </c>
      <c r="G178" s="3">
        <f t="shared" si="1"/>
        <v>0.001920147605</v>
      </c>
    </row>
    <row r="179">
      <c r="A179" s="1">
        <f>IFERROR(__xludf.DUMMYFUNCTION("""COMPUTED_VALUE"""),42881.66666666667)</f>
        <v>42881.66667</v>
      </c>
      <c r="B179" s="2">
        <f>IFERROR(__xludf.DUMMYFUNCTION("""COMPUTED_VALUE"""),935.0)</f>
        <v>935</v>
      </c>
      <c r="C179" s="2">
        <f>IFERROR(__xludf.DUMMYFUNCTION("""COMPUTED_VALUE"""),974.98)</f>
        <v>974.98</v>
      </c>
      <c r="D179" s="2">
        <f>IFERROR(__xludf.DUMMYFUNCTION("""COMPUTED_VALUE"""),935.0)</f>
        <v>935</v>
      </c>
      <c r="E179" s="2">
        <f>IFERROR(__xludf.DUMMYFUNCTION("""COMPUTED_VALUE"""),971.47)</f>
        <v>971.47</v>
      </c>
      <c r="F179" s="2">
        <f>IFERROR(__xludf.DUMMYFUNCTION("""COMPUTED_VALUE"""),6337885.0)</f>
        <v>6337885</v>
      </c>
      <c r="G179" s="3">
        <f t="shared" si="1"/>
        <v>0.04010663697</v>
      </c>
    </row>
    <row r="180">
      <c r="A180" s="1">
        <f>IFERROR(__xludf.DUMMYFUNCTION("""COMPUTED_VALUE"""),42888.66666666667)</f>
        <v>42888.66667</v>
      </c>
      <c r="B180" s="2">
        <f>IFERROR(__xludf.DUMMYFUNCTION("""COMPUTED_VALUE"""),970.31)</f>
        <v>970.31</v>
      </c>
      <c r="C180" s="2">
        <f>IFERROR(__xludf.DUMMYFUNCTION("""COMPUTED_VALUE"""),979.27)</f>
        <v>979.27</v>
      </c>
      <c r="D180" s="2">
        <f>IFERROR(__xludf.DUMMYFUNCTION("""COMPUTED_VALUE"""),960.01)</f>
        <v>960.01</v>
      </c>
      <c r="E180" s="2">
        <f>IFERROR(__xludf.DUMMYFUNCTION("""COMPUTED_VALUE"""),975.6)</f>
        <v>975.6</v>
      </c>
      <c r="F180" s="2">
        <f>IFERROR(__xludf.DUMMYFUNCTION("""COMPUTED_VALUE"""),7076134.0)</f>
        <v>7076134</v>
      </c>
      <c r="G180" s="3">
        <f t="shared" si="1"/>
        <v>0.004251289283</v>
      </c>
    </row>
    <row r="181">
      <c r="A181" s="1">
        <f>IFERROR(__xludf.DUMMYFUNCTION("""COMPUTED_VALUE"""),42895.66666666667)</f>
        <v>42895.66667</v>
      </c>
      <c r="B181" s="2">
        <f>IFERROR(__xludf.DUMMYFUNCTION("""COMPUTED_VALUE"""),976.55)</f>
        <v>976.55</v>
      </c>
      <c r="C181" s="2">
        <f>IFERROR(__xludf.DUMMYFUNCTION("""COMPUTED_VALUE"""),988.25)</f>
        <v>988.25</v>
      </c>
      <c r="D181" s="2">
        <f>IFERROR(__xludf.DUMMYFUNCTION("""COMPUTED_VALUE"""),935.63)</f>
        <v>935.63</v>
      </c>
      <c r="E181" s="2">
        <f>IFERROR(__xludf.DUMMYFUNCTION("""COMPUTED_VALUE"""),949.83)</f>
        <v>949.83</v>
      </c>
      <c r="F181" s="2">
        <f>IFERROR(__xludf.DUMMYFUNCTION("""COMPUTED_VALUE"""),9311909.0)</f>
        <v>9311909</v>
      </c>
      <c r="G181" s="3">
        <f t="shared" si="1"/>
        <v>-0.02641451415</v>
      </c>
    </row>
    <row r="182">
      <c r="A182" s="1">
        <f>IFERROR(__xludf.DUMMYFUNCTION("""COMPUTED_VALUE"""),42902.66666666667)</f>
        <v>42902.66667</v>
      </c>
      <c r="B182" s="2">
        <f>IFERROR(__xludf.DUMMYFUNCTION("""COMPUTED_VALUE"""),939.56)</f>
        <v>939.56</v>
      </c>
      <c r="C182" s="2">
        <f>IFERROR(__xludf.DUMMYFUNCTION("""COMPUTED_VALUE"""),961.15)</f>
        <v>961.15</v>
      </c>
      <c r="D182" s="2">
        <f>IFERROR(__xludf.DUMMYFUNCTION("""COMPUTED_VALUE"""),915.23)</f>
        <v>915.23</v>
      </c>
      <c r="E182" s="2">
        <f>IFERROR(__xludf.DUMMYFUNCTION("""COMPUTED_VALUE"""),939.78)</f>
        <v>939.78</v>
      </c>
      <c r="F182" s="2">
        <f>IFERROR(__xludf.DUMMYFUNCTION("""COMPUTED_VALUE"""),1.2494342E7)</f>
        <v>12494342</v>
      </c>
      <c r="G182" s="3">
        <f t="shared" si="1"/>
        <v>-0.01058084078</v>
      </c>
    </row>
    <row r="183">
      <c r="A183" s="1">
        <f>IFERROR(__xludf.DUMMYFUNCTION("""COMPUTED_VALUE"""),42909.66666666667)</f>
        <v>42909.66667</v>
      </c>
      <c r="B183" s="2">
        <f>IFERROR(__xludf.DUMMYFUNCTION("""COMPUTED_VALUE"""),949.96)</f>
        <v>949.96</v>
      </c>
      <c r="C183" s="2">
        <f>IFERROR(__xludf.DUMMYFUNCTION("""COMPUTED_VALUE"""),966.0)</f>
        <v>966</v>
      </c>
      <c r="D183" s="2">
        <f>IFERROR(__xludf.DUMMYFUNCTION("""COMPUTED_VALUE"""),949.05)</f>
        <v>949.05</v>
      </c>
      <c r="E183" s="2">
        <f>IFERROR(__xludf.DUMMYFUNCTION("""COMPUTED_VALUE"""),965.59)</f>
        <v>965.59</v>
      </c>
      <c r="F183" s="2">
        <f>IFERROR(__xludf.DUMMYFUNCTION("""COMPUTED_VALUE"""),6331373.0)</f>
        <v>6331373</v>
      </c>
      <c r="G183" s="3">
        <f t="shared" si="1"/>
        <v>0.02746387452</v>
      </c>
    </row>
    <row r="184">
      <c r="A184" s="1">
        <f>IFERROR(__xludf.DUMMYFUNCTION("""COMPUTED_VALUE"""),42916.66666666667)</f>
        <v>42916.66667</v>
      </c>
      <c r="B184" s="2">
        <f>IFERROR(__xludf.DUMMYFUNCTION("""COMPUTED_VALUE"""),969.9)</f>
        <v>969.9</v>
      </c>
      <c r="C184" s="2">
        <f>IFERROR(__xludf.DUMMYFUNCTION("""COMPUTED_VALUE"""),973.31)</f>
        <v>973.31</v>
      </c>
      <c r="D184" s="2">
        <f>IFERROR(__xludf.DUMMYFUNCTION("""COMPUTED_VALUE"""),908.31)</f>
        <v>908.31</v>
      </c>
      <c r="E184" s="2">
        <f>IFERROR(__xludf.DUMMYFUNCTION("""COMPUTED_VALUE"""),908.73)</f>
        <v>908.73</v>
      </c>
      <c r="F184" s="2">
        <f>IFERROR(__xludf.DUMMYFUNCTION("""COMPUTED_VALUE"""),1.2289093E7)</f>
        <v>12289093</v>
      </c>
      <c r="G184" s="3">
        <f t="shared" si="1"/>
        <v>-0.05888627678</v>
      </c>
    </row>
    <row r="185">
      <c r="A185" s="1">
        <f>IFERROR(__xludf.DUMMYFUNCTION("""COMPUTED_VALUE"""),42923.66666666667)</f>
        <v>42923.66667</v>
      </c>
      <c r="B185" s="2">
        <f>IFERROR(__xludf.DUMMYFUNCTION("""COMPUTED_VALUE"""),912.18)</f>
        <v>912.18</v>
      </c>
      <c r="C185" s="2">
        <f>IFERROR(__xludf.DUMMYFUNCTION("""COMPUTED_VALUE"""),921.54)</f>
        <v>921.54</v>
      </c>
      <c r="D185" s="2">
        <f>IFERROR(__xludf.DUMMYFUNCTION("""COMPUTED_VALUE"""),894.79)</f>
        <v>894.79</v>
      </c>
      <c r="E185" s="2">
        <f>IFERROR(__xludf.DUMMYFUNCTION("""COMPUTED_VALUE"""),918.59)</f>
        <v>918.59</v>
      </c>
      <c r="F185" s="2">
        <f>IFERROR(__xludf.DUMMYFUNCTION("""COMPUTED_VALUE"""),6586545.0)</f>
        <v>6586545</v>
      </c>
      <c r="G185" s="3">
        <f t="shared" si="1"/>
        <v>0.01085030757</v>
      </c>
    </row>
    <row r="186">
      <c r="A186" s="1">
        <f>IFERROR(__xludf.DUMMYFUNCTION("""COMPUTED_VALUE"""),42930.66666666667)</f>
        <v>42930.66667</v>
      </c>
      <c r="B186" s="2">
        <f>IFERROR(__xludf.DUMMYFUNCTION("""COMPUTED_VALUE"""),921.77)</f>
        <v>921.77</v>
      </c>
      <c r="C186" s="2">
        <f>IFERROR(__xludf.DUMMYFUNCTION("""COMPUTED_VALUE"""),956.91)</f>
        <v>956.91</v>
      </c>
      <c r="D186" s="2">
        <f>IFERROR(__xludf.DUMMYFUNCTION("""COMPUTED_VALUE"""),919.59)</f>
        <v>919.59</v>
      </c>
      <c r="E186" s="2">
        <f>IFERROR(__xludf.DUMMYFUNCTION("""COMPUTED_VALUE"""),955.99)</f>
        <v>955.99</v>
      </c>
      <c r="F186" s="2">
        <f>IFERROR(__xludf.DUMMYFUNCTION("""COMPUTED_VALUE"""),6186665.0)</f>
        <v>6186665</v>
      </c>
      <c r="G186" s="3">
        <f t="shared" si="1"/>
        <v>0.04071457342</v>
      </c>
    </row>
    <row r="187">
      <c r="A187" s="1">
        <f>IFERROR(__xludf.DUMMYFUNCTION("""COMPUTED_VALUE"""),42937.66666666667)</f>
        <v>42937.66667</v>
      </c>
      <c r="B187" s="2">
        <f>IFERROR(__xludf.DUMMYFUNCTION("""COMPUTED_VALUE"""),957.0)</f>
        <v>957</v>
      </c>
      <c r="C187" s="2">
        <f>IFERROR(__xludf.DUMMYFUNCTION("""COMPUTED_VALUE"""),975.9)</f>
        <v>975.9</v>
      </c>
      <c r="D187" s="2">
        <f>IFERROR(__xludf.DUMMYFUNCTION("""COMPUTED_VALUE"""),949.24)</f>
        <v>949.24</v>
      </c>
      <c r="E187" s="2">
        <f>IFERROR(__xludf.DUMMYFUNCTION("""COMPUTED_VALUE"""),972.92)</f>
        <v>972.92</v>
      </c>
      <c r="F187" s="2">
        <f>IFERROR(__xludf.DUMMYFUNCTION("""COMPUTED_VALUE"""),6879504.0)</f>
        <v>6879504</v>
      </c>
      <c r="G187" s="3">
        <f t="shared" si="1"/>
        <v>0.01770939027</v>
      </c>
    </row>
    <row r="188">
      <c r="A188" s="1">
        <f>IFERROR(__xludf.DUMMYFUNCTION("""COMPUTED_VALUE"""),42944.66666666667)</f>
        <v>42944.66667</v>
      </c>
      <c r="B188" s="2">
        <f>IFERROR(__xludf.DUMMYFUNCTION("""COMPUTED_VALUE"""),972.22)</f>
        <v>972.22</v>
      </c>
      <c r="C188" s="2">
        <f>IFERROR(__xludf.DUMMYFUNCTION("""COMPUTED_VALUE"""),986.2)</f>
        <v>986.2</v>
      </c>
      <c r="D188" s="2">
        <f>IFERROR(__xludf.DUMMYFUNCTION("""COMPUTED_VALUE"""),920.0)</f>
        <v>920</v>
      </c>
      <c r="E188" s="2">
        <f>IFERROR(__xludf.DUMMYFUNCTION("""COMPUTED_VALUE"""),941.53)</f>
        <v>941.53</v>
      </c>
      <c r="F188" s="2">
        <f>IFERROR(__xludf.DUMMYFUNCTION("""COMPUTED_VALUE"""),1.5056929E7)</f>
        <v>15056929</v>
      </c>
      <c r="G188" s="3">
        <f t="shared" si="1"/>
        <v>-0.03226370102</v>
      </c>
    </row>
    <row r="189">
      <c r="A189" s="1">
        <f>IFERROR(__xludf.DUMMYFUNCTION("""COMPUTED_VALUE"""),42951.66666666667)</f>
        <v>42951.66667</v>
      </c>
      <c r="B189" s="2">
        <f>IFERROR(__xludf.DUMMYFUNCTION("""COMPUTED_VALUE"""),941.89)</f>
        <v>941.89</v>
      </c>
      <c r="C189" s="2">
        <f>IFERROR(__xludf.DUMMYFUNCTION("""COMPUTED_VALUE"""),943.59)</f>
        <v>943.59</v>
      </c>
      <c r="D189" s="2">
        <f>IFERROR(__xludf.DUMMYFUNCTION("""COMPUTED_VALUE"""),916.68)</f>
        <v>916.68</v>
      </c>
      <c r="E189" s="2">
        <f>IFERROR(__xludf.DUMMYFUNCTION("""COMPUTED_VALUE"""),927.96)</f>
        <v>927.96</v>
      </c>
      <c r="F189" s="2">
        <f>IFERROR(__xludf.DUMMYFUNCTION("""COMPUTED_VALUE"""),7357056.0)</f>
        <v>7357056</v>
      </c>
      <c r="G189" s="3">
        <f t="shared" si="1"/>
        <v>-0.01441271123</v>
      </c>
    </row>
    <row r="190">
      <c r="A190" s="1">
        <f>IFERROR(__xludf.DUMMYFUNCTION("""COMPUTED_VALUE"""),42958.66666666667)</f>
        <v>42958.66667</v>
      </c>
      <c r="B190" s="2">
        <f>IFERROR(__xludf.DUMMYFUNCTION("""COMPUTED_VALUE"""),929.06)</f>
        <v>929.06</v>
      </c>
      <c r="C190" s="2">
        <f>IFERROR(__xludf.DUMMYFUNCTION("""COMPUTED_VALUE"""),935.81)</f>
        <v>935.81</v>
      </c>
      <c r="D190" s="2">
        <f>IFERROR(__xludf.DUMMYFUNCTION("""COMPUTED_VALUE"""),905.58)</f>
        <v>905.58</v>
      </c>
      <c r="E190" s="2">
        <f>IFERROR(__xludf.DUMMYFUNCTION("""COMPUTED_VALUE"""),914.39)</f>
        <v>914.39</v>
      </c>
      <c r="F190" s="2">
        <f>IFERROR(__xludf.DUMMYFUNCTION("""COMPUTED_VALUE"""),6316648.0)</f>
        <v>6316648</v>
      </c>
      <c r="G190" s="3">
        <f t="shared" si="1"/>
        <v>-0.01462347515</v>
      </c>
    </row>
    <row r="191">
      <c r="A191" s="1">
        <f>IFERROR(__xludf.DUMMYFUNCTION("""COMPUTED_VALUE"""),42965.66666666667)</f>
        <v>42965.66667</v>
      </c>
      <c r="B191" s="2">
        <f>IFERROR(__xludf.DUMMYFUNCTION("""COMPUTED_VALUE"""),922.53)</f>
        <v>922.53</v>
      </c>
      <c r="C191" s="2">
        <f>IFERROR(__xludf.DUMMYFUNCTION("""COMPUTED_VALUE"""),932.7)</f>
        <v>932.7</v>
      </c>
      <c r="D191" s="2">
        <f>IFERROR(__xludf.DUMMYFUNCTION("""COMPUTED_VALUE"""),907.15)</f>
        <v>907.15</v>
      </c>
      <c r="E191" s="2">
        <f>IFERROR(__xludf.DUMMYFUNCTION("""COMPUTED_VALUE"""),910.67)</f>
        <v>910.67</v>
      </c>
      <c r="F191" s="2">
        <f>IFERROR(__xludf.DUMMYFUNCTION("""COMPUTED_VALUE"""),5574537.0)</f>
        <v>5574537</v>
      </c>
      <c r="G191" s="3">
        <f t="shared" si="1"/>
        <v>-0.004068285961</v>
      </c>
    </row>
    <row r="192">
      <c r="A192" s="1">
        <f>IFERROR(__xludf.DUMMYFUNCTION("""COMPUTED_VALUE"""),42972.66666666667)</f>
        <v>42972.66667</v>
      </c>
      <c r="B192" s="2">
        <f>IFERROR(__xludf.DUMMYFUNCTION("""COMPUTED_VALUE"""),910.0)</f>
        <v>910</v>
      </c>
      <c r="C192" s="2">
        <f>IFERROR(__xludf.DUMMYFUNCTION("""COMPUTED_VALUE"""),930.84)</f>
        <v>930.84</v>
      </c>
      <c r="D192" s="2">
        <f>IFERROR(__xludf.DUMMYFUNCTION("""COMPUTED_VALUE"""),903.4)</f>
        <v>903.4</v>
      </c>
      <c r="E192" s="2">
        <f>IFERROR(__xludf.DUMMYFUNCTION("""COMPUTED_VALUE"""),915.89)</f>
        <v>915.89</v>
      </c>
      <c r="F192" s="2">
        <f>IFERROR(__xludf.DUMMYFUNCTION("""COMPUTED_VALUE"""),5524108.0)</f>
        <v>5524108</v>
      </c>
      <c r="G192" s="3">
        <f t="shared" si="1"/>
        <v>0.005732043441</v>
      </c>
    </row>
    <row r="193">
      <c r="A193" s="1">
        <f>IFERROR(__xludf.DUMMYFUNCTION("""COMPUTED_VALUE"""),42979.66666666667)</f>
        <v>42979.66667</v>
      </c>
      <c r="B193" s="2">
        <f>IFERROR(__xludf.DUMMYFUNCTION("""COMPUTED_VALUE"""),916.0)</f>
        <v>916</v>
      </c>
      <c r="C193" s="2">
        <f>IFERROR(__xludf.DUMMYFUNCTION("""COMPUTED_VALUE"""),942.48)</f>
        <v>942.48</v>
      </c>
      <c r="D193" s="2">
        <f>IFERROR(__xludf.DUMMYFUNCTION("""COMPUTED_VALUE"""),905.0)</f>
        <v>905</v>
      </c>
      <c r="E193" s="2">
        <f>IFERROR(__xludf.DUMMYFUNCTION("""COMPUTED_VALUE"""),937.34)</f>
        <v>937.34</v>
      </c>
      <c r="F193" s="2">
        <f>IFERROR(__xludf.DUMMYFUNCTION("""COMPUTED_VALUE"""),6103226.0)</f>
        <v>6103226</v>
      </c>
      <c r="G193" s="3">
        <f t="shared" si="1"/>
        <v>0.02341984299</v>
      </c>
    </row>
    <row r="194">
      <c r="A194" s="1">
        <f>IFERROR(__xludf.DUMMYFUNCTION("""COMPUTED_VALUE"""),42986.66666666667)</f>
        <v>42986.66667</v>
      </c>
      <c r="B194" s="2">
        <f>IFERROR(__xludf.DUMMYFUNCTION("""COMPUTED_VALUE"""),933.08)</f>
        <v>933.08</v>
      </c>
      <c r="C194" s="2">
        <f>IFERROR(__xludf.DUMMYFUNCTION("""COMPUTED_VALUE"""),937.0)</f>
        <v>937</v>
      </c>
      <c r="D194" s="2">
        <f>IFERROR(__xludf.DUMMYFUNCTION("""COMPUTED_VALUE"""),919.27)</f>
        <v>919.27</v>
      </c>
      <c r="E194" s="2">
        <f>IFERROR(__xludf.DUMMYFUNCTION("""COMPUTED_VALUE"""),926.5)</f>
        <v>926.5</v>
      </c>
      <c r="F194" s="2">
        <f>IFERROR(__xludf.DUMMYFUNCTION("""COMPUTED_VALUE"""),5100223.0)</f>
        <v>5100223</v>
      </c>
      <c r="G194" s="3">
        <f t="shared" si="1"/>
        <v>-0.01156464037</v>
      </c>
    </row>
    <row r="195">
      <c r="A195" s="1">
        <f>IFERROR(__xludf.DUMMYFUNCTION("""COMPUTED_VALUE"""),42993.66666666667)</f>
        <v>42993.66667</v>
      </c>
      <c r="B195" s="2">
        <f>IFERROR(__xludf.DUMMYFUNCTION("""COMPUTED_VALUE"""),934.25)</f>
        <v>934.25</v>
      </c>
      <c r="C195" s="2">
        <f>IFERROR(__xludf.DUMMYFUNCTION("""COMPUTED_VALUE"""),938.38)</f>
        <v>938.38</v>
      </c>
      <c r="D195" s="2">
        <f>IFERROR(__xludf.DUMMYFUNCTION("""COMPUTED_VALUE"""),916.36)</f>
        <v>916.36</v>
      </c>
      <c r="E195" s="2">
        <f>IFERROR(__xludf.DUMMYFUNCTION("""COMPUTED_VALUE"""),920.29)</f>
        <v>920.29</v>
      </c>
      <c r="F195" s="2">
        <f>IFERROR(__xludf.DUMMYFUNCTION("""COMPUTED_VALUE"""),7407093.0)</f>
        <v>7407093</v>
      </c>
      <c r="G195" s="3">
        <f t="shared" si="1"/>
        <v>-0.00670264436</v>
      </c>
    </row>
    <row r="196">
      <c r="A196" s="1">
        <f>IFERROR(__xludf.DUMMYFUNCTION("""COMPUTED_VALUE"""),43000.66666666667)</f>
        <v>43000.66667</v>
      </c>
      <c r="B196" s="2">
        <f>IFERROR(__xludf.DUMMYFUNCTION("""COMPUTED_VALUE"""),920.01)</f>
        <v>920.01</v>
      </c>
      <c r="C196" s="2">
        <f>IFERROR(__xludf.DUMMYFUNCTION("""COMPUTED_VALUE"""),936.53)</f>
        <v>936.53</v>
      </c>
      <c r="D196" s="2">
        <f>IFERROR(__xludf.DUMMYFUNCTION("""COMPUTED_VALUE"""),910.6)</f>
        <v>910.6</v>
      </c>
      <c r="E196" s="2">
        <f>IFERROR(__xludf.DUMMYFUNCTION("""COMPUTED_VALUE"""),928.53)</f>
        <v>928.53</v>
      </c>
      <c r="F196" s="2">
        <f>IFERROR(__xludf.DUMMYFUNCTION("""COMPUTED_VALUE"""),6256650.0)</f>
        <v>6256650</v>
      </c>
      <c r="G196" s="3">
        <f t="shared" si="1"/>
        <v>0.008953699377</v>
      </c>
    </row>
    <row r="197">
      <c r="A197" s="1">
        <f>IFERROR(__xludf.DUMMYFUNCTION("""COMPUTED_VALUE"""),43007.66666666667)</f>
        <v>43007.66667</v>
      </c>
      <c r="B197" s="2">
        <f>IFERROR(__xludf.DUMMYFUNCTION("""COMPUTED_VALUE"""),925.45)</f>
        <v>925.45</v>
      </c>
      <c r="C197" s="2">
        <f>IFERROR(__xludf.DUMMYFUNCTION("""COMPUTED_VALUE"""),959.79)</f>
        <v>959.79</v>
      </c>
      <c r="D197" s="2">
        <f>IFERROR(__xludf.DUMMYFUNCTION("""COMPUTED_VALUE"""),909.7)</f>
        <v>909.7</v>
      </c>
      <c r="E197" s="2">
        <f>IFERROR(__xludf.DUMMYFUNCTION("""COMPUTED_VALUE"""),959.11)</f>
        <v>959.11</v>
      </c>
      <c r="F197" s="2">
        <f>IFERROR(__xludf.DUMMYFUNCTION("""COMPUTED_VALUE"""),8364430.0)</f>
        <v>8364430</v>
      </c>
      <c r="G197" s="3">
        <f t="shared" si="1"/>
        <v>0.03293377705</v>
      </c>
    </row>
    <row r="198">
      <c r="A198" s="1">
        <f>IFERROR(__xludf.DUMMYFUNCTION("""COMPUTED_VALUE"""),43014.66666666667)</f>
        <v>43014.66667</v>
      </c>
      <c r="B198" s="2">
        <f>IFERROR(__xludf.DUMMYFUNCTION("""COMPUTED_VALUE"""),959.98)</f>
        <v>959.98</v>
      </c>
      <c r="C198" s="2">
        <f>IFERROR(__xludf.DUMMYFUNCTION("""COMPUTED_VALUE"""),979.46)</f>
        <v>979.46</v>
      </c>
      <c r="D198" s="2">
        <f>IFERROR(__xludf.DUMMYFUNCTION("""COMPUTED_VALUE"""),947.84)</f>
        <v>947.84</v>
      </c>
      <c r="E198" s="2">
        <f>IFERROR(__xludf.DUMMYFUNCTION("""COMPUTED_VALUE"""),978.89)</f>
        <v>978.89</v>
      </c>
      <c r="F198" s="2">
        <f>IFERROR(__xludf.DUMMYFUNCTION("""COMPUTED_VALUE"""),5511879.0)</f>
        <v>5511879</v>
      </c>
      <c r="G198" s="3">
        <f t="shared" si="1"/>
        <v>0.02062328617</v>
      </c>
    </row>
    <row r="199">
      <c r="A199" s="1">
        <f>IFERROR(__xludf.DUMMYFUNCTION("""COMPUTED_VALUE"""),43021.66666666667)</f>
        <v>43021.66667</v>
      </c>
      <c r="B199" s="2">
        <f>IFERROR(__xludf.DUMMYFUNCTION("""COMPUTED_VALUE"""),980.0)</f>
        <v>980</v>
      </c>
      <c r="C199" s="2">
        <f>IFERROR(__xludf.DUMMYFUNCTION("""COMPUTED_VALUE"""),997.21)</f>
        <v>997.21</v>
      </c>
      <c r="D199" s="2">
        <f>IFERROR(__xludf.DUMMYFUNCTION("""COMPUTED_VALUE"""),966.08)</f>
        <v>966.08</v>
      </c>
      <c r="E199" s="2">
        <f>IFERROR(__xludf.DUMMYFUNCTION("""COMPUTED_VALUE"""),989.68)</f>
        <v>989.68</v>
      </c>
      <c r="F199" s="2">
        <f>IFERROR(__xludf.DUMMYFUNCTION("""COMPUTED_VALUE"""),5985561.0)</f>
        <v>5985561</v>
      </c>
      <c r="G199" s="3">
        <f t="shared" si="1"/>
        <v>0.01102268896</v>
      </c>
    </row>
    <row r="200">
      <c r="A200" s="1">
        <f>IFERROR(__xludf.DUMMYFUNCTION("""COMPUTED_VALUE"""),43028.66666666667)</f>
        <v>43028.66667</v>
      </c>
      <c r="B200" s="2">
        <f>IFERROR(__xludf.DUMMYFUNCTION("""COMPUTED_VALUE"""),992.1)</f>
        <v>992.1</v>
      </c>
      <c r="C200" s="2">
        <f>IFERROR(__xludf.DUMMYFUNCTION("""COMPUTED_VALUE"""),996.72)</f>
        <v>996.72</v>
      </c>
      <c r="D200" s="2">
        <f>IFERROR(__xludf.DUMMYFUNCTION("""COMPUTED_VALUE"""),978.39)</f>
        <v>978.39</v>
      </c>
      <c r="E200" s="2">
        <f>IFERROR(__xludf.DUMMYFUNCTION("""COMPUTED_VALUE"""),988.2)</f>
        <v>988.2</v>
      </c>
      <c r="F200" s="2">
        <f>IFERROR(__xludf.DUMMYFUNCTION("""COMPUTED_VALUE"""),5755071.0)</f>
        <v>5755071</v>
      </c>
      <c r="G200" s="3">
        <f t="shared" si="1"/>
        <v>-0.001495432867</v>
      </c>
    </row>
    <row r="201">
      <c r="A201" s="1">
        <f>IFERROR(__xludf.DUMMYFUNCTION("""COMPUTED_VALUE"""),43035.66666666667)</f>
        <v>43035.66667</v>
      </c>
      <c r="B201" s="2">
        <f>IFERROR(__xludf.DUMMYFUNCTION("""COMPUTED_VALUE"""),989.52)</f>
        <v>989.52</v>
      </c>
      <c r="C201" s="2">
        <f>IFERROR(__xludf.DUMMYFUNCTION("""COMPUTED_VALUE"""),1048.39)</f>
        <v>1048.39</v>
      </c>
      <c r="D201" s="2">
        <f>IFERROR(__xludf.DUMMYFUNCTION("""COMPUTED_VALUE"""),960.52)</f>
        <v>960.52</v>
      </c>
      <c r="E201" s="2">
        <f>IFERROR(__xludf.DUMMYFUNCTION("""COMPUTED_VALUE"""),1019.27)</f>
        <v>1019.27</v>
      </c>
      <c r="F201" s="2">
        <f>IFERROR(__xludf.DUMMYFUNCTION("""COMPUTED_VALUE"""),1.1111701E7)</f>
        <v>11111701</v>
      </c>
      <c r="G201" s="3">
        <f t="shared" si="1"/>
        <v>0.03144100385</v>
      </c>
    </row>
    <row r="202">
      <c r="A202" s="1">
        <f>IFERROR(__xludf.DUMMYFUNCTION("""COMPUTED_VALUE"""),43042.66666666667)</f>
        <v>43042.66667</v>
      </c>
      <c r="B202" s="2">
        <f>IFERROR(__xludf.DUMMYFUNCTION("""COMPUTED_VALUE"""),1014.0)</f>
        <v>1014</v>
      </c>
      <c r="C202" s="2">
        <f>IFERROR(__xludf.DUMMYFUNCTION("""COMPUTED_VALUE"""),1032.65)</f>
        <v>1032.65</v>
      </c>
      <c r="D202" s="2">
        <f>IFERROR(__xludf.DUMMYFUNCTION("""COMPUTED_VALUE"""),1007.5)</f>
        <v>1007.5</v>
      </c>
      <c r="E202" s="2">
        <f>IFERROR(__xludf.DUMMYFUNCTION("""COMPUTED_VALUE"""),1032.48)</f>
        <v>1032.48</v>
      </c>
      <c r="F202" s="2">
        <f>IFERROR(__xludf.DUMMYFUNCTION("""COMPUTED_VALUE"""),6915217.0)</f>
        <v>6915217</v>
      </c>
      <c r="G202" s="3">
        <f t="shared" si="1"/>
        <v>0.01296025587</v>
      </c>
    </row>
    <row r="203">
      <c r="A203" s="1">
        <f>IFERROR(__xludf.DUMMYFUNCTION("""COMPUTED_VALUE"""),43049.66666666667)</f>
        <v>43049.66667</v>
      </c>
      <c r="B203" s="2">
        <f>IFERROR(__xludf.DUMMYFUNCTION("""COMPUTED_VALUE"""),1028.99)</f>
        <v>1028.99</v>
      </c>
      <c r="C203" s="2">
        <f>IFERROR(__xludf.DUMMYFUNCTION("""COMPUTED_VALUE"""),1043.52)</f>
        <v>1043.52</v>
      </c>
      <c r="D203" s="2">
        <f>IFERROR(__xludf.DUMMYFUNCTION("""COMPUTED_VALUE"""),1019.67)</f>
        <v>1019.67</v>
      </c>
      <c r="E203" s="2">
        <f>IFERROR(__xludf.DUMMYFUNCTION("""COMPUTED_VALUE"""),1028.07)</f>
        <v>1028.07</v>
      </c>
      <c r="F203" s="2">
        <f>IFERROR(__xludf.DUMMYFUNCTION("""COMPUTED_VALUE"""),5292154.0)</f>
        <v>5292154</v>
      </c>
      <c r="G203" s="3">
        <f t="shared" si="1"/>
        <v>-0.004271269177</v>
      </c>
    </row>
    <row r="204">
      <c r="A204" s="1">
        <f>IFERROR(__xludf.DUMMYFUNCTION("""COMPUTED_VALUE"""),43056.66666666667)</f>
        <v>43056.66667</v>
      </c>
      <c r="B204" s="2">
        <f>IFERROR(__xludf.DUMMYFUNCTION("""COMPUTED_VALUE"""),1023.42)</f>
        <v>1023.42</v>
      </c>
      <c r="C204" s="2">
        <f>IFERROR(__xludf.DUMMYFUNCTION("""COMPUTED_VALUE"""),1035.92)</f>
        <v>1035.92</v>
      </c>
      <c r="D204" s="2">
        <f>IFERROR(__xludf.DUMMYFUNCTION("""COMPUTED_VALUE"""),1014.15)</f>
        <v>1014.15</v>
      </c>
      <c r="E204" s="2">
        <f>IFERROR(__xludf.DUMMYFUNCTION("""COMPUTED_VALUE"""),1019.09)</f>
        <v>1019.09</v>
      </c>
      <c r="F204" s="2">
        <f>IFERROR(__xludf.DUMMYFUNCTION("""COMPUTED_VALUE"""),5225745.0)</f>
        <v>5225745</v>
      </c>
      <c r="G204" s="3">
        <f t="shared" si="1"/>
        <v>-0.008734813777</v>
      </c>
    </row>
    <row r="205">
      <c r="A205" s="1">
        <f>IFERROR(__xludf.DUMMYFUNCTION("""COMPUTED_VALUE"""),43063.54166666667)</f>
        <v>43063.54167</v>
      </c>
      <c r="B205" s="2">
        <f>IFERROR(__xludf.DUMMYFUNCTION("""COMPUTED_VALUE"""),1020.26)</f>
        <v>1020.26</v>
      </c>
      <c r="C205" s="2">
        <f>IFERROR(__xludf.DUMMYFUNCTION("""COMPUTED_VALUE"""),1043.18)</f>
        <v>1043.18</v>
      </c>
      <c r="D205" s="2">
        <f>IFERROR(__xludf.DUMMYFUNCTION("""COMPUTED_VALUE"""),1017.5)</f>
        <v>1017.5</v>
      </c>
      <c r="E205" s="2">
        <f>IFERROR(__xludf.DUMMYFUNCTION("""COMPUTED_VALUE"""),1040.61)</f>
        <v>1040.61</v>
      </c>
      <c r="F205" s="2">
        <f>IFERROR(__xludf.DUMMYFUNCTION("""COMPUTED_VALUE"""),3334343.0)</f>
        <v>3334343</v>
      </c>
      <c r="G205" s="3">
        <f t="shared" si="1"/>
        <v>0.02111687878</v>
      </c>
    </row>
    <row r="206">
      <c r="A206" s="1">
        <f>IFERROR(__xludf.DUMMYFUNCTION("""COMPUTED_VALUE"""),43070.66666666667)</f>
        <v>43070.66667</v>
      </c>
      <c r="B206" s="2">
        <f>IFERROR(__xludf.DUMMYFUNCTION("""COMPUTED_VALUE"""),1040.0)</f>
        <v>1040</v>
      </c>
      <c r="C206" s="2">
        <f>IFERROR(__xludf.DUMMYFUNCTION("""COMPUTED_VALUE"""),1062.38)</f>
        <v>1062.38</v>
      </c>
      <c r="D206" s="2">
        <f>IFERROR(__xludf.DUMMYFUNCTION("""COMPUTED_VALUE"""),1002.02)</f>
        <v>1002.02</v>
      </c>
      <c r="E206" s="2">
        <f>IFERROR(__xludf.DUMMYFUNCTION("""COMPUTED_VALUE"""),1010.17)</f>
        <v>1010.17</v>
      </c>
      <c r="F206" s="2">
        <f>IFERROR(__xludf.DUMMYFUNCTION("""COMPUTED_VALUE"""),8825298.0)</f>
        <v>8825298</v>
      </c>
      <c r="G206" s="3">
        <f t="shared" si="1"/>
        <v>-0.0292520733</v>
      </c>
    </row>
    <row r="207">
      <c r="A207" s="1">
        <f>IFERROR(__xludf.DUMMYFUNCTION("""COMPUTED_VALUE"""),43077.66666666667)</f>
        <v>43077.66667</v>
      </c>
      <c r="B207" s="2">
        <f>IFERROR(__xludf.DUMMYFUNCTION("""COMPUTED_VALUE"""),1012.66)</f>
        <v>1012.66</v>
      </c>
      <c r="C207" s="2">
        <f>IFERROR(__xludf.DUMMYFUNCTION("""COMPUTED_VALUE"""),1042.05)</f>
        <v>1042.05</v>
      </c>
      <c r="D207" s="2">
        <f>IFERROR(__xludf.DUMMYFUNCTION("""COMPUTED_VALUE"""),988.28)</f>
        <v>988.28</v>
      </c>
      <c r="E207" s="2">
        <f>IFERROR(__xludf.DUMMYFUNCTION("""COMPUTED_VALUE"""),1037.05)</f>
        <v>1037.05</v>
      </c>
      <c r="F207" s="2">
        <f>IFERROR(__xludf.DUMMYFUNCTION("""COMPUTED_VALUE"""),7994737.0)</f>
        <v>7994737</v>
      </c>
      <c r="G207" s="3">
        <f t="shared" si="1"/>
        <v>0.02660938258</v>
      </c>
    </row>
    <row r="208">
      <c r="A208" s="1">
        <f>IFERROR(__xludf.DUMMYFUNCTION("""COMPUTED_VALUE"""),43084.66666666667)</f>
        <v>43084.66667</v>
      </c>
      <c r="B208" s="2">
        <f>IFERROR(__xludf.DUMMYFUNCTION("""COMPUTED_VALUE"""),1035.5)</f>
        <v>1035.5</v>
      </c>
      <c r="C208" s="2">
        <f>IFERROR(__xludf.DUMMYFUNCTION("""COMPUTED_VALUE"""),1067.62)</f>
        <v>1067.62</v>
      </c>
      <c r="D208" s="2">
        <f>IFERROR(__xludf.DUMMYFUNCTION("""COMPUTED_VALUE"""),1032.05)</f>
        <v>1032.05</v>
      </c>
      <c r="E208" s="2">
        <f>IFERROR(__xludf.DUMMYFUNCTION("""COMPUTED_VALUE"""),1064.19)</f>
        <v>1064.19</v>
      </c>
      <c r="F208" s="2">
        <f>IFERROR(__xludf.DUMMYFUNCTION("""COMPUTED_VALUE"""),8589940.0)</f>
        <v>8589940</v>
      </c>
      <c r="G208" s="3">
        <f t="shared" si="1"/>
        <v>0.02617038716</v>
      </c>
    </row>
    <row r="209">
      <c r="A209" s="1">
        <f>IFERROR(__xludf.DUMMYFUNCTION("""COMPUTED_VALUE"""),43091.66666666667)</f>
        <v>43091.66667</v>
      </c>
      <c r="B209" s="2">
        <f>IFERROR(__xludf.DUMMYFUNCTION("""COMPUTED_VALUE"""),1066.08)</f>
        <v>1066.08</v>
      </c>
      <c r="C209" s="2">
        <f>IFERROR(__xludf.DUMMYFUNCTION("""COMPUTED_VALUE"""),1078.49)</f>
        <v>1078.49</v>
      </c>
      <c r="D209" s="2">
        <f>IFERROR(__xludf.DUMMYFUNCTION("""COMPUTED_VALUE"""),1059.44)</f>
        <v>1059.44</v>
      </c>
      <c r="E209" s="2">
        <f>IFERROR(__xludf.DUMMYFUNCTION("""COMPUTED_VALUE"""),1060.12)</f>
        <v>1060.12</v>
      </c>
      <c r="F209" s="2">
        <f>IFERROR(__xludf.DUMMYFUNCTION("""COMPUTED_VALUE"""),5912657.0)</f>
        <v>5912657</v>
      </c>
      <c r="G209" s="3">
        <f t="shared" si="1"/>
        <v>-0.003824505023</v>
      </c>
    </row>
    <row r="210">
      <c r="A210" s="1">
        <f>IFERROR(__xludf.DUMMYFUNCTION("""COMPUTED_VALUE"""),43098.66666666667)</f>
        <v>43098.66667</v>
      </c>
      <c r="B210" s="2">
        <f>IFERROR(__xludf.DUMMYFUNCTION("""COMPUTED_VALUE"""),1058.07)</f>
        <v>1058.07</v>
      </c>
      <c r="C210" s="2">
        <f>IFERROR(__xludf.DUMMYFUNCTION("""COMPUTED_VALUE"""),1060.12)</f>
        <v>1060.12</v>
      </c>
      <c r="D210" s="2">
        <f>IFERROR(__xludf.DUMMYFUNCTION("""COMPUTED_VALUE"""),1044.77)</f>
        <v>1044.77</v>
      </c>
      <c r="E210" s="2">
        <f>IFERROR(__xludf.DUMMYFUNCTION("""COMPUTED_VALUE"""),1046.4)</f>
        <v>1046.4</v>
      </c>
      <c r="F210" s="2">
        <f>IFERROR(__xludf.DUMMYFUNCTION("""COMPUTED_VALUE"""),3757780.0)</f>
        <v>3757780</v>
      </c>
      <c r="G210" s="3">
        <f t="shared" si="1"/>
        <v>-0.0129419311</v>
      </c>
    </row>
    <row r="211">
      <c r="A211" s="1">
        <f>IFERROR(__xludf.DUMMYFUNCTION("""COMPUTED_VALUE"""),43105.66666666667)</f>
        <v>43105.66667</v>
      </c>
      <c r="B211" s="2">
        <f>IFERROR(__xludf.DUMMYFUNCTION("""COMPUTED_VALUE"""),1048.34)</f>
        <v>1048.34</v>
      </c>
      <c r="C211" s="2">
        <f>IFERROR(__xludf.DUMMYFUNCTION("""COMPUTED_VALUE"""),1104.25)</f>
        <v>1104.25</v>
      </c>
      <c r="D211" s="2">
        <f>IFERROR(__xludf.DUMMYFUNCTION("""COMPUTED_VALUE"""),1045.23)</f>
        <v>1045.23</v>
      </c>
      <c r="E211" s="2">
        <f>IFERROR(__xludf.DUMMYFUNCTION("""COMPUTED_VALUE"""),1102.23)</f>
        <v>1102.23</v>
      </c>
      <c r="F211" s="2">
        <f>IFERROR(__xludf.DUMMYFUNCTION("""COMPUTED_VALUE"""),4951462.0)</f>
        <v>4951462</v>
      </c>
      <c r="G211" s="3">
        <f t="shared" si="1"/>
        <v>0.0533543578</v>
      </c>
    </row>
    <row r="212">
      <c r="A212" s="1">
        <f>IFERROR(__xludf.DUMMYFUNCTION("""COMPUTED_VALUE"""),43112.66666666667)</f>
        <v>43112.66667</v>
      </c>
      <c r="B212" s="2">
        <f>IFERROR(__xludf.DUMMYFUNCTION("""COMPUTED_VALUE"""),1102.23)</f>
        <v>1102.23</v>
      </c>
      <c r="C212" s="2">
        <f>IFERROR(__xludf.DUMMYFUNCTION("""COMPUTED_VALUE"""),1124.29)</f>
        <v>1124.29</v>
      </c>
      <c r="D212" s="2">
        <f>IFERROR(__xludf.DUMMYFUNCTION("""COMPUTED_VALUE"""),1096.11)</f>
        <v>1096.11</v>
      </c>
      <c r="E212" s="2">
        <f>IFERROR(__xludf.DUMMYFUNCTION("""COMPUTED_VALUE"""),1122.26)</f>
        <v>1122.26</v>
      </c>
      <c r="F212" s="2">
        <f>IFERROR(__xludf.DUMMYFUNCTION("""COMPUTED_VALUE"""),5691762.0)</f>
        <v>5691762</v>
      </c>
      <c r="G212" s="3">
        <f t="shared" si="1"/>
        <v>0.0181722508</v>
      </c>
    </row>
    <row r="213">
      <c r="A213" s="1">
        <f>IFERROR(__xludf.DUMMYFUNCTION("""COMPUTED_VALUE"""),43119.66666666667)</f>
        <v>43119.66667</v>
      </c>
      <c r="B213" s="2">
        <f>IFERROR(__xludf.DUMMYFUNCTION("""COMPUTED_VALUE"""),1132.51)</f>
        <v>1132.51</v>
      </c>
      <c r="C213" s="2">
        <f>IFERROR(__xludf.DUMMYFUNCTION("""COMPUTED_VALUE"""),1139.91)</f>
        <v>1139.91</v>
      </c>
      <c r="D213" s="2">
        <f>IFERROR(__xludf.DUMMYFUNCTION("""COMPUTED_VALUE"""),1117.01)</f>
        <v>1117.01</v>
      </c>
      <c r="E213" s="2">
        <f>IFERROR(__xludf.DUMMYFUNCTION("""COMPUTED_VALUE"""),1137.51)</f>
        <v>1137.51</v>
      </c>
      <c r="F213" s="2">
        <f>IFERROR(__xludf.DUMMYFUNCTION("""COMPUTED_VALUE"""),5754363.0)</f>
        <v>5754363</v>
      </c>
      <c r="G213" s="3">
        <f t="shared" si="1"/>
        <v>0.01358865147</v>
      </c>
    </row>
    <row r="214">
      <c r="A214" s="1">
        <f>IFERROR(__xludf.DUMMYFUNCTION("""COMPUTED_VALUE"""),43126.66666666667)</f>
        <v>43126.66667</v>
      </c>
      <c r="B214" s="2">
        <f>IFERROR(__xludf.DUMMYFUNCTION("""COMPUTED_VALUE"""),1137.49)</f>
        <v>1137.49</v>
      </c>
      <c r="C214" s="2">
        <f>IFERROR(__xludf.DUMMYFUNCTION("""COMPUTED_VALUE"""),1179.86)</f>
        <v>1179.86</v>
      </c>
      <c r="D214" s="2">
        <f>IFERROR(__xludf.DUMMYFUNCTION("""COMPUTED_VALUE"""),1135.11)</f>
        <v>1135.11</v>
      </c>
      <c r="E214" s="2">
        <f>IFERROR(__xludf.DUMMYFUNCTION("""COMPUTED_VALUE"""),1175.84)</f>
        <v>1175.84</v>
      </c>
      <c r="F214" s="2">
        <f>IFERROR(__xludf.DUMMYFUNCTION("""COMPUTED_VALUE"""),7866951.0)</f>
        <v>7866951</v>
      </c>
      <c r="G214" s="3">
        <f t="shared" si="1"/>
        <v>0.03369640706</v>
      </c>
    </row>
    <row r="215">
      <c r="A215" s="1">
        <f>IFERROR(__xludf.DUMMYFUNCTION("""COMPUTED_VALUE"""),43133.66666666667)</f>
        <v>43133.66667</v>
      </c>
      <c r="B215" s="2">
        <f>IFERROR(__xludf.DUMMYFUNCTION("""COMPUTED_VALUE"""),1176.48)</f>
        <v>1176.48</v>
      </c>
      <c r="C215" s="2">
        <f>IFERROR(__xludf.DUMMYFUNCTION("""COMPUTED_VALUE"""),1186.89)</f>
        <v>1186.89</v>
      </c>
      <c r="D215" s="2">
        <f>IFERROR(__xludf.DUMMYFUNCTION("""COMPUTED_VALUE"""),1107.28)</f>
        <v>1107.28</v>
      </c>
      <c r="E215" s="2">
        <f>IFERROR(__xludf.DUMMYFUNCTION("""COMPUTED_VALUE"""),1111.9)</f>
        <v>1111.9</v>
      </c>
      <c r="F215" s="2">
        <f>IFERROR(__xludf.DUMMYFUNCTION("""COMPUTED_VALUE"""),1.1744004E7)</f>
        <v>11744004</v>
      </c>
      <c r="G215" s="3">
        <f t="shared" si="1"/>
        <v>-0.05437814669</v>
      </c>
    </row>
    <row r="216">
      <c r="A216" s="1">
        <f>IFERROR(__xludf.DUMMYFUNCTION("""COMPUTED_VALUE"""),43140.66666666667)</f>
        <v>43140.66667</v>
      </c>
      <c r="B216" s="2">
        <f>IFERROR(__xludf.DUMMYFUNCTION("""COMPUTED_VALUE"""),1090.6)</f>
        <v>1090.6</v>
      </c>
      <c r="C216" s="2">
        <f>IFERROR(__xludf.DUMMYFUNCTION("""COMPUTED_VALUE"""),1110.0)</f>
        <v>1110</v>
      </c>
      <c r="D216" s="2">
        <f>IFERROR(__xludf.DUMMYFUNCTION("""COMPUTED_VALUE"""),992.56)</f>
        <v>992.56</v>
      </c>
      <c r="E216" s="2">
        <f>IFERROR(__xludf.DUMMYFUNCTION("""COMPUTED_VALUE"""),1037.78)</f>
        <v>1037.78</v>
      </c>
      <c r="F216" s="2">
        <f>IFERROR(__xludf.DUMMYFUNCTION("""COMPUTED_VALUE"""),1.5980487E7)</f>
        <v>15980487</v>
      </c>
      <c r="G216" s="3">
        <f t="shared" si="1"/>
        <v>-0.06666067092</v>
      </c>
    </row>
    <row r="217">
      <c r="A217" s="1">
        <f>IFERROR(__xludf.DUMMYFUNCTION("""COMPUTED_VALUE"""),43147.66666666667)</f>
        <v>43147.66667</v>
      </c>
      <c r="B217" s="2">
        <f>IFERROR(__xludf.DUMMYFUNCTION("""COMPUTED_VALUE"""),1048.0)</f>
        <v>1048</v>
      </c>
      <c r="C217" s="2">
        <f>IFERROR(__xludf.DUMMYFUNCTION("""COMPUTED_VALUE"""),1104.67)</f>
        <v>1104.67</v>
      </c>
      <c r="D217" s="2">
        <f>IFERROR(__xludf.DUMMYFUNCTION("""COMPUTED_VALUE"""),1040.93)</f>
        <v>1040.93</v>
      </c>
      <c r="E217" s="2">
        <f>IFERROR(__xludf.DUMMYFUNCTION("""COMPUTED_VALUE"""),1094.8)</f>
        <v>1094.8</v>
      </c>
      <c r="F217" s="2">
        <f>IFERROR(__xludf.DUMMYFUNCTION("""COMPUTED_VALUE"""),8403613.0)</f>
        <v>8403613</v>
      </c>
      <c r="G217" s="3">
        <f t="shared" si="1"/>
        <v>0.05494420783</v>
      </c>
    </row>
    <row r="218">
      <c r="A218" s="1">
        <f>IFERROR(__xludf.DUMMYFUNCTION("""COMPUTED_VALUE"""),43154.66666666667)</f>
        <v>43154.66667</v>
      </c>
      <c r="B218" s="2">
        <f>IFERROR(__xludf.DUMMYFUNCTION("""COMPUTED_VALUE"""),1090.57)</f>
        <v>1090.57</v>
      </c>
      <c r="C218" s="2">
        <f>IFERROR(__xludf.DUMMYFUNCTION("""COMPUTED_VALUE"""),1133.97)</f>
        <v>1133.97</v>
      </c>
      <c r="D218" s="2">
        <f>IFERROR(__xludf.DUMMYFUNCTION("""COMPUTED_VALUE"""),1088.52)</f>
        <v>1088.52</v>
      </c>
      <c r="E218" s="2">
        <f>IFERROR(__xludf.DUMMYFUNCTION("""COMPUTED_VALUE"""),1126.79)</f>
        <v>1126.79</v>
      </c>
      <c r="F218" s="2">
        <f>IFERROR(__xludf.DUMMYFUNCTION("""COMPUTED_VALUE"""),5514189.0)</f>
        <v>5514189</v>
      </c>
      <c r="G218" s="3">
        <f t="shared" si="1"/>
        <v>0.02921994885</v>
      </c>
    </row>
    <row r="219">
      <c r="A219" s="1">
        <f>IFERROR(__xludf.DUMMYFUNCTION("""COMPUTED_VALUE"""),43161.66666666667)</f>
        <v>43161.66667</v>
      </c>
      <c r="B219" s="2">
        <f>IFERROR(__xludf.DUMMYFUNCTION("""COMPUTED_VALUE"""),1127.8)</f>
        <v>1127.8</v>
      </c>
      <c r="C219" s="2">
        <f>IFERROR(__xludf.DUMMYFUNCTION("""COMPUTED_VALUE"""),1144.04)</f>
        <v>1144.04</v>
      </c>
      <c r="D219" s="2">
        <f>IFERROR(__xludf.DUMMYFUNCTION("""COMPUTED_VALUE"""),1048.12)</f>
        <v>1048.12</v>
      </c>
      <c r="E219" s="2">
        <f>IFERROR(__xludf.DUMMYFUNCTION("""COMPUTED_VALUE"""),1078.92)</f>
        <v>1078.92</v>
      </c>
      <c r="F219" s="2">
        <f>IFERROR(__xludf.DUMMYFUNCTION("""COMPUTED_VALUE"""),1.000322E7)</f>
        <v>10003220</v>
      </c>
      <c r="G219" s="3">
        <f t="shared" si="1"/>
        <v>-0.04248351512</v>
      </c>
    </row>
    <row r="220">
      <c r="A220" s="1">
        <f>IFERROR(__xludf.DUMMYFUNCTION("""COMPUTED_VALUE"""),43168.66666666667)</f>
        <v>43168.66667</v>
      </c>
      <c r="B220" s="2">
        <f>IFERROR(__xludf.DUMMYFUNCTION("""COMPUTED_VALUE"""),1075.14)</f>
        <v>1075.14</v>
      </c>
      <c r="C220" s="2">
        <f>IFERROR(__xludf.DUMMYFUNCTION("""COMPUTED_VALUE"""),1160.8)</f>
        <v>1160.8</v>
      </c>
      <c r="D220" s="2">
        <f>IFERROR(__xludf.DUMMYFUNCTION("""COMPUTED_VALUE"""),1069.0)</f>
        <v>1069</v>
      </c>
      <c r="E220" s="2">
        <f>IFERROR(__xludf.DUMMYFUNCTION("""COMPUTED_VALUE"""),1160.04)</f>
        <v>1160.04</v>
      </c>
      <c r="F220" s="2">
        <f>IFERROR(__xludf.DUMMYFUNCTION("""COMPUTED_VALUE"""),7510657.0)</f>
        <v>7510657</v>
      </c>
      <c r="G220" s="3">
        <f t="shared" si="1"/>
        <v>0.07518629741</v>
      </c>
    </row>
    <row r="221">
      <c r="A221" s="1">
        <f>IFERROR(__xludf.DUMMYFUNCTION("""COMPUTED_VALUE"""),43175.66666666667)</f>
        <v>43175.66667</v>
      </c>
      <c r="B221" s="2">
        <f>IFERROR(__xludf.DUMMYFUNCTION("""COMPUTED_VALUE"""),1163.85)</f>
        <v>1163.85</v>
      </c>
      <c r="C221" s="2">
        <f>IFERROR(__xludf.DUMMYFUNCTION("""COMPUTED_VALUE"""),1177.05)</f>
        <v>1177.05</v>
      </c>
      <c r="D221" s="2">
        <f>IFERROR(__xludf.DUMMYFUNCTION("""COMPUTED_VALUE"""),1131.96)</f>
        <v>1131.96</v>
      </c>
      <c r="E221" s="2">
        <f>IFERROR(__xludf.DUMMYFUNCTION("""COMPUTED_VALUE"""),1135.73)</f>
        <v>1135.73</v>
      </c>
      <c r="F221" s="2">
        <f>IFERROR(__xludf.DUMMYFUNCTION("""COMPUTED_VALUE"""),9935038.0)</f>
        <v>9935038</v>
      </c>
      <c r="G221" s="3">
        <f t="shared" si="1"/>
        <v>-0.02095617393</v>
      </c>
    </row>
    <row r="222">
      <c r="A222" s="1">
        <f>IFERROR(__xludf.DUMMYFUNCTION("""COMPUTED_VALUE"""),43182.66666666667)</f>
        <v>43182.66667</v>
      </c>
      <c r="B222" s="2">
        <f>IFERROR(__xludf.DUMMYFUNCTION("""COMPUTED_VALUE"""),1120.01)</f>
        <v>1120.01</v>
      </c>
      <c r="C222" s="2">
        <f>IFERROR(__xludf.DUMMYFUNCTION("""COMPUTED_VALUE"""),1121.99)</f>
        <v>1121.99</v>
      </c>
      <c r="D222" s="2">
        <f>IFERROR(__xludf.DUMMYFUNCTION("""COMPUTED_VALUE"""),1021.22)</f>
        <v>1021.22</v>
      </c>
      <c r="E222" s="2">
        <f>IFERROR(__xludf.DUMMYFUNCTION("""COMPUTED_VALUE"""),1021.57)</f>
        <v>1021.57</v>
      </c>
      <c r="F222" s="2">
        <f>IFERROR(__xludf.DUMMYFUNCTION("""COMPUTED_VALUE"""),1.1340342E7)</f>
        <v>11340342</v>
      </c>
      <c r="G222" s="3">
        <f t="shared" si="1"/>
        <v>-0.1005168482</v>
      </c>
    </row>
    <row r="223">
      <c r="A223" s="1">
        <f>IFERROR(__xludf.DUMMYFUNCTION("""COMPUTED_VALUE"""),43188.66666666667)</f>
        <v>43188.66667</v>
      </c>
      <c r="B223" s="2">
        <f>IFERROR(__xludf.DUMMYFUNCTION("""COMPUTED_VALUE"""),1046.0)</f>
        <v>1046</v>
      </c>
      <c r="C223" s="2">
        <f>IFERROR(__xludf.DUMMYFUNCTION("""COMPUTED_VALUE"""),1064.84)</f>
        <v>1064.84</v>
      </c>
      <c r="D223" s="2">
        <f>IFERROR(__xludf.DUMMYFUNCTION("""COMPUTED_VALUE"""),980.64)</f>
        <v>980.64</v>
      </c>
      <c r="E223" s="2">
        <f>IFERROR(__xludf.DUMMYFUNCTION("""COMPUTED_VALUE"""),1031.79)</f>
        <v>1031.79</v>
      </c>
      <c r="F223" s="2">
        <f>IFERROR(__xludf.DUMMYFUNCTION("""COMPUTED_VALUE"""),1.1856551E7)</f>
        <v>11856551</v>
      </c>
      <c r="G223" s="3">
        <f t="shared" si="1"/>
        <v>0.01000420921</v>
      </c>
    </row>
    <row r="224">
      <c r="A224" s="1">
        <f>IFERROR(__xludf.DUMMYFUNCTION("""COMPUTED_VALUE"""),43196.66666666667)</f>
        <v>43196.66667</v>
      </c>
      <c r="B224" s="2">
        <f>IFERROR(__xludf.DUMMYFUNCTION("""COMPUTED_VALUE"""),1022.82)</f>
        <v>1022.82</v>
      </c>
      <c r="C224" s="2">
        <f>IFERROR(__xludf.DUMMYFUNCTION("""COMPUTED_VALUE"""),1042.79)</f>
        <v>1042.79</v>
      </c>
      <c r="D224" s="2">
        <f>IFERROR(__xludf.DUMMYFUNCTION("""COMPUTED_VALUE"""),990.37)</f>
        <v>990.37</v>
      </c>
      <c r="E224" s="2">
        <f>IFERROR(__xludf.DUMMYFUNCTION("""COMPUTED_VALUE"""),1007.04)</f>
        <v>1007.04</v>
      </c>
      <c r="F224" s="2">
        <f>IFERROR(__xludf.DUMMYFUNCTION("""COMPUTED_VALUE"""),1.0549606E7)</f>
        <v>10549606</v>
      </c>
      <c r="G224" s="3">
        <f t="shared" si="1"/>
        <v>-0.0239874393</v>
      </c>
    </row>
    <row r="225">
      <c r="A225" s="1">
        <f>IFERROR(__xludf.DUMMYFUNCTION("""COMPUTED_VALUE"""),43203.66666666667)</f>
        <v>43203.66667</v>
      </c>
      <c r="B225" s="2">
        <f>IFERROR(__xludf.DUMMYFUNCTION("""COMPUTED_VALUE"""),1016.8)</f>
        <v>1016.8</v>
      </c>
      <c r="C225" s="2">
        <f>IFERROR(__xludf.DUMMYFUNCTION("""COMPUTED_VALUE"""),1046.42)</f>
        <v>1046.42</v>
      </c>
      <c r="D225" s="2">
        <f>IFERROR(__xludf.DUMMYFUNCTION("""COMPUTED_VALUE"""),1011.34)</f>
        <v>1011.34</v>
      </c>
      <c r="E225" s="2">
        <f>IFERROR(__xludf.DUMMYFUNCTION("""COMPUTED_VALUE"""),1029.27)</f>
        <v>1029.27</v>
      </c>
      <c r="F225" s="2">
        <f>IFERROR(__xludf.DUMMYFUNCTION("""COMPUTED_VALUE"""),7847494.0)</f>
        <v>7847494</v>
      </c>
      <c r="G225" s="3">
        <f t="shared" si="1"/>
        <v>0.02207459485</v>
      </c>
    </row>
    <row r="226">
      <c r="A226" s="1">
        <f>IFERROR(__xludf.DUMMYFUNCTION("""COMPUTED_VALUE"""),43210.66666666667)</f>
        <v>43210.66667</v>
      </c>
      <c r="B226" s="2">
        <f>IFERROR(__xludf.DUMMYFUNCTION("""COMPUTED_VALUE"""),1037.0)</f>
        <v>1037</v>
      </c>
      <c r="C226" s="2">
        <f>IFERROR(__xludf.DUMMYFUNCTION("""COMPUTED_VALUE"""),1094.17)</f>
        <v>1094.17</v>
      </c>
      <c r="D226" s="2">
        <f>IFERROR(__xludf.DUMMYFUNCTION("""COMPUTED_VALUE"""),1026.74)</f>
        <v>1026.74</v>
      </c>
      <c r="E226" s="2">
        <f>IFERROR(__xludf.DUMMYFUNCTION("""COMPUTED_VALUE"""),1072.96)</f>
        <v>1072.96</v>
      </c>
      <c r="F226" s="2">
        <f>IFERROR(__xludf.DUMMYFUNCTION("""COMPUTED_VALUE"""),8512969.0)</f>
        <v>8512969</v>
      </c>
      <c r="G226" s="3">
        <f t="shared" si="1"/>
        <v>0.04244755992</v>
      </c>
    </row>
    <row r="227">
      <c r="A227" s="1">
        <f>IFERROR(__xludf.DUMMYFUNCTION("""COMPUTED_VALUE"""),43217.66666666667)</f>
        <v>43217.66667</v>
      </c>
      <c r="B227" s="2">
        <f>IFERROR(__xludf.DUMMYFUNCTION("""COMPUTED_VALUE"""),1077.86)</f>
        <v>1077.86</v>
      </c>
      <c r="C227" s="2">
        <f>IFERROR(__xludf.DUMMYFUNCTION("""COMPUTED_VALUE"""),1082.72)</f>
        <v>1082.72</v>
      </c>
      <c r="D227" s="2">
        <f>IFERROR(__xludf.DUMMYFUNCTION("""COMPUTED_VALUE"""),1010.59)</f>
        <v>1010.59</v>
      </c>
      <c r="E227" s="2">
        <f>IFERROR(__xludf.DUMMYFUNCTION("""COMPUTED_VALUE"""),1030.05)</f>
        <v>1030.05</v>
      </c>
      <c r="F227" s="2">
        <f>IFERROR(__xludf.DUMMYFUNCTION("""COMPUTED_VALUE"""),1.3191952E7)</f>
        <v>13191952</v>
      </c>
      <c r="G227" s="3">
        <f t="shared" si="1"/>
        <v>-0.03999217119</v>
      </c>
    </row>
    <row r="228">
      <c r="A228" s="1">
        <f>IFERROR(__xludf.DUMMYFUNCTION("""COMPUTED_VALUE"""),43224.66666666667)</f>
        <v>43224.66667</v>
      </c>
      <c r="B228" s="2">
        <f>IFERROR(__xludf.DUMMYFUNCTION("""COMPUTED_VALUE"""),1030.01)</f>
        <v>1030.01</v>
      </c>
      <c r="C228" s="2">
        <f>IFERROR(__xludf.DUMMYFUNCTION("""COMPUTED_VALUE"""),1048.51)</f>
        <v>1048.51</v>
      </c>
      <c r="D228" s="2">
        <f>IFERROR(__xludf.DUMMYFUNCTION("""COMPUTED_VALUE"""),1006.29)</f>
        <v>1006.29</v>
      </c>
      <c r="E228" s="2">
        <f>IFERROR(__xludf.DUMMYFUNCTION("""COMPUTED_VALUE"""),1048.21)</f>
        <v>1048.21</v>
      </c>
      <c r="F228" s="2">
        <f>IFERROR(__xludf.DUMMYFUNCTION("""COMPUTED_VALUE"""),8455908.0)</f>
        <v>8455908</v>
      </c>
      <c r="G228" s="3">
        <f t="shared" si="1"/>
        <v>0.01763021213</v>
      </c>
    </row>
    <row r="229">
      <c r="A229" s="1">
        <f>IFERROR(__xludf.DUMMYFUNCTION("""COMPUTED_VALUE"""),43231.66666666667)</f>
        <v>43231.66667</v>
      </c>
      <c r="B229" s="2">
        <f>IFERROR(__xludf.DUMMYFUNCTION("""COMPUTED_VALUE"""),1049.23)</f>
        <v>1049.23</v>
      </c>
      <c r="C229" s="2">
        <f>IFERROR(__xludf.DUMMYFUNCTION("""COMPUTED_VALUE"""),1101.33)</f>
        <v>1101.33</v>
      </c>
      <c r="D229" s="2">
        <f>IFERROR(__xludf.DUMMYFUNCTION("""COMPUTED_VALUE"""),1047.1)</f>
        <v>1047.1</v>
      </c>
      <c r="E229" s="2">
        <f>IFERROR(__xludf.DUMMYFUNCTION("""COMPUTED_VALUE"""),1098.26)</f>
        <v>1098.26</v>
      </c>
      <c r="F229" s="2">
        <f>IFERROR(__xludf.DUMMYFUNCTION("""COMPUTED_VALUE"""),7413294.0)</f>
        <v>7413294</v>
      </c>
      <c r="G229" s="3">
        <f t="shared" si="1"/>
        <v>0.04774806575</v>
      </c>
    </row>
    <row r="230">
      <c r="A230" s="1">
        <f>IFERROR(__xludf.DUMMYFUNCTION("""COMPUTED_VALUE"""),43238.66666666667)</f>
        <v>43238.66667</v>
      </c>
      <c r="B230" s="2">
        <f>IFERROR(__xludf.DUMMYFUNCTION("""COMPUTED_VALUE"""),1100.0)</f>
        <v>1100</v>
      </c>
      <c r="C230" s="2">
        <f>IFERROR(__xludf.DUMMYFUNCTION("""COMPUTED_VALUE"""),1110.75)</f>
        <v>1110.75</v>
      </c>
      <c r="D230" s="2">
        <f>IFERROR(__xludf.DUMMYFUNCTION("""COMPUTED_VALUE"""),1060.68)</f>
        <v>1060.68</v>
      </c>
      <c r="E230" s="2">
        <f>IFERROR(__xludf.DUMMYFUNCTION("""COMPUTED_VALUE"""),1066.36)</f>
        <v>1066.36</v>
      </c>
      <c r="F230" s="2">
        <f>IFERROR(__xludf.DUMMYFUNCTION("""COMPUTED_VALUE"""),6719272.0)</f>
        <v>6719272</v>
      </c>
      <c r="G230" s="3">
        <f t="shared" si="1"/>
        <v>-0.0290459454</v>
      </c>
    </row>
    <row r="231">
      <c r="A231" s="1">
        <f>IFERROR(__xludf.DUMMYFUNCTION("""COMPUTED_VALUE"""),43245.66666666667)</f>
        <v>43245.66667</v>
      </c>
      <c r="B231" s="2">
        <f>IFERROR(__xludf.DUMMYFUNCTION("""COMPUTED_VALUE"""),1074.06)</f>
        <v>1074.06</v>
      </c>
      <c r="C231" s="2">
        <f>IFERROR(__xludf.DUMMYFUNCTION("""COMPUTED_VALUE"""),1088.0)</f>
        <v>1088</v>
      </c>
      <c r="D231" s="2">
        <f>IFERROR(__xludf.DUMMYFUNCTION("""COMPUTED_VALUE"""),1061.71)</f>
        <v>1061.71</v>
      </c>
      <c r="E231" s="2">
        <f>IFERROR(__xludf.DUMMYFUNCTION("""COMPUTED_VALUE"""),1075.66)</f>
        <v>1075.66</v>
      </c>
      <c r="F231" s="2">
        <f>IFERROR(__xludf.DUMMYFUNCTION("""COMPUTED_VALUE"""),4840075.0)</f>
        <v>4840075</v>
      </c>
      <c r="G231" s="3">
        <f t="shared" si="1"/>
        <v>0.008721257361</v>
      </c>
    </row>
    <row r="232">
      <c r="A232" s="1">
        <f>IFERROR(__xludf.DUMMYFUNCTION("""COMPUTED_VALUE"""),43252.66666666667)</f>
        <v>43252.66667</v>
      </c>
      <c r="B232" s="2">
        <f>IFERROR(__xludf.DUMMYFUNCTION("""COMPUTED_VALUE"""),1064.89)</f>
        <v>1064.89</v>
      </c>
      <c r="C232" s="2">
        <f>IFERROR(__xludf.DUMMYFUNCTION("""COMPUTED_VALUE"""),1120.0)</f>
        <v>1120</v>
      </c>
      <c r="D232" s="2">
        <f>IFERROR(__xludf.DUMMYFUNCTION("""COMPUTED_VALUE"""),1055.22)</f>
        <v>1055.22</v>
      </c>
      <c r="E232" s="2">
        <f>IFERROR(__xludf.DUMMYFUNCTION("""COMPUTED_VALUE"""),1119.5)</f>
        <v>1119.5</v>
      </c>
      <c r="F232" s="2">
        <f>IFERROR(__xludf.DUMMYFUNCTION("""COMPUTED_VALUE"""),8513499.0)</f>
        <v>8513499</v>
      </c>
      <c r="G232" s="3">
        <f t="shared" si="1"/>
        <v>0.04075637283</v>
      </c>
    </row>
    <row r="233">
      <c r="A233" s="1">
        <f>IFERROR(__xludf.DUMMYFUNCTION("""COMPUTED_VALUE"""),43259.66666666667)</f>
        <v>43259.66667</v>
      </c>
      <c r="B233" s="2">
        <f>IFERROR(__xludf.DUMMYFUNCTION("""COMPUTED_VALUE"""),1122.33)</f>
        <v>1122.33</v>
      </c>
      <c r="C233" s="2">
        <f>IFERROR(__xludf.DUMMYFUNCTION("""COMPUTED_VALUE"""),1145.74)</f>
        <v>1145.74</v>
      </c>
      <c r="D233" s="2">
        <f>IFERROR(__xludf.DUMMYFUNCTION("""COMPUTED_VALUE"""),1112.15)</f>
        <v>1112.15</v>
      </c>
      <c r="E233" s="2">
        <f>IFERROR(__xludf.DUMMYFUNCTION("""COMPUTED_VALUE"""),1120.87)</f>
        <v>1120.87</v>
      </c>
      <c r="F233" s="2">
        <f>IFERROR(__xludf.DUMMYFUNCTION("""COMPUTED_VALUE"""),8076664.0)</f>
        <v>8076664</v>
      </c>
      <c r="G233" s="3">
        <f t="shared" si="1"/>
        <v>0.001223760607</v>
      </c>
    </row>
    <row r="234">
      <c r="A234" s="1">
        <f>IFERROR(__xludf.DUMMYFUNCTION("""COMPUTED_VALUE"""),43266.66666666667)</f>
        <v>43266.66667</v>
      </c>
      <c r="B234" s="2">
        <f>IFERROR(__xludf.DUMMYFUNCTION("""COMPUTED_VALUE"""),1118.6)</f>
        <v>1118.6</v>
      </c>
      <c r="C234" s="2">
        <f>IFERROR(__xludf.DUMMYFUNCTION("""COMPUTED_VALUE"""),1155.47)</f>
        <v>1155.47</v>
      </c>
      <c r="D234" s="2">
        <f>IFERROR(__xludf.DUMMYFUNCTION("""COMPUTED_VALUE"""),1118.6)</f>
        <v>1118.6</v>
      </c>
      <c r="E234" s="2">
        <f>IFERROR(__xludf.DUMMYFUNCTION("""COMPUTED_VALUE"""),1152.26)</f>
        <v>1152.26</v>
      </c>
      <c r="F234" s="2">
        <f>IFERROR(__xludf.DUMMYFUNCTION("""COMPUTED_VALUE"""),6971063.0)</f>
        <v>6971063</v>
      </c>
      <c r="G234" s="3">
        <f t="shared" si="1"/>
        <v>0.02800503181</v>
      </c>
    </row>
    <row r="235">
      <c r="A235" s="1">
        <f>IFERROR(__xludf.DUMMYFUNCTION("""COMPUTED_VALUE"""),43273.66666666667)</f>
        <v>43273.66667</v>
      </c>
      <c r="B235" s="2">
        <f>IFERROR(__xludf.DUMMYFUNCTION("""COMPUTED_VALUE"""),1143.65)</f>
        <v>1143.65</v>
      </c>
      <c r="C235" s="2">
        <f>IFERROR(__xludf.DUMMYFUNCTION("""COMPUTED_VALUE"""),1186.29)</f>
        <v>1186.29</v>
      </c>
      <c r="D235" s="2">
        <f>IFERROR(__xludf.DUMMYFUNCTION("""COMPUTED_VALUE"""),1143.59)</f>
        <v>1143.59</v>
      </c>
      <c r="E235" s="2">
        <f>IFERROR(__xludf.DUMMYFUNCTION("""COMPUTED_VALUE"""),1155.48)</f>
        <v>1155.48</v>
      </c>
      <c r="F235" s="2">
        <f>IFERROR(__xludf.DUMMYFUNCTION("""COMPUTED_VALUE"""),7232331.0)</f>
        <v>7232331</v>
      </c>
      <c r="G235" s="3">
        <f t="shared" si="1"/>
        <v>0.002794508184</v>
      </c>
    </row>
    <row r="236">
      <c r="A236" s="1">
        <f>IFERROR(__xludf.DUMMYFUNCTION("""COMPUTED_VALUE"""),43280.66666666667)</f>
        <v>43280.66667</v>
      </c>
      <c r="B236" s="2">
        <f>IFERROR(__xludf.DUMMYFUNCTION("""COMPUTED_VALUE"""),1143.6)</f>
        <v>1143.6</v>
      </c>
      <c r="C236" s="2">
        <f>IFERROR(__xludf.DUMMYFUNCTION("""COMPUTED_VALUE"""),1143.91)</f>
        <v>1143.91</v>
      </c>
      <c r="D236" s="2">
        <f>IFERROR(__xludf.DUMMYFUNCTION("""COMPUTED_VALUE"""),1096.01)</f>
        <v>1096.01</v>
      </c>
      <c r="E236" s="2">
        <f>IFERROR(__xludf.DUMMYFUNCTION("""COMPUTED_VALUE"""),1115.65)</f>
        <v>1115.65</v>
      </c>
      <c r="F236" s="2">
        <f>IFERROR(__xludf.DUMMYFUNCTION("""COMPUTED_VALUE"""),7401986.0)</f>
        <v>7401986</v>
      </c>
      <c r="G236" s="3">
        <f t="shared" si="1"/>
        <v>-0.03447052307</v>
      </c>
    </row>
    <row r="237">
      <c r="A237" s="1">
        <f>IFERROR(__xludf.DUMMYFUNCTION("""COMPUTED_VALUE"""),43287.66666666667)</f>
        <v>43287.66667</v>
      </c>
      <c r="B237" s="2">
        <f>IFERROR(__xludf.DUMMYFUNCTION("""COMPUTED_VALUE"""),1099.0)</f>
        <v>1099</v>
      </c>
      <c r="C237" s="2">
        <f>IFERROR(__xludf.DUMMYFUNCTION("""COMPUTED_VALUE"""),1140.93)</f>
        <v>1140.93</v>
      </c>
      <c r="D237" s="2">
        <f>IFERROR(__xludf.DUMMYFUNCTION("""COMPUTED_VALUE"""),1093.8)</f>
        <v>1093.8</v>
      </c>
      <c r="E237" s="2">
        <f>IFERROR(__xludf.DUMMYFUNCTION("""COMPUTED_VALUE"""),1140.17)</f>
        <v>1140.17</v>
      </c>
      <c r="F237" s="2">
        <f>IFERROR(__xludf.DUMMYFUNCTION("""COMPUTED_VALUE"""),3959109.0)</f>
        <v>3959109</v>
      </c>
      <c r="G237" s="3">
        <f t="shared" si="1"/>
        <v>0.02197821898</v>
      </c>
    </row>
    <row r="238">
      <c r="A238" s="1">
        <f>IFERROR(__xludf.DUMMYFUNCTION("""COMPUTED_VALUE"""),43294.66666666667)</f>
        <v>43294.66667</v>
      </c>
      <c r="B238" s="2">
        <f>IFERROR(__xludf.DUMMYFUNCTION("""COMPUTED_VALUE"""),1148.48)</f>
        <v>1148.48</v>
      </c>
      <c r="C238" s="2">
        <f>IFERROR(__xludf.DUMMYFUNCTION("""COMPUTED_VALUE"""),1195.42)</f>
        <v>1195.42</v>
      </c>
      <c r="D238" s="2">
        <f>IFERROR(__xludf.DUMMYFUNCTION("""COMPUTED_VALUE"""),1141.0)</f>
        <v>1141</v>
      </c>
      <c r="E238" s="2">
        <f>IFERROR(__xludf.DUMMYFUNCTION("""COMPUTED_VALUE"""),1188.82)</f>
        <v>1188.82</v>
      </c>
      <c r="F238" s="2">
        <f>IFERROR(__xludf.DUMMYFUNCTION("""COMPUTED_VALUE"""),5301330.0)</f>
        <v>5301330</v>
      </c>
      <c r="G238" s="3">
        <f t="shared" si="1"/>
        <v>0.04266907566</v>
      </c>
    </row>
    <row r="239">
      <c r="A239" s="1">
        <f>IFERROR(__xludf.DUMMYFUNCTION("""COMPUTED_VALUE"""),43301.66666666667)</f>
        <v>43301.66667</v>
      </c>
      <c r="B239" s="2">
        <f>IFERROR(__xludf.DUMMYFUNCTION("""COMPUTED_VALUE"""),1189.39)</f>
        <v>1189.39</v>
      </c>
      <c r="C239" s="2">
        <f>IFERROR(__xludf.DUMMYFUNCTION("""COMPUTED_VALUE"""),1204.5)</f>
        <v>1204.5</v>
      </c>
      <c r="D239" s="2">
        <f>IFERROR(__xludf.DUMMYFUNCTION("""COMPUTED_VALUE"""),1170.6)</f>
        <v>1170.6</v>
      </c>
      <c r="E239" s="2">
        <f>IFERROR(__xludf.DUMMYFUNCTION("""COMPUTED_VALUE"""),1184.91)</f>
        <v>1184.91</v>
      </c>
      <c r="F239" s="2">
        <f>IFERROR(__xludf.DUMMYFUNCTION("""COMPUTED_VALUE"""),6584688.0)</f>
        <v>6584688</v>
      </c>
      <c r="G239" s="3">
        <f t="shared" si="1"/>
        <v>-0.003288975623</v>
      </c>
    </row>
    <row r="240">
      <c r="A240" s="1">
        <f>IFERROR(__xludf.DUMMYFUNCTION("""COMPUTED_VALUE"""),43308.66666666667)</f>
        <v>43308.66667</v>
      </c>
      <c r="B240" s="2">
        <f>IFERROR(__xludf.DUMMYFUNCTION("""COMPUTED_VALUE"""),1181.01)</f>
        <v>1181.01</v>
      </c>
      <c r="C240" s="2">
        <f>IFERROR(__xludf.DUMMYFUNCTION("""COMPUTED_VALUE"""),1273.89)</f>
        <v>1273.89</v>
      </c>
      <c r="D240" s="2">
        <f>IFERROR(__xludf.DUMMYFUNCTION("""COMPUTED_VALUE"""),1181.0)</f>
        <v>1181</v>
      </c>
      <c r="E240" s="2">
        <f>IFERROR(__xludf.DUMMYFUNCTION("""COMPUTED_VALUE"""),1238.5)</f>
        <v>1238.5</v>
      </c>
      <c r="F240" s="2">
        <f>IFERROR(__xludf.DUMMYFUNCTION("""COMPUTED_VALUE"""),1.2613633E7)</f>
        <v>12613633</v>
      </c>
      <c r="G240" s="3">
        <f t="shared" si="1"/>
        <v>0.04522706366</v>
      </c>
    </row>
    <row r="241">
      <c r="A241" s="1">
        <f>IFERROR(__xludf.DUMMYFUNCTION("""COMPUTED_VALUE"""),43315.66666666667)</f>
        <v>43315.66667</v>
      </c>
      <c r="B241" s="2">
        <f>IFERROR(__xludf.DUMMYFUNCTION("""COMPUTED_VALUE"""),1228.01)</f>
        <v>1228.01</v>
      </c>
      <c r="C241" s="2">
        <f>IFERROR(__xludf.DUMMYFUNCTION("""COMPUTED_VALUE"""),1234.92)</f>
        <v>1234.92</v>
      </c>
      <c r="D241" s="2">
        <f>IFERROR(__xludf.DUMMYFUNCTION("""COMPUTED_VALUE"""),1204.79)</f>
        <v>1204.79</v>
      </c>
      <c r="E241" s="2">
        <f>IFERROR(__xludf.DUMMYFUNCTION("""COMPUTED_VALUE"""),1223.71)</f>
        <v>1223.71</v>
      </c>
      <c r="F241" s="2">
        <f>IFERROR(__xludf.DUMMYFUNCTION("""COMPUTED_VALUE"""),7683085.0)</f>
        <v>7683085</v>
      </c>
      <c r="G241" s="3">
        <f t="shared" si="1"/>
        <v>-0.01194186516</v>
      </c>
    </row>
    <row r="242">
      <c r="A242" s="1">
        <f>IFERROR(__xludf.DUMMYFUNCTION("""COMPUTED_VALUE"""),43322.66666666667)</f>
        <v>43322.66667</v>
      </c>
      <c r="B242" s="2">
        <f>IFERROR(__xludf.DUMMYFUNCTION("""COMPUTED_VALUE"""),1225.0)</f>
        <v>1225</v>
      </c>
      <c r="C242" s="2">
        <f>IFERROR(__xludf.DUMMYFUNCTION("""COMPUTED_VALUE"""),1256.5)</f>
        <v>1256.5</v>
      </c>
      <c r="D242" s="2">
        <f>IFERROR(__xludf.DUMMYFUNCTION("""COMPUTED_VALUE"""),1215.8)</f>
        <v>1215.8</v>
      </c>
      <c r="E242" s="2">
        <f>IFERROR(__xludf.DUMMYFUNCTION("""COMPUTED_VALUE"""),1237.61)</f>
        <v>1237.61</v>
      </c>
      <c r="F242" s="2">
        <f>IFERROR(__xludf.DUMMYFUNCTION("""COMPUTED_VALUE"""),5904136.0)</f>
        <v>5904136</v>
      </c>
      <c r="G242" s="3">
        <f t="shared" si="1"/>
        <v>0.01135890039</v>
      </c>
    </row>
    <row r="243">
      <c r="A243" s="1">
        <f>IFERROR(__xludf.DUMMYFUNCTION("""COMPUTED_VALUE"""),43329.66666666667)</f>
        <v>43329.66667</v>
      </c>
      <c r="B243" s="2">
        <f>IFERROR(__xludf.DUMMYFUNCTION("""COMPUTED_VALUE"""),1236.98)</f>
        <v>1236.98</v>
      </c>
      <c r="C243" s="2">
        <f>IFERROR(__xludf.DUMMYFUNCTION("""COMPUTED_VALUE"""),1249.27)</f>
        <v>1249.27</v>
      </c>
      <c r="D243" s="2">
        <f>IFERROR(__xludf.DUMMYFUNCTION("""COMPUTED_VALUE"""),1188.24)</f>
        <v>1188.24</v>
      </c>
      <c r="E243" s="2">
        <f>IFERROR(__xludf.DUMMYFUNCTION("""COMPUTED_VALUE"""),1200.96)</f>
        <v>1200.96</v>
      </c>
      <c r="F243" s="2">
        <f>IFERROR(__xludf.DUMMYFUNCTION("""COMPUTED_VALUE"""),6907160.0)</f>
        <v>6907160</v>
      </c>
      <c r="G243" s="3">
        <f t="shared" si="1"/>
        <v>-0.0296135293</v>
      </c>
    </row>
    <row r="244">
      <c r="A244" s="1">
        <f>IFERROR(__xludf.DUMMYFUNCTION("""COMPUTED_VALUE"""),43336.66666666667)</f>
        <v>43336.66667</v>
      </c>
      <c r="B244" s="2">
        <f>IFERROR(__xludf.DUMMYFUNCTION("""COMPUTED_VALUE"""),1205.02)</f>
        <v>1205.02</v>
      </c>
      <c r="C244" s="2">
        <f>IFERROR(__xludf.DUMMYFUNCTION("""COMPUTED_VALUE"""),1221.65)</f>
        <v>1221.65</v>
      </c>
      <c r="D244" s="2">
        <f>IFERROR(__xludf.DUMMYFUNCTION("""COMPUTED_VALUE"""),1194.63)</f>
        <v>1194.63</v>
      </c>
      <c r="E244" s="2">
        <f>IFERROR(__xludf.DUMMYFUNCTION("""COMPUTED_VALUE"""),1220.65)</f>
        <v>1220.65</v>
      </c>
      <c r="F244" s="2">
        <f>IFERROR(__xludf.DUMMYFUNCTION("""COMPUTED_VALUE"""),4903185.0)</f>
        <v>4903185</v>
      </c>
      <c r="G244" s="3">
        <f t="shared" si="1"/>
        <v>0.01639521716</v>
      </c>
    </row>
    <row r="245">
      <c r="A245" s="1">
        <f>IFERROR(__xludf.DUMMYFUNCTION("""COMPUTED_VALUE"""),43343.66666666667)</f>
        <v>43343.66667</v>
      </c>
      <c r="B245" s="2">
        <f>IFERROR(__xludf.DUMMYFUNCTION("""COMPUTED_VALUE"""),1227.6)</f>
        <v>1227.6</v>
      </c>
      <c r="C245" s="2">
        <f>IFERROR(__xludf.DUMMYFUNCTION("""COMPUTED_VALUE"""),1253.64)</f>
        <v>1253.64</v>
      </c>
      <c r="D245" s="2">
        <f>IFERROR(__xludf.DUMMYFUNCTION("""COMPUTED_VALUE"""),1211.29)</f>
        <v>1211.29</v>
      </c>
      <c r="E245" s="2">
        <f>IFERROR(__xludf.DUMMYFUNCTION("""COMPUTED_VALUE"""),1218.19)</f>
        <v>1218.19</v>
      </c>
      <c r="F245" s="2">
        <f>IFERROR(__xludf.DUMMYFUNCTION("""COMPUTED_VALUE"""),6917439.0)</f>
        <v>6917439</v>
      </c>
      <c r="G245" s="3">
        <f t="shared" si="1"/>
        <v>-0.002015319707</v>
      </c>
    </row>
    <row r="246">
      <c r="A246" s="1">
        <f>IFERROR(__xludf.DUMMYFUNCTION("""COMPUTED_VALUE"""),43350.66666666667)</f>
        <v>43350.66667</v>
      </c>
      <c r="B246" s="2">
        <f>IFERROR(__xludf.DUMMYFUNCTION("""COMPUTED_VALUE"""),1204.27)</f>
        <v>1204.27</v>
      </c>
      <c r="C246" s="2">
        <f>IFERROR(__xludf.DUMMYFUNCTION("""COMPUTED_VALUE"""),1212.99)</f>
        <v>1212.99</v>
      </c>
      <c r="D246" s="2">
        <f>IFERROR(__xludf.DUMMYFUNCTION("""COMPUTED_VALUE"""),1152.0)</f>
        <v>1152</v>
      </c>
      <c r="E246" s="2">
        <f>IFERROR(__xludf.DUMMYFUNCTION("""COMPUTED_VALUE"""),1164.83)</f>
        <v>1164.83</v>
      </c>
      <c r="F246" s="2">
        <f>IFERROR(__xludf.DUMMYFUNCTION("""COMPUTED_VALUE"""),7182225.0)</f>
        <v>7182225</v>
      </c>
      <c r="G246" s="3">
        <f t="shared" si="1"/>
        <v>-0.04380269088</v>
      </c>
    </row>
    <row r="247">
      <c r="A247" s="1">
        <f>IFERROR(__xludf.DUMMYFUNCTION("""COMPUTED_VALUE"""),43357.66666666667)</f>
        <v>43357.66667</v>
      </c>
      <c r="B247" s="2">
        <f>IFERROR(__xludf.DUMMYFUNCTION("""COMPUTED_VALUE"""),1172.19)</f>
        <v>1172.19</v>
      </c>
      <c r="C247" s="2">
        <f>IFERROR(__xludf.DUMMYFUNCTION("""COMPUTED_VALUE"""),1180.43)</f>
        <v>1180.43</v>
      </c>
      <c r="D247" s="2">
        <f>IFERROR(__xludf.DUMMYFUNCTION("""COMPUTED_VALUE"""),1156.24)</f>
        <v>1156.24</v>
      </c>
      <c r="E247" s="2">
        <f>IFERROR(__xludf.DUMMYFUNCTION("""COMPUTED_VALUE"""),1172.53)</f>
        <v>1172.53</v>
      </c>
      <c r="F247" s="2">
        <f>IFERROR(__xludf.DUMMYFUNCTION("""COMPUTED_VALUE"""),5996025.0)</f>
        <v>5996025</v>
      </c>
      <c r="G247" s="3">
        <f t="shared" si="1"/>
        <v>0.006610406669</v>
      </c>
    </row>
    <row r="248">
      <c r="A248" s="1">
        <f>IFERROR(__xludf.DUMMYFUNCTION("""COMPUTED_VALUE"""),43364.66666666667)</f>
        <v>43364.66667</v>
      </c>
      <c r="B248" s="2">
        <f>IFERROR(__xludf.DUMMYFUNCTION("""COMPUTED_VALUE"""),1170.14)</f>
        <v>1170.14</v>
      </c>
      <c r="C248" s="2">
        <f>IFERROR(__xludf.DUMMYFUNCTION("""COMPUTED_VALUE"""),1192.21)</f>
        <v>1192.21</v>
      </c>
      <c r="D248" s="2">
        <f>IFERROR(__xludf.DUMMYFUNCTION("""COMPUTED_VALUE"""),1154.03)</f>
        <v>1154.03</v>
      </c>
      <c r="E248" s="2">
        <f>IFERROR(__xludf.DUMMYFUNCTION("""COMPUTED_VALUE"""),1166.09)</f>
        <v>1166.09</v>
      </c>
      <c r="F248" s="2">
        <f>IFERROR(__xludf.DUMMYFUNCTION("""COMPUTED_VALUE"""),9332565.0)</f>
        <v>9332565</v>
      </c>
      <c r="G248" s="3">
        <f t="shared" si="1"/>
        <v>-0.005492396783</v>
      </c>
    </row>
    <row r="249">
      <c r="A249" s="1">
        <f>IFERROR(__xludf.DUMMYFUNCTION("""COMPUTED_VALUE"""),43371.66666666667)</f>
        <v>43371.66667</v>
      </c>
      <c r="B249" s="2">
        <f>IFERROR(__xludf.DUMMYFUNCTION("""COMPUTED_VALUE"""),1157.17)</f>
        <v>1157.17</v>
      </c>
      <c r="C249" s="2">
        <f>IFERROR(__xludf.DUMMYFUNCTION("""COMPUTED_VALUE"""),1202.1)</f>
        <v>1202.1</v>
      </c>
      <c r="D249" s="2">
        <f>IFERROR(__xludf.DUMMYFUNCTION("""COMPUTED_VALUE"""),1146.91)</f>
        <v>1146.91</v>
      </c>
      <c r="E249" s="2">
        <f>IFERROR(__xludf.DUMMYFUNCTION("""COMPUTED_VALUE"""),1193.47)</f>
        <v>1193.47</v>
      </c>
      <c r="F249" s="2">
        <f>IFERROR(__xludf.DUMMYFUNCTION("""COMPUTED_VALUE"""),6352384.0)</f>
        <v>6352384</v>
      </c>
      <c r="G249" s="3">
        <f t="shared" si="1"/>
        <v>0.02348017734</v>
      </c>
    </row>
    <row r="250">
      <c r="A250" s="1">
        <f>IFERROR(__xludf.DUMMYFUNCTION("""COMPUTED_VALUE"""),43378.66666666667)</f>
        <v>43378.66667</v>
      </c>
      <c r="B250" s="2">
        <f>IFERROR(__xludf.DUMMYFUNCTION("""COMPUTED_VALUE"""),1199.89)</f>
        <v>1199.89</v>
      </c>
      <c r="C250" s="2">
        <f>IFERROR(__xludf.DUMMYFUNCTION("""COMPUTED_VALUE"""),1209.96)</f>
        <v>1209.96</v>
      </c>
      <c r="D250" s="2">
        <f>IFERROR(__xludf.DUMMYFUNCTION("""COMPUTED_VALUE"""),1145.12)</f>
        <v>1145.12</v>
      </c>
      <c r="E250" s="2">
        <f>IFERROR(__xludf.DUMMYFUNCTION("""COMPUTED_VALUE"""),1157.35)</f>
        <v>1157.35</v>
      </c>
      <c r="F250" s="2">
        <f>IFERROR(__xludf.DUMMYFUNCTION("""COMPUTED_VALUE"""),7695674.0)</f>
        <v>7695674</v>
      </c>
      <c r="G250" s="3">
        <f t="shared" si="1"/>
        <v>-0.03026469036</v>
      </c>
    </row>
    <row r="251">
      <c r="A251" s="1">
        <f>IFERROR(__xludf.DUMMYFUNCTION("""COMPUTED_VALUE"""),43385.66666666667)</f>
        <v>43385.66667</v>
      </c>
      <c r="B251" s="2">
        <f>IFERROR(__xludf.DUMMYFUNCTION("""COMPUTED_VALUE"""),1150.11)</f>
        <v>1150.11</v>
      </c>
      <c r="C251" s="2">
        <f>IFERROR(__xludf.DUMMYFUNCTION("""COMPUTED_VALUE"""),1168.0)</f>
        <v>1168</v>
      </c>
      <c r="D251" s="2">
        <f>IFERROR(__xludf.DUMMYFUNCTION("""COMPUTED_VALUE"""),1068.27)</f>
        <v>1068.27</v>
      </c>
      <c r="E251" s="2">
        <f>IFERROR(__xludf.DUMMYFUNCTION("""COMPUTED_VALUE"""),1110.08)</f>
        <v>1110.08</v>
      </c>
      <c r="F251" s="2">
        <f>IFERROR(__xludf.DUMMYFUNCTION("""COMPUTED_VALUE"""),1.0968284E7)</f>
        <v>10968284</v>
      </c>
      <c r="G251" s="3">
        <f t="shared" si="1"/>
        <v>-0.04084330583</v>
      </c>
    </row>
    <row r="252">
      <c r="A252" s="1">
        <f>IFERROR(__xludf.DUMMYFUNCTION("""COMPUTED_VALUE"""),43392.66666666667)</f>
        <v>43392.66667</v>
      </c>
      <c r="B252" s="2">
        <f>IFERROR(__xludf.DUMMYFUNCTION("""COMPUTED_VALUE"""),1108.91)</f>
        <v>1108.91</v>
      </c>
      <c r="C252" s="2">
        <f>IFERROR(__xludf.DUMMYFUNCTION("""COMPUTED_VALUE"""),1128.99)</f>
        <v>1128.99</v>
      </c>
      <c r="D252" s="2">
        <f>IFERROR(__xludf.DUMMYFUNCTION("""COMPUTED_VALUE"""),1077.09)</f>
        <v>1077.09</v>
      </c>
      <c r="E252" s="2">
        <f>IFERROR(__xludf.DUMMYFUNCTION("""COMPUTED_VALUE"""),1096.46)</f>
        <v>1096.46</v>
      </c>
      <c r="F252" s="2">
        <f>IFERROR(__xludf.DUMMYFUNCTION("""COMPUTED_VALUE"""),8130332.0)</f>
        <v>8130332</v>
      </c>
      <c r="G252" s="3">
        <f t="shared" si="1"/>
        <v>-0.01226938599</v>
      </c>
    </row>
    <row r="253">
      <c r="A253" s="1">
        <f>IFERROR(__xludf.DUMMYFUNCTION("""COMPUTED_VALUE"""),43399.66666666667)</f>
        <v>43399.66667</v>
      </c>
      <c r="B253" s="2">
        <f>IFERROR(__xludf.DUMMYFUNCTION("""COMPUTED_VALUE"""),1103.06)</f>
        <v>1103.06</v>
      </c>
      <c r="C253" s="2">
        <f>IFERROR(__xludf.DUMMYFUNCTION("""COMPUTED_VALUE"""),1112.23)</f>
        <v>1112.23</v>
      </c>
      <c r="D253" s="2">
        <f>IFERROR(__xludf.DUMMYFUNCTION("""COMPUTED_VALUE"""),1034.09)</f>
        <v>1034.09</v>
      </c>
      <c r="E253" s="2">
        <f>IFERROR(__xludf.DUMMYFUNCTION("""COMPUTED_VALUE"""),1071.47)</f>
        <v>1071.47</v>
      </c>
      <c r="F253" s="2">
        <f>IFERROR(__xludf.DUMMYFUNCTION("""COMPUTED_VALUE"""),1.2078729E7)</f>
        <v>12078729</v>
      </c>
      <c r="G253" s="3">
        <f t="shared" si="1"/>
        <v>-0.0227915291</v>
      </c>
    </row>
    <row r="254">
      <c r="A254" s="1">
        <f>IFERROR(__xludf.DUMMYFUNCTION("""COMPUTED_VALUE"""),43406.66666666667)</f>
        <v>43406.66667</v>
      </c>
      <c r="B254" s="2">
        <f>IFERROR(__xludf.DUMMYFUNCTION("""COMPUTED_VALUE"""),1082.47)</f>
        <v>1082.47</v>
      </c>
      <c r="C254" s="2">
        <f>IFERROR(__xludf.DUMMYFUNCTION("""COMPUTED_VALUE"""),1097.04)</f>
        <v>1097.04</v>
      </c>
      <c r="D254" s="2">
        <f>IFERROR(__xludf.DUMMYFUNCTION("""COMPUTED_VALUE"""),995.83)</f>
        <v>995.83</v>
      </c>
      <c r="E254" s="2">
        <f>IFERROR(__xludf.DUMMYFUNCTION("""COMPUTED_VALUE"""),1057.79)</f>
        <v>1057.79</v>
      </c>
      <c r="F254" s="2">
        <f>IFERROR(__xludf.DUMMYFUNCTION("""COMPUTED_VALUE"""),1.294417E7)</f>
        <v>12944170</v>
      </c>
      <c r="G254" s="3">
        <f t="shared" si="1"/>
        <v>-0.01276750632</v>
      </c>
    </row>
    <row r="255">
      <c r="A255" s="1">
        <f>IFERROR(__xludf.DUMMYFUNCTION("""COMPUTED_VALUE"""),43413.66666666667)</f>
        <v>43413.66667</v>
      </c>
      <c r="B255" s="2">
        <f>IFERROR(__xludf.DUMMYFUNCTION("""COMPUTED_VALUE"""),1055.0)</f>
        <v>1055</v>
      </c>
      <c r="C255" s="2">
        <f>IFERROR(__xludf.DUMMYFUNCTION("""COMPUTED_VALUE"""),1095.46)</f>
        <v>1095.46</v>
      </c>
      <c r="D255" s="2">
        <f>IFERROR(__xludf.DUMMYFUNCTION("""COMPUTED_VALUE"""),1021.24)</f>
        <v>1021.24</v>
      </c>
      <c r="E255" s="2">
        <f>IFERROR(__xludf.DUMMYFUNCTION("""COMPUTED_VALUE"""),1066.15)</f>
        <v>1066.15</v>
      </c>
      <c r="F255" s="2">
        <f>IFERROR(__xludf.DUMMYFUNCTION("""COMPUTED_VALUE"""),8564587.0)</f>
        <v>8564587</v>
      </c>
      <c r="G255" s="3">
        <f t="shared" si="1"/>
        <v>0.007903270025</v>
      </c>
    </row>
    <row r="256">
      <c r="A256" s="1">
        <f>IFERROR(__xludf.DUMMYFUNCTION("""COMPUTED_VALUE"""),43420.66666666667)</f>
        <v>43420.66667</v>
      </c>
      <c r="B256" s="2">
        <f>IFERROR(__xludf.DUMMYFUNCTION("""COMPUTED_VALUE"""),1061.39)</f>
        <v>1061.39</v>
      </c>
      <c r="C256" s="2">
        <f>IFERROR(__xludf.DUMMYFUNCTION("""COMPUTED_VALUE"""),1071.85)</f>
        <v>1071.85</v>
      </c>
      <c r="D256" s="2">
        <f>IFERROR(__xludf.DUMMYFUNCTION("""COMPUTED_VALUE"""),1031.0)</f>
        <v>1031</v>
      </c>
      <c r="E256" s="2">
        <f>IFERROR(__xludf.DUMMYFUNCTION("""COMPUTED_VALUE"""),1061.49)</f>
        <v>1061.49</v>
      </c>
      <c r="F256" s="2">
        <f>IFERROR(__xludf.DUMMYFUNCTION("""COMPUTED_VALUE"""),8045605.0)</f>
        <v>8045605</v>
      </c>
      <c r="G256" s="3">
        <f t="shared" si="1"/>
        <v>-0.004370867139</v>
      </c>
    </row>
    <row r="257">
      <c r="A257" s="1">
        <f>IFERROR(__xludf.DUMMYFUNCTION("""COMPUTED_VALUE"""),43427.54166666667)</f>
        <v>43427.54167</v>
      </c>
      <c r="B257" s="2">
        <f>IFERROR(__xludf.DUMMYFUNCTION("""COMPUTED_VALUE"""),1057.2)</f>
        <v>1057.2</v>
      </c>
      <c r="C257" s="2">
        <f>IFERROR(__xludf.DUMMYFUNCTION("""COMPUTED_VALUE"""),1060.79)</f>
        <v>1060.79</v>
      </c>
      <c r="D257" s="2">
        <f>IFERROR(__xludf.DUMMYFUNCTION("""COMPUTED_VALUE"""),996.02)</f>
        <v>996.02</v>
      </c>
      <c r="E257" s="2">
        <f>IFERROR(__xludf.DUMMYFUNCTION("""COMPUTED_VALUE"""),1023.88)</f>
        <v>1023.88</v>
      </c>
      <c r="F257" s="2">
        <f>IFERROR(__xludf.DUMMYFUNCTION("""COMPUTED_VALUE"""),6533480.0)</f>
        <v>6533480</v>
      </c>
      <c r="G257" s="3">
        <f t="shared" si="1"/>
        <v>-0.03543132766</v>
      </c>
    </row>
    <row r="258">
      <c r="A258" s="1">
        <f>IFERROR(__xludf.DUMMYFUNCTION("""COMPUTED_VALUE"""),43434.66666666667)</f>
        <v>43434.66667</v>
      </c>
      <c r="B258" s="2">
        <f>IFERROR(__xludf.DUMMYFUNCTION("""COMPUTED_VALUE"""),1038.35)</f>
        <v>1038.35</v>
      </c>
      <c r="C258" s="2">
        <f>IFERROR(__xludf.DUMMYFUNCTION("""COMPUTED_VALUE"""),1095.57)</f>
        <v>1095.57</v>
      </c>
      <c r="D258" s="2">
        <f>IFERROR(__xludf.DUMMYFUNCTION("""COMPUTED_VALUE"""),1033.91)</f>
        <v>1033.91</v>
      </c>
      <c r="E258" s="2">
        <f>IFERROR(__xludf.DUMMYFUNCTION("""COMPUTED_VALUE"""),1094.43)</f>
        <v>1094.43</v>
      </c>
      <c r="F258" s="2">
        <f>IFERROR(__xludf.DUMMYFUNCTION("""COMPUTED_VALUE"""),1.0270876E7)</f>
        <v>10270876</v>
      </c>
      <c r="G258" s="3">
        <f t="shared" si="1"/>
        <v>0.06890455913</v>
      </c>
    </row>
    <row r="259">
      <c r="A259" s="1">
        <f>IFERROR(__xludf.DUMMYFUNCTION("""COMPUTED_VALUE"""),43441.66666666667)</f>
        <v>43441.66667</v>
      </c>
      <c r="B259" s="2">
        <f>IFERROR(__xludf.DUMMYFUNCTION("""COMPUTED_VALUE"""),1123.14)</f>
        <v>1123.14</v>
      </c>
      <c r="C259" s="2">
        <f>IFERROR(__xludf.DUMMYFUNCTION("""COMPUTED_VALUE"""),1124.65)</f>
        <v>1124.65</v>
      </c>
      <c r="D259" s="2">
        <f>IFERROR(__xludf.DUMMYFUNCTION("""COMPUTED_VALUE"""),1028.5)</f>
        <v>1028.5</v>
      </c>
      <c r="E259" s="2">
        <f>IFERROR(__xludf.DUMMYFUNCTION("""COMPUTED_VALUE"""),1036.58)</f>
        <v>1036.58</v>
      </c>
      <c r="F259" s="2">
        <f>IFERROR(__xludf.DUMMYFUNCTION("""COMPUTED_VALUE"""),9206355.0)</f>
        <v>9206355</v>
      </c>
      <c r="G259" s="3">
        <f t="shared" si="1"/>
        <v>-0.05285856565</v>
      </c>
    </row>
    <row r="260">
      <c r="A260" s="1">
        <f>IFERROR(__xludf.DUMMYFUNCTION("""COMPUTED_VALUE"""),43448.66666666667)</f>
        <v>43448.66667</v>
      </c>
      <c r="B260" s="2">
        <f>IFERROR(__xludf.DUMMYFUNCTION("""COMPUTED_VALUE"""),1035.05)</f>
        <v>1035.05</v>
      </c>
      <c r="C260" s="2">
        <f>IFERROR(__xludf.DUMMYFUNCTION("""COMPUTED_VALUE"""),1081.65)</f>
        <v>1081.65</v>
      </c>
      <c r="D260" s="2">
        <f>IFERROR(__xludf.DUMMYFUNCTION("""COMPUTED_VALUE"""),1023.29)</f>
        <v>1023.29</v>
      </c>
      <c r="E260" s="2">
        <f>IFERROR(__xludf.DUMMYFUNCTION("""COMPUTED_VALUE"""),1042.1)</f>
        <v>1042.1</v>
      </c>
      <c r="F260" s="2">
        <f>IFERROR(__xludf.DUMMYFUNCTION("""COMPUTED_VALUE"""),7742647.0)</f>
        <v>7742647</v>
      </c>
      <c r="G260" s="3">
        <f t="shared" si="1"/>
        <v>0.005325204036</v>
      </c>
    </row>
    <row r="261">
      <c r="A261" s="1">
        <f>IFERROR(__xludf.DUMMYFUNCTION("""COMPUTED_VALUE"""),43455.66666666667)</f>
        <v>43455.66667</v>
      </c>
      <c r="B261" s="2">
        <f>IFERROR(__xludf.DUMMYFUNCTION("""COMPUTED_VALUE"""),1037.51)</f>
        <v>1037.51</v>
      </c>
      <c r="C261" s="2">
        <f>IFERROR(__xludf.DUMMYFUNCTION("""COMPUTED_VALUE"""),1062.0)</f>
        <v>1062</v>
      </c>
      <c r="D261" s="2">
        <f>IFERROR(__xludf.DUMMYFUNCTION("""COMPUTED_VALUE"""),973.69)</f>
        <v>973.69</v>
      </c>
      <c r="E261" s="2">
        <f>IFERROR(__xludf.DUMMYFUNCTION("""COMPUTED_VALUE"""),979.54)</f>
        <v>979.54</v>
      </c>
      <c r="F261" s="2">
        <f>IFERROR(__xludf.DUMMYFUNCTION("""COMPUTED_VALUE"""),1.432659E7)</f>
        <v>14326590</v>
      </c>
      <c r="G261" s="3">
        <f t="shared" si="1"/>
        <v>-0.06003262643</v>
      </c>
    </row>
    <row r="262">
      <c r="A262" s="1">
        <f>IFERROR(__xludf.DUMMYFUNCTION("""COMPUTED_VALUE"""),43462.66666666667)</f>
        <v>43462.66667</v>
      </c>
      <c r="B262" s="2">
        <f>IFERROR(__xludf.DUMMYFUNCTION("""COMPUTED_VALUE"""),973.9)</f>
        <v>973.9</v>
      </c>
      <c r="C262" s="2">
        <f>IFERROR(__xludf.DUMMYFUNCTION("""COMPUTED_VALUE"""),1055.56)</f>
        <v>1055.56</v>
      </c>
      <c r="D262" s="2">
        <f>IFERROR(__xludf.DUMMYFUNCTION("""COMPUTED_VALUE"""),970.11)</f>
        <v>970.11</v>
      </c>
      <c r="E262" s="2">
        <f>IFERROR(__xludf.DUMMYFUNCTION("""COMPUTED_VALUE"""),1037.08)</f>
        <v>1037.08</v>
      </c>
      <c r="F262" s="2">
        <f>IFERROR(__xludf.DUMMYFUNCTION("""COMPUTED_VALUE"""),7487147.0)</f>
        <v>7487147</v>
      </c>
      <c r="G262" s="3">
        <f t="shared" si="1"/>
        <v>0.05874185842</v>
      </c>
    </row>
    <row r="263">
      <c r="A263" s="1">
        <f>IFERROR(__xludf.DUMMYFUNCTION("""COMPUTED_VALUE"""),43469.66666666667)</f>
        <v>43469.66667</v>
      </c>
      <c r="B263" s="2">
        <f>IFERROR(__xludf.DUMMYFUNCTION("""COMPUTED_VALUE"""),1050.96)</f>
        <v>1050.96</v>
      </c>
      <c r="C263" s="2">
        <f>IFERROR(__xludf.DUMMYFUNCTION("""COMPUTED_VALUE"""),1070.84)</f>
        <v>1070.84</v>
      </c>
      <c r="D263" s="2">
        <f>IFERROR(__xludf.DUMMYFUNCTION("""COMPUTED_VALUE"""),1014.07)</f>
        <v>1014.07</v>
      </c>
      <c r="E263" s="2">
        <f>IFERROR(__xludf.DUMMYFUNCTION("""COMPUTED_VALUE"""),1070.71)</f>
        <v>1070.71</v>
      </c>
      <c r="F263" s="2">
        <f>IFERROR(__xludf.DUMMYFUNCTION("""COMPUTED_VALUE"""),6961290.0)</f>
        <v>6961290</v>
      </c>
      <c r="G263" s="3">
        <f t="shared" si="1"/>
        <v>0.03242758514</v>
      </c>
    </row>
    <row r="264">
      <c r="A264" s="1">
        <f>IFERROR(__xludf.DUMMYFUNCTION("""COMPUTED_VALUE"""),43476.66666666667)</f>
        <v>43476.66667</v>
      </c>
      <c r="B264" s="2">
        <f>IFERROR(__xludf.DUMMYFUNCTION("""COMPUTED_VALUE"""),1071.5)</f>
        <v>1071.5</v>
      </c>
      <c r="C264" s="2">
        <f>IFERROR(__xludf.DUMMYFUNCTION("""COMPUTED_VALUE"""),1084.56)</f>
        <v>1084.56</v>
      </c>
      <c r="D264" s="2">
        <f>IFERROR(__xludf.DUMMYFUNCTION("""COMPUTED_VALUE"""),1048.48)</f>
        <v>1048.48</v>
      </c>
      <c r="E264" s="2">
        <f>IFERROR(__xludf.DUMMYFUNCTION("""COMPUTED_VALUE"""),1057.19)</f>
        <v>1057.19</v>
      </c>
      <c r="F264" s="2">
        <f>IFERROR(__xludf.DUMMYFUNCTION("""COMPUTED_VALUE"""),7923590.0)</f>
        <v>7923590</v>
      </c>
      <c r="G264" s="3">
        <f t="shared" si="1"/>
        <v>-0.01262713527</v>
      </c>
    </row>
    <row r="265">
      <c r="A265" s="1">
        <f>IFERROR(__xludf.DUMMYFUNCTION("""COMPUTED_VALUE"""),43483.66666666667)</f>
        <v>43483.66667</v>
      </c>
      <c r="B265" s="2">
        <f>IFERROR(__xludf.DUMMYFUNCTION("""COMPUTED_VALUE"""),1046.92)</f>
        <v>1046.92</v>
      </c>
      <c r="C265" s="2">
        <f>IFERROR(__xludf.DUMMYFUNCTION("""COMPUTED_VALUE"""),1108.35)</f>
        <v>1108.35</v>
      </c>
      <c r="D265" s="2">
        <f>IFERROR(__xludf.DUMMYFUNCTION("""COMPUTED_VALUE"""),1041.26)</f>
        <v>1041.26</v>
      </c>
      <c r="E265" s="2">
        <f>IFERROR(__xludf.DUMMYFUNCTION("""COMPUTED_VALUE"""),1098.26)</f>
        <v>1098.26</v>
      </c>
      <c r="F265" s="2">
        <f>IFERROR(__xludf.DUMMYFUNCTION("""COMPUTED_VALUE"""),7137875.0)</f>
        <v>7137875</v>
      </c>
      <c r="G265" s="3">
        <f t="shared" si="1"/>
        <v>0.03884826758</v>
      </c>
    </row>
    <row r="266">
      <c r="A266" s="1">
        <f>IFERROR(__xludf.DUMMYFUNCTION("""COMPUTED_VALUE"""),43490.66666666667)</f>
        <v>43490.66667</v>
      </c>
      <c r="B266" s="2">
        <f>IFERROR(__xludf.DUMMYFUNCTION("""COMPUTED_VALUE"""),1088.0)</f>
        <v>1088</v>
      </c>
      <c r="C266" s="2">
        <f>IFERROR(__xludf.DUMMYFUNCTION("""COMPUTED_VALUE"""),1094.0)</f>
        <v>1094</v>
      </c>
      <c r="D266" s="2">
        <f>IFERROR(__xludf.DUMMYFUNCTION("""COMPUTED_VALUE"""),1059.75)</f>
        <v>1059.75</v>
      </c>
      <c r="E266" s="2">
        <f>IFERROR(__xludf.DUMMYFUNCTION("""COMPUTED_VALUE"""),1090.99)</f>
        <v>1090.99</v>
      </c>
      <c r="F266" s="2">
        <f>IFERROR(__xludf.DUMMYFUNCTION("""COMPUTED_VALUE"""),5061372.0)</f>
        <v>5061372</v>
      </c>
      <c r="G266" s="3">
        <f t="shared" si="1"/>
        <v>-0.006619561852</v>
      </c>
    </row>
    <row r="267">
      <c r="A267" s="1">
        <f>IFERROR(__xludf.DUMMYFUNCTION("""COMPUTED_VALUE"""),43497.66666666667)</f>
        <v>43497.66667</v>
      </c>
      <c r="B267" s="2">
        <f>IFERROR(__xludf.DUMMYFUNCTION("""COMPUTED_VALUE"""),1080.11)</f>
        <v>1080.11</v>
      </c>
      <c r="C267" s="2">
        <f>IFERROR(__xludf.DUMMYFUNCTION("""COMPUTED_VALUE"""),1125.0)</f>
        <v>1125</v>
      </c>
      <c r="D267" s="2">
        <f>IFERROR(__xludf.DUMMYFUNCTION("""COMPUTED_VALUE"""),1055.86)</f>
        <v>1055.86</v>
      </c>
      <c r="E267" s="2">
        <f>IFERROR(__xludf.DUMMYFUNCTION("""COMPUTED_VALUE"""),1110.75)</f>
        <v>1110.75</v>
      </c>
      <c r="F267" s="2">
        <f>IFERROR(__xludf.DUMMYFUNCTION("""COMPUTED_VALUE"""),6586454.0)</f>
        <v>6586454</v>
      </c>
      <c r="G267" s="3">
        <f t="shared" si="1"/>
        <v>0.01811199003</v>
      </c>
    </row>
    <row r="268">
      <c r="A268" s="1">
        <f>IFERROR(__xludf.DUMMYFUNCTION("""COMPUTED_VALUE"""),43504.66666666667)</f>
        <v>43504.66667</v>
      </c>
      <c r="B268" s="2">
        <f>IFERROR(__xludf.DUMMYFUNCTION("""COMPUTED_VALUE"""),1112.66)</f>
        <v>1112.66</v>
      </c>
      <c r="C268" s="2">
        <f>IFERROR(__xludf.DUMMYFUNCTION("""COMPUTED_VALUE"""),1147.0)</f>
        <v>1147</v>
      </c>
      <c r="D268" s="2">
        <f>IFERROR(__xludf.DUMMYFUNCTION("""COMPUTED_VALUE"""),1086.0)</f>
        <v>1086</v>
      </c>
      <c r="E268" s="2">
        <f>IFERROR(__xludf.DUMMYFUNCTION("""COMPUTED_VALUE"""),1095.06)</f>
        <v>1095.06</v>
      </c>
      <c r="F268" s="2">
        <f>IFERROR(__xludf.DUMMYFUNCTION("""COMPUTED_VALUE"""),1.1354852E7)</f>
        <v>11354852</v>
      </c>
      <c r="G268" s="3">
        <f t="shared" si="1"/>
        <v>-0.01412559082</v>
      </c>
    </row>
    <row r="269">
      <c r="A269" s="1">
        <f>IFERROR(__xludf.DUMMYFUNCTION("""COMPUTED_VALUE"""),43511.66666666667)</f>
        <v>43511.66667</v>
      </c>
      <c r="B269" s="2">
        <f>IFERROR(__xludf.DUMMYFUNCTION("""COMPUTED_VALUE"""),1096.95)</f>
        <v>1096.95</v>
      </c>
      <c r="C269" s="2">
        <f>IFERROR(__xludf.DUMMYFUNCTION("""COMPUTED_VALUE"""),1134.73)</f>
        <v>1134.73</v>
      </c>
      <c r="D269" s="2">
        <f>IFERROR(__xludf.DUMMYFUNCTION("""COMPUTED_VALUE"""),1092.86)</f>
        <v>1092.86</v>
      </c>
      <c r="E269" s="2">
        <f>IFERROR(__xludf.DUMMYFUNCTION("""COMPUTED_VALUE"""),1113.65)</f>
        <v>1113.65</v>
      </c>
      <c r="F269" s="2">
        <f>IFERROR(__xludf.DUMMYFUNCTION("""COMPUTED_VALUE"""),6121950.0)</f>
        <v>6121950</v>
      </c>
      <c r="G269" s="3">
        <f t="shared" si="1"/>
        <v>0.01697623874</v>
      </c>
    </row>
    <row r="270">
      <c r="A270" s="1">
        <f>IFERROR(__xludf.DUMMYFUNCTION("""COMPUTED_VALUE"""),43518.66666666667)</f>
        <v>43518.66667</v>
      </c>
      <c r="B270" s="2">
        <f>IFERROR(__xludf.DUMMYFUNCTION("""COMPUTED_VALUE"""),1110.0)</f>
        <v>1110</v>
      </c>
      <c r="C270" s="2">
        <f>IFERROR(__xludf.DUMMYFUNCTION("""COMPUTED_VALUE"""),1123.41)</f>
        <v>1123.41</v>
      </c>
      <c r="D270" s="2">
        <f>IFERROR(__xludf.DUMMYFUNCTION("""COMPUTED_VALUE"""),1092.52)</f>
        <v>1092.52</v>
      </c>
      <c r="E270" s="2">
        <f>IFERROR(__xludf.DUMMYFUNCTION("""COMPUTED_VALUE"""),1110.37)</f>
        <v>1110.37</v>
      </c>
      <c r="F270" s="2">
        <f>IFERROR(__xludf.DUMMYFUNCTION("""COMPUTED_VALUE"""),4599463.0)</f>
        <v>4599463</v>
      </c>
      <c r="G270" s="3">
        <f t="shared" si="1"/>
        <v>-0.002945270058</v>
      </c>
    </row>
    <row r="271">
      <c r="A271" s="1">
        <f>IFERROR(__xludf.DUMMYFUNCTION("""COMPUTED_VALUE"""),43525.66666666667)</f>
        <v>43525.66667</v>
      </c>
      <c r="B271" s="2">
        <f>IFERROR(__xludf.DUMMYFUNCTION("""COMPUTED_VALUE"""),1116.0)</f>
        <v>1116</v>
      </c>
      <c r="C271" s="2">
        <f>IFERROR(__xludf.DUMMYFUNCTION("""COMPUTED_VALUE"""),1142.97)</f>
        <v>1142.97</v>
      </c>
      <c r="D271" s="2">
        <f>IFERROR(__xludf.DUMMYFUNCTION("""COMPUTED_VALUE"""),1099.92)</f>
        <v>1099.92</v>
      </c>
      <c r="E271" s="2">
        <f>IFERROR(__xludf.DUMMYFUNCTION("""COMPUTED_VALUE"""),1140.99)</f>
        <v>1140.99</v>
      </c>
      <c r="F271" s="2">
        <f>IFERROR(__xludf.DUMMYFUNCTION("""COMPUTED_VALUE"""),6846489.0)</f>
        <v>6846489</v>
      </c>
      <c r="G271" s="3">
        <f t="shared" si="1"/>
        <v>0.02757639345</v>
      </c>
    </row>
    <row r="272">
      <c r="A272" s="1">
        <f>IFERROR(__xludf.DUMMYFUNCTION("""COMPUTED_VALUE"""),43532.66666666667)</f>
        <v>43532.66667</v>
      </c>
      <c r="B272" s="2">
        <f>IFERROR(__xludf.DUMMYFUNCTION("""COMPUTED_VALUE"""),1146.99)</f>
        <v>1146.99</v>
      </c>
      <c r="C272" s="2">
        <f>IFERROR(__xludf.DUMMYFUNCTION("""COMPUTED_VALUE"""),1169.61)</f>
        <v>1169.61</v>
      </c>
      <c r="D272" s="2">
        <f>IFERROR(__xludf.DUMMYFUNCTION("""COMPUTED_VALUE"""),1123.3)</f>
        <v>1123.3</v>
      </c>
      <c r="E272" s="2">
        <f>IFERROR(__xludf.DUMMYFUNCTION("""COMPUTED_VALUE"""),1142.32)</f>
        <v>1142.32</v>
      </c>
      <c r="F272" s="2">
        <f>IFERROR(__xludf.DUMMYFUNCTION("""COMPUTED_VALUE"""),6367558.0)</f>
        <v>6367558</v>
      </c>
      <c r="G272" s="3">
        <f t="shared" si="1"/>
        <v>0.001165654388</v>
      </c>
    </row>
    <row r="273">
      <c r="A273" s="1">
        <f>IFERROR(__xludf.DUMMYFUNCTION("""COMPUTED_VALUE"""),43539.66666666667)</f>
        <v>43539.66667</v>
      </c>
      <c r="B273" s="2">
        <f>IFERROR(__xludf.DUMMYFUNCTION("""COMPUTED_VALUE"""),1144.45)</f>
        <v>1144.45</v>
      </c>
      <c r="C273" s="2">
        <f>IFERROR(__xludf.DUMMYFUNCTION("""COMPUTED_VALUE"""),1200.93)</f>
        <v>1200.93</v>
      </c>
      <c r="D273" s="2">
        <f>IFERROR(__xludf.DUMMYFUNCTION("""COMPUTED_VALUE"""),1144.45)</f>
        <v>1144.45</v>
      </c>
      <c r="E273" s="2">
        <f>IFERROR(__xludf.DUMMYFUNCTION("""COMPUTED_VALUE"""),1184.46)</f>
        <v>1184.46</v>
      </c>
      <c r="F273" s="2">
        <f>IFERROR(__xludf.DUMMYFUNCTION("""COMPUTED_VALUE"""),8801015.0)</f>
        <v>8801015</v>
      </c>
      <c r="G273" s="3">
        <f t="shared" si="1"/>
        <v>0.03688983822</v>
      </c>
    </row>
    <row r="274">
      <c r="A274" s="1">
        <f>IFERROR(__xludf.DUMMYFUNCTION("""COMPUTED_VALUE"""),43546.66666666667)</f>
        <v>43546.66667</v>
      </c>
      <c r="B274" s="2">
        <f>IFERROR(__xludf.DUMMYFUNCTION("""COMPUTED_VALUE"""),1183.3)</f>
        <v>1183.3</v>
      </c>
      <c r="C274" s="2">
        <f>IFERROR(__xludf.DUMMYFUNCTION("""COMPUTED_VALUE"""),1231.79)</f>
        <v>1231.79</v>
      </c>
      <c r="D274" s="2">
        <f>IFERROR(__xludf.DUMMYFUNCTION("""COMPUTED_VALUE"""),1177.42)</f>
        <v>1177.42</v>
      </c>
      <c r="E274" s="2">
        <f>IFERROR(__xludf.DUMMYFUNCTION("""COMPUTED_VALUE"""),1205.5)</f>
        <v>1205.5</v>
      </c>
      <c r="F274" s="2">
        <f>IFERROR(__xludf.DUMMYFUNCTION("""COMPUTED_VALUE"""),7959399.0)</f>
        <v>7959399</v>
      </c>
      <c r="G274" s="3">
        <f t="shared" si="1"/>
        <v>0.01776336896</v>
      </c>
    </row>
    <row r="275">
      <c r="A275" s="1">
        <f>IFERROR(__xludf.DUMMYFUNCTION("""COMPUTED_VALUE"""),43553.66666666667)</f>
        <v>43553.66667</v>
      </c>
      <c r="B275" s="2">
        <f>IFERROR(__xludf.DUMMYFUNCTION("""COMPUTED_VALUE"""),1196.93)</f>
        <v>1196.93</v>
      </c>
      <c r="C275" s="2">
        <f>IFERROR(__xludf.DUMMYFUNCTION("""COMPUTED_VALUE"""),1206.4)</f>
        <v>1206.4</v>
      </c>
      <c r="D275" s="2">
        <f>IFERROR(__xludf.DUMMYFUNCTION("""COMPUTED_VALUE"""),1159.37)</f>
        <v>1159.37</v>
      </c>
      <c r="E275" s="2">
        <f>IFERROR(__xludf.DUMMYFUNCTION("""COMPUTED_VALUE"""),1173.31)</f>
        <v>1173.31</v>
      </c>
      <c r="F275" s="2">
        <f>IFERROR(__xludf.DUMMYFUNCTION("""COMPUTED_VALUE"""),7080648.0)</f>
        <v>7080648</v>
      </c>
      <c r="G275" s="3">
        <f t="shared" si="1"/>
        <v>-0.02670261302</v>
      </c>
    </row>
    <row r="276">
      <c r="A276" s="1">
        <f>IFERROR(__xludf.DUMMYFUNCTION("""COMPUTED_VALUE"""),43560.66666666667)</f>
        <v>43560.66667</v>
      </c>
      <c r="B276" s="2">
        <f>IFERROR(__xludf.DUMMYFUNCTION("""COMPUTED_VALUE"""),1184.1)</f>
        <v>1184.1</v>
      </c>
      <c r="C276" s="2">
        <f>IFERROR(__xludf.DUMMYFUNCTION("""COMPUTED_VALUE"""),1216.3)</f>
        <v>1216.3</v>
      </c>
      <c r="D276" s="2">
        <f>IFERROR(__xludf.DUMMYFUNCTION("""COMPUTED_VALUE"""),1182.0)</f>
        <v>1182</v>
      </c>
      <c r="E276" s="2">
        <f>IFERROR(__xludf.DUMMYFUNCTION("""COMPUTED_VALUE"""),1207.15)</f>
        <v>1207.15</v>
      </c>
      <c r="F276" s="2">
        <f>IFERROR(__xludf.DUMMYFUNCTION("""COMPUTED_VALUE"""),4956467.0)</f>
        <v>4956467</v>
      </c>
      <c r="G276" s="3">
        <f t="shared" si="1"/>
        <v>0.02884148264</v>
      </c>
    </row>
    <row r="277">
      <c r="A277" s="1">
        <f>IFERROR(__xludf.DUMMYFUNCTION("""COMPUTED_VALUE"""),43567.66666666667)</f>
        <v>43567.66667</v>
      </c>
      <c r="B277" s="2">
        <f>IFERROR(__xludf.DUMMYFUNCTION("""COMPUTED_VALUE"""),1207.89)</f>
        <v>1207.89</v>
      </c>
      <c r="C277" s="2">
        <f>IFERROR(__xludf.DUMMYFUNCTION("""COMPUTED_VALUE"""),1218.35)</f>
        <v>1218.35</v>
      </c>
      <c r="D277" s="2">
        <f>IFERROR(__xludf.DUMMYFUNCTION("""COMPUTED_VALUE"""),1193.08)</f>
        <v>1193.08</v>
      </c>
      <c r="E277" s="2">
        <f>IFERROR(__xludf.DUMMYFUNCTION("""COMPUTED_VALUE"""),1217.87)</f>
        <v>1217.87</v>
      </c>
      <c r="F277" s="2">
        <f>IFERROR(__xludf.DUMMYFUNCTION("""COMPUTED_VALUE"""),4105412.0)</f>
        <v>4105412</v>
      </c>
      <c r="G277" s="3">
        <f t="shared" si="1"/>
        <v>0.008880420826</v>
      </c>
    </row>
    <row r="278">
      <c r="A278" s="1">
        <f>IFERROR(__xludf.DUMMYFUNCTION("""COMPUTED_VALUE"""),43573.66666666667)</f>
        <v>43573.66667</v>
      </c>
      <c r="B278" s="2">
        <f>IFERROR(__xludf.DUMMYFUNCTION("""COMPUTED_VALUE"""),1218.0)</f>
        <v>1218</v>
      </c>
      <c r="C278" s="2">
        <f>IFERROR(__xludf.DUMMYFUNCTION("""COMPUTED_VALUE"""),1242.0)</f>
        <v>1242</v>
      </c>
      <c r="D278" s="2">
        <f>IFERROR(__xludf.DUMMYFUNCTION("""COMPUTED_VALUE"""),1209.11)</f>
        <v>1209.11</v>
      </c>
      <c r="E278" s="2">
        <f>IFERROR(__xludf.DUMMYFUNCTION("""COMPUTED_VALUE"""),1236.37)</f>
        <v>1236.37</v>
      </c>
      <c r="F278" s="2">
        <f>IFERROR(__xludf.DUMMYFUNCTION("""COMPUTED_VALUE"""),4597576.0)</f>
        <v>4597576</v>
      </c>
      <c r="G278" s="3">
        <f t="shared" si="1"/>
        <v>0.01519045547</v>
      </c>
    </row>
    <row r="279">
      <c r="A279" s="1">
        <f>IFERROR(__xludf.DUMMYFUNCTION("""COMPUTED_VALUE"""),43581.66666666667)</f>
        <v>43581.66667</v>
      </c>
      <c r="B279" s="2">
        <f>IFERROR(__xludf.DUMMYFUNCTION("""COMPUTED_VALUE"""),1235.99)</f>
        <v>1235.99</v>
      </c>
      <c r="C279" s="2">
        <f>IFERROR(__xludf.DUMMYFUNCTION("""COMPUTED_VALUE"""),1273.07)</f>
        <v>1273.07</v>
      </c>
      <c r="D279" s="2">
        <f>IFERROR(__xludf.DUMMYFUNCTION("""COMPUTED_VALUE"""),1228.31)</f>
        <v>1228.31</v>
      </c>
      <c r="E279" s="2">
        <f>IFERROR(__xludf.DUMMYFUNCTION("""COMPUTED_VALUE"""),1272.18)</f>
        <v>1272.18</v>
      </c>
      <c r="F279" s="2">
        <f>IFERROR(__xludf.DUMMYFUNCTION("""COMPUTED_VALUE"""),5494720.0)</f>
        <v>5494720</v>
      </c>
      <c r="G279" s="3">
        <f t="shared" si="1"/>
        <v>0.02896382151</v>
      </c>
    </row>
    <row r="280">
      <c r="A280" s="1">
        <f>IFERROR(__xludf.DUMMYFUNCTION("""COMPUTED_VALUE"""),43588.66666666667)</f>
        <v>43588.66667</v>
      </c>
      <c r="B280" s="2">
        <f>IFERROR(__xludf.DUMMYFUNCTION("""COMPUTED_VALUE"""),1274.0)</f>
        <v>1274</v>
      </c>
      <c r="C280" s="2">
        <f>IFERROR(__xludf.DUMMYFUNCTION("""COMPUTED_VALUE"""),1289.27)</f>
        <v>1289.27</v>
      </c>
      <c r="D280" s="2">
        <f>IFERROR(__xludf.DUMMYFUNCTION("""COMPUTED_VALUE"""),1155.0)</f>
        <v>1155</v>
      </c>
      <c r="E280" s="2">
        <f>IFERROR(__xludf.DUMMYFUNCTION("""COMPUTED_VALUE"""),1185.4)</f>
        <v>1185.4</v>
      </c>
      <c r="F280" s="2">
        <f>IFERROR(__xludf.DUMMYFUNCTION("""COMPUTED_VALUE"""),1.5274912E7)</f>
        <v>15274912</v>
      </c>
      <c r="G280" s="3">
        <f t="shared" si="1"/>
        <v>-0.06821361757</v>
      </c>
    </row>
    <row r="281">
      <c r="A281" s="1">
        <f>IFERROR(__xludf.DUMMYFUNCTION("""COMPUTED_VALUE"""),43595.66666666667)</f>
        <v>43595.66667</v>
      </c>
      <c r="B281" s="2">
        <f>IFERROR(__xludf.DUMMYFUNCTION("""COMPUTED_VALUE"""),1166.26)</f>
        <v>1166.26</v>
      </c>
      <c r="C281" s="2">
        <f>IFERROR(__xludf.DUMMYFUNCTION("""COMPUTED_VALUE"""),1190.85)</f>
        <v>1190.85</v>
      </c>
      <c r="D281" s="2">
        <f>IFERROR(__xludf.DUMMYFUNCTION("""COMPUTED_VALUE"""),1142.5)</f>
        <v>1142.5</v>
      </c>
      <c r="E281" s="2">
        <f>IFERROR(__xludf.DUMMYFUNCTION("""COMPUTED_VALUE"""),1164.27)</f>
        <v>1164.27</v>
      </c>
      <c r="F281" s="2">
        <f>IFERROR(__xludf.DUMMYFUNCTION("""COMPUTED_VALUE"""),6925344.0)</f>
        <v>6925344</v>
      </c>
      <c r="G281" s="3">
        <f t="shared" si="1"/>
        <v>-0.01782520668</v>
      </c>
    </row>
    <row r="282">
      <c r="A282" s="1">
        <f>IFERROR(__xludf.DUMMYFUNCTION("""COMPUTED_VALUE"""),43602.66666666667)</f>
        <v>43602.66667</v>
      </c>
      <c r="B282" s="2">
        <f>IFERROR(__xludf.DUMMYFUNCTION("""COMPUTED_VALUE"""),1141.96)</f>
        <v>1141.96</v>
      </c>
      <c r="C282" s="2">
        <f>IFERROR(__xludf.DUMMYFUNCTION("""COMPUTED_VALUE"""),1188.16)</f>
        <v>1188.16</v>
      </c>
      <c r="D282" s="2">
        <f>IFERROR(__xludf.DUMMYFUNCTION("""COMPUTED_VALUE"""),1116.67)</f>
        <v>1116.67</v>
      </c>
      <c r="E282" s="2">
        <f>IFERROR(__xludf.DUMMYFUNCTION("""COMPUTED_VALUE"""),1162.3)</f>
        <v>1162.3</v>
      </c>
      <c r="F282" s="2">
        <f>IFERROR(__xludf.DUMMYFUNCTION("""COMPUTED_VALUE"""),8726581.0)</f>
        <v>8726581</v>
      </c>
      <c r="G282" s="3">
        <f t="shared" si="1"/>
        <v>-0.001692047377</v>
      </c>
    </row>
    <row r="283">
      <c r="A283" s="1">
        <f>IFERROR(__xludf.DUMMYFUNCTION("""COMPUTED_VALUE"""),43609.66666666667)</f>
        <v>43609.66667</v>
      </c>
      <c r="B283" s="2">
        <f>IFERROR(__xludf.DUMMYFUNCTION("""COMPUTED_VALUE"""),1144.5)</f>
        <v>1144.5</v>
      </c>
      <c r="C283" s="2">
        <f>IFERROR(__xludf.DUMMYFUNCTION("""COMPUTED_VALUE"""),1158.52)</f>
        <v>1158.52</v>
      </c>
      <c r="D283" s="2">
        <f>IFERROR(__xludf.DUMMYFUNCTION("""COMPUTED_VALUE"""),1129.22)</f>
        <v>1129.22</v>
      </c>
      <c r="E283" s="2">
        <f>IFERROR(__xludf.DUMMYFUNCTION("""COMPUTED_VALUE"""),1133.47)</f>
        <v>1133.47</v>
      </c>
      <c r="F283" s="2">
        <f>IFERROR(__xludf.DUMMYFUNCTION("""COMPUTED_VALUE"""),5739930.0)</f>
        <v>5739930</v>
      </c>
      <c r="G283" s="3">
        <f t="shared" si="1"/>
        <v>-0.0248042674</v>
      </c>
    </row>
    <row r="284">
      <c r="A284" s="1">
        <f>IFERROR(__xludf.DUMMYFUNCTION("""COMPUTED_VALUE"""),43616.66666666667)</f>
        <v>43616.66667</v>
      </c>
      <c r="B284" s="2">
        <f>IFERROR(__xludf.DUMMYFUNCTION("""COMPUTED_VALUE"""),1134.0)</f>
        <v>1134</v>
      </c>
      <c r="C284" s="2">
        <f>IFERROR(__xludf.DUMMYFUNCTION("""COMPUTED_VALUE"""),1151.59)</f>
        <v>1151.59</v>
      </c>
      <c r="D284" s="2">
        <f>IFERROR(__xludf.DUMMYFUNCTION("""COMPUTED_VALUE"""),1100.18)</f>
        <v>1100.18</v>
      </c>
      <c r="E284" s="2">
        <f>IFERROR(__xludf.DUMMYFUNCTION("""COMPUTED_VALUE"""),1103.63)</f>
        <v>1103.63</v>
      </c>
      <c r="F284" s="2">
        <f>IFERROR(__xludf.DUMMYFUNCTION("""COMPUTED_VALUE"""),5363454.0)</f>
        <v>5363454</v>
      </c>
      <c r="G284" s="3">
        <f t="shared" si="1"/>
        <v>-0.02632623713</v>
      </c>
    </row>
    <row r="285">
      <c r="A285" s="1">
        <f>IFERROR(__xludf.DUMMYFUNCTION("""COMPUTED_VALUE"""),43623.66666666667)</f>
        <v>43623.66667</v>
      </c>
      <c r="B285" s="2">
        <f>IFERROR(__xludf.DUMMYFUNCTION("""COMPUTED_VALUE"""),1065.5)</f>
        <v>1065.5</v>
      </c>
      <c r="C285" s="2">
        <f>IFERROR(__xludf.DUMMYFUNCTION("""COMPUTED_VALUE"""),1070.92)</f>
        <v>1070.92</v>
      </c>
      <c r="D285" s="2">
        <f>IFERROR(__xludf.DUMMYFUNCTION("""COMPUTED_VALUE"""),1025.0)</f>
        <v>1025</v>
      </c>
      <c r="E285" s="2">
        <f>IFERROR(__xludf.DUMMYFUNCTION("""COMPUTED_VALUE"""),1066.04)</f>
        <v>1066.04</v>
      </c>
      <c r="F285" s="2">
        <f>IFERROR(__xludf.DUMMYFUNCTION("""COMPUTED_VALUE"""),1.3638112E7)</f>
        <v>13638112</v>
      </c>
      <c r="G285" s="3">
        <f t="shared" si="1"/>
        <v>-0.03406032819</v>
      </c>
    </row>
    <row r="286">
      <c r="A286" s="1">
        <f>IFERROR(__xludf.DUMMYFUNCTION("""COMPUTED_VALUE"""),43630.66666666667)</f>
        <v>43630.66667</v>
      </c>
      <c r="B286" s="2">
        <f>IFERROR(__xludf.DUMMYFUNCTION("""COMPUTED_VALUE"""),1072.98)</f>
        <v>1072.98</v>
      </c>
      <c r="C286" s="2">
        <f>IFERROR(__xludf.DUMMYFUNCTION("""COMPUTED_VALUE"""),1101.99)</f>
        <v>1101.99</v>
      </c>
      <c r="D286" s="2">
        <f>IFERROR(__xludf.DUMMYFUNCTION("""COMPUTED_VALUE"""),1067.54)</f>
        <v>1067.54</v>
      </c>
      <c r="E286" s="2">
        <f>IFERROR(__xludf.DUMMYFUNCTION("""COMPUTED_VALUE"""),1085.35)</f>
        <v>1085.35</v>
      </c>
      <c r="F286" s="2">
        <f>IFERROR(__xludf.DUMMYFUNCTION("""COMPUTED_VALUE"""),6132209.0)</f>
        <v>6132209</v>
      </c>
      <c r="G286" s="3">
        <f t="shared" si="1"/>
        <v>0.01811376684</v>
      </c>
    </row>
    <row r="287">
      <c r="A287" s="1">
        <f>IFERROR(__xludf.DUMMYFUNCTION("""COMPUTED_VALUE"""),43637.66666666667)</f>
        <v>43637.66667</v>
      </c>
      <c r="B287" s="2">
        <f>IFERROR(__xludf.DUMMYFUNCTION("""COMPUTED_VALUE"""),1086.28)</f>
        <v>1086.28</v>
      </c>
      <c r="C287" s="2">
        <f>IFERROR(__xludf.DUMMYFUNCTION("""COMPUTED_VALUE"""),1124.11)</f>
        <v>1124.11</v>
      </c>
      <c r="D287" s="2">
        <f>IFERROR(__xludf.DUMMYFUNCTION("""COMPUTED_VALUE"""),1086.28)</f>
        <v>1086.28</v>
      </c>
      <c r="E287" s="2">
        <f>IFERROR(__xludf.DUMMYFUNCTION("""COMPUTED_VALUE"""),1121.88)</f>
        <v>1121.88</v>
      </c>
      <c r="F287" s="2">
        <f>IFERROR(__xludf.DUMMYFUNCTION("""COMPUTED_VALUE"""),6877106.0)</f>
        <v>6877106</v>
      </c>
      <c r="G287" s="3">
        <f t="shared" si="1"/>
        <v>0.03365734556</v>
      </c>
    </row>
    <row r="288">
      <c r="A288" s="1">
        <f>IFERROR(__xludf.DUMMYFUNCTION("""COMPUTED_VALUE"""),43644.66666666667)</f>
        <v>43644.66667</v>
      </c>
      <c r="B288" s="2">
        <f>IFERROR(__xludf.DUMMYFUNCTION("""COMPUTED_VALUE"""),1119.61)</f>
        <v>1119.61</v>
      </c>
      <c r="C288" s="2">
        <f>IFERROR(__xludf.DUMMYFUNCTION("""COMPUTED_VALUE"""),1122.0)</f>
        <v>1122</v>
      </c>
      <c r="D288" s="2">
        <f>IFERROR(__xludf.DUMMYFUNCTION("""COMPUTED_VALUE"""),1072.24)</f>
        <v>1072.24</v>
      </c>
      <c r="E288" s="2">
        <f>IFERROR(__xludf.DUMMYFUNCTION("""COMPUTED_VALUE"""),1080.91)</f>
        <v>1080.91</v>
      </c>
      <c r="F288" s="2">
        <f>IFERROR(__xludf.DUMMYFUNCTION("""COMPUTED_VALUE"""),7451405.0)</f>
        <v>7451405</v>
      </c>
      <c r="G288" s="3">
        <f t="shared" si="1"/>
        <v>-0.0365190573</v>
      </c>
    </row>
    <row r="289">
      <c r="A289" s="1">
        <f>IFERROR(__xludf.DUMMYFUNCTION("""COMPUTED_VALUE"""),43651.66666666667)</f>
        <v>43651.66667</v>
      </c>
      <c r="B289" s="2">
        <f>IFERROR(__xludf.DUMMYFUNCTION("""COMPUTED_VALUE"""),1098.0)</f>
        <v>1098</v>
      </c>
      <c r="C289" s="2">
        <f>IFERROR(__xludf.DUMMYFUNCTION("""COMPUTED_VALUE"""),1132.88)</f>
        <v>1132.88</v>
      </c>
      <c r="D289" s="2">
        <f>IFERROR(__xludf.DUMMYFUNCTION("""COMPUTED_VALUE"""),1093.7)</f>
        <v>1093.7</v>
      </c>
      <c r="E289" s="2">
        <f>IFERROR(__xludf.DUMMYFUNCTION("""COMPUTED_VALUE"""),1131.59)</f>
        <v>1131.59</v>
      </c>
      <c r="F289" s="2">
        <f>IFERROR(__xludf.DUMMYFUNCTION("""COMPUTED_VALUE"""),4461810.0)</f>
        <v>4461810</v>
      </c>
      <c r="G289" s="3">
        <f t="shared" si="1"/>
        <v>0.04688641978</v>
      </c>
    </row>
    <row r="290">
      <c r="A290" s="1">
        <f>IFERROR(__xludf.DUMMYFUNCTION("""COMPUTED_VALUE"""),43658.66666666667)</f>
        <v>43658.66667</v>
      </c>
      <c r="B290" s="2">
        <f>IFERROR(__xludf.DUMMYFUNCTION("""COMPUTED_VALUE"""),1125.17)</f>
        <v>1125.17</v>
      </c>
      <c r="C290" s="2">
        <f>IFERROR(__xludf.DUMMYFUNCTION("""COMPUTED_VALUE"""),1153.07)</f>
        <v>1153.07</v>
      </c>
      <c r="D290" s="2">
        <f>IFERROR(__xludf.DUMMYFUNCTION("""COMPUTED_VALUE"""),1107.17)</f>
        <v>1107.17</v>
      </c>
      <c r="E290" s="2">
        <f>IFERROR(__xludf.DUMMYFUNCTION("""COMPUTED_VALUE"""),1144.9)</f>
        <v>1144.9</v>
      </c>
      <c r="F290" s="2">
        <f>IFERROR(__xludf.DUMMYFUNCTION("""COMPUTED_VALUE"""),5835797.0)</f>
        <v>5835797</v>
      </c>
      <c r="G290" s="3">
        <f t="shared" si="1"/>
        <v>0.01176221069</v>
      </c>
    </row>
    <row r="291">
      <c r="A291" s="1">
        <f>IFERROR(__xludf.DUMMYFUNCTION("""COMPUTED_VALUE"""),43665.66666666667)</f>
        <v>43665.66667</v>
      </c>
      <c r="B291" s="2">
        <f>IFERROR(__xludf.DUMMYFUNCTION("""COMPUTED_VALUE"""),1146.86)</f>
        <v>1146.86</v>
      </c>
      <c r="C291" s="2">
        <f>IFERROR(__xludf.DUMMYFUNCTION("""COMPUTED_VALUE"""),1158.58)</f>
        <v>1158.58</v>
      </c>
      <c r="D291" s="2">
        <f>IFERROR(__xludf.DUMMYFUNCTION("""COMPUTED_VALUE"""),1129.62)</f>
        <v>1129.62</v>
      </c>
      <c r="E291" s="2">
        <f>IFERROR(__xludf.DUMMYFUNCTION("""COMPUTED_VALUE"""),1130.1)</f>
        <v>1130.1</v>
      </c>
      <c r="F291" s="2">
        <f>IFERROR(__xludf.DUMMYFUNCTION("""COMPUTED_VALUE"""),6251160.0)</f>
        <v>6251160</v>
      </c>
      <c r="G291" s="3">
        <f t="shared" si="1"/>
        <v>-0.01292689318</v>
      </c>
    </row>
    <row r="292">
      <c r="A292" s="1">
        <f>IFERROR(__xludf.DUMMYFUNCTION("""COMPUTED_VALUE"""),43672.66666666667)</f>
        <v>43672.66667</v>
      </c>
      <c r="B292" s="2">
        <f>IFERROR(__xludf.DUMMYFUNCTION("""COMPUTED_VALUE"""),1133.45)</f>
        <v>1133.45</v>
      </c>
      <c r="C292" s="2">
        <f>IFERROR(__xludf.DUMMYFUNCTION("""COMPUTED_VALUE"""),1265.55)</f>
        <v>1265.55</v>
      </c>
      <c r="D292" s="2">
        <f>IFERROR(__xludf.DUMMYFUNCTION("""COMPUTED_VALUE"""),1120.92)</f>
        <v>1120.92</v>
      </c>
      <c r="E292" s="2">
        <f>IFERROR(__xludf.DUMMYFUNCTION("""COMPUTED_VALUE"""),1250.41)</f>
        <v>1250.41</v>
      </c>
      <c r="F292" s="2">
        <f>IFERROR(__xludf.DUMMYFUNCTION("""COMPUTED_VALUE"""),1.100121E7)</f>
        <v>11001210</v>
      </c>
      <c r="G292" s="3">
        <f t="shared" si="1"/>
        <v>0.1064596053</v>
      </c>
    </row>
    <row r="293">
      <c r="A293" s="1">
        <f>IFERROR(__xludf.DUMMYFUNCTION("""COMPUTED_VALUE"""),43679.66666666667)</f>
        <v>43679.66667</v>
      </c>
      <c r="B293" s="2">
        <f>IFERROR(__xludf.DUMMYFUNCTION("""COMPUTED_VALUE"""),1241.05)</f>
        <v>1241.05</v>
      </c>
      <c r="C293" s="2">
        <f>IFERROR(__xludf.DUMMYFUNCTION("""COMPUTED_VALUE"""),1247.37)</f>
        <v>1247.37</v>
      </c>
      <c r="D293" s="2">
        <f>IFERROR(__xludf.DUMMYFUNCTION("""COMPUTED_VALUE"""),1188.94)</f>
        <v>1188.94</v>
      </c>
      <c r="E293" s="2">
        <f>IFERROR(__xludf.DUMMYFUNCTION("""COMPUTED_VALUE"""),1193.99)</f>
        <v>1193.99</v>
      </c>
      <c r="F293" s="2">
        <f>IFERROR(__xludf.DUMMYFUNCTION("""COMPUTED_VALUE"""),8746025.0)</f>
        <v>8746025</v>
      </c>
      <c r="G293" s="3">
        <f t="shared" si="1"/>
        <v>-0.04512120025</v>
      </c>
    </row>
    <row r="294">
      <c r="A294" s="1">
        <f>IFERROR(__xludf.DUMMYFUNCTION("""COMPUTED_VALUE"""),43686.66666666667)</f>
        <v>43686.66667</v>
      </c>
      <c r="B294" s="2">
        <f>IFERROR(__xludf.DUMMYFUNCTION("""COMPUTED_VALUE"""),1170.04)</f>
        <v>1170.04</v>
      </c>
      <c r="C294" s="2">
        <f>IFERROR(__xludf.DUMMYFUNCTION("""COMPUTED_VALUE"""),1205.01)</f>
        <v>1205.01</v>
      </c>
      <c r="D294" s="2">
        <f>IFERROR(__xludf.DUMMYFUNCTION("""COMPUTED_VALUE"""),1140.14)</f>
        <v>1140.14</v>
      </c>
      <c r="E294" s="2">
        <f>IFERROR(__xludf.DUMMYFUNCTION("""COMPUTED_VALUE"""),1188.01)</f>
        <v>1188.01</v>
      </c>
      <c r="F294" s="2">
        <f>IFERROR(__xludf.DUMMYFUNCTION("""COMPUTED_VALUE"""),8284808.0)</f>
        <v>8284808</v>
      </c>
      <c r="G294" s="3">
        <f t="shared" si="1"/>
        <v>-0.005008417156</v>
      </c>
    </row>
    <row r="295">
      <c r="A295" s="1">
        <f>IFERROR(__xludf.DUMMYFUNCTION("""COMPUTED_VALUE"""),43693.66666666667)</f>
        <v>43693.66667</v>
      </c>
      <c r="B295" s="2">
        <f>IFERROR(__xludf.DUMMYFUNCTION("""COMPUTED_VALUE"""),1179.21)</f>
        <v>1179.21</v>
      </c>
      <c r="C295" s="2">
        <f>IFERROR(__xludf.DUMMYFUNCTION("""COMPUTED_VALUE"""),1204.78)</f>
        <v>1204.78</v>
      </c>
      <c r="D295" s="2">
        <f>IFERROR(__xludf.DUMMYFUNCTION("""COMPUTED_VALUE"""),1160.54)</f>
        <v>1160.54</v>
      </c>
      <c r="E295" s="2">
        <f>IFERROR(__xludf.DUMMYFUNCTION("""COMPUTED_VALUE"""),1177.6)</f>
        <v>1177.6</v>
      </c>
      <c r="F295" s="2">
        <f>IFERROR(__xludf.DUMMYFUNCTION("""COMPUTED_VALUE"""),6474039.0)</f>
        <v>6474039</v>
      </c>
      <c r="G295" s="3">
        <f t="shared" si="1"/>
        <v>-0.008762552504</v>
      </c>
    </row>
    <row r="296">
      <c r="A296" s="1">
        <f>IFERROR(__xludf.DUMMYFUNCTION("""COMPUTED_VALUE"""),43700.66666666667)</f>
        <v>43700.66667</v>
      </c>
      <c r="B296" s="2">
        <f>IFERROR(__xludf.DUMMYFUNCTION("""COMPUTED_VALUE"""),1190.09)</f>
        <v>1190.09</v>
      </c>
      <c r="C296" s="2">
        <f>IFERROR(__xludf.DUMMYFUNCTION("""COMPUTED_VALUE"""),1206.99)</f>
        <v>1206.99</v>
      </c>
      <c r="D296" s="2">
        <f>IFERROR(__xludf.DUMMYFUNCTION("""COMPUTED_VALUE"""),1147.75)</f>
        <v>1147.75</v>
      </c>
      <c r="E296" s="2">
        <f>IFERROR(__xludf.DUMMYFUNCTION("""COMPUTED_VALUE"""),1151.29)</f>
        <v>1151.29</v>
      </c>
      <c r="F296" s="2">
        <f>IFERROR(__xludf.DUMMYFUNCTION("""COMPUTED_VALUE"""),5525352.0)</f>
        <v>5525352</v>
      </c>
      <c r="G296" s="3">
        <f t="shared" si="1"/>
        <v>-0.02234205163</v>
      </c>
    </row>
    <row r="297">
      <c r="A297" s="1">
        <f>IFERROR(__xludf.DUMMYFUNCTION("""COMPUTED_VALUE"""),43707.66666666667)</f>
        <v>43707.66667</v>
      </c>
      <c r="B297" s="2">
        <f>IFERROR(__xludf.DUMMYFUNCTION("""COMPUTED_VALUE"""),1157.26)</f>
        <v>1157.26</v>
      </c>
      <c r="C297" s="2">
        <f>IFERROR(__xludf.DUMMYFUNCTION("""COMPUTED_VALUE"""),1198.5)</f>
        <v>1198.5</v>
      </c>
      <c r="D297" s="2">
        <f>IFERROR(__xludf.DUMMYFUNCTION("""COMPUTED_VALUE"""),1152.96)</f>
        <v>1152.96</v>
      </c>
      <c r="E297" s="2">
        <f>IFERROR(__xludf.DUMMYFUNCTION("""COMPUTED_VALUE"""),1188.1)</f>
        <v>1188.1</v>
      </c>
      <c r="F297" s="2">
        <f>IFERROR(__xludf.DUMMYFUNCTION("""COMPUTED_VALUE"""),5324953.0)</f>
        <v>5324953</v>
      </c>
      <c r="G297" s="3">
        <f t="shared" si="1"/>
        <v>0.03197283048</v>
      </c>
    </row>
    <row r="298">
      <c r="A298" s="1">
        <f>IFERROR(__xludf.DUMMYFUNCTION("""COMPUTED_VALUE"""),43714.66666666667)</f>
        <v>43714.66667</v>
      </c>
      <c r="B298" s="2">
        <f>IFERROR(__xludf.DUMMYFUNCTION("""COMPUTED_VALUE"""),1177.03)</f>
        <v>1177.03</v>
      </c>
      <c r="C298" s="2">
        <f>IFERROR(__xludf.DUMMYFUNCTION("""COMPUTED_VALUE"""),1213.04)</f>
        <v>1213.04</v>
      </c>
      <c r="D298" s="2">
        <f>IFERROR(__xludf.DUMMYFUNCTION("""COMPUTED_VALUE"""),1163.2)</f>
        <v>1163.2</v>
      </c>
      <c r="E298" s="2">
        <f>IFERROR(__xludf.DUMMYFUNCTION("""COMPUTED_VALUE"""),1204.93)</f>
        <v>1204.93</v>
      </c>
      <c r="F298" s="2">
        <f>IFERROR(__xludf.DUMMYFUNCTION("""COMPUTED_VALUE"""),5030132.0)</f>
        <v>5030132</v>
      </c>
      <c r="G298" s="3">
        <f t="shared" si="1"/>
        <v>0.01416547429</v>
      </c>
    </row>
    <row r="299">
      <c r="A299" s="1">
        <f>IFERROR(__xludf.DUMMYFUNCTION("""COMPUTED_VALUE"""),43721.66666666667)</f>
        <v>43721.66667</v>
      </c>
      <c r="B299" s="2">
        <f>IFERROR(__xludf.DUMMYFUNCTION("""COMPUTED_VALUE"""),1204.0)</f>
        <v>1204</v>
      </c>
      <c r="C299" s="2">
        <f>IFERROR(__xludf.DUMMYFUNCTION("""COMPUTED_VALUE"""),1241.86)</f>
        <v>1241.86</v>
      </c>
      <c r="D299" s="2">
        <f>IFERROR(__xludf.DUMMYFUNCTION("""COMPUTED_VALUE"""),1192.62)</f>
        <v>1192.62</v>
      </c>
      <c r="E299" s="2">
        <f>IFERROR(__xludf.DUMMYFUNCTION("""COMPUTED_VALUE"""),1239.56)</f>
        <v>1239.56</v>
      </c>
      <c r="F299" s="2">
        <f>IFERROR(__xludf.DUMMYFUNCTION("""COMPUTED_VALUE"""),7066286.0)</f>
        <v>7066286</v>
      </c>
      <c r="G299" s="3">
        <f t="shared" si="1"/>
        <v>0.02874025877</v>
      </c>
    </row>
    <row r="300">
      <c r="A300" s="1">
        <f>IFERROR(__xludf.DUMMYFUNCTION("""COMPUTED_VALUE"""),43728.66666666667)</f>
        <v>43728.66667</v>
      </c>
      <c r="B300" s="2">
        <f>IFERROR(__xludf.DUMMYFUNCTION("""COMPUTED_VALUE"""),1229.52)</f>
        <v>1229.52</v>
      </c>
      <c r="C300" s="2">
        <f>IFERROR(__xludf.DUMMYFUNCTION("""COMPUTED_VALUE"""),1244.44)</f>
        <v>1244.44</v>
      </c>
      <c r="D300" s="2">
        <f>IFERROR(__xludf.DUMMYFUNCTION("""COMPUTED_VALUE"""),1216.53)</f>
        <v>1216.53</v>
      </c>
      <c r="E300" s="2">
        <f>IFERROR(__xludf.DUMMYFUNCTION("""COMPUTED_VALUE"""),1229.93)</f>
        <v>1229.93</v>
      </c>
      <c r="F300" s="2">
        <f>IFERROR(__xludf.DUMMYFUNCTION("""COMPUTED_VALUE"""),6493168.0)</f>
        <v>6493168</v>
      </c>
      <c r="G300" s="3">
        <f t="shared" si="1"/>
        <v>-0.007768885734</v>
      </c>
    </row>
    <row r="301">
      <c r="A301" s="1">
        <f>IFERROR(__xludf.DUMMYFUNCTION("""COMPUTED_VALUE"""),43735.66666666667)</f>
        <v>43735.66667</v>
      </c>
      <c r="B301" s="2">
        <f>IFERROR(__xludf.DUMMYFUNCTION("""COMPUTED_VALUE"""),1226.0)</f>
        <v>1226</v>
      </c>
      <c r="C301" s="2">
        <f>IFERROR(__xludf.DUMMYFUNCTION("""COMPUTED_VALUE"""),1248.3)</f>
        <v>1248.3</v>
      </c>
      <c r="D301" s="2">
        <f>IFERROR(__xludf.DUMMYFUNCTION("""COMPUTED_VALUE"""),1210.09)</f>
        <v>1210.09</v>
      </c>
      <c r="E301" s="2">
        <f>IFERROR(__xludf.DUMMYFUNCTION("""COMPUTED_VALUE"""),1225.09)</f>
        <v>1225.09</v>
      </c>
      <c r="F301" s="2">
        <f>IFERROR(__xludf.DUMMYFUNCTION("""COMPUTED_VALUE"""),7177228.0)</f>
        <v>7177228</v>
      </c>
      <c r="G301" s="3">
        <f t="shared" si="1"/>
        <v>-0.003935183303</v>
      </c>
    </row>
    <row r="302">
      <c r="A302" s="1">
        <f>IFERROR(__xludf.DUMMYFUNCTION("""COMPUTED_VALUE"""),43742.66666666667)</f>
        <v>43742.66667</v>
      </c>
      <c r="B302" s="2">
        <f>IFERROR(__xludf.DUMMYFUNCTION("""COMPUTED_VALUE"""),1220.97)</f>
        <v>1220.97</v>
      </c>
      <c r="C302" s="2">
        <f>IFERROR(__xludf.DUMMYFUNCTION("""COMPUTED_VALUE"""),1231.23)</f>
        <v>1231.23</v>
      </c>
      <c r="D302" s="2">
        <f>IFERROR(__xludf.DUMMYFUNCTION("""COMPUTED_VALUE"""),1162.43)</f>
        <v>1162.43</v>
      </c>
      <c r="E302" s="2">
        <f>IFERROR(__xludf.DUMMYFUNCTION("""COMPUTED_VALUE"""),1209.0)</f>
        <v>1209</v>
      </c>
      <c r="F302" s="2">
        <f>IFERROR(__xludf.DUMMYFUNCTION("""COMPUTED_VALUE"""),7264112.0)</f>
        <v>7264112</v>
      </c>
      <c r="G302" s="3">
        <f t="shared" si="1"/>
        <v>-0.01313372895</v>
      </c>
    </row>
    <row r="303">
      <c r="A303" s="1">
        <f>IFERROR(__xludf.DUMMYFUNCTION("""COMPUTED_VALUE"""),43749.66666666667)</f>
        <v>43749.66667</v>
      </c>
      <c r="B303" s="2">
        <f>IFERROR(__xludf.DUMMYFUNCTION("""COMPUTED_VALUE"""),1204.4)</f>
        <v>1204.4</v>
      </c>
      <c r="C303" s="2">
        <f>IFERROR(__xludf.DUMMYFUNCTION("""COMPUTED_VALUE"""),1228.39)</f>
        <v>1228.39</v>
      </c>
      <c r="D303" s="2">
        <f>IFERROR(__xludf.DUMMYFUNCTION("""COMPUTED_VALUE"""),1189.01)</f>
        <v>1189.01</v>
      </c>
      <c r="E303" s="2">
        <f>IFERROR(__xludf.DUMMYFUNCTION("""COMPUTED_VALUE"""),1215.45)</f>
        <v>1215.45</v>
      </c>
      <c r="F303" s="2">
        <f>IFERROR(__xludf.DUMMYFUNCTION("""COMPUTED_VALUE"""),5095240.0)</f>
        <v>5095240</v>
      </c>
      <c r="G303" s="3">
        <f t="shared" si="1"/>
        <v>0.005334987593</v>
      </c>
    </row>
    <row r="304">
      <c r="A304" s="1">
        <f>IFERROR(__xludf.DUMMYFUNCTION("""COMPUTED_VALUE"""),43756.66666666667)</f>
        <v>43756.66667</v>
      </c>
      <c r="B304" s="2">
        <f>IFERROR(__xludf.DUMMYFUNCTION("""COMPUTED_VALUE"""),1212.34)</f>
        <v>1212.34</v>
      </c>
      <c r="C304" s="2">
        <f>IFERROR(__xludf.DUMMYFUNCTION("""COMPUTED_VALUE"""),1263.33)</f>
        <v>1263.33</v>
      </c>
      <c r="D304" s="2">
        <f>IFERROR(__xludf.DUMMYFUNCTION("""COMPUTED_VALUE"""),1211.76)</f>
        <v>1211.76</v>
      </c>
      <c r="E304" s="2">
        <f>IFERROR(__xludf.DUMMYFUNCTION("""COMPUTED_VALUE"""),1245.49)</f>
        <v>1245.49</v>
      </c>
      <c r="F304" s="2">
        <f>IFERROR(__xludf.DUMMYFUNCTION("""COMPUTED_VALUE"""),5778821.0)</f>
        <v>5778821</v>
      </c>
      <c r="G304" s="3">
        <f t="shared" si="1"/>
        <v>0.02471512608</v>
      </c>
    </row>
    <row r="305">
      <c r="A305" s="1">
        <f>IFERROR(__xludf.DUMMYFUNCTION("""COMPUTED_VALUE"""),43763.66666666667)</f>
        <v>43763.66667</v>
      </c>
      <c r="B305" s="2">
        <f>IFERROR(__xludf.DUMMYFUNCTION("""COMPUTED_VALUE"""),1252.26)</f>
        <v>1252.26</v>
      </c>
      <c r="C305" s="2">
        <f>IFERROR(__xludf.DUMMYFUNCTION("""COMPUTED_VALUE"""),1269.6)</f>
        <v>1269.6</v>
      </c>
      <c r="D305" s="2">
        <f>IFERROR(__xludf.DUMMYFUNCTION("""COMPUTED_VALUE"""),1240.6)</f>
        <v>1240.6</v>
      </c>
      <c r="E305" s="2">
        <f>IFERROR(__xludf.DUMMYFUNCTION("""COMPUTED_VALUE"""),1265.13)</f>
        <v>1265.13</v>
      </c>
      <c r="F305" s="2">
        <f>IFERROR(__xludf.DUMMYFUNCTION("""COMPUTED_VALUE"""),5267407.0)</f>
        <v>5267407</v>
      </c>
      <c r="G305" s="3">
        <f t="shared" si="1"/>
        <v>0.01576889417</v>
      </c>
    </row>
    <row r="306">
      <c r="A306" s="1">
        <f>IFERROR(__xludf.DUMMYFUNCTION("""COMPUTED_VALUE"""),43770.66666666667)</f>
        <v>43770.66667</v>
      </c>
      <c r="B306" s="2">
        <f>IFERROR(__xludf.DUMMYFUNCTION("""COMPUTED_VALUE"""),1275.45)</f>
        <v>1275.45</v>
      </c>
      <c r="C306" s="2">
        <f>IFERROR(__xludf.DUMMYFUNCTION("""COMPUTED_VALUE"""),1299.31)</f>
        <v>1299.31</v>
      </c>
      <c r="D306" s="2">
        <f>IFERROR(__xludf.DUMMYFUNCTION("""COMPUTED_VALUE"""),1250.84)</f>
        <v>1250.84</v>
      </c>
      <c r="E306" s="2">
        <f>IFERROR(__xludf.DUMMYFUNCTION("""COMPUTED_VALUE"""),1273.74)</f>
        <v>1273.74</v>
      </c>
      <c r="F306" s="2">
        <f>IFERROR(__xludf.DUMMYFUNCTION("""COMPUTED_VALUE"""),9034191.0)</f>
        <v>9034191</v>
      </c>
      <c r="G306" s="3">
        <f t="shared" si="1"/>
        <v>0.006805624718</v>
      </c>
    </row>
    <row r="307">
      <c r="A307" s="1">
        <f>IFERROR(__xludf.DUMMYFUNCTION("""COMPUTED_VALUE"""),43777.66666666667)</f>
        <v>43777.66667</v>
      </c>
      <c r="B307" s="2">
        <f>IFERROR(__xludf.DUMMYFUNCTION("""COMPUTED_VALUE"""),1276.45)</f>
        <v>1276.45</v>
      </c>
      <c r="C307" s="2">
        <f>IFERROR(__xludf.DUMMYFUNCTION("""COMPUTED_VALUE"""),1323.74)</f>
        <v>1323.74</v>
      </c>
      <c r="D307" s="2">
        <f>IFERROR(__xludf.DUMMYFUNCTION("""COMPUTED_VALUE"""),1276.36)</f>
        <v>1276.36</v>
      </c>
      <c r="E307" s="2">
        <f>IFERROR(__xludf.DUMMYFUNCTION("""COMPUTED_VALUE"""),1311.37)</f>
        <v>1311.37</v>
      </c>
      <c r="F307" s="2">
        <f>IFERROR(__xludf.DUMMYFUNCTION("""COMPUTED_VALUE"""),7218538.0)</f>
        <v>7218538</v>
      </c>
      <c r="G307" s="3">
        <f t="shared" si="1"/>
        <v>0.02954292085</v>
      </c>
    </row>
    <row r="308">
      <c r="A308" s="1">
        <f>IFERROR(__xludf.DUMMYFUNCTION("""COMPUTED_VALUE"""),43784.66666666667)</f>
        <v>43784.66667</v>
      </c>
      <c r="B308" s="2">
        <f>IFERROR(__xludf.DUMMYFUNCTION("""COMPUTED_VALUE"""),1303.18)</f>
        <v>1303.18</v>
      </c>
      <c r="C308" s="2">
        <f>IFERROR(__xludf.DUMMYFUNCTION("""COMPUTED_VALUE"""),1334.88)</f>
        <v>1334.88</v>
      </c>
      <c r="D308" s="2">
        <f>IFERROR(__xludf.DUMMYFUNCTION("""COMPUTED_VALUE"""),1293.51)</f>
        <v>1293.51</v>
      </c>
      <c r="E308" s="2">
        <f>IFERROR(__xludf.DUMMYFUNCTION("""COMPUTED_VALUE"""),1334.87)</f>
        <v>1334.87</v>
      </c>
      <c r="F308" s="2">
        <f>IFERROR(__xludf.DUMMYFUNCTION("""COMPUTED_VALUE"""),5929409.0)</f>
        <v>5929409</v>
      </c>
      <c r="G308" s="3">
        <f t="shared" si="1"/>
        <v>0.01792019034</v>
      </c>
    </row>
    <row r="309">
      <c r="A309" s="1">
        <f>IFERROR(__xludf.DUMMYFUNCTION("""COMPUTED_VALUE"""),43791.66666666667)</f>
        <v>43791.66667</v>
      </c>
      <c r="B309" s="2">
        <f>IFERROR(__xludf.DUMMYFUNCTION("""COMPUTED_VALUE"""),1332.22)</f>
        <v>1332.22</v>
      </c>
      <c r="C309" s="2">
        <f>IFERROR(__xludf.DUMMYFUNCTION("""COMPUTED_VALUE"""),1335.53)</f>
        <v>1335.53</v>
      </c>
      <c r="D309" s="2">
        <f>IFERROR(__xludf.DUMMYFUNCTION("""COMPUTED_VALUE"""),1291.15)</f>
        <v>1291.15</v>
      </c>
      <c r="E309" s="2">
        <f>IFERROR(__xludf.DUMMYFUNCTION("""COMPUTED_VALUE"""),1295.34)</f>
        <v>1295.34</v>
      </c>
      <c r="F309" s="2">
        <f>IFERROR(__xludf.DUMMYFUNCTION("""COMPUTED_VALUE"""),6449295.0)</f>
        <v>6449295</v>
      </c>
      <c r="G309" s="3">
        <f t="shared" si="1"/>
        <v>-0.02961337059</v>
      </c>
    </row>
    <row r="310">
      <c r="A310" s="1">
        <f>IFERROR(__xludf.DUMMYFUNCTION("""COMPUTED_VALUE"""),43798.54166666667)</f>
        <v>43798.54167</v>
      </c>
      <c r="B310" s="2">
        <f>IFERROR(__xludf.DUMMYFUNCTION("""COMPUTED_VALUE"""),1299.18)</f>
        <v>1299.18</v>
      </c>
      <c r="C310" s="2">
        <f>IFERROR(__xludf.DUMMYFUNCTION("""COMPUTED_VALUE"""),1318.36)</f>
        <v>1318.36</v>
      </c>
      <c r="D310" s="2">
        <f>IFERROR(__xludf.DUMMYFUNCTION("""COMPUTED_VALUE"""),1298.13)</f>
        <v>1298.13</v>
      </c>
      <c r="E310" s="2">
        <f>IFERROR(__xludf.DUMMYFUNCTION("""COMPUTED_VALUE"""),1304.96)</f>
        <v>1304.96</v>
      </c>
      <c r="F310" s="2">
        <f>IFERROR(__xludf.DUMMYFUNCTION("""COMPUTED_VALUE"""),3689592.0)</f>
        <v>3689592</v>
      </c>
      <c r="G310" s="3">
        <f t="shared" si="1"/>
        <v>0.007426621582</v>
      </c>
    </row>
    <row r="311">
      <c r="A311" s="1">
        <f>IFERROR(__xludf.DUMMYFUNCTION("""COMPUTED_VALUE"""),43805.66666666667)</f>
        <v>43805.66667</v>
      </c>
      <c r="B311" s="2">
        <f>IFERROR(__xludf.DUMMYFUNCTION("""COMPUTED_VALUE"""),1301.0)</f>
        <v>1301</v>
      </c>
      <c r="C311" s="2">
        <f>IFERROR(__xludf.DUMMYFUNCTION("""COMPUTED_VALUE"""),1344.0)</f>
        <v>1344</v>
      </c>
      <c r="D311" s="2">
        <f>IFERROR(__xludf.DUMMYFUNCTION("""COMPUTED_VALUE"""),1279.0)</f>
        <v>1279</v>
      </c>
      <c r="E311" s="2">
        <f>IFERROR(__xludf.DUMMYFUNCTION("""COMPUTED_VALUE"""),1340.62)</f>
        <v>1340.62</v>
      </c>
      <c r="F311" s="2">
        <f>IFERROR(__xludf.DUMMYFUNCTION("""COMPUTED_VALUE"""),6846936.0)</f>
        <v>6846936</v>
      </c>
      <c r="G311" s="3">
        <f t="shared" si="1"/>
        <v>0.02732650809</v>
      </c>
    </row>
    <row r="312">
      <c r="A312" s="1">
        <f>IFERROR(__xludf.DUMMYFUNCTION("""COMPUTED_VALUE"""),43812.66666666667)</f>
        <v>43812.66667</v>
      </c>
      <c r="B312" s="2">
        <f>IFERROR(__xludf.DUMMYFUNCTION("""COMPUTED_VALUE"""),1338.04)</f>
        <v>1338.04</v>
      </c>
      <c r="C312" s="2">
        <f>IFERROR(__xludf.DUMMYFUNCTION("""COMPUTED_VALUE"""),1359.45)</f>
        <v>1359.45</v>
      </c>
      <c r="D312" s="2">
        <f>IFERROR(__xludf.DUMMYFUNCTION("""COMPUTED_VALUE"""),1336.04)</f>
        <v>1336.04</v>
      </c>
      <c r="E312" s="2">
        <f>IFERROR(__xludf.DUMMYFUNCTION("""COMPUTED_VALUE"""),1347.83)</f>
        <v>1347.83</v>
      </c>
      <c r="F312" s="2">
        <f>IFERROR(__xludf.DUMMYFUNCTION("""COMPUTED_VALUE"""),6132994.0)</f>
        <v>6132994</v>
      </c>
      <c r="G312" s="3">
        <f t="shared" si="1"/>
        <v>0.005378108636</v>
      </c>
    </row>
    <row r="313">
      <c r="A313" s="1">
        <f>IFERROR(__xludf.DUMMYFUNCTION("""COMPUTED_VALUE"""),43819.66666666667)</f>
        <v>43819.66667</v>
      </c>
      <c r="B313" s="2">
        <f>IFERROR(__xludf.DUMMYFUNCTION("""COMPUTED_VALUE"""),1356.5)</f>
        <v>1356.5</v>
      </c>
      <c r="C313" s="2">
        <f>IFERROR(__xludf.DUMMYFUNCTION("""COMPUTED_VALUE"""),1365.0)</f>
        <v>1365</v>
      </c>
      <c r="D313" s="2">
        <f>IFERROR(__xludf.DUMMYFUNCTION("""COMPUTED_VALUE"""),1348.99)</f>
        <v>1348.99</v>
      </c>
      <c r="E313" s="2">
        <f>IFERROR(__xludf.DUMMYFUNCTION("""COMPUTED_VALUE"""),1349.59)</f>
        <v>1349.59</v>
      </c>
      <c r="F313" s="2">
        <f>IFERROR(__xludf.DUMMYFUNCTION("""COMPUTED_VALUE"""),9696422.0)</f>
        <v>9696422</v>
      </c>
      <c r="G313" s="3">
        <f t="shared" si="1"/>
        <v>0.001305802661</v>
      </c>
    </row>
    <row r="314">
      <c r="A314" s="1">
        <f>IFERROR(__xludf.DUMMYFUNCTION("""COMPUTED_VALUE"""),43826.66666666667)</f>
        <v>43826.66667</v>
      </c>
      <c r="B314" s="2">
        <f>IFERROR(__xludf.DUMMYFUNCTION("""COMPUTED_VALUE"""),1355.87)</f>
        <v>1355.87</v>
      </c>
      <c r="C314" s="2">
        <f>IFERROR(__xludf.DUMMYFUNCTION("""COMPUTED_VALUE"""),1364.53)</f>
        <v>1364.53</v>
      </c>
      <c r="D314" s="2">
        <f>IFERROR(__xludf.DUMMYFUNCTION("""COMPUTED_VALUE"""),1342.78)</f>
        <v>1342.78</v>
      </c>
      <c r="E314" s="2">
        <f>IFERROR(__xludf.DUMMYFUNCTION("""COMPUTED_VALUE"""),1351.89)</f>
        <v>1351.89</v>
      </c>
      <c r="F314" s="2">
        <f>IFERROR(__xludf.DUMMYFUNCTION("""COMPUTED_VALUE"""),2937190.0)</f>
        <v>2937190</v>
      </c>
      <c r="G314" s="3">
        <f t="shared" si="1"/>
        <v>0.001704221282</v>
      </c>
    </row>
    <row r="315">
      <c r="A315" s="1">
        <f>IFERROR(__xludf.DUMMYFUNCTION("""COMPUTED_VALUE"""),43833.66666666667)</f>
        <v>43833.66667</v>
      </c>
      <c r="B315" s="2">
        <f>IFERROR(__xludf.DUMMYFUNCTION("""COMPUTED_VALUE"""),1350.0)</f>
        <v>1350</v>
      </c>
      <c r="C315" s="2">
        <f>IFERROR(__xludf.DUMMYFUNCTION("""COMPUTED_VALUE"""),1372.5)</f>
        <v>1372.5</v>
      </c>
      <c r="D315" s="2">
        <f>IFERROR(__xludf.DUMMYFUNCTION("""COMPUTED_VALUE"""),1329.09)</f>
        <v>1329.09</v>
      </c>
      <c r="E315" s="2">
        <f>IFERROR(__xludf.DUMMYFUNCTION("""COMPUTED_VALUE"""),1360.66)</f>
        <v>1360.66</v>
      </c>
      <c r="F315" s="2">
        <f>IFERROR(__xludf.DUMMYFUNCTION("""COMPUTED_VALUE"""),4607528.0)</f>
        <v>4607528</v>
      </c>
      <c r="G315" s="3">
        <f t="shared" si="1"/>
        <v>0.006487214196</v>
      </c>
    </row>
    <row r="316">
      <c r="A316" s="1">
        <f>IFERROR(__xludf.DUMMYFUNCTION("""COMPUTED_VALUE"""),43840.66666666667)</f>
        <v>43840.66667</v>
      </c>
      <c r="B316" s="2">
        <f>IFERROR(__xludf.DUMMYFUNCTION("""COMPUTED_VALUE"""),1350.0)</f>
        <v>1350</v>
      </c>
      <c r="C316" s="2">
        <f>IFERROR(__xludf.DUMMYFUNCTION("""COMPUTED_VALUE"""),1434.93)</f>
        <v>1434.93</v>
      </c>
      <c r="D316" s="2">
        <f>IFERROR(__xludf.DUMMYFUNCTION("""COMPUTED_VALUE"""),1350.0)</f>
        <v>1350</v>
      </c>
      <c r="E316" s="2">
        <f>IFERROR(__xludf.DUMMYFUNCTION("""COMPUTED_VALUE"""),1429.73)</f>
        <v>1429.73</v>
      </c>
      <c r="F316" s="2">
        <f>IFERROR(__xludf.DUMMYFUNCTION("""COMPUTED_VALUE"""),8098249.0)</f>
        <v>8098249</v>
      </c>
      <c r="G316" s="3">
        <f t="shared" si="1"/>
        <v>0.05076213014</v>
      </c>
    </row>
    <row r="317">
      <c r="A317" s="1">
        <f>IFERROR(__xludf.DUMMYFUNCTION("""COMPUTED_VALUE"""),43847.66666666667)</f>
        <v>43847.66667</v>
      </c>
      <c r="B317" s="2">
        <f>IFERROR(__xludf.DUMMYFUNCTION("""COMPUTED_VALUE"""),1436.13)</f>
        <v>1436.13</v>
      </c>
      <c r="C317" s="2">
        <f>IFERROR(__xludf.DUMMYFUNCTION("""COMPUTED_VALUE"""),1481.3)</f>
        <v>1481.3</v>
      </c>
      <c r="D317" s="2">
        <f>IFERROR(__xludf.DUMMYFUNCTION("""COMPUTED_VALUE"""),1426.02)</f>
        <v>1426.02</v>
      </c>
      <c r="E317" s="2">
        <f>IFERROR(__xludf.DUMMYFUNCTION("""COMPUTED_VALUE"""),1480.39)</f>
        <v>1480.39</v>
      </c>
      <c r="F317" s="2">
        <f>IFERROR(__xludf.DUMMYFUNCTION("""COMPUTED_VALUE"""),8066523.0)</f>
        <v>8066523</v>
      </c>
      <c r="G317" s="3">
        <f t="shared" si="1"/>
        <v>0.03543326362</v>
      </c>
    </row>
    <row r="318">
      <c r="A318" s="1">
        <f>IFERROR(__xludf.DUMMYFUNCTION("""COMPUTED_VALUE"""),43854.66666666667)</f>
        <v>43854.66667</v>
      </c>
      <c r="B318" s="2">
        <f>IFERROR(__xludf.DUMMYFUNCTION("""COMPUTED_VALUE"""),1479.12)</f>
        <v>1479.12</v>
      </c>
      <c r="C318" s="2">
        <f>IFERROR(__xludf.DUMMYFUNCTION("""COMPUTED_VALUE"""),1503.21)</f>
        <v>1503.21</v>
      </c>
      <c r="D318" s="2">
        <f>IFERROR(__xludf.DUMMYFUNCTION("""COMPUTED_VALUE"""),1465.25)</f>
        <v>1465.25</v>
      </c>
      <c r="E318" s="2">
        <f>IFERROR(__xludf.DUMMYFUNCTION("""COMPUTED_VALUE"""),1466.71)</f>
        <v>1466.71</v>
      </c>
      <c r="F318" s="2">
        <f>IFERROR(__xludf.DUMMYFUNCTION("""COMPUTED_VALUE"""),6783624.0)</f>
        <v>6783624</v>
      </c>
      <c r="G318" s="3">
        <f t="shared" si="1"/>
        <v>-0.009240808165</v>
      </c>
    </row>
    <row r="319">
      <c r="A319" s="1">
        <f>IFERROR(__xludf.DUMMYFUNCTION("""COMPUTED_VALUE"""),43861.66666666667)</f>
        <v>43861.66667</v>
      </c>
      <c r="B319" s="2">
        <f>IFERROR(__xludf.DUMMYFUNCTION("""COMPUTED_VALUE"""),1431.0)</f>
        <v>1431</v>
      </c>
      <c r="C319" s="2">
        <f>IFERROR(__xludf.DUMMYFUNCTION("""COMPUTED_VALUE"""),1470.13)</f>
        <v>1470.13</v>
      </c>
      <c r="D319" s="2">
        <f>IFERROR(__xludf.DUMMYFUNCTION("""COMPUTED_VALUE"""),1421.2)</f>
        <v>1421.2</v>
      </c>
      <c r="E319" s="2">
        <f>IFERROR(__xludf.DUMMYFUNCTION("""COMPUTED_VALUE"""),1434.23)</f>
        <v>1434.23</v>
      </c>
      <c r="F319" s="2">
        <f>IFERROR(__xludf.DUMMYFUNCTION("""COMPUTED_VALUE"""),8167925.0)</f>
        <v>8167925</v>
      </c>
      <c r="G319" s="3">
        <f t="shared" si="1"/>
        <v>-0.02214480027</v>
      </c>
    </row>
    <row r="320">
      <c r="A320" s="1">
        <f>IFERROR(__xludf.DUMMYFUNCTION("""COMPUTED_VALUE"""),43868.66666666667)</f>
        <v>43868.66667</v>
      </c>
      <c r="B320" s="2">
        <f>IFERROR(__xludf.DUMMYFUNCTION("""COMPUTED_VALUE"""),1462.0)</f>
        <v>1462</v>
      </c>
      <c r="C320" s="2">
        <f>IFERROR(__xludf.DUMMYFUNCTION("""COMPUTED_VALUE"""),1490.0)</f>
        <v>1490</v>
      </c>
      <c r="D320" s="2">
        <f>IFERROR(__xludf.DUMMYFUNCTION("""COMPUTED_VALUE"""),1426.3)</f>
        <v>1426.3</v>
      </c>
      <c r="E320" s="2">
        <f>IFERROR(__xludf.DUMMYFUNCTION("""COMPUTED_VALUE"""),1479.23)</f>
        <v>1479.23</v>
      </c>
      <c r="F320" s="2">
        <f>IFERROR(__xludf.DUMMYFUNCTION("""COMPUTED_VALUE"""),1.1825981E7)</f>
        <v>11825981</v>
      </c>
      <c r="G320" s="3">
        <f t="shared" si="1"/>
        <v>0.03137572077</v>
      </c>
    </row>
    <row r="321">
      <c r="A321" s="1">
        <f>IFERROR(__xludf.DUMMYFUNCTION("""COMPUTED_VALUE"""),43875.66666666667)</f>
        <v>43875.66667</v>
      </c>
      <c r="B321" s="2">
        <f>IFERROR(__xludf.DUMMYFUNCTION("""COMPUTED_VALUE"""),1474.32)</f>
        <v>1474.32</v>
      </c>
      <c r="C321" s="2">
        <f>IFERROR(__xludf.DUMMYFUNCTION("""COMPUTED_VALUE"""),1529.63)</f>
        <v>1529.63</v>
      </c>
      <c r="D321" s="2">
        <f>IFERROR(__xludf.DUMMYFUNCTION("""COMPUTED_VALUE"""),1474.32)</f>
        <v>1474.32</v>
      </c>
      <c r="E321" s="2">
        <f>IFERROR(__xludf.DUMMYFUNCTION("""COMPUTED_VALUE"""),1520.74)</f>
        <v>1520.74</v>
      </c>
      <c r="F321" s="2">
        <f>IFERROR(__xludf.DUMMYFUNCTION("""COMPUTED_VALUE"""),6059640.0)</f>
        <v>6059640</v>
      </c>
      <c r="G321" s="3">
        <f t="shared" si="1"/>
        <v>0.02806189707</v>
      </c>
    </row>
    <row r="322">
      <c r="A322" s="1">
        <f>IFERROR(__xludf.DUMMYFUNCTION("""COMPUTED_VALUE"""),43882.66666666667)</f>
        <v>43882.66667</v>
      </c>
      <c r="B322" s="2">
        <f>IFERROR(__xludf.DUMMYFUNCTION("""COMPUTED_VALUE"""),1515.0)</f>
        <v>1515</v>
      </c>
      <c r="C322" s="2">
        <f>IFERROR(__xludf.DUMMYFUNCTION("""COMPUTED_VALUE"""),1532.11)</f>
        <v>1532.11</v>
      </c>
      <c r="D322" s="2">
        <f>IFERROR(__xludf.DUMMYFUNCTION("""COMPUTED_VALUE"""),1480.44)</f>
        <v>1480.44</v>
      </c>
      <c r="E322" s="2">
        <f>IFERROR(__xludf.DUMMYFUNCTION("""COMPUTED_VALUE"""),1485.11)</f>
        <v>1485.11</v>
      </c>
      <c r="F322" s="2">
        <f>IFERROR(__xludf.DUMMYFUNCTION("""COMPUTED_VALUE"""),4899233.0)</f>
        <v>4899233</v>
      </c>
      <c r="G322" s="3">
        <f t="shared" si="1"/>
        <v>-0.02342938306</v>
      </c>
    </row>
    <row r="323">
      <c r="A323" s="1">
        <f>IFERROR(__xludf.DUMMYFUNCTION("""COMPUTED_VALUE"""),43889.66666666667)</f>
        <v>43889.66667</v>
      </c>
      <c r="B323" s="2">
        <f>IFERROR(__xludf.DUMMYFUNCTION("""COMPUTED_VALUE"""),1426.11)</f>
        <v>1426.11</v>
      </c>
      <c r="C323" s="2">
        <f>IFERROR(__xludf.DUMMYFUNCTION("""COMPUTED_VALUE"""),1438.14)</f>
        <v>1438.14</v>
      </c>
      <c r="D323" s="2">
        <f>IFERROR(__xludf.DUMMYFUNCTION("""COMPUTED_VALUE"""),1271.0)</f>
        <v>1271</v>
      </c>
      <c r="E323" s="2">
        <f>IFERROR(__xludf.DUMMYFUNCTION("""COMPUTED_VALUE"""),1339.33)</f>
        <v>1339.33</v>
      </c>
      <c r="F323" s="2">
        <f>IFERROR(__xludf.DUMMYFUNCTION("""COMPUTED_VALUE"""),1.4318286E7)</f>
        <v>14318286</v>
      </c>
      <c r="G323" s="3">
        <f t="shared" si="1"/>
        <v>-0.09816107898</v>
      </c>
    </row>
    <row r="324">
      <c r="A324" s="1">
        <f>IFERROR(__xludf.DUMMYFUNCTION("""COMPUTED_VALUE"""),43896.66666666667)</f>
        <v>43896.66667</v>
      </c>
      <c r="B324" s="2">
        <f>IFERROR(__xludf.DUMMYFUNCTION("""COMPUTED_VALUE"""),1351.61)</f>
        <v>1351.61</v>
      </c>
      <c r="C324" s="2">
        <f>IFERROR(__xludf.DUMMYFUNCTION("""COMPUTED_VALUE"""),1410.15)</f>
        <v>1410.15</v>
      </c>
      <c r="D324" s="2">
        <f>IFERROR(__xludf.DUMMYFUNCTION("""COMPUTED_VALUE"""),1261.05)</f>
        <v>1261.05</v>
      </c>
      <c r="E324" s="2">
        <f>IFERROR(__xludf.DUMMYFUNCTION("""COMPUTED_VALUE"""),1298.41)</f>
        <v>1298.41</v>
      </c>
      <c r="F324" s="2">
        <f>IFERROR(__xludf.DUMMYFUNCTION("""COMPUTED_VALUE"""),1.1969025E7)</f>
        <v>11969025</v>
      </c>
      <c r="G324" s="3">
        <f t="shared" si="1"/>
        <v>-0.03055258973</v>
      </c>
    </row>
    <row r="325">
      <c r="A325" s="1">
        <f>IFERROR(__xludf.DUMMYFUNCTION("""COMPUTED_VALUE"""),43903.66666666667)</f>
        <v>43903.66667</v>
      </c>
      <c r="B325" s="2">
        <f>IFERROR(__xludf.DUMMYFUNCTION("""COMPUTED_VALUE"""),1205.3)</f>
        <v>1205.3</v>
      </c>
      <c r="C325" s="2">
        <f>IFERROR(__xludf.DUMMYFUNCTION("""COMPUTED_VALUE"""),1281.15)</f>
        <v>1281.15</v>
      </c>
      <c r="D325" s="2">
        <f>IFERROR(__xludf.DUMMYFUNCTION("""COMPUTED_VALUE"""),1113.3)</f>
        <v>1113.3</v>
      </c>
      <c r="E325" s="2">
        <f>IFERROR(__xludf.DUMMYFUNCTION("""COMPUTED_VALUE"""),1219.73)</f>
        <v>1219.73</v>
      </c>
      <c r="F325" s="2">
        <f>IFERROR(__xludf.DUMMYFUNCTION("""COMPUTED_VALUE"""),1.651484E7)</f>
        <v>16514840</v>
      </c>
      <c r="G325" s="3">
        <f t="shared" si="1"/>
        <v>-0.06059719195</v>
      </c>
    </row>
    <row r="326">
      <c r="A326" s="1">
        <f>IFERROR(__xludf.DUMMYFUNCTION("""COMPUTED_VALUE"""),43910.66666666667)</f>
        <v>43910.66667</v>
      </c>
      <c r="B326" s="2">
        <f>IFERROR(__xludf.DUMMYFUNCTION("""COMPUTED_VALUE"""),1096.0)</f>
        <v>1096</v>
      </c>
      <c r="C326" s="2">
        <f>IFERROR(__xludf.DUMMYFUNCTION("""COMPUTED_VALUE"""),1157.97)</f>
        <v>1157.97</v>
      </c>
      <c r="D326" s="2">
        <f>IFERROR(__xludf.DUMMYFUNCTION("""COMPUTED_VALUE"""),1037.28)</f>
        <v>1037.28</v>
      </c>
      <c r="E326" s="2">
        <f>IFERROR(__xludf.DUMMYFUNCTION("""COMPUTED_VALUE"""),1072.32)</f>
        <v>1072.32</v>
      </c>
      <c r="F326" s="2">
        <f>IFERROR(__xludf.DUMMYFUNCTION("""COMPUTED_VALUE"""),1.9600145E7)</f>
        <v>19600145</v>
      </c>
      <c r="G326" s="3">
        <f t="shared" si="1"/>
        <v>-0.1208546154</v>
      </c>
    </row>
    <row r="327">
      <c r="A327" s="1">
        <f>IFERROR(__xludf.DUMMYFUNCTION("""COMPUTED_VALUE"""),43917.66666666667)</f>
        <v>43917.66667</v>
      </c>
      <c r="B327" s="2">
        <f>IFERROR(__xludf.DUMMYFUNCTION("""COMPUTED_VALUE"""),1061.32)</f>
        <v>1061.32</v>
      </c>
      <c r="C327" s="2">
        <f>IFERROR(__xludf.DUMMYFUNCTION("""COMPUTED_VALUE"""),1169.97)</f>
        <v>1169.97</v>
      </c>
      <c r="D327" s="2">
        <f>IFERROR(__xludf.DUMMYFUNCTION("""COMPUTED_VALUE"""),1013.54)</f>
        <v>1013.54</v>
      </c>
      <c r="E327" s="2">
        <f>IFERROR(__xludf.DUMMYFUNCTION("""COMPUTED_VALUE"""),1110.71)</f>
        <v>1110.71</v>
      </c>
      <c r="F327" s="2">
        <f>IFERROR(__xludf.DUMMYFUNCTION("""COMPUTED_VALUE"""),1.8252365E7)</f>
        <v>18252365</v>
      </c>
      <c r="G327" s="3">
        <f t="shared" si="1"/>
        <v>0.03580088033</v>
      </c>
    </row>
    <row r="328">
      <c r="A328" s="1">
        <f>IFERROR(__xludf.DUMMYFUNCTION("""COMPUTED_VALUE"""),43924.66666666667)</f>
        <v>43924.66667</v>
      </c>
      <c r="B328" s="2">
        <f>IFERROR(__xludf.DUMMYFUNCTION("""COMPUTED_VALUE"""),1125.04)</f>
        <v>1125.04</v>
      </c>
      <c r="C328" s="2">
        <f>IFERROR(__xludf.DUMMYFUNCTION("""COMPUTED_VALUE"""),1175.31)</f>
        <v>1175.31</v>
      </c>
      <c r="D328" s="2">
        <f>IFERROR(__xludf.DUMMYFUNCTION("""COMPUTED_VALUE"""),1079.81)</f>
        <v>1079.81</v>
      </c>
      <c r="E328" s="2">
        <f>IFERROR(__xludf.DUMMYFUNCTION("""COMPUTED_VALUE"""),1097.88)</f>
        <v>1097.88</v>
      </c>
      <c r="F328" s="2">
        <f>IFERROR(__xludf.DUMMYFUNCTION("""COMPUTED_VALUE"""),1.1684498E7)</f>
        <v>11684498</v>
      </c>
      <c r="G328" s="3">
        <f t="shared" si="1"/>
        <v>-0.01155116997</v>
      </c>
    </row>
    <row r="329">
      <c r="A329" s="1">
        <f>IFERROR(__xludf.DUMMYFUNCTION("""COMPUTED_VALUE"""),43930.66666666667)</f>
        <v>43930.66667</v>
      </c>
      <c r="B329" s="2">
        <f>IFERROR(__xludf.DUMMYFUNCTION("""COMPUTED_VALUE"""),1138.0)</f>
        <v>1138</v>
      </c>
      <c r="C329" s="2">
        <f>IFERROR(__xludf.DUMMYFUNCTION("""COMPUTED_VALUE"""),1225.57)</f>
        <v>1225.57</v>
      </c>
      <c r="D329" s="2">
        <f>IFERROR(__xludf.DUMMYFUNCTION("""COMPUTED_VALUE"""),1130.94)</f>
        <v>1130.94</v>
      </c>
      <c r="E329" s="2">
        <f>IFERROR(__xludf.DUMMYFUNCTION("""COMPUTED_VALUE"""),1211.45)</f>
        <v>1211.45</v>
      </c>
      <c r="F329" s="2">
        <f>IFERROR(__xludf.DUMMYFUNCTION("""COMPUTED_VALUE"""),9202608.0)</f>
        <v>9202608</v>
      </c>
      <c r="G329" s="3">
        <f t="shared" si="1"/>
        <v>0.1034448209</v>
      </c>
    </row>
    <row r="330">
      <c r="A330" s="1">
        <f>IFERROR(__xludf.DUMMYFUNCTION("""COMPUTED_VALUE"""),43938.66666666667)</f>
        <v>43938.66667</v>
      </c>
      <c r="B330" s="2">
        <f>IFERROR(__xludf.DUMMYFUNCTION("""COMPUTED_VALUE"""),1209.18)</f>
        <v>1209.18</v>
      </c>
      <c r="C330" s="2">
        <f>IFERROR(__xludf.DUMMYFUNCTION("""COMPUTED_VALUE"""),1294.43)</f>
        <v>1294.43</v>
      </c>
      <c r="D330" s="2">
        <f>IFERROR(__xludf.DUMMYFUNCTION("""COMPUTED_VALUE"""),1187.6)</f>
        <v>1187.6</v>
      </c>
      <c r="E330" s="2">
        <f>IFERROR(__xludf.DUMMYFUNCTION("""COMPUTED_VALUE"""),1283.25)</f>
        <v>1283.25</v>
      </c>
      <c r="F330" s="2">
        <f>IFERROR(__xludf.DUMMYFUNCTION("""COMPUTED_VALUE"""),1.0349025E7)</f>
        <v>10349025</v>
      </c>
      <c r="G330" s="3">
        <f t="shared" si="1"/>
        <v>0.05926781956</v>
      </c>
    </row>
    <row r="331">
      <c r="A331" s="1">
        <f>IFERROR(__xludf.DUMMYFUNCTION("""COMPUTED_VALUE"""),43945.66666666667)</f>
        <v>43945.66667</v>
      </c>
      <c r="B331" s="2">
        <f>IFERROR(__xludf.DUMMYFUNCTION("""COMPUTED_VALUE"""),1271.0)</f>
        <v>1271</v>
      </c>
      <c r="C331" s="2">
        <f>IFERROR(__xludf.DUMMYFUNCTION("""COMPUTED_VALUE"""),1293.31)</f>
        <v>1293.31</v>
      </c>
      <c r="D331" s="2">
        <f>IFERROR(__xludf.DUMMYFUNCTION("""COMPUTED_VALUE"""),1209.71)</f>
        <v>1209.71</v>
      </c>
      <c r="E331" s="2">
        <f>IFERROR(__xludf.DUMMYFUNCTION("""COMPUTED_VALUE"""),1279.31)</f>
        <v>1279.31</v>
      </c>
      <c r="F331" s="2">
        <f>IFERROR(__xludf.DUMMYFUNCTION("""COMPUTED_VALUE"""),9148228.0)</f>
        <v>9148228</v>
      </c>
      <c r="G331" s="3">
        <f t="shared" si="1"/>
        <v>-0.003070329242</v>
      </c>
    </row>
    <row r="332">
      <c r="A332" s="1">
        <f>IFERROR(__xludf.DUMMYFUNCTION("""COMPUTED_VALUE"""),43952.66666666667)</f>
        <v>43952.66667</v>
      </c>
      <c r="B332" s="2">
        <f>IFERROR(__xludf.DUMMYFUNCTION("""COMPUTED_VALUE"""),1296.0)</f>
        <v>1296</v>
      </c>
      <c r="C332" s="2">
        <f>IFERROR(__xludf.DUMMYFUNCTION("""COMPUTED_VALUE"""),1359.99)</f>
        <v>1359.99</v>
      </c>
      <c r="D332" s="2">
        <f>IFERROR(__xludf.DUMMYFUNCTION("""COMPUTED_VALUE"""),1232.2)</f>
        <v>1232.2</v>
      </c>
      <c r="E332" s="2">
        <f>IFERROR(__xludf.DUMMYFUNCTION("""COMPUTED_VALUE"""),1320.61)</f>
        <v>1320.61</v>
      </c>
      <c r="F332" s="2">
        <f>IFERROR(__xludf.DUMMYFUNCTION("""COMPUTED_VALUE"""),1.3087047E7)</f>
        <v>13087047</v>
      </c>
      <c r="G332" s="3">
        <f t="shared" si="1"/>
        <v>0.03228302757</v>
      </c>
    </row>
    <row r="333">
      <c r="A333" s="1">
        <f>IFERROR(__xludf.DUMMYFUNCTION("""COMPUTED_VALUE"""),43959.66666666667)</f>
        <v>43959.66667</v>
      </c>
      <c r="B333" s="2">
        <f>IFERROR(__xludf.DUMMYFUNCTION("""COMPUTED_VALUE"""),1308.23)</f>
        <v>1308.23</v>
      </c>
      <c r="C333" s="2">
        <f>IFERROR(__xludf.DUMMYFUNCTION("""COMPUTED_VALUE"""),1398.76)</f>
        <v>1398.76</v>
      </c>
      <c r="D333" s="2">
        <f>IFERROR(__xludf.DUMMYFUNCTION("""COMPUTED_VALUE"""),1299.0)</f>
        <v>1299</v>
      </c>
      <c r="E333" s="2">
        <f>IFERROR(__xludf.DUMMYFUNCTION("""COMPUTED_VALUE"""),1388.37)</f>
        <v>1388.37</v>
      </c>
      <c r="F333" s="2">
        <f>IFERROR(__xludf.DUMMYFUNCTION("""COMPUTED_VALUE"""),7158800.0)</f>
        <v>7158800</v>
      </c>
      <c r="G333" s="3">
        <f t="shared" si="1"/>
        <v>0.05130962207</v>
      </c>
    </row>
    <row r="334">
      <c r="A334" s="1">
        <f>IFERROR(__xludf.DUMMYFUNCTION("""COMPUTED_VALUE"""),43966.66666666667)</f>
        <v>43966.66667</v>
      </c>
      <c r="B334" s="2">
        <f>IFERROR(__xludf.DUMMYFUNCTION("""COMPUTED_VALUE"""),1378.28)</f>
        <v>1378.28</v>
      </c>
      <c r="C334" s="2">
        <f>IFERROR(__xludf.DUMMYFUNCTION("""COMPUTED_VALUE"""),1416.53)</f>
        <v>1416.53</v>
      </c>
      <c r="D334" s="2">
        <f>IFERROR(__xludf.DUMMYFUNCTION("""COMPUTED_VALUE"""),1323.91)</f>
        <v>1323.91</v>
      </c>
      <c r="E334" s="2">
        <f>IFERROR(__xludf.DUMMYFUNCTION("""COMPUTED_VALUE"""),1373.19)</f>
        <v>1373.19</v>
      </c>
      <c r="F334" s="2">
        <f>IFERROR(__xludf.DUMMYFUNCTION("""COMPUTED_VALUE"""),7926125.0)</f>
        <v>7926125</v>
      </c>
      <c r="G334" s="3">
        <f t="shared" si="1"/>
        <v>-0.01093368482</v>
      </c>
    </row>
    <row r="335">
      <c r="A335" s="1">
        <f>IFERROR(__xludf.DUMMYFUNCTION("""COMPUTED_VALUE"""),43973.66666666667)</f>
        <v>43973.66667</v>
      </c>
      <c r="B335" s="2">
        <f>IFERROR(__xludf.DUMMYFUNCTION("""COMPUTED_VALUE"""),1361.75)</f>
        <v>1361.75</v>
      </c>
      <c r="C335" s="2">
        <f>IFERROR(__xludf.DUMMYFUNCTION("""COMPUTED_VALUE"""),1415.49)</f>
        <v>1415.49</v>
      </c>
      <c r="D335" s="2">
        <f>IFERROR(__xludf.DUMMYFUNCTION("""COMPUTED_VALUE"""),1354.25)</f>
        <v>1354.25</v>
      </c>
      <c r="E335" s="2">
        <f>IFERROR(__xludf.DUMMYFUNCTION("""COMPUTED_VALUE"""),1410.42)</f>
        <v>1410.42</v>
      </c>
      <c r="F335" s="2">
        <f>IFERROR(__xludf.DUMMYFUNCTION("""COMPUTED_VALUE"""),7454590.0)</f>
        <v>7454590</v>
      </c>
      <c r="G335" s="3">
        <f t="shared" si="1"/>
        <v>0.02711205296</v>
      </c>
    </row>
    <row r="336">
      <c r="A336" s="1">
        <f>IFERROR(__xludf.DUMMYFUNCTION("""COMPUTED_VALUE"""),43980.66666666667)</f>
        <v>43980.66667</v>
      </c>
      <c r="B336" s="2">
        <f>IFERROR(__xludf.DUMMYFUNCTION("""COMPUTED_VALUE"""),1437.27)</f>
        <v>1437.27</v>
      </c>
      <c r="C336" s="2">
        <f>IFERROR(__xludf.DUMMYFUNCTION("""COMPUTED_VALUE"""),1441.0)</f>
        <v>1441</v>
      </c>
      <c r="D336" s="2">
        <f>IFERROR(__xludf.DUMMYFUNCTION("""COMPUTED_VALUE"""),1391.29)</f>
        <v>1391.29</v>
      </c>
      <c r="E336" s="2">
        <f>IFERROR(__xludf.DUMMYFUNCTION("""COMPUTED_VALUE"""),1428.92)</f>
        <v>1428.92</v>
      </c>
      <c r="F336" s="2">
        <f>IFERROR(__xludf.DUMMYFUNCTION("""COMPUTED_VALUE"""),7278820.0)</f>
        <v>7278820</v>
      </c>
      <c r="G336" s="3">
        <f t="shared" si="1"/>
        <v>0.01311666029</v>
      </c>
    </row>
    <row r="337">
      <c r="A337" s="1">
        <f>IFERROR(__xludf.DUMMYFUNCTION("""COMPUTED_VALUE"""),43987.66666666667)</f>
        <v>43987.66667</v>
      </c>
      <c r="B337" s="2">
        <f>IFERROR(__xludf.DUMMYFUNCTION("""COMPUTED_VALUE"""),1418.39)</f>
        <v>1418.39</v>
      </c>
      <c r="C337" s="2">
        <f>IFERROR(__xludf.DUMMYFUNCTION("""COMPUTED_VALUE"""),1446.55)</f>
        <v>1446.55</v>
      </c>
      <c r="D337" s="2">
        <f>IFERROR(__xludf.DUMMYFUNCTION("""COMPUTED_VALUE"""),1404.73)</f>
        <v>1404.73</v>
      </c>
      <c r="E337" s="2">
        <f>IFERROR(__xludf.DUMMYFUNCTION("""COMPUTED_VALUE"""),1438.39)</f>
        <v>1438.39</v>
      </c>
      <c r="F337" s="2">
        <f>IFERROR(__xludf.DUMMYFUNCTION("""COMPUTED_VALUE"""),6970970.0)</f>
        <v>6970970</v>
      </c>
      <c r="G337" s="3">
        <f t="shared" si="1"/>
        <v>0.006627382919</v>
      </c>
    </row>
    <row r="338">
      <c r="A338" s="1">
        <f>IFERROR(__xludf.DUMMYFUNCTION("""COMPUTED_VALUE"""),43994.66666666667)</f>
        <v>43994.66667</v>
      </c>
      <c r="B338" s="2">
        <f>IFERROR(__xludf.DUMMYFUNCTION("""COMPUTED_VALUE"""),1422.34)</f>
        <v>1422.34</v>
      </c>
      <c r="C338" s="2">
        <f>IFERROR(__xludf.DUMMYFUNCTION("""COMPUTED_VALUE"""),1474.26)</f>
        <v>1474.26</v>
      </c>
      <c r="D338" s="2">
        <f>IFERROR(__xludf.DUMMYFUNCTION("""COMPUTED_VALUE"""),1386.02)</f>
        <v>1386.02</v>
      </c>
      <c r="E338" s="2">
        <f>IFERROR(__xludf.DUMMYFUNCTION("""COMPUTED_VALUE"""),1413.18)</f>
        <v>1413.18</v>
      </c>
      <c r="F338" s="2">
        <f>IFERROR(__xludf.DUMMYFUNCTION("""COMPUTED_VALUE"""),8276279.0)</f>
        <v>8276279</v>
      </c>
      <c r="G338" s="3">
        <f t="shared" si="1"/>
        <v>-0.01752654009</v>
      </c>
    </row>
    <row r="339">
      <c r="A339" s="1">
        <f>IFERROR(__xludf.DUMMYFUNCTION("""COMPUTED_VALUE"""),44001.66666666667)</f>
        <v>44001.66667</v>
      </c>
      <c r="B339" s="2">
        <f>IFERROR(__xludf.DUMMYFUNCTION("""COMPUTED_VALUE"""),1390.8)</f>
        <v>1390.8</v>
      </c>
      <c r="C339" s="2">
        <f>IFERROR(__xludf.DUMMYFUNCTION("""COMPUTED_VALUE"""),1460.0)</f>
        <v>1460</v>
      </c>
      <c r="D339" s="2">
        <f>IFERROR(__xludf.DUMMYFUNCTION("""COMPUTED_VALUE"""),1387.92)</f>
        <v>1387.92</v>
      </c>
      <c r="E339" s="2">
        <f>IFERROR(__xludf.DUMMYFUNCTION("""COMPUTED_VALUE"""),1431.72)</f>
        <v>1431.72</v>
      </c>
      <c r="F339" s="2">
        <f>IFERROR(__xludf.DUMMYFUNCTION("""COMPUTED_VALUE"""),9507116.0)</f>
        <v>9507116</v>
      </c>
      <c r="G339" s="3">
        <f t="shared" si="1"/>
        <v>0.01311934785</v>
      </c>
    </row>
    <row r="340">
      <c r="A340" s="1">
        <f>IFERROR(__xludf.DUMMYFUNCTION("""COMPUTED_VALUE"""),44008.66666666667)</f>
        <v>44008.66667</v>
      </c>
      <c r="B340" s="2">
        <f>IFERROR(__xludf.DUMMYFUNCTION("""COMPUTED_VALUE"""),1429.0)</f>
        <v>1429</v>
      </c>
      <c r="C340" s="2">
        <f>IFERROR(__xludf.DUMMYFUNCTION("""COMPUTED_VALUE"""),1475.94)</f>
        <v>1475.94</v>
      </c>
      <c r="D340" s="2">
        <f>IFERROR(__xludf.DUMMYFUNCTION("""COMPUTED_VALUE"""),1351.99)</f>
        <v>1351.99</v>
      </c>
      <c r="E340" s="2">
        <f>IFERROR(__xludf.DUMMYFUNCTION("""COMPUTED_VALUE"""),1359.9)</f>
        <v>1359.9</v>
      </c>
      <c r="F340" s="2">
        <f>IFERROR(__xludf.DUMMYFUNCTION("""COMPUTED_VALUE"""),1.0226398E7)</f>
        <v>10226398</v>
      </c>
      <c r="G340" s="3">
        <f t="shared" si="1"/>
        <v>-0.05016343978</v>
      </c>
    </row>
    <row r="341">
      <c r="A341" s="1">
        <f>IFERROR(__xludf.DUMMYFUNCTION("""COMPUTED_VALUE"""),44014.66666666667)</f>
        <v>44014.66667</v>
      </c>
      <c r="B341" s="2">
        <f>IFERROR(__xludf.DUMMYFUNCTION("""COMPUTED_VALUE"""),1358.18)</f>
        <v>1358.18</v>
      </c>
      <c r="C341" s="2">
        <f>IFERROR(__xludf.DUMMYFUNCTION("""COMPUTED_VALUE"""),1482.95)</f>
        <v>1482.95</v>
      </c>
      <c r="D341" s="2">
        <f>IFERROR(__xludf.DUMMYFUNCTION("""COMPUTED_VALUE"""),1347.01)</f>
        <v>1347.01</v>
      </c>
      <c r="E341" s="2">
        <f>IFERROR(__xludf.DUMMYFUNCTION("""COMPUTED_VALUE"""),1464.7)</f>
        <v>1464.7</v>
      </c>
      <c r="F341" s="2">
        <f>IFERROR(__xludf.DUMMYFUNCTION("""COMPUTED_VALUE"""),7487208.0)</f>
        <v>7487208</v>
      </c>
      <c r="G341" s="3">
        <f t="shared" si="1"/>
        <v>0.07706449004</v>
      </c>
    </row>
    <row r="342">
      <c r="A342" s="1">
        <f>IFERROR(__xludf.DUMMYFUNCTION("""COMPUTED_VALUE"""),44022.66666666667)</f>
        <v>44022.66667</v>
      </c>
      <c r="B342" s="2">
        <f>IFERROR(__xludf.DUMMYFUNCTION("""COMPUTED_VALUE"""),1480.06)</f>
        <v>1480.06</v>
      </c>
      <c r="C342" s="2">
        <f>IFERROR(__xludf.DUMMYFUNCTION("""COMPUTED_VALUE"""),1543.83)</f>
        <v>1543.83</v>
      </c>
      <c r="D342" s="2">
        <f>IFERROR(__xludf.DUMMYFUNCTION("""COMPUTED_VALUE"""),1472.86)</f>
        <v>1472.86</v>
      </c>
      <c r="E342" s="2">
        <f>IFERROR(__xludf.DUMMYFUNCTION("""COMPUTED_VALUE"""),1541.74)</f>
        <v>1541.74</v>
      </c>
      <c r="F342" s="2">
        <f>IFERROR(__xludf.DUMMYFUNCTION("""COMPUTED_VALUE"""),7551853.0)</f>
        <v>7551853</v>
      </c>
      <c r="G342" s="3">
        <f t="shared" si="1"/>
        <v>0.0525978016</v>
      </c>
    </row>
    <row r="343">
      <c r="A343" s="1">
        <f>IFERROR(__xludf.DUMMYFUNCTION("""COMPUTED_VALUE"""),44029.66666666667)</f>
        <v>44029.66667</v>
      </c>
      <c r="B343" s="2">
        <f>IFERROR(__xludf.DUMMYFUNCTION("""COMPUTED_VALUE"""),1550.0)</f>
        <v>1550</v>
      </c>
      <c r="C343" s="2">
        <f>IFERROR(__xludf.DUMMYFUNCTION("""COMPUTED_VALUE"""),1577.13)</f>
        <v>1577.13</v>
      </c>
      <c r="D343" s="2">
        <f>IFERROR(__xludf.DUMMYFUNCTION("""COMPUTED_VALUE"""),1483.5)</f>
        <v>1483.5</v>
      </c>
      <c r="E343" s="2">
        <f>IFERROR(__xludf.DUMMYFUNCTION("""COMPUTED_VALUE"""),1515.55)</f>
        <v>1515.55</v>
      </c>
      <c r="F343" s="2">
        <f>IFERROR(__xludf.DUMMYFUNCTION("""COMPUTED_VALUE"""),8018479.0)</f>
        <v>8018479</v>
      </c>
      <c r="G343" s="3">
        <f t="shared" si="1"/>
        <v>-0.01698730006</v>
      </c>
    </row>
    <row r="344">
      <c r="A344" s="1">
        <f>IFERROR(__xludf.DUMMYFUNCTION("""COMPUTED_VALUE"""),44036.66666666667)</f>
        <v>44036.66667</v>
      </c>
      <c r="B344" s="2">
        <f>IFERROR(__xludf.DUMMYFUNCTION("""COMPUTED_VALUE"""),1515.26)</f>
        <v>1515.26</v>
      </c>
      <c r="C344" s="2">
        <f>IFERROR(__xludf.DUMMYFUNCTION("""COMPUTED_VALUE"""),1586.99)</f>
        <v>1586.99</v>
      </c>
      <c r="D344" s="2">
        <f>IFERROR(__xludf.DUMMYFUNCTION("""COMPUTED_VALUE"""),1488.4)</f>
        <v>1488.4</v>
      </c>
      <c r="E344" s="2">
        <f>IFERROR(__xludf.DUMMYFUNCTION("""COMPUTED_VALUE"""),1511.87)</f>
        <v>1511.87</v>
      </c>
      <c r="F344" s="2">
        <f>IFERROR(__xludf.DUMMYFUNCTION("""COMPUTED_VALUE"""),6879920.0)</f>
        <v>6879920</v>
      </c>
      <c r="G344" s="3">
        <f t="shared" si="1"/>
        <v>-0.002428161394</v>
      </c>
    </row>
    <row r="345">
      <c r="A345" s="1">
        <f>IFERROR(__xludf.DUMMYFUNCTION("""COMPUTED_VALUE"""),44043.66666666667)</f>
        <v>44043.66667</v>
      </c>
      <c r="B345" s="2">
        <f>IFERROR(__xludf.DUMMYFUNCTION("""COMPUTED_VALUE"""),1515.6)</f>
        <v>1515.6</v>
      </c>
      <c r="C345" s="2">
        <f>IFERROR(__xludf.DUMMYFUNCTION("""COMPUTED_VALUE"""),1540.97)</f>
        <v>1540.97</v>
      </c>
      <c r="D345" s="2">
        <f>IFERROR(__xludf.DUMMYFUNCTION("""COMPUTED_VALUE"""),1454.03)</f>
        <v>1454.03</v>
      </c>
      <c r="E345" s="2">
        <f>IFERROR(__xludf.DUMMYFUNCTION("""COMPUTED_VALUE"""),1482.96)</f>
        <v>1482.96</v>
      </c>
      <c r="F345" s="2">
        <f>IFERROR(__xludf.DUMMYFUNCTION("""COMPUTED_VALUE"""),9155120.0)</f>
        <v>9155120</v>
      </c>
      <c r="G345" s="3">
        <f t="shared" si="1"/>
        <v>-0.01912201446</v>
      </c>
    </row>
    <row r="346">
      <c r="A346" s="1">
        <f>IFERROR(__xludf.DUMMYFUNCTION("""COMPUTED_VALUE"""),44050.66666666667)</f>
        <v>44050.66667</v>
      </c>
      <c r="B346" s="2">
        <f>IFERROR(__xludf.DUMMYFUNCTION("""COMPUTED_VALUE"""),1486.64)</f>
        <v>1486.64</v>
      </c>
      <c r="C346" s="2">
        <f>IFERROR(__xludf.DUMMYFUNCTION("""COMPUTED_VALUE"""),1516.85)</f>
        <v>1516.85</v>
      </c>
      <c r="D346" s="2">
        <f>IFERROR(__xludf.DUMMYFUNCTION("""COMPUTED_VALUE"""),1458.65)</f>
        <v>1458.65</v>
      </c>
      <c r="E346" s="2">
        <f>IFERROR(__xludf.DUMMYFUNCTION("""COMPUTED_VALUE"""),1494.49)</f>
        <v>1494.49</v>
      </c>
      <c r="F346" s="2">
        <f>IFERROR(__xludf.DUMMYFUNCTION("""COMPUTED_VALUE"""),9788154.0)</f>
        <v>9788154</v>
      </c>
      <c r="G346" s="3">
        <f t="shared" si="1"/>
        <v>0.007774990559</v>
      </c>
    </row>
    <row r="347">
      <c r="A347" s="1">
        <f>IFERROR(__xludf.DUMMYFUNCTION("""COMPUTED_VALUE"""),44057.66666666667)</f>
        <v>44057.66667</v>
      </c>
      <c r="B347" s="2">
        <f>IFERROR(__xludf.DUMMYFUNCTION("""COMPUTED_VALUE"""),1487.18)</f>
        <v>1487.18</v>
      </c>
      <c r="C347" s="2">
        <f>IFERROR(__xludf.DUMMYFUNCTION("""COMPUTED_VALUE"""),1537.25)</f>
        <v>1537.25</v>
      </c>
      <c r="D347" s="2">
        <f>IFERROR(__xludf.DUMMYFUNCTION("""COMPUTED_VALUE"""),1473.08)</f>
        <v>1473.08</v>
      </c>
      <c r="E347" s="2">
        <f>IFERROR(__xludf.DUMMYFUNCTION("""COMPUTED_VALUE"""),1507.73)</f>
        <v>1507.73</v>
      </c>
      <c r="F347" s="2">
        <f>IFERROR(__xludf.DUMMYFUNCTION("""COMPUTED_VALUE"""),6991958.0)</f>
        <v>6991958</v>
      </c>
      <c r="G347" s="3">
        <f t="shared" si="1"/>
        <v>0.008859209496</v>
      </c>
    </row>
    <row r="348">
      <c r="A348" s="1">
        <f>IFERROR(__xludf.DUMMYFUNCTION("""COMPUTED_VALUE"""),44064.66666666667)</f>
        <v>44064.66667</v>
      </c>
      <c r="B348" s="2">
        <f>IFERROR(__xludf.DUMMYFUNCTION("""COMPUTED_VALUE"""),1514.67)</f>
        <v>1514.67</v>
      </c>
      <c r="C348" s="2">
        <f>IFERROR(__xludf.DUMMYFUNCTION("""COMPUTED_VALUE"""),1597.72)</f>
        <v>1597.72</v>
      </c>
      <c r="D348" s="2">
        <f>IFERROR(__xludf.DUMMYFUNCTION("""COMPUTED_VALUE"""),1507.97)</f>
        <v>1507.97</v>
      </c>
      <c r="E348" s="2">
        <f>IFERROR(__xludf.DUMMYFUNCTION("""COMPUTED_VALUE"""),1580.42)</f>
        <v>1580.42</v>
      </c>
      <c r="F348" s="2">
        <f>IFERROR(__xludf.DUMMYFUNCTION("""COMPUTED_VALUE"""),8219627.0)</f>
        <v>8219627</v>
      </c>
      <c r="G348" s="3">
        <f t="shared" si="1"/>
        <v>0.04821154981</v>
      </c>
    </row>
    <row r="349">
      <c r="A349" s="1">
        <f>IFERROR(__xludf.DUMMYFUNCTION("""COMPUTED_VALUE"""),44071.66666666667)</f>
        <v>44071.66667</v>
      </c>
      <c r="B349" s="2">
        <f>IFERROR(__xludf.DUMMYFUNCTION("""COMPUTED_VALUE"""),1593.98)</f>
        <v>1593.98</v>
      </c>
      <c r="C349" s="2">
        <f>IFERROR(__xludf.DUMMYFUNCTION("""COMPUTED_VALUE"""),1659.22)</f>
        <v>1659.22</v>
      </c>
      <c r="D349" s="2">
        <f>IFERROR(__xludf.DUMMYFUNCTION("""COMPUTED_VALUE"""),1580.57)</f>
        <v>1580.57</v>
      </c>
      <c r="E349" s="2">
        <f>IFERROR(__xludf.DUMMYFUNCTION("""COMPUTED_VALUE"""),1644.41)</f>
        <v>1644.41</v>
      </c>
      <c r="F349" s="2">
        <f>IFERROR(__xludf.DUMMYFUNCTION("""COMPUTED_VALUE"""),1.0484769E7)</f>
        <v>10484769</v>
      </c>
      <c r="G349" s="3">
        <f t="shared" si="1"/>
        <v>0.04048923704</v>
      </c>
    </row>
    <row r="350">
      <c r="A350" s="1">
        <f>IFERROR(__xludf.DUMMYFUNCTION("""COMPUTED_VALUE"""),44078.66666666667)</f>
        <v>44078.66667</v>
      </c>
      <c r="B350" s="2">
        <f>IFERROR(__xludf.DUMMYFUNCTION("""COMPUTED_VALUE"""),1647.89)</f>
        <v>1647.89</v>
      </c>
      <c r="C350" s="2">
        <f>IFERROR(__xludf.DUMMYFUNCTION("""COMPUTED_VALUE"""),1733.18)</f>
        <v>1733.18</v>
      </c>
      <c r="D350" s="2">
        <f>IFERROR(__xludf.DUMMYFUNCTION("""COMPUTED_VALUE"""),1547.61)</f>
        <v>1547.61</v>
      </c>
      <c r="E350" s="2">
        <f>IFERROR(__xludf.DUMMYFUNCTION("""COMPUTED_VALUE"""),1591.04)</f>
        <v>1591.04</v>
      </c>
      <c r="F350" s="2">
        <f>IFERROR(__xludf.DUMMYFUNCTION("""COMPUTED_VALUE"""),1.1877572E7)</f>
        <v>11877572</v>
      </c>
      <c r="G350" s="3">
        <f t="shared" si="1"/>
        <v>-0.03245540954</v>
      </c>
    </row>
    <row r="351">
      <c r="A351" s="1">
        <f>IFERROR(__xludf.DUMMYFUNCTION("""COMPUTED_VALUE"""),44085.66666666667)</f>
        <v>44085.66667</v>
      </c>
      <c r="B351" s="2">
        <f>IFERROR(__xludf.DUMMYFUNCTION("""COMPUTED_VALUE"""),1533.51)</f>
        <v>1533.51</v>
      </c>
      <c r="C351" s="2">
        <f>IFERROR(__xludf.DUMMYFUNCTION("""COMPUTED_VALUE"""),1584.08)</f>
        <v>1584.08</v>
      </c>
      <c r="D351" s="2">
        <f>IFERROR(__xludf.DUMMYFUNCTION("""COMPUTED_VALUE"""),1497.36)</f>
        <v>1497.36</v>
      </c>
      <c r="E351" s="2">
        <f>IFERROR(__xludf.DUMMYFUNCTION("""COMPUTED_VALUE"""),1520.72)</f>
        <v>1520.72</v>
      </c>
      <c r="F351" s="2">
        <f>IFERROR(__xludf.DUMMYFUNCTION("""COMPUTED_VALUE"""),7601232.0)</f>
        <v>7601232</v>
      </c>
      <c r="G351" s="3">
        <f t="shared" si="1"/>
        <v>-0.04419750603</v>
      </c>
    </row>
    <row r="352">
      <c r="A352" s="1">
        <f>IFERROR(__xludf.DUMMYFUNCTION("""COMPUTED_VALUE"""),44092.66666666667)</f>
        <v>44092.66667</v>
      </c>
      <c r="B352" s="2">
        <f>IFERROR(__xludf.DUMMYFUNCTION("""COMPUTED_VALUE"""),1539.01)</f>
        <v>1539.01</v>
      </c>
      <c r="C352" s="2">
        <f>IFERROR(__xludf.DUMMYFUNCTION("""COMPUTED_VALUE"""),1564.0)</f>
        <v>1564</v>
      </c>
      <c r="D352" s="2">
        <f>IFERROR(__xludf.DUMMYFUNCTION("""COMPUTED_VALUE"""),1437.13)</f>
        <v>1437.13</v>
      </c>
      <c r="E352" s="2">
        <f>IFERROR(__xludf.DUMMYFUNCTION("""COMPUTED_VALUE"""),1459.99)</f>
        <v>1459.99</v>
      </c>
      <c r="F352" s="2">
        <f>IFERROR(__xludf.DUMMYFUNCTION("""COMPUTED_VALUE"""),9323603.0)</f>
        <v>9323603</v>
      </c>
      <c r="G352" s="3">
        <f t="shared" si="1"/>
        <v>-0.03993503077</v>
      </c>
    </row>
    <row r="353">
      <c r="A353" s="1">
        <f>IFERROR(__xludf.DUMMYFUNCTION("""COMPUTED_VALUE"""),44099.66666666667)</f>
        <v>44099.66667</v>
      </c>
      <c r="B353" s="2">
        <f>IFERROR(__xludf.DUMMYFUNCTION("""COMPUTED_VALUE"""),1440.06)</f>
        <v>1440.06</v>
      </c>
      <c r="C353" s="2">
        <f>IFERROR(__xludf.DUMMYFUNCTION("""COMPUTED_VALUE"""),1469.52)</f>
        <v>1469.52</v>
      </c>
      <c r="D353" s="2">
        <f>IFERROR(__xludf.DUMMYFUNCTION("""COMPUTED_VALUE"""),1406.55)</f>
        <v>1406.55</v>
      </c>
      <c r="E353" s="2">
        <f>IFERROR(__xludf.DUMMYFUNCTION("""COMPUTED_VALUE"""),1444.96)</f>
        <v>1444.96</v>
      </c>
      <c r="F353" s="2">
        <f>IFERROR(__xludf.DUMMYFUNCTION("""COMPUTED_VALUE"""),8902969.0)</f>
        <v>8902969</v>
      </c>
      <c r="G353" s="3">
        <f t="shared" si="1"/>
        <v>-0.01029459106</v>
      </c>
    </row>
    <row r="354">
      <c r="A354" s="1">
        <f>IFERROR(__xludf.DUMMYFUNCTION("""COMPUTED_VALUE"""),44106.66666666667)</f>
        <v>44106.66667</v>
      </c>
      <c r="B354" s="2">
        <f>IFERROR(__xludf.DUMMYFUNCTION("""COMPUTED_VALUE"""),1474.21)</f>
        <v>1474.21</v>
      </c>
      <c r="C354" s="2">
        <f>IFERROR(__xludf.DUMMYFUNCTION("""COMPUTED_VALUE"""),1499.04)</f>
        <v>1499.04</v>
      </c>
      <c r="D354" s="2">
        <f>IFERROR(__xludf.DUMMYFUNCTION("""COMPUTED_VALUE"""),1449.3)</f>
        <v>1449.3</v>
      </c>
      <c r="E354" s="2">
        <f>IFERROR(__xludf.DUMMYFUNCTION("""COMPUTED_VALUE"""),1458.42)</f>
        <v>1458.42</v>
      </c>
      <c r="F354" s="2">
        <f>IFERROR(__xludf.DUMMYFUNCTION("""COMPUTED_VALUE"""),7752219.0)</f>
        <v>7752219</v>
      </c>
      <c r="G354" s="3">
        <f t="shared" si="1"/>
        <v>0.009315136751</v>
      </c>
    </row>
    <row r="355">
      <c r="A355" s="1">
        <f>IFERROR(__xludf.DUMMYFUNCTION("""COMPUTED_VALUE"""),44113.66666666667)</f>
        <v>44113.66667</v>
      </c>
      <c r="B355" s="2">
        <f>IFERROR(__xludf.DUMMYFUNCTION("""COMPUTED_VALUE"""),1466.21)</f>
        <v>1466.21</v>
      </c>
      <c r="C355" s="2">
        <f>IFERROR(__xludf.DUMMYFUNCTION("""COMPUTED_VALUE"""),1516.52)</f>
        <v>1516.52</v>
      </c>
      <c r="D355" s="2">
        <f>IFERROR(__xludf.DUMMYFUNCTION("""COMPUTED_VALUE"""),1436.0)</f>
        <v>1436</v>
      </c>
      <c r="E355" s="2">
        <f>IFERROR(__xludf.DUMMYFUNCTION("""COMPUTED_VALUE"""),1515.22)</f>
        <v>1515.22</v>
      </c>
      <c r="F355" s="2">
        <f>IFERROR(__xludf.DUMMYFUNCTION("""COMPUTED_VALUE"""),6728209.0)</f>
        <v>6728209</v>
      </c>
      <c r="G355" s="3">
        <f t="shared" si="1"/>
        <v>0.03894625691</v>
      </c>
    </row>
    <row r="356">
      <c r="A356" s="1">
        <f>IFERROR(__xludf.DUMMYFUNCTION("""COMPUTED_VALUE"""),44120.66666666667)</f>
        <v>44120.66667</v>
      </c>
      <c r="B356" s="2">
        <f>IFERROR(__xludf.DUMMYFUNCTION("""COMPUTED_VALUE"""),1543.0)</f>
        <v>1543</v>
      </c>
      <c r="C356" s="2">
        <f>IFERROR(__xludf.DUMMYFUNCTION("""COMPUTED_VALUE"""),1593.86)</f>
        <v>1593.86</v>
      </c>
      <c r="D356" s="2">
        <f>IFERROR(__xludf.DUMMYFUNCTION("""COMPUTED_VALUE"""),1532.57)</f>
        <v>1532.57</v>
      </c>
      <c r="E356" s="2">
        <f>IFERROR(__xludf.DUMMYFUNCTION("""COMPUTED_VALUE"""),1573.01)</f>
        <v>1573.01</v>
      </c>
      <c r="F356" s="2">
        <f>IFERROR(__xludf.DUMMYFUNCTION("""COMPUTED_VALUE"""),8990547.0)</f>
        <v>8990547</v>
      </c>
      <c r="G356" s="3">
        <f t="shared" si="1"/>
        <v>0.03813967609</v>
      </c>
    </row>
    <row r="357">
      <c r="A357" s="1">
        <f>IFERROR(__xludf.DUMMYFUNCTION("""COMPUTED_VALUE"""),44127.66666666667)</f>
        <v>44127.66667</v>
      </c>
      <c r="B357" s="2">
        <f>IFERROR(__xludf.DUMMYFUNCTION("""COMPUTED_VALUE"""),1580.46)</f>
        <v>1580.46</v>
      </c>
      <c r="C357" s="2">
        <f>IFERROR(__xludf.DUMMYFUNCTION("""COMPUTED_VALUE"""),1642.36)</f>
        <v>1642.36</v>
      </c>
      <c r="D357" s="2">
        <f>IFERROR(__xludf.DUMMYFUNCTION("""COMPUTED_VALUE"""),1525.67)</f>
        <v>1525.67</v>
      </c>
      <c r="E357" s="2">
        <f>IFERROR(__xludf.DUMMYFUNCTION("""COMPUTED_VALUE"""),1641.0)</f>
        <v>1641</v>
      </c>
      <c r="F357" s="2">
        <f>IFERROR(__xludf.DUMMYFUNCTION("""COMPUTED_VALUE"""),9227878.0)</f>
        <v>9227878</v>
      </c>
      <c r="G357" s="3">
        <f t="shared" si="1"/>
        <v>0.04322286572</v>
      </c>
    </row>
    <row r="358">
      <c r="A358" s="1">
        <f>IFERROR(__xludf.DUMMYFUNCTION("""COMPUTED_VALUE"""),44134.66666666667)</f>
        <v>44134.66667</v>
      </c>
      <c r="B358" s="2">
        <f>IFERROR(__xludf.DUMMYFUNCTION("""COMPUTED_VALUE"""),1625.01)</f>
        <v>1625.01</v>
      </c>
      <c r="C358" s="2">
        <f>IFERROR(__xludf.DUMMYFUNCTION("""COMPUTED_VALUE"""),1687.0)</f>
        <v>1687</v>
      </c>
      <c r="D358" s="2">
        <f>IFERROR(__xludf.DUMMYFUNCTION("""COMPUTED_VALUE"""),1514.62)</f>
        <v>1514.62</v>
      </c>
      <c r="E358" s="2">
        <f>IFERROR(__xludf.DUMMYFUNCTION("""COMPUTED_VALUE"""),1621.01)</f>
        <v>1621.01</v>
      </c>
      <c r="F358" s="2">
        <f>IFERROR(__xludf.DUMMYFUNCTION("""COMPUTED_VALUE"""),1.1250141E7)</f>
        <v>11250141</v>
      </c>
      <c r="G358" s="3">
        <f t="shared" si="1"/>
        <v>-0.01218159659</v>
      </c>
    </row>
    <row r="359">
      <c r="A359" s="1">
        <f>IFERROR(__xludf.DUMMYFUNCTION("""COMPUTED_VALUE"""),44141.66666666667)</f>
        <v>44141.66667</v>
      </c>
      <c r="B359" s="2">
        <f>IFERROR(__xludf.DUMMYFUNCTION("""COMPUTED_VALUE"""),1628.16)</f>
        <v>1628.16</v>
      </c>
      <c r="C359" s="2">
        <f>IFERROR(__xludf.DUMMYFUNCTION("""COMPUTED_VALUE"""),1793.64)</f>
        <v>1793.64</v>
      </c>
      <c r="D359" s="2">
        <f>IFERROR(__xludf.DUMMYFUNCTION("""COMPUTED_VALUE"""),1616.03)</f>
        <v>1616.03</v>
      </c>
      <c r="E359" s="2">
        <f>IFERROR(__xludf.DUMMYFUNCTION("""COMPUTED_VALUE"""),1761.75)</f>
        <v>1761.75</v>
      </c>
      <c r="F359" s="2">
        <f>IFERROR(__xludf.DUMMYFUNCTION("""COMPUTED_VALUE"""),1.1495063E7)</f>
        <v>11495063</v>
      </c>
      <c r="G359" s="3">
        <f t="shared" si="1"/>
        <v>0.08682241319</v>
      </c>
    </row>
    <row r="360">
      <c r="A360" s="1">
        <f>IFERROR(__xludf.DUMMYFUNCTION("""COMPUTED_VALUE"""),44148.66666666667)</f>
        <v>44148.66667</v>
      </c>
      <c r="B360" s="2">
        <f>IFERROR(__xludf.DUMMYFUNCTION("""COMPUTED_VALUE"""),1790.9)</f>
        <v>1790.9</v>
      </c>
      <c r="C360" s="2">
        <f>IFERROR(__xludf.DUMMYFUNCTION("""COMPUTED_VALUE"""),1818.06)</f>
        <v>1818.06</v>
      </c>
      <c r="D360" s="2">
        <f>IFERROR(__xludf.DUMMYFUNCTION("""COMPUTED_VALUE"""),1717.3)</f>
        <v>1717.3</v>
      </c>
      <c r="E360" s="2">
        <f>IFERROR(__xludf.DUMMYFUNCTION("""COMPUTED_VALUE"""),1777.02)</f>
        <v>1777.02</v>
      </c>
      <c r="F360" s="2">
        <f>IFERROR(__xludf.DUMMYFUNCTION("""COMPUTED_VALUE"""),8917706.0)</f>
        <v>8917706</v>
      </c>
      <c r="G360" s="3">
        <f t="shared" si="1"/>
        <v>0.008667518093</v>
      </c>
    </row>
    <row r="361">
      <c r="A361" s="1">
        <f>IFERROR(__xludf.DUMMYFUNCTION("""COMPUTED_VALUE"""),44155.66666666667)</f>
        <v>44155.66667</v>
      </c>
      <c r="B361" s="2">
        <f>IFERROR(__xludf.DUMMYFUNCTION("""COMPUTED_VALUE"""),1771.7)</f>
        <v>1771.7</v>
      </c>
      <c r="C361" s="2">
        <f>IFERROR(__xludf.DUMMYFUNCTION("""COMPUTED_VALUE"""),1799.07)</f>
        <v>1799.07</v>
      </c>
      <c r="D361" s="2">
        <f>IFERROR(__xludf.DUMMYFUNCTION("""COMPUTED_VALUE"""),1737.01)</f>
        <v>1737.01</v>
      </c>
      <c r="E361" s="2">
        <f>IFERROR(__xludf.DUMMYFUNCTION("""COMPUTED_VALUE"""),1742.19)</f>
        <v>1742.19</v>
      </c>
      <c r="F361" s="2">
        <f>IFERROR(__xludf.DUMMYFUNCTION("""COMPUTED_VALUE"""),7130930.0)</f>
        <v>7130930</v>
      </c>
      <c r="G361" s="3">
        <f t="shared" si="1"/>
        <v>-0.0196002296</v>
      </c>
    </row>
    <row r="362">
      <c r="A362" s="1">
        <f>IFERROR(__xludf.DUMMYFUNCTION("""COMPUTED_VALUE"""),44162.54166666667)</f>
        <v>44162.54167</v>
      </c>
      <c r="B362" s="2">
        <f>IFERROR(__xludf.DUMMYFUNCTION("""COMPUTED_VALUE"""),1749.6)</f>
        <v>1749.6</v>
      </c>
      <c r="C362" s="2">
        <f>IFERROR(__xludf.DUMMYFUNCTION("""COMPUTED_VALUE"""),1804.0)</f>
        <v>1804</v>
      </c>
      <c r="D362" s="2">
        <f>IFERROR(__xludf.DUMMYFUNCTION("""COMPUTED_VALUE"""),1717.72)</f>
        <v>1717.72</v>
      </c>
      <c r="E362" s="2">
        <f>IFERROR(__xludf.DUMMYFUNCTION("""COMPUTED_VALUE"""),1793.19)</f>
        <v>1793.19</v>
      </c>
      <c r="F362" s="2">
        <f>IFERROR(__xludf.DUMMYFUNCTION("""COMPUTED_VALUE"""),5672716.0)</f>
        <v>5672716</v>
      </c>
      <c r="G362" s="3">
        <f t="shared" si="1"/>
        <v>0.02927350059</v>
      </c>
    </row>
    <row r="363">
      <c r="A363" s="1">
        <f>IFERROR(__xludf.DUMMYFUNCTION("""COMPUTED_VALUE"""),44169.66666666667)</f>
        <v>44169.66667</v>
      </c>
      <c r="B363" s="2">
        <f>IFERROR(__xludf.DUMMYFUNCTION("""COMPUTED_VALUE"""),1781.18)</f>
        <v>1781.18</v>
      </c>
      <c r="C363" s="2">
        <f>IFERROR(__xludf.DUMMYFUNCTION("""COMPUTED_VALUE"""),1847.2)</f>
        <v>1847.2</v>
      </c>
      <c r="D363" s="2">
        <f>IFERROR(__xludf.DUMMYFUNCTION("""COMPUTED_VALUE"""),1755.0)</f>
        <v>1755</v>
      </c>
      <c r="E363" s="2">
        <f>IFERROR(__xludf.DUMMYFUNCTION("""COMPUTED_VALUE"""),1827.99)</f>
        <v>1827.99</v>
      </c>
      <c r="F363" s="2">
        <f>IFERROR(__xludf.DUMMYFUNCTION("""COMPUTED_VALUE"""),7390377.0)</f>
        <v>7390377</v>
      </c>
      <c r="G363" s="3">
        <f t="shared" si="1"/>
        <v>0.01940675556</v>
      </c>
    </row>
    <row r="364">
      <c r="A364" s="1">
        <f>IFERROR(__xludf.DUMMYFUNCTION("""COMPUTED_VALUE"""),44176.66666666667)</f>
        <v>44176.66667</v>
      </c>
      <c r="B364" s="2">
        <f>IFERROR(__xludf.DUMMYFUNCTION("""COMPUTED_VALUE"""),1819.0)</f>
        <v>1819</v>
      </c>
      <c r="C364" s="2">
        <f>IFERROR(__xludf.DUMMYFUNCTION("""COMPUTED_VALUE"""),1834.27)</f>
        <v>1834.27</v>
      </c>
      <c r="D364" s="2">
        <f>IFERROR(__xludf.DUMMYFUNCTION("""COMPUTED_VALUE"""),1740.32)</f>
        <v>1740.32</v>
      </c>
      <c r="E364" s="2">
        <f>IFERROR(__xludf.DUMMYFUNCTION("""COMPUTED_VALUE"""),1781.77)</f>
        <v>1781.77</v>
      </c>
      <c r="F364" s="2">
        <f>IFERROR(__xludf.DUMMYFUNCTION("""COMPUTED_VALUE"""),6508322.0)</f>
        <v>6508322</v>
      </c>
      <c r="G364" s="3">
        <f t="shared" si="1"/>
        <v>-0.02528460221</v>
      </c>
    </row>
    <row r="365">
      <c r="A365" s="1">
        <f>IFERROR(__xludf.DUMMYFUNCTION("""COMPUTED_VALUE"""),44183.66666666667)</f>
        <v>44183.66667</v>
      </c>
      <c r="B365" s="2">
        <f>IFERROR(__xludf.DUMMYFUNCTION("""COMPUTED_VALUE"""),1775.0)</f>
        <v>1775</v>
      </c>
      <c r="C365" s="2">
        <f>IFERROR(__xludf.DUMMYFUNCTION("""COMPUTED_VALUE"""),1797.39)</f>
        <v>1797.39</v>
      </c>
      <c r="D365" s="2">
        <f>IFERROR(__xludf.DUMMYFUNCTION("""COMPUTED_VALUE"""),1720.22)</f>
        <v>1720.22</v>
      </c>
      <c r="E365" s="2">
        <f>IFERROR(__xludf.DUMMYFUNCTION("""COMPUTED_VALUE"""),1731.01)</f>
        <v>1731.01</v>
      </c>
      <c r="F365" s="2">
        <f>IFERROR(__xludf.DUMMYFUNCTION("""COMPUTED_VALUE"""),1.0237074E7)</f>
        <v>10237074</v>
      </c>
      <c r="G365" s="3">
        <f t="shared" si="1"/>
        <v>-0.02848852546</v>
      </c>
    </row>
    <row r="366">
      <c r="A366" s="1">
        <f>IFERROR(__xludf.DUMMYFUNCTION("""COMPUTED_VALUE"""),44189.54166666667)</f>
        <v>44189.54167</v>
      </c>
      <c r="B366" s="2">
        <f>IFERROR(__xludf.DUMMYFUNCTION("""COMPUTED_VALUE"""),1713.51)</f>
        <v>1713.51</v>
      </c>
      <c r="C366" s="2">
        <f>IFERROR(__xludf.DUMMYFUNCTION("""COMPUTED_VALUE"""),1747.99)</f>
        <v>1747.99</v>
      </c>
      <c r="D366" s="2">
        <f>IFERROR(__xludf.DUMMYFUNCTION("""COMPUTED_VALUE"""),1699.0)</f>
        <v>1699</v>
      </c>
      <c r="E366" s="2">
        <f>IFERROR(__xludf.DUMMYFUNCTION("""COMPUTED_VALUE"""),1738.85)</f>
        <v>1738.85</v>
      </c>
      <c r="F366" s="2">
        <f>IFERROR(__xludf.DUMMYFUNCTION("""COMPUTED_VALUE"""),4147394.0)</f>
        <v>4147394</v>
      </c>
      <c r="G366" s="3">
        <f t="shared" si="1"/>
        <v>0.004529147723</v>
      </c>
    </row>
    <row r="367">
      <c r="A367" s="1">
        <f>IFERROR(__xludf.DUMMYFUNCTION("""COMPUTED_VALUE"""),44196.66666666667)</f>
        <v>44196.66667</v>
      </c>
      <c r="B367" s="2">
        <f>IFERROR(__xludf.DUMMYFUNCTION("""COMPUTED_VALUE"""),1751.64)</f>
        <v>1751.64</v>
      </c>
      <c r="C367" s="2">
        <f>IFERROR(__xludf.DUMMYFUNCTION("""COMPUTED_VALUE"""),1792.44)</f>
        <v>1792.44</v>
      </c>
      <c r="D367" s="2">
        <f>IFERROR(__xludf.DUMMYFUNCTION("""COMPUTED_VALUE"""),1725.6)</f>
        <v>1725.6</v>
      </c>
      <c r="E367" s="2">
        <f>IFERROR(__xludf.DUMMYFUNCTION("""COMPUTED_VALUE"""),1751.88)</f>
        <v>1751.88</v>
      </c>
      <c r="F367" s="2">
        <f>IFERROR(__xludf.DUMMYFUNCTION("""COMPUTED_VALUE"""),5010798.0)</f>
        <v>5010798</v>
      </c>
      <c r="G367" s="3">
        <f t="shared" si="1"/>
        <v>0.00749345832</v>
      </c>
    </row>
    <row r="368">
      <c r="A368" s="1"/>
      <c r="G368" s="3"/>
    </row>
    <row r="369">
      <c r="A369" s="1"/>
      <c r="G369" s="3"/>
    </row>
    <row r="370">
      <c r="A370" s="1"/>
      <c r="G370" s="3"/>
    </row>
    <row r="371">
      <c r="A371" s="1"/>
      <c r="G371" s="3"/>
    </row>
    <row r="372">
      <c r="A372" s="1"/>
      <c r="G372" s="3"/>
    </row>
    <row r="373">
      <c r="A373" s="1"/>
      <c r="G373" s="3"/>
    </row>
    <row r="374">
      <c r="A374" s="1"/>
      <c r="G374" s="3"/>
    </row>
    <row r="375">
      <c r="A375" s="1"/>
      <c r="G375" s="3"/>
    </row>
    <row r="376">
      <c r="A376" s="1"/>
      <c r="G376" s="3"/>
    </row>
    <row r="377">
      <c r="A377" s="1"/>
      <c r="G377" s="3"/>
    </row>
    <row r="378">
      <c r="A378" s="1"/>
      <c r="G378" s="3"/>
    </row>
    <row r="379">
      <c r="A379" s="1"/>
      <c r="G379" s="3"/>
    </row>
    <row r="380">
      <c r="A380" s="1"/>
      <c r="G380" s="3"/>
    </row>
    <row r="381">
      <c r="A381" s="1"/>
      <c r="G381" s="3"/>
    </row>
    <row r="382">
      <c r="A382" s="1"/>
      <c r="G382" s="3"/>
    </row>
    <row r="383">
      <c r="A383" s="1"/>
      <c r="G383" s="3"/>
    </row>
    <row r="384">
      <c r="A384" s="1"/>
      <c r="G384" s="3"/>
    </row>
    <row r="385">
      <c r="A385" s="1"/>
      <c r="G385" s="3"/>
    </row>
    <row r="386">
      <c r="A386" s="1"/>
      <c r="G386" s="3"/>
    </row>
    <row r="387">
      <c r="A387" s="1"/>
      <c r="G387" s="3"/>
    </row>
    <row r="388">
      <c r="A388" s="1"/>
      <c r="G388" s="3"/>
    </row>
    <row r="389">
      <c r="A389" s="1"/>
      <c r="G389" s="3"/>
    </row>
    <row r="390">
      <c r="A390" s="1"/>
      <c r="G390" s="3"/>
    </row>
    <row r="391">
      <c r="A391" s="1"/>
      <c r="G391" s="3"/>
    </row>
    <row r="392">
      <c r="A392" s="1"/>
      <c r="G392" s="3"/>
    </row>
    <row r="393">
      <c r="A393" s="1"/>
      <c r="G393" s="3"/>
    </row>
    <row r="394">
      <c r="A394" s="1"/>
      <c r="G394" s="3"/>
    </row>
    <row r="395">
      <c r="A395" s="1"/>
      <c r="G395" s="3"/>
    </row>
    <row r="396">
      <c r="A396" s="1"/>
      <c r="G396" s="3"/>
    </row>
    <row r="397">
      <c r="A397" s="1"/>
      <c r="G397" s="3"/>
    </row>
    <row r="398">
      <c r="A398" s="1"/>
      <c r="G398" s="3"/>
    </row>
    <row r="399">
      <c r="A399" s="1"/>
      <c r="G399" s="3"/>
    </row>
    <row r="400">
      <c r="A400" s="1"/>
      <c r="G400" s="3"/>
    </row>
    <row r="401">
      <c r="A401" s="1"/>
      <c r="G401" s="3"/>
    </row>
    <row r="402">
      <c r="A402" s="1"/>
      <c r="G402" s="3"/>
    </row>
    <row r="403">
      <c r="A403" s="1"/>
      <c r="G403" s="3"/>
    </row>
    <row r="404">
      <c r="A404" s="1"/>
      <c r="G404" s="3"/>
    </row>
    <row r="405">
      <c r="A405" s="1"/>
      <c r="G405" s="3"/>
    </row>
    <row r="406">
      <c r="A406" s="1"/>
      <c r="G406" s="3"/>
    </row>
    <row r="407">
      <c r="A407" s="1"/>
      <c r="G407" s="3"/>
    </row>
    <row r="408">
      <c r="A408" s="1"/>
      <c r="G408" s="3"/>
    </row>
    <row r="409">
      <c r="A409" s="1"/>
      <c r="G409" s="3"/>
    </row>
    <row r="410">
      <c r="A410" s="1"/>
      <c r="G410" s="3"/>
    </row>
    <row r="411">
      <c r="A411" s="1"/>
      <c r="G411" s="3"/>
    </row>
    <row r="412">
      <c r="A412" s="1"/>
      <c r="G412" s="3"/>
    </row>
    <row r="413">
      <c r="A413" s="1"/>
      <c r="G413" s="3"/>
    </row>
    <row r="414">
      <c r="A414" s="1"/>
      <c r="G414" s="3"/>
    </row>
    <row r="415">
      <c r="A415" s="1"/>
      <c r="G415" s="3"/>
    </row>
    <row r="416">
      <c r="A416" s="1"/>
      <c r="G416" s="3"/>
    </row>
    <row r="417">
      <c r="A417" s="1"/>
      <c r="G417" s="3"/>
    </row>
    <row r="418">
      <c r="A418" s="1"/>
      <c r="G418" s="3"/>
    </row>
    <row r="419">
      <c r="A419" s="1"/>
      <c r="G419" s="3"/>
    </row>
    <row r="420">
      <c r="A420" s="1"/>
      <c r="G420" s="3"/>
    </row>
    <row r="421">
      <c r="A421" s="1"/>
      <c r="G421" s="3"/>
    </row>
    <row r="422">
      <c r="A422" s="1"/>
      <c r="G422" s="3"/>
    </row>
    <row r="423">
      <c r="A423" s="1"/>
      <c r="G423" s="3"/>
    </row>
    <row r="424">
      <c r="A424" s="1"/>
      <c r="G424" s="3"/>
    </row>
    <row r="425">
      <c r="A425" s="1"/>
      <c r="G425" s="3"/>
    </row>
    <row r="426">
      <c r="A426" s="1"/>
      <c r="G426" s="3"/>
    </row>
    <row r="427">
      <c r="A427" s="1"/>
      <c r="G427" s="3"/>
    </row>
    <row r="428">
      <c r="A428" s="1"/>
      <c r="G428" s="3"/>
    </row>
    <row r="429">
      <c r="A429" s="1"/>
      <c r="G429" s="3"/>
    </row>
    <row r="430">
      <c r="A430" s="1"/>
      <c r="G430" s="3"/>
    </row>
    <row r="431">
      <c r="A431" s="1"/>
      <c r="G431" s="3"/>
    </row>
    <row r="432">
      <c r="A432" s="1"/>
      <c r="G432" s="3"/>
    </row>
    <row r="433">
      <c r="A433" s="1"/>
      <c r="G433" s="3"/>
    </row>
    <row r="434">
      <c r="A434" s="1"/>
      <c r="G434" s="3"/>
    </row>
    <row r="435">
      <c r="A435" s="1"/>
      <c r="G435" s="3"/>
    </row>
    <row r="436">
      <c r="A436" s="1"/>
      <c r="G436" s="3"/>
    </row>
    <row r="437">
      <c r="A437" s="1"/>
      <c r="G437" s="3"/>
    </row>
    <row r="438">
      <c r="A438" s="1"/>
      <c r="G438" s="3"/>
    </row>
    <row r="439">
      <c r="A439" s="1"/>
      <c r="G439" s="3"/>
    </row>
    <row r="440">
      <c r="A440" s="1"/>
      <c r="G440" s="3"/>
    </row>
    <row r="441">
      <c r="A441" s="1"/>
      <c r="G441" s="3"/>
    </row>
    <row r="442">
      <c r="A442" s="1"/>
      <c r="G442" s="3"/>
    </row>
    <row r="443">
      <c r="A443" s="1"/>
      <c r="G443" s="3"/>
    </row>
    <row r="444">
      <c r="A444" s="1"/>
      <c r="G444" s="3"/>
    </row>
    <row r="445">
      <c r="A445" s="1"/>
      <c r="G445" s="3"/>
    </row>
    <row r="446">
      <c r="A446" s="1"/>
      <c r="G446" s="3"/>
    </row>
    <row r="447">
      <c r="A447" s="1"/>
      <c r="G447" s="3"/>
    </row>
    <row r="448">
      <c r="A448" s="1"/>
      <c r="G448" s="3"/>
    </row>
    <row r="449">
      <c r="A449" s="1"/>
      <c r="G449" s="3"/>
    </row>
    <row r="450">
      <c r="A450" s="1"/>
      <c r="G450" s="3"/>
    </row>
    <row r="451">
      <c r="A451" s="1"/>
      <c r="G451" s="3"/>
    </row>
    <row r="452">
      <c r="A452" s="1"/>
      <c r="G452" s="3"/>
    </row>
    <row r="453">
      <c r="A453" s="1"/>
      <c r="G453" s="3"/>
    </row>
    <row r="454">
      <c r="A454" s="1"/>
      <c r="G454" s="3"/>
    </row>
    <row r="455">
      <c r="A455" s="1"/>
      <c r="G455" s="3"/>
    </row>
    <row r="456">
      <c r="A456" s="1"/>
      <c r="G456" s="3"/>
    </row>
    <row r="457">
      <c r="A457" s="1"/>
      <c r="G457" s="3"/>
    </row>
    <row r="458">
      <c r="A458" s="1"/>
      <c r="G458" s="3"/>
    </row>
    <row r="459">
      <c r="A459" s="1"/>
      <c r="G459" s="3"/>
    </row>
    <row r="460">
      <c r="A460" s="1"/>
      <c r="G460" s="3"/>
    </row>
    <row r="461">
      <c r="A461" s="1"/>
      <c r="G461" s="3"/>
    </row>
    <row r="462">
      <c r="A462" s="1"/>
      <c r="G462" s="3"/>
    </row>
    <row r="463">
      <c r="A463" s="1"/>
      <c r="G463" s="3"/>
    </row>
    <row r="464">
      <c r="A464" s="1"/>
      <c r="G464" s="3"/>
    </row>
    <row r="465">
      <c r="A465" s="1"/>
      <c r="G465" s="3"/>
    </row>
    <row r="466">
      <c r="A466" s="1"/>
      <c r="G466" s="3"/>
    </row>
    <row r="467">
      <c r="A467" s="1"/>
      <c r="G467" s="3"/>
    </row>
    <row r="468">
      <c r="A468" s="1"/>
      <c r="G468" s="3"/>
    </row>
    <row r="469">
      <c r="A469" s="1"/>
      <c r="G469" s="3"/>
    </row>
    <row r="470">
      <c r="A470" s="1"/>
      <c r="G470" s="3"/>
    </row>
    <row r="471">
      <c r="A471" s="1"/>
      <c r="G471" s="3"/>
    </row>
    <row r="472">
      <c r="A472" s="1"/>
      <c r="G472" s="3"/>
    </row>
    <row r="473">
      <c r="A473" s="1"/>
      <c r="G473" s="3"/>
    </row>
    <row r="474">
      <c r="A474" s="1"/>
      <c r="G474" s="3"/>
    </row>
    <row r="475">
      <c r="A475" s="1"/>
      <c r="G475" s="3"/>
    </row>
    <row r="476">
      <c r="A476" s="1"/>
      <c r="G476" s="3"/>
    </row>
    <row r="477">
      <c r="A477" s="1"/>
      <c r="G477" s="3"/>
    </row>
    <row r="478">
      <c r="A478" s="1"/>
      <c r="G478" s="3"/>
    </row>
    <row r="479">
      <c r="A479" s="1"/>
      <c r="G479" s="3"/>
    </row>
    <row r="480">
      <c r="A480" s="1"/>
      <c r="G480" s="3"/>
    </row>
    <row r="481">
      <c r="A481" s="1"/>
      <c r="G481" s="3"/>
    </row>
    <row r="482">
      <c r="A482" s="1"/>
      <c r="G482" s="3"/>
    </row>
    <row r="483">
      <c r="A483" s="1"/>
      <c r="G483" s="3"/>
    </row>
    <row r="484">
      <c r="A484" s="1"/>
      <c r="G484" s="3"/>
    </row>
    <row r="485">
      <c r="A485" s="1"/>
      <c r="G485" s="3"/>
    </row>
    <row r="486">
      <c r="A486" s="1"/>
      <c r="G486" s="3"/>
    </row>
    <row r="487">
      <c r="A487" s="1"/>
      <c r="G487" s="3"/>
    </row>
    <row r="488">
      <c r="A488" s="1"/>
      <c r="G488" s="3"/>
    </row>
    <row r="489">
      <c r="A489" s="1"/>
      <c r="G489" s="3"/>
    </row>
    <row r="490">
      <c r="A490" s="1"/>
      <c r="G490" s="3"/>
    </row>
    <row r="491">
      <c r="A491" s="1"/>
      <c r="G491" s="3"/>
    </row>
    <row r="492">
      <c r="A492" s="1"/>
      <c r="G492" s="3"/>
    </row>
    <row r="493">
      <c r="A493" s="1"/>
      <c r="G493" s="3"/>
    </row>
    <row r="494">
      <c r="A494" s="1"/>
      <c r="G494" s="3"/>
    </row>
    <row r="495">
      <c r="A495" s="1"/>
      <c r="G495" s="3"/>
    </row>
    <row r="496">
      <c r="A496" s="1"/>
      <c r="G496" s="3"/>
    </row>
    <row r="497">
      <c r="A497" s="1"/>
      <c r="G497" s="3"/>
    </row>
    <row r="498">
      <c r="A498" s="1"/>
      <c r="G498" s="3"/>
    </row>
    <row r="499">
      <c r="A499" s="1"/>
      <c r="G499" s="3"/>
    </row>
    <row r="500">
      <c r="A500" s="1"/>
      <c r="G500" s="3"/>
    </row>
    <row r="501">
      <c r="A501" s="1"/>
      <c r="G501" s="3"/>
    </row>
    <row r="502">
      <c r="A502" s="1"/>
      <c r="G502" s="3"/>
    </row>
    <row r="503">
      <c r="A503" s="1"/>
      <c r="G503" s="3"/>
    </row>
    <row r="504">
      <c r="A504" s="1"/>
      <c r="G504" s="3"/>
    </row>
    <row r="505">
      <c r="A505" s="1"/>
      <c r="G505" s="3"/>
    </row>
    <row r="506">
      <c r="A506" s="1"/>
      <c r="G506" s="3"/>
    </row>
    <row r="507">
      <c r="A507" s="1"/>
      <c r="G507" s="3"/>
    </row>
    <row r="508">
      <c r="A508" s="1"/>
      <c r="G508" s="3"/>
    </row>
    <row r="509">
      <c r="A509" s="1"/>
      <c r="G509" s="3"/>
    </row>
    <row r="510">
      <c r="A510" s="1"/>
      <c r="G510" s="3"/>
    </row>
    <row r="511">
      <c r="A511" s="1"/>
      <c r="G511" s="3"/>
    </row>
    <row r="512">
      <c r="A512" s="1"/>
      <c r="G512" s="3"/>
    </row>
    <row r="513">
      <c r="A513" s="1"/>
      <c r="G513" s="3"/>
    </row>
    <row r="514">
      <c r="A514" s="1"/>
      <c r="G514" s="3"/>
    </row>
    <row r="515">
      <c r="A515" s="1"/>
      <c r="G515" s="3"/>
    </row>
    <row r="516">
      <c r="A516" s="1"/>
      <c r="G516" s="3"/>
    </row>
    <row r="517">
      <c r="A517" s="1"/>
      <c r="G517" s="3"/>
    </row>
    <row r="518">
      <c r="A518" s="1"/>
      <c r="G518" s="3"/>
    </row>
    <row r="519">
      <c r="A519" s="1"/>
      <c r="G519" s="3"/>
    </row>
    <row r="520">
      <c r="A520" s="1"/>
      <c r="G520" s="3"/>
    </row>
    <row r="521">
      <c r="A521" s="1"/>
      <c r="G521" s="3"/>
    </row>
    <row r="522">
      <c r="A522" s="1"/>
      <c r="G522" s="3"/>
    </row>
    <row r="523">
      <c r="A523" s="1"/>
      <c r="G523" s="3"/>
    </row>
    <row r="524">
      <c r="A524" s="1"/>
      <c r="G524" s="3"/>
    </row>
    <row r="525">
      <c r="A525" s="1"/>
      <c r="G525" s="3"/>
    </row>
    <row r="526">
      <c r="A526" s="1"/>
      <c r="G526" s="3"/>
    </row>
    <row r="527">
      <c r="A527" s="1"/>
      <c r="G527" s="3"/>
    </row>
    <row r="528">
      <c r="A528" s="1"/>
      <c r="G528" s="3"/>
    </row>
    <row r="529">
      <c r="A529" s="1"/>
      <c r="G529" s="3"/>
    </row>
    <row r="530">
      <c r="A530" s="1"/>
      <c r="G530" s="3"/>
    </row>
    <row r="531">
      <c r="A531" s="1"/>
      <c r="G531" s="3"/>
    </row>
    <row r="532">
      <c r="A532" s="1"/>
      <c r="G532" s="3"/>
    </row>
    <row r="533">
      <c r="A533" s="1"/>
      <c r="G533" s="3"/>
    </row>
    <row r="534">
      <c r="A534" s="1"/>
      <c r="G534" s="3"/>
    </row>
    <row r="535">
      <c r="A535" s="1"/>
      <c r="G535" s="3"/>
    </row>
    <row r="536">
      <c r="A536" s="1"/>
      <c r="G536" s="3"/>
    </row>
    <row r="537">
      <c r="A537" s="1"/>
      <c r="G537" s="3"/>
    </row>
    <row r="538">
      <c r="A538" s="1"/>
      <c r="G538" s="3"/>
    </row>
    <row r="539">
      <c r="A539" s="1"/>
      <c r="G539" s="3"/>
    </row>
    <row r="540">
      <c r="A540" s="1"/>
      <c r="G540" s="3"/>
    </row>
    <row r="541">
      <c r="A541" s="1"/>
      <c r="G541" s="3"/>
    </row>
    <row r="542">
      <c r="A542" s="1"/>
      <c r="G542" s="3"/>
    </row>
    <row r="543">
      <c r="A543" s="1"/>
      <c r="G543" s="3"/>
    </row>
    <row r="544">
      <c r="A544" s="1"/>
      <c r="G544" s="3"/>
    </row>
    <row r="545">
      <c r="A545" s="1"/>
      <c r="G545" s="3"/>
    </row>
    <row r="546">
      <c r="A546" s="1"/>
      <c r="G546" s="3"/>
    </row>
    <row r="547">
      <c r="A547" s="1"/>
      <c r="G547" s="3"/>
    </row>
    <row r="548">
      <c r="A548" s="1"/>
      <c r="G548" s="3"/>
    </row>
    <row r="549">
      <c r="A549" s="1"/>
      <c r="G549" s="3"/>
    </row>
    <row r="550">
      <c r="A550" s="1"/>
      <c r="G550" s="3"/>
    </row>
    <row r="551">
      <c r="A551" s="1"/>
      <c r="G551" s="3"/>
    </row>
    <row r="552">
      <c r="A552" s="1"/>
      <c r="G552" s="3"/>
    </row>
    <row r="553">
      <c r="A553" s="1"/>
      <c r="G553" s="3"/>
    </row>
    <row r="554">
      <c r="A554" s="1"/>
      <c r="G554" s="3"/>
    </row>
    <row r="555">
      <c r="A555" s="1"/>
      <c r="G555" s="3"/>
    </row>
    <row r="556">
      <c r="A556" s="1"/>
      <c r="G556" s="3"/>
    </row>
    <row r="557">
      <c r="A557" s="1"/>
      <c r="G557" s="3"/>
    </row>
    <row r="558">
      <c r="A558" s="1"/>
      <c r="G558" s="3"/>
    </row>
    <row r="559">
      <c r="A559" s="1"/>
      <c r="G559" s="3"/>
    </row>
    <row r="560">
      <c r="A560" s="1"/>
      <c r="G560" s="3"/>
    </row>
    <row r="561">
      <c r="A561" s="1"/>
      <c r="G561" s="3"/>
    </row>
    <row r="562">
      <c r="A562" s="1"/>
      <c r="G562" s="3"/>
    </row>
    <row r="563">
      <c r="A563" s="1"/>
      <c r="G563" s="3"/>
    </row>
    <row r="564">
      <c r="A564" s="1"/>
      <c r="G564" s="3"/>
    </row>
    <row r="565">
      <c r="A565" s="1"/>
      <c r="G565" s="3"/>
    </row>
    <row r="566">
      <c r="A566" s="1"/>
      <c r="G566" s="3"/>
    </row>
    <row r="567">
      <c r="A567" s="1"/>
      <c r="G567" s="3"/>
    </row>
    <row r="568">
      <c r="A568" s="1"/>
      <c r="G568" s="3"/>
    </row>
    <row r="569">
      <c r="A569" s="1"/>
      <c r="G569" s="3"/>
    </row>
    <row r="570">
      <c r="A570" s="1"/>
      <c r="G570" s="3"/>
    </row>
    <row r="571">
      <c r="A571" s="1"/>
      <c r="G571" s="3"/>
    </row>
    <row r="572">
      <c r="A572" s="1"/>
      <c r="G572" s="3"/>
    </row>
    <row r="573">
      <c r="A573" s="1"/>
      <c r="G573" s="3"/>
    </row>
    <row r="574">
      <c r="A574" s="1"/>
      <c r="G574" s="3"/>
    </row>
    <row r="575">
      <c r="A575" s="1"/>
      <c r="G575" s="3"/>
    </row>
    <row r="576">
      <c r="A576" s="1"/>
      <c r="G576" s="3"/>
    </row>
    <row r="577">
      <c r="A577" s="1"/>
      <c r="G577" s="3"/>
    </row>
    <row r="578">
      <c r="A578" s="1"/>
      <c r="G578" s="3"/>
    </row>
    <row r="579">
      <c r="A579" s="1"/>
      <c r="G579" s="3"/>
    </row>
    <row r="580">
      <c r="A580" s="1"/>
      <c r="G580" s="3"/>
    </row>
    <row r="581">
      <c r="A581" s="1"/>
      <c r="G581" s="3"/>
    </row>
    <row r="582">
      <c r="A582" s="1"/>
      <c r="G582" s="3"/>
    </row>
    <row r="583">
      <c r="A583" s="1"/>
      <c r="G583" s="3"/>
    </row>
    <row r="584">
      <c r="A584" s="1"/>
      <c r="G584" s="3"/>
    </row>
    <row r="585">
      <c r="A585" s="1"/>
      <c r="G585" s="3"/>
    </row>
    <row r="586">
      <c r="A586" s="1"/>
      <c r="G586" s="3"/>
    </row>
    <row r="587">
      <c r="A587" s="1"/>
      <c r="G587" s="3"/>
    </row>
    <row r="588">
      <c r="A588" s="1"/>
      <c r="G588" s="3"/>
    </row>
    <row r="589">
      <c r="A589" s="1"/>
      <c r="G589" s="3"/>
    </row>
    <row r="590">
      <c r="A590" s="1"/>
      <c r="G590" s="3"/>
    </row>
    <row r="591">
      <c r="A591" s="1"/>
      <c r="G591" s="3"/>
    </row>
    <row r="592">
      <c r="A592" s="1"/>
      <c r="G592" s="3"/>
    </row>
    <row r="593">
      <c r="A593" s="1"/>
      <c r="G593" s="3"/>
    </row>
    <row r="594">
      <c r="A594" s="1"/>
      <c r="G594" s="3"/>
    </row>
    <row r="595">
      <c r="A595" s="1"/>
      <c r="G595" s="3"/>
    </row>
    <row r="596">
      <c r="A596" s="1"/>
      <c r="G596" s="3"/>
    </row>
    <row r="597">
      <c r="A597" s="1"/>
      <c r="G597" s="3"/>
    </row>
    <row r="598">
      <c r="A598" s="1"/>
      <c r="G598" s="3"/>
    </row>
    <row r="599">
      <c r="A599" s="1"/>
      <c r="G599" s="3"/>
    </row>
    <row r="600">
      <c r="A600" s="1"/>
      <c r="G600" s="3"/>
    </row>
    <row r="601">
      <c r="A601" s="1"/>
      <c r="G601" s="3"/>
    </row>
    <row r="602">
      <c r="A602" s="1"/>
      <c r="G602" s="3"/>
    </row>
    <row r="603">
      <c r="A603" s="1"/>
      <c r="G603" s="3"/>
    </row>
    <row r="604">
      <c r="A604" s="1"/>
      <c r="G604" s="3"/>
    </row>
    <row r="605">
      <c r="A605" s="1"/>
      <c r="G605" s="3"/>
    </row>
    <row r="606">
      <c r="A606" s="1"/>
      <c r="G606" s="3"/>
    </row>
    <row r="607">
      <c r="A607" s="1"/>
      <c r="G607" s="3"/>
    </row>
    <row r="608">
      <c r="A608" s="1"/>
      <c r="G608" s="3"/>
    </row>
    <row r="609">
      <c r="A609" s="1"/>
      <c r="G609" s="3"/>
    </row>
    <row r="610">
      <c r="A610" s="1"/>
      <c r="G610" s="3"/>
    </row>
    <row r="611">
      <c r="A611" s="1"/>
      <c r="G611" s="3"/>
    </row>
    <row r="612">
      <c r="A612" s="1"/>
      <c r="G612" s="3"/>
    </row>
    <row r="613">
      <c r="A613" s="1"/>
      <c r="G613" s="3"/>
    </row>
    <row r="614">
      <c r="A614" s="1"/>
      <c r="G614" s="3"/>
    </row>
    <row r="615">
      <c r="A615" s="1"/>
      <c r="G615" s="3"/>
    </row>
    <row r="616">
      <c r="A616" s="1"/>
      <c r="G616" s="3"/>
    </row>
    <row r="617">
      <c r="A617" s="1"/>
      <c r="G617" s="3"/>
    </row>
    <row r="618">
      <c r="A618" s="1"/>
      <c r="G618" s="3"/>
    </row>
    <row r="619">
      <c r="A619" s="1"/>
      <c r="G619" s="3"/>
    </row>
    <row r="620">
      <c r="A620" s="1"/>
      <c r="G620" s="3"/>
    </row>
    <row r="621">
      <c r="A621" s="1"/>
      <c r="G621" s="3"/>
    </row>
    <row r="622">
      <c r="A622" s="1"/>
      <c r="G622" s="3"/>
    </row>
    <row r="623">
      <c r="A623" s="1"/>
      <c r="G623" s="3"/>
    </row>
    <row r="624">
      <c r="A624" s="1"/>
      <c r="G624" s="3"/>
    </row>
    <row r="625">
      <c r="A625" s="1"/>
      <c r="G625" s="3"/>
    </row>
    <row r="626">
      <c r="A626" s="1"/>
      <c r="G626" s="3"/>
    </row>
    <row r="627">
      <c r="A627" s="1"/>
      <c r="G627" s="3"/>
    </row>
    <row r="628">
      <c r="A628" s="1"/>
      <c r="G628" s="3"/>
    </row>
    <row r="629">
      <c r="A629" s="1"/>
      <c r="G629" s="3"/>
    </row>
    <row r="630">
      <c r="A630" s="1"/>
      <c r="G630" s="3"/>
    </row>
    <row r="631">
      <c r="A631" s="1"/>
      <c r="G631" s="3"/>
    </row>
    <row r="632">
      <c r="A632" s="1"/>
      <c r="G632" s="3"/>
    </row>
    <row r="633">
      <c r="A633" s="1"/>
      <c r="G633" s="3"/>
    </row>
    <row r="634">
      <c r="A634" s="1"/>
      <c r="G634" s="3"/>
    </row>
    <row r="635">
      <c r="A635" s="1"/>
      <c r="G635" s="3"/>
    </row>
    <row r="636">
      <c r="A636" s="1"/>
      <c r="G636" s="3"/>
    </row>
    <row r="637">
      <c r="A637" s="1"/>
      <c r="G637" s="3"/>
    </row>
    <row r="638">
      <c r="A638" s="1"/>
      <c r="G638" s="3"/>
    </row>
    <row r="639">
      <c r="A639" s="1"/>
      <c r="G639" s="3"/>
    </row>
    <row r="640">
      <c r="A640" s="1"/>
      <c r="G640" s="3"/>
    </row>
    <row r="641">
      <c r="A641" s="1"/>
      <c r="G641" s="3"/>
    </row>
    <row r="642">
      <c r="A642" s="1"/>
      <c r="G642" s="3"/>
    </row>
    <row r="643">
      <c r="A643" s="1"/>
      <c r="G643" s="3"/>
    </row>
    <row r="644">
      <c r="A644" s="1"/>
      <c r="G644" s="3"/>
    </row>
    <row r="645">
      <c r="A645" s="1"/>
      <c r="G645" s="3"/>
    </row>
    <row r="646">
      <c r="A646" s="1"/>
      <c r="G646" s="3"/>
    </row>
    <row r="647">
      <c r="A647" s="1"/>
      <c r="G647" s="3"/>
    </row>
    <row r="648">
      <c r="A648" s="1"/>
      <c r="G648" s="3"/>
    </row>
    <row r="649">
      <c r="A649" s="1"/>
      <c r="G649" s="3"/>
    </row>
    <row r="650">
      <c r="A650" s="1"/>
      <c r="G650" s="3"/>
    </row>
    <row r="651">
      <c r="A651" s="1"/>
      <c r="G651" s="3"/>
    </row>
    <row r="652">
      <c r="A652" s="1"/>
      <c r="G652" s="3"/>
    </row>
    <row r="653">
      <c r="A653" s="1"/>
      <c r="G653" s="3"/>
    </row>
    <row r="654">
      <c r="A654" s="1"/>
      <c r="G654" s="3"/>
    </row>
    <row r="655">
      <c r="A655" s="1"/>
      <c r="G655" s="3"/>
    </row>
    <row r="656">
      <c r="A656" s="1"/>
      <c r="G656" s="3"/>
    </row>
    <row r="657">
      <c r="A657" s="1"/>
      <c r="G657" s="3"/>
    </row>
    <row r="658">
      <c r="A658" s="1"/>
      <c r="G658" s="3"/>
    </row>
    <row r="659">
      <c r="A659" s="1"/>
      <c r="G659" s="3"/>
    </row>
    <row r="660">
      <c r="A660" s="1"/>
      <c r="G660" s="3"/>
    </row>
    <row r="661">
      <c r="A661" s="1"/>
      <c r="G661" s="3"/>
    </row>
    <row r="662">
      <c r="A662" s="1"/>
      <c r="G662" s="3"/>
    </row>
    <row r="663">
      <c r="A663" s="1"/>
      <c r="G663" s="3"/>
    </row>
    <row r="664">
      <c r="A664" s="1"/>
      <c r="G664" s="3"/>
    </row>
    <row r="665">
      <c r="A665" s="1"/>
      <c r="G665" s="3"/>
    </row>
    <row r="666">
      <c r="A666" s="1"/>
      <c r="G666" s="3"/>
    </row>
    <row r="667">
      <c r="A667" s="1"/>
      <c r="G667" s="3"/>
    </row>
    <row r="668">
      <c r="A668" s="1"/>
      <c r="G668" s="3"/>
    </row>
    <row r="669">
      <c r="A669" s="1"/>
      <c r="G669" s="3"/>
    </row>
    <row r="670">
      <c r="A670" s="1"/>
      <c r="G670" s="3"/>
    </row>
    <row r="671">
      <c r="A671" s="1"/>
      <c r="G671" s="3"/>
    </row>
    <row r="672">
      <c r="A672" s="1"/>
      <c r="G672" s="3"/>
    </row>
    <row r="673">
      <c r="A673" s="1"/>
      <c r="G673" s="3"/>
    </row>
    <row r="674">
      <c r="A674" s="1"/>
      <c r="G674" s="3"/>
    </row>
    <row r="675">
      <c r="A675" s="1"/>
      <c r="G675" s="3"/>
    </row>
    <row r="676">
      <c r="A676" s="1"/>
      <c r="G676" s="3"/>
    </row>
    <row r="677">
      <c r="A677" s="1"/>
      <c r="G677" s="3"/>
    </row>
    <row r="678">
      <c r="A678" s="1"/>
      <c r="G678" s="3"/>
    </row>
    <row r="679">
      <c r="A679" s="1"/>
      <c r="G679" s="3"/>
    </row>
    <row r="680">
      <c r="A680" s="1"/>
      <c r="G680" s="3"/>
    </row>
    <row r="681">
      <c r="A681" s="1"/>
      <c r="G681" s="3"/>
    </row>
    <row r="682">
      <c r="A682" s="1"/>
      <c r="G682" s="3"/>
    </row>
    <row r="683">
      <c r="A683" s="1"/>
      <c r="G683" s="3"/>
    </row>
    <row r="684">
      <c r="A684" s="1"/>
      <c r="G684" s="3"/>
    </row>
    <row r="685">
      <c r="A685" s="1"/>
      <c r="G685" s="3"/>
    </row>
    <row r="686">
      <c r="A686" s="1"/>
      <c r="G686" s="3"/>
    </row>
    <row r="687">
      <c r="A687" s="1"/>
      <c r="G687" s="3"/>
    </row>
    <row r="688">
      <c r="A688" s="1"/>
      <c r="G688" s="3"/>
    </row>
    <row r="689">
      <c r="A689" s="1"/>
      <c r="G689" s="3"/>
    </row>
    <row r="690">
      <c r="A690" s="1"/>
      <c r="G690" s="3"/>
    </row>
    <row r="691">
      <c r="A691" s="1"/>
      <c r="G691" s="3"/>
    </row>
    <row r="692">
      <c r="A692" s="1"/>
      <c r="G692" s="3"/>
    </row>
    <row r="693">
      <c r="A693" s="1"/>
      <c r="G693" s="3"/>
    </row>
    <row r="694">
      <c r="A694" s="1"/>
      <c r="G694" s="3"/>
    </row>
    <row r="695">
      <c r="A695" s="1"/>
      <c r="G695" s="3"/>
    </row>
    <row r="696">
      <c r="A696" s="1"/>
      <c r="G696" s="3"/>
    </row>
    <row r="697">
      <c r="A697" s="1"/>
      <c r="G697" s="3"/>
    </row>
    <row r="698">
      <c r="A698" s="1"/>
      <c r="G698" s="3"/>
    </row>
    <row r="699">
      <c r="A699" s="1"/>
      <c r="G699" s="3"/>
    </row>
    <row r="700">
      <c r="A700" s="1"/>
      <c r="G700" s="3"/>
    </row>
    <row r="701">
      <c r="A701" s="1"/>
      <c r="G701" s="3"/>
    </row>
    <row r="702">
      <c r="A702" s="1"/>
      <c r="G702" s="3"/>
    </row>
    <row r="703">
      <c r="A703" s="1"/>
      <c r="G703" s="3"/>
    </row>
    <row r="704">
      <c r="A704" s="1"/>
      <c r="G704" s="3"/>
    </row>
    <row r="705">
      <c r="A705" s="1"/>
      <c r="G705" s="3"/>
    </row>
    <row r="706">
      <c r="A706" s="1"/>
      <c r="G706" s="3"/>
    </row>
    <row r="707">
      <c r="A707" s="1"/>
      <c r="G707" s="3"/>
    </row>
    <row r="708">
      <c r="A708" s="1"/>
      <c r="G708" s="3"/>
    </row>
    <row r="709">
      <c r="A709" s="1"/>
      <c r="G709" s="3"/>
    </row>
    <row r="710">
      <c r="A710" s="1"/>
      <c r="G710" s="3"/>
    </row>
    <row r="711">
      <c r="A711" s="1"/>
      <c r="G711" s="3"/>
    </row>
    <row r="712">
      <c r="A712" s="1"/>
      <c r="G712" s="3"/>
    </row>
    <row r="713">
      <c r="A713" s="1"/>
      <c r="G713" s="3"/>
    </row>
    <row r="714">
      <c r="A714" s="1"/>
      <c r="G714" s="3"/>
    </row>
    <row r="715">
      <c r="A715" s="1"/>
      <c r="G715" s="3"/>
    </row>
    <row r="716">
      <c r="A716" s="1"/>
      <c r="G716" s="3"/>
    </row>
    <row r="717">
      <c r="A717" s="1"/>
      <c r="G717" s="3"/>
    </row>
    <row r="718">
      <c r="A718" s="1"/>
      <c r="G718" s="3"/>
    </row>
    <row r="719">
      <c r="A719" s="1"/>
      <c r="G719" s="3"/>
    </row>
    <row r="720">
      <c r="A720" s="1"/>
      <c r="G720" s="3"/>
    </row>
    <row r="721">
      <c r="A721" s="1"/>
      <c r="G721" s="3"/>
    </row>
    <row r="722">
      <c r="A722" s="1"/>
      <c r="G722" s="3"/>
    </row>
    <row r="723">
      <c r="A723" s="1"/>
      <c r="G723" s="3"/>
    </row>
    <row r="724">
      <c r="A724" s="1"/>
      <c r="G724" s="3"/>
    </row>
    <row r="725">
      <c r="A725" s="1"/>
      <c r="G725" s="3"/>
    </row>
    <row r="726">
      <c r="A726" s="1"/>
      <c r="G726" s="3"/>
    </row>
    <row r="727">
      <c r="A727" s="1"/>
      <c r="G727" s="3"/>
    </row>
    <row r="728">
      <c r="A728" s="1"/>
      <c r="G728" s="3"/>
    </row>
    <row r="729">
      <c r="A729" s="1"/>
      <c r="G729" s="3"/>
    </row>
    <row r="730">
      <c r="A730" s="1"/>
      <c r="G730" s="3"/>
    </row>
    <row r="731">
      <c r="A731" s="1"/>
      <c r="G731" s="3"/>
    </row>
    <row r="732">
      <c r="A732" s="1"/>
      <c r="G732" s="3"/>
    </row>
    <row r="733">
      <c r="A733" s="1"/>
      <c r="G733" s="3"/>
    </row>
    <row r="734">
      <c r="A734" s="1"/>
      <c r="G734" s="3"/>
    </row>
    <row r="735">
      <c r="A735" s="1"/>
      <c r="G735" s="3"/>
    </row>
    <row r="736">
      <c r="A736" s="1"/>
      <c r="G736" s="3"/>
    </row>
    <row r="737">
      <c r="A737" s="1"/>
      <c r="G737" s="3"/>
    </row>
    <row r="738">
      <c r="A738" s="1"/>
      <c r="G738" s="3"/>
    </row>
    <row r="739">
      <c r="A739" s="1"/>
      <c r="G739" s="3"/>
    </row>
    <row r="740">
      <c r="A740" s="1"/>
      <c r="G740" s="3"/>
    </row>
    <row r="741">
      <c r="A741" s="1"/>
      <c r="G741" s="3"/>
    </row>
    <row r="742">
      <c r="A742" s="1"/>
      <c r="G742" s="3"/>
    </row>
    <row r="743">
      <c r="A743" s="1"/>
      <c r="G743" s="3"/>
    </row>
    <row r="744">
      <c r="A744" s="1"/>
      <c r="G744" s="3"/>
    </row>
    <row r="745">
      <c r="A745" s="1"/>
      <c r="G745" s="3"/>
    </row>
    <row r="746">
      <c r="A746" s="1"/>
      <c r="G746" s="3"/>
    </row>
    <row r="747">
      <c r="A747" s="1"/>
      <c r="G747" s="3"/>
    </row>
    <row r="748">
      <c r="A748" s="1"/>
      <c r="G748" s="3"/>
    </row>
    <row r="749">
      <c r="A749" s="1"/>
      <c r="G749" s="3"/>
    </row>
    <row r="750">
      <c r="A750" s="1"/>
      <c r="G750" s="3"/>
    </row>
    <row r="751">
      <c r="A751" s="1"/>
      <c r="G751" s="3"/>
    </row>
    <row r="752">
      <c r="A752" s="1"/>
      <c r="G752" s="3"/>
    </row>
    <row r="753">
      <c r="A753" s="1"/>
      <c r="G753" s="3"/>
    </row>
    <row r="754">
      <c r="A754" s="1"/>
      <c r="G754" s="3"/>
    </row>
    <row r="755">
      <c r="A755" s="1"/>
      <c r="G755" s="3"/>
    </row>
    <row r="756">
      <c r="A756" s="1"/>
      <c r="G756" s="3"/>
    </row>
    <row r="757">
      <c r="A757" s="1"/>
      <c r="G757" s="3"/>
    </row>
    <row r="758">
      <c r="A758" s="1"/>
      <c r="G758" s="3"/>
    </row>
    <row r="759">
      <c r="A759" s="1"/>
      <c r="G759" s="3"/>
    </row>
    <row r="760">
      <c r="A760" s="1"/>
      <c r="G760" s="3"/>
    </row>
    <row r="761">
      <c r="A761" s="1"/>
      <c r="G761" s="3"/>
    </row>
    <row r="762">
      <c r="A762" s="1"/>
      <c r="G762" s="3"/>
    </row>
    <row r="763">
      <c r="A763" s="1"/>
      <c r="G763" s="3"/>
    </row>
    <row r="764">
      <c r="A764" s="1"/>
      <c r="G764" s="3"/>
    </row>
    <row r="765">
      <c r="A765" s="1"/>
      <c r="G765" s="3"/>
    </row>
    <row r="766">
      <c r="A766" s="1"/>
      <c r="G766" s="3"/>
    </row>
    <row r="767">
      <c r="A767" s="1"/>
      <c r="G767" s="3"/>
    </row>
    <row r="768">
      <c r="A768" s="1"/>
      <c r="G768" s="3"/>
    </row>
    <row r="769">
      <c r="A769" s="1"/>
      <c r="G769" s="3"/>
    </row>
    <row r="770">
      <c r="A770" s="1"/>
      <c r="G770" s="3"/>
    </row>
    <row r="771">
      <c r="A771" s="1"/>
      <c r="G771" s="3"/>
    </row>
    <row r="772">
      <c r="A772" s="1"/>
      <c r="G772" s="3"/>
    </row>
    <row r="773">
      <c r="A773" s="1"/>
      <c r="G773" s="3"/>
    </row>
    <row r="774">
      <c r="A774" s="1"/>
      <c r="G774" s="3"/>
    </row>
    <row r="775">
      <c r="A775" s="1"/>
      <c r="G775" s="3"/>
    </row>
    <row r="776">
      <c r="A776" s="1"/>
      <c r="G776" s="3"/>
    </row>
    <row r="777">
      <c r="A777" s="1"/>
      <c r="G777" s="3"/>
    </row>
    <row r="778">
      <c r="A778" s="1"/>
      <c r="G778" s="3"/>
    </row>
    <row r="779">
      <c r="A779" s="1"/>
      <c r="G779" s="3"/>
    </row>
    <row r="780">
      <c r="A780" s="1"/>
      <c r="G780" s="3"/>
    </row>
    <row r="781">
      <c r="A781" s="1"/>
      <c r="G781" s="3"/>
    </row>
    <row r="782">
      <c r="A782" s="1"/>
      <c r="G782" s="3"/>
    </row>
    <row r="783">
      <c r="A783" s="1"/>
      <c r="G783" s="3"/>
    </row>
    <row r="784">
      <c r="A784" s="1"/>
      <c r="G784" s="3"/>
    </row>
    <row r="785">
      <c r="A785" s="1"/>
      <c r="G785" s="3"/>
    </row>
    <row r="786">
      <c r="A786" s="1"/>
      <c r="G786" s="3"/>
    </row>
    <row r="787">
      <c r="A787" s="1"/>
      <c r="G787" s="3"/>
    </row>
    <row r="788">
      <c r="A788" s="1"/>
      <c r="G788" s="3"/>
    </row>
    <row r="789">
      <c r="A789" s="1"/>
      <c r="G789" s="3"/>
    </row>
    <row r="790">
      <c r="A790" s="1"/>
      <c r="G790" s="3"/>
    </row>
    <row r="791">
      <c r="A791" s="1"/>
      <c r="G791" s="3"/>
    </row>
    <row r="792">
      <c r="A792" s="1"/>
      <c r="G792" s="3"/>
    </row>
    <row r="793">
      <c r="A793" s="1"/>
      <c r="G793" s="3"/>
    </row>
    <row r="794">
      <c r="A794" s="1"/>
      <c r="G794" s="3"/>
    </row>
    <row r="795">
      <c r="A795" s="1"/>
      <c r="G795" s="3"/>
    </row>
    <row r="796">
      <c r="A796" s="1"/>
      <c r="G796" s="3"/>
    </row>
    <row r="797">
      <c r="A797" s="1"/>
      <c r="G797" s="3"/>
    </row>
    <row r="798">
      <c r="A798" s="1"/>
      <c r="G798" s="3"/>
    </row>
    <row r="799">
      <c r="A799" s="1"/>
      <c r="G799" s="3"/>
    </row>
    <row r="800">
      <c r="A800" s="1"/>
      <c r="G800" s="3"/>
    </row>
    <row r="801">
      <c r="A801" s="1"/>
      <c r="G801" s="3"/>
    </row>
    <row r="802">
      <c r="A802" s="1"/>
      <c r="G802" s="3"/>
    </row>
    <row r="803">
      <c r="A803" s="1"/>
      <c r="G803" s="3"/>
    </row>
    <row r="804">
      <c r="A804" s="1"/>
      <c r="G804" s="3"/>
    </row>
    <row r="805">
      <c r="A805" s="1"/>
      <c r="G805" s="3"/>
    </row>
    <row r="806">
      <c r="A806" s="1"/>
      <c r="G806" s="3"/>
    </row>
    <row r="807">
      <c r="A807" s="1"/>
      <c r="G807" s="3"/>
    </row>
    <row r="808">
      <c r="A808" s="1"/>
      <c r="G808" s="3"/>
    </row>
    <row r="809">
      <c r="A809" s="1"/>
      <c r="G809" s="3"/>
    </row>
    <row r="810">
      <c r="A810" s="1"/>
      <c r="G810" s="3"/>
    </row>
    <row r="811">
      <c r="A811" s="1"/>
      <c r="G811" s="3"/>
    </row>
    <row r="812">
      <c r="A812" s="1"/>
      <c r="G812" s="3"/>
    </row>
    <row r="813">
      <c r="A813" s="1"/>
      <c r="G813" s="3"/>
    </row>
    <row r="814">
      <c r="A814" s="1"/>
      <c r="G814" s="3"/>
    </row>
    <row r="815">
      <c r="A815" s="1"/>
      <c r="G815" s="3"/>
    </row>
    <row r="816">
      <c r="A816" s="1"/>
      <c r="G816" s="3"/>
    </row>
    <row r="817">
      <c r="A817" s="1"/>
      <c r="G817" s="3"/>
    </row>
    <row r="818">
      <c r="A818" s="1"/>
      <c r="G818" s="3"/>
    </row>
    <row r="819">
      <c r="A819" s="1"/>
      <c r="G819" s="3"/>
    </row>
    <row r="820">
      <c r="A820" s="1"/>
      <c r="G820" s="3"/>
    </row>
    <row r="821">
      <c r="A821" s="1"/>
      <c r="G821" s="3"/>
    </row>
    <row r="822">
      <c r="A822" s="1"/>
      <c r="G822" s="3"/>
    </row>
    <row r="823">
      <c r="A823" s="1"/>
      <c r="G823" s="3"/>
    </row>
    <row r="824">
      <c r="A824" s="1"/>
      <c r="G824" s="3"/>
    </row>
    <row r="825">
      <c r="A825" s="1"/>
      <c r="G825" s="3"/>
    </row>
    <row r="826">
      <c r="A826" s="1"/>
      <c r="G826" s="3"/>
    </row>
    <row r="827">
      <c r="A827" s="1"/>
      <c r="G827" s="3"/>
    </row>
    <row r="828">
      <c r="A828" s="1"/>
      <c r="G828" s="3"/>
    </row>
    <row r="829">
      <c r="A829" s="1"/>
      <c r="G829" s="3"/>
    </row>
    <row r="830">
      <c r="A830" s="1"/>
      <c r="G830" s="3"/>
    </row>
    <row r="831">
      <c r="A831" s="1"/>
      <c r="G831" s="3"/>
    </row>
    <row r="832">
      <c r="A832" s="1"/>
      <c r="G832" s="3"/>
    </row>
    <row r="833">
      <c r="A833" s="1"/>
      <c r="G833" s="3"/>
    </row>
    <row r="834">
      <c r="A834" s="1"/>
      <c r="G834" s="3"/>
    </row>
    <row r="835">
      <c r="A835" s="1"/>
      <c r="G835" s="3"/>
    </row>
    <row r="836">
      <c r="A836" s="1"/>
      <c r="G836" s="3"/>
    </row>
    <row r="837">
      <c r="A837" s="1"/>
      <c r="G837" s="3"/>
    </row>
    <row r="838">
      <c r="A838" s="1"/>
      <c r="G838" s="3"/>
    </row>
    <row r="839">
      <c r="A839" s="1"/>
      <c r="G839" s="3"/>
    </row>
    <row r="840">
      <c r="A840" s="1"/>
      <c r="G840" s="3"/>
    </row>
    <row r="841">
      <c r="A841" s="1"/>
      <c r="G841" s="3"/>
    </row>
    <row r="842">
      <c r="A842" s="1"/>
      <c r="G842" s="3"/>
    </row>
    <row r="843">
      <c r="A843" s="1"/>
      <c r="G843" s="3"/>
    </row>
    <row r="844">
      <c r="A844" s="1"/>
      <c r="G844" s="3"/>
    </row>
    <row r="845">
      <c r="A845" s="1"/>
      <c r="G845" s="3"/>
    </row>
    <row r="846">
      <c r="A846" s="1"/>
      <c r="G846" s="3"/>
    </row>
    <row r="847">
      <c r="A847" s="1"/>
      <c r="G847" s="3"/>
    </row>
    <row r="848">
      <c r="A848" s="1"/>
      <c r="G848" s="3"/>
    </row>
    <row r="849">
      <c r="A849" s="1"/>
      <c r="G849" s="3"/>
    </row>
    <row r="850">
      <c r="A850" s="1"/>
      <c r="G850" s="3"/>
    </row>
    <row r="851">
      <c r="A851" s="1"/>
      <c r="G851" s="3"/>
    </row>
    <row r="852">
      <c r="A852" s="1"/>
      <c r="G852" s="3"/>
    </row>
    <row r="853">
      <c r="A853" s="1"/>
      <c r="G853" s="3"/>
    </row>
    <row r="854">
      <c r="A854" s="1"/>
      <c r="G854" s="3"/>
    </row>
    <row r="855">
      <c r="A855" s="1"/>
      <c r="G855" s="3"/>
    </row>
    <row r="856">
      <c r="A856" s="1"/>
      <c r="G856" s="3"/>
    </row>
    <row r="857">
      <c r="A857" s="1"/>
      <c r="G857" s="3"/>
    </row>
    <row r="858">
      <c r="A858" s="1"/>
      <c r="G858" s="3"/>
    </row>
    <row r="859">
      <c r="A859" s="1"/>
      <c r="G859" s="3"/>
    </row>
    <row r="860">
      <c r="A860" s="1"/>
      <c r="G860" s="3"/>
    </row>
    <row r="861">
      <c r="A861" s="1"/>
      <c r="G861" s="3"/>
    </row>
    <row r="862">
      <c r="A862" s="1"/>
      <c r="G862" s="3"/>
    </row>
    <row r="863">
      <c r="A863" s="1"/>
      <c r="G863" s="3"/>
    </row>
    <row r="864">
      <c r="A864" s="1"/>
      <c r="G864" s="3"/>
    </row>
    <row r="865">
      <c r="A865" s="1"/>
      <c r="G865" s="3"/>
    </row>
    <row r="866">
      <c r="A866" s="1"/>
      <c r="G866" s="3"/>
    </row>
    <row r="867">
      <c r="A867" s="1"/>
      <c r="G867" s="3"/>
    </row>
    <row r="868">
      <c r="A868" s="1"/>
      <c r="G868" s="3"/>
    </row>
    <row r="869">
      <c r="A869" s="1"/>
      <c r="G869" s="3"/>
    </row>
    <row r="870">
      <c r="A870" s="1"/>
      <c r="G870" s="3"/>
    </row>
    <row r="871">
      <c r="A871" s="1"/>
      <c r="G871" s="3"/>
    </row>
    <row r="872">
      <c r="A872" s="1"/>
      <c r="G872" s="3"/>
    </row>
    <row r="873">
      <c r="A873" s="1"/>
      <c r="G873" s="3"/>
    </row>
    <row r="874">
      <c r="A874" s="1"/>
      <c r="G874" s="3"/>
    </row>
    <row r="875">
      <c r="A875" s="1"/>
      <c r="G875" s="3"/>
    </row>
    <row r="876">
      <c r="A876" s="1"/>
      <c r="G876" s="3"/>
    </row>
    <row r="877">
      <c r="A877" s="1"/>
      <c r="G877" s="3"/>
    </row>
    <row r="878">
      <c r="A878" s="1"/>
      <c r="G878" s="3"/>
    </row>
    <row r="879">
      <c r="A879" s="1"/>
      <c r="G879" s="3"/>
    </row>
    <row r="880">
      <c r="A880" s="1"/>
      <c r="G880" s="3"/>
    </row>
    <row r="881">
      <c r="A881" s="1"/>
      <c r="G881" s="3"/>
    </row>
    <row r="882">
      <c r="A882" s="1"/>
      <c r="G882" s="3"/>
    </row>
    <row r="883">
      <c r="A883" s="1"/>
      <c r="G883" s="3"/>
    </row>
    <row r="884">
      <c r="A884" s="1"/>
      <c r="G884" s="3"/>
    </row>
    <row r="885">
      <c r="A885" s="1"/>
      <c r="G885" s="3"/>
    </row>
    <row r="886">
      <c r="A886" s="1"/>
      <c r="G886" s="3"/>
    </row>
    <row r="887">
      <c r="A887" s="1"/>
      <c r="G887" s="3"/>
    </row>
    <row r="888">
      <c r="A888" s="1"/>
      <c r="G888" s="3"/>
    </row>
    <row r="889">
      <c r="A889" s="1"/>
      <c r="G889" s="3"/>
    </row>
    <row r="890">
      <c r="A890" s="1"/>
      <c r="G890" s="3"/>
    </row>
    <row r="891">
      <c r="A891" s="1"/>
      <c r="G891" s="3"/>
    </row>
    <row r="892">
      <c r="A892" s="1"/>
      <c r="G892" s="3"/>
    </row>
    <row r="893">
      <c r="A893" s="1"/>
      <c r="G893" s="3"/>
    </row>
    <row r="894">
      <c r="A894" s="1"/>
      <c r="G894" s="3"/>
    </row>
    <row r="895">
      <c r="A895" s="1"/>
      <c r="G895" s="3"/>
    </row>
    <row r="896">
      <c r="A896" s="1"/>
      <c r="G896" s="3"/>
    </row>
    <row r="897">
      <c r="A897" s="1"/>
      <c r="G897" s="3"/>
    </row>
    <row r="898">
      <c r="A898" s="1"/>
      <c r="G898" s="3"/>
    </row>
    <row r="899">
      <c r="A899" s="1"/>
      <c r="G899" s="3"/>
    </row>
    <row r="900">
      <c r="A900" s="1"/>
      <c r="G900" s="3"/>
    </row>
    <row r="901">
      <c r="A901" s="1"/>
      <c r="G901" s="3"/>
    </row>
    <row r="902">
      <c r="A902" s="1"/>
      <c r="G902" s="3"/>
    </row>
    <row r="903">
      <c r="A903" s="1"/>
      <c r="G903" s="3"/>
    </row>
    <row r="904">
      <c r="A904" s="1"/>
      <c r="G904" s="3"/>
    </row>
    <row r="905">
      <c r="A905" s="1"/>
      <c r="G905" s="3"/>
    </row>
    <row r="906">
      <c r="A906" s="1"/>
      <c r="G906" s="3"/>
    </row>
    <row r="907">
      <c r="A907" s="1"/>
      <c r="G907" s="3"/>
    </row>
    <row r="908">
      <c r="A908" s="1"/>
      <c r="G908" s="3"/>
    </row>
    <row r="909">
      <c r="A909" s="1"/>
      <c r="G909" s="3"/>
    </row>
    <row r="910">
      <c r="A910" s="1"/>
      <c r="G910" s="3"/>
    </row>
    <row r="911">
      <c r="A911" s="1"/>
      <c r="G911" s="3"/>
    </row>
    <row r="912">
      <c r="A912" s="1"/>
      <c r="G912" s="3"/>
    </row>
    <row r="913">
      <c r="A913" s="1"/>
      <c r="G913" s="3"/>
    </row>
    <row r="914">
      <c r="A914" s="1"/>
      <c r="G914" s="3"/>
    </row>
    <row r="915">
      <c r="A915" s="1"/>
      <c r="G915" s="3"/>
    </row>
    <row r="916">
      <c r="A916" s="1"/>
      <c r="G916" s="3"/>
    </row>
    <row r="917">
      <c r="A917" s="1"/>
      <c r="G917" s="3"/>
    </row>
    <row r="918">
      <c r="A918" s="1"/>
      <c r="G918" s="3"/>
    </row>
    <row r="919">
      <c r="A919" s="1"/>
      <c r="G919" s="3"/>
    </row>
    <row r="920">
      <c r="A920" s="1"/>
      <c r="G920" s="3"/>
    </row>
    <row r="921">
      <c r="A921" s="1"/>
      <c r="G921" s="3"/>
    </row>
    <row r="922">
      <c r="A922" s="1"/>
      <c r="G922" s="3"/>
    </row>
    <row r="923">
      <c r="A923" s="1"/>
      <c r="G923" s="3"/>
    </row>
    <row r="924">
      <c r="A924" s="1"/>
      <c r="G924" s="3"/>
    </row>
    <row r="925">
      <c r="A925" s="1"/>
      <c r="G925" s="3"/>
    </row>
    <row r="926">
      <c r="A926" s="1"/>
      <c r="G926" s="3"/>
    </row>
    <row r="927">
      <c r="A927" s="1"/>
      <c r="G927" s="3"/>
    </row>
    <row r="928">
      <c r="A928" s="1"/>
      <c r="G928" s="3"/>
    </row>
    <row r="929">
      <c r="A929" s="1"/>
      <c r="G929" s="3"/>
    </row>
    <row r="930">
      <c r="A930" s="1"/>
      <c r="G930" s="3"/>
    </row>
    <row r="931">
      <c r="A931" s="1"/>
      <c r="G931" s="3"/>
    </row>
    <row r="932">
      <c r="A932" s="1"/>
      <c r="G932" s="3"/>
    </row>
    <row r="933">
      <c r="A933" s="1"/>
      <c r="G933" s="3"/>
    </row>
    <row r="934">
      <c r="A934" s="1"/>
      <c r="G934" s="3"/>
    </row>
    <row r="935">
      <c r="A935" s="1"/>
      <c r="G935" s="3"/>
    </row>
    <row r="936">
      <c r="A936" s="1"/>
      <c r="G936" s="3"/>
    </row>
    <row r="937">
      <c r="A937" s="1"/>
      <c r="G937" s="3"/>
    </row>
    <row r="938">
      <c r="A938" s="1"/>
      <c r="G938" s="3"/>
    </row>
    <row r="939">
      <c r="A939" s="1"/>
      <c r="G939" s="3"/>
    </row>
    <row r="940">
      <c r="A940" s="1"/>
      <c r="G940" s="3"/>
    </row>
    <row r="941">
      <c r="A941" s="1"/>
      <c r="G941" s="3"/>
    </row>
    <row r="942">
      <c r="A942" s="1"/>
      <c r="G942" s="3"/>
    </row>
    <row r="943">
      <c r="A943" s="1"/>
      <c r="G943" s="3"/>
    </row>
    <row r="944">
      <c r="A944" s="1"/>
      <c r="G944" s="3"/>
    </row>
    <row r="945">
      <c r="A945" s="1"/>
      <c r="G945" s="3"/>
    </row>
    <row r="946">
      <c r="A946" s="1"/>
      <c r="G946" s="3"/>
    </row>
    <row r="947">
      <c r="A947" s="1"/>
      <c r="G947" s="3"/>
    </row>
    <row r="948">
      <c r="A948" s="1"/>
      <c r="G948" s="3"/>
    </row>
    <row r="949">
      <c r="A949" s="1"/>
      <c r="G949" s="3"/>
    </row>
    <row r="950">
      <c r="A950" s="1"/>
      <c r="G950" s="3"/>
    </row>
    <row r="951">
      <c r="A951" s="1"/>
      <c r="G951" s="3"/>
    </row>
    <row r="952">
      <c r="A952" s="1"/>
      <c r="G952" s="3"/>
    </row>
    <row r="953">
      <c r="A953" s="1"/>
      <c r="G953" s="3"/>
    </row>
    <row r="954">
      <c r="A954" s="1"/>
      <c r="G954" s="3"/>
    </row>
    <row r="955">
      <c r="A955" s="1"/>
      <c r="G955" s="3"/>
    </row>
    <row r="956">
      <c r="A956" s="1"/>
      <c r="G956" s="3"/>
    </row>
    <row r="957">
      <c r="A957" s="1"/>
      <c r="G957" s="3"/>
    </row>
    <row r="958">
      <c r="A958" s="1"/>
      <c r="G958" s="3"/>
    </row>
    <row r="959">
      <c r="A959" s="1"/>
      <c r="G959" s="3"/>
    </row>
    <row r="960">
      <c r="A960" s="1"/>
      <c r="G960" s="3"/>
    </row>
    <row r="961">
      <c r="A961" s="1"/>
      <c r="G961" s="3"/>
    </row>
    <row r="962">
      <c r="A962" s="1"/>
      <c r="G962" s="3"/>
    </row>
    <row r="963">
      <c r="A963" s="1"/>
      <c r="G963" s="3"/>
    </row>
    <row r="964">
      <c r="A964" s="1"/>
      <c r="G964" s="3"/>
    </row>
    <row r="965">
      <c r="A965" s="1"/>
      <c r="G965" s="3"/>
    </row>
    <row r="966">
      <c r="A966" s="1"/>
      <c r="G966" s="3"/>
    </row>
    <row r="967">
      <c r="A967" s="1"/>
      <c r="G967" s="3"/>
    </row>
    <row r="968">
      <c r="A968" s="1"/>
      <c r="G968" s="3"/>
    </row>
    <row r="969">
      <c r="A969" s="1"/>
      <c r="G969" s="3"/>
    </row>
    <row r="970">
      <c r="A970" s="1"/>
      <c r="G970" s="3"/>
    </row>
    <row r="971">
      <c r="A971" s="1"/>
      <c r="G971" s="3"/>
    </row>
    <row r="972">
      <c r="A972" s="1"/>
      <c r="G972" s="3"/>
    </row>
    <row r="973">
      <c r="A973" s="1"/>
      <c r="G973" s="3"/>
    </row>
    <row r="974">
      <c r="A974" s="1"/>
      <c r="G974" s="3"/>
    </row>
    <row r="975">
      <c r="A975" s="1"/>
      <c r="G975" s="3"/>
    </row>
    <row r="976">
      <c r="A976" s="1"/>
      <c r="G976" s="3"/>
    </row>
    <row r="977">
      <c r="A977" s="1"/>
      <c r="G977" s="3"/>
    </row>
    <row r="978">
      <c r="A978" s="1"/>
      <c r="G978" s="3"/>
    </row>
    <row r="979">
      <c r="A979" s="1"/>
      <c r="G979" s="3"/>
    </row>
    <row r="980">
      <c r="A980" s="1"/>
      <c r="G980" s="3"/>
    </row>
    <row r="981">
      <c r="A981" s="1"/>
      <c r="G981" s="3"/>
    </row>
    <row r="982">
      <c r="A982" s="1"/>
      <c r="G982" s="3"/>
    </row>
    <row r="983">
      <c r="A983" s="1"/>
      <c r="G983" s="3"/>
    </row>
    <row r="984">
      <c r="A984" s="1"/>
      <c r="G984" s="3"/>
    </row>
    <row r="985">
      <c r="A985" s="1"/>
      <c r="G985" s="3"/>
    </row>
    <row r="986">
      <c r="A986" s="1"/>
      <c r="G986" s="3"/>
    </row>
    <row r="987">
      <c r="A987" s="1"/>
      <c r="G987" s="3"/>
    </row>
    <row r="988">
      <c r="A988" s="1"/>
      <c r="G988" s="3"/>
    </row>
    <row r="989">
      <c r="A989" s="1"/>
      <c r="G989" s="3"/>
    </row>
    <row r="990">
      <c r="A990" s="1"/>
      <c r="G990" s="3"/>
    </row>
    <row r="991">
      <c r="A991" s="1"/>
      <c r="G991" s="3"/>
    </row>
    <row r="992">
      <c r="A992" s="1"/>
      <c r="G992" s="3"/>
    </row>
    <row r="993">
      <c r="A993" s="1"/>
      <c r="G993" s="3"/>
    </row>
    <row r="994">
      <c r="A994" s="1"/>
      <c r="G994" s="3"/>
    </row>
    <row r="995">
      <c r="A995" s="1"/>
      <c r="G995" s="3"/>
    </row>
    <row r="996">
      <c r="A996" s="1"/>
      <c r="G996" s="3"/>
    </row>
    <row r="997">
      <c r="A997" s="1"/>
      <c r="G997" s="3"/>
    </row>
    <row r="998">
      <c r="A998" s="1"/>
      <c r="G998" s="3"/>
    </row>
    <row r="999">
      <c r="A999" s="1"/>
      <c r="G999" s="3"/>
    </row>
    <row r="1000">
      <c r="A1000" s="1"/>
      <c r="G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tr">
        <f>IFERROR(__xludf.DUMMYFUNCTION("GOOGLEFINANCE(""NYSEARCA:SPY"",""all"",DATE(2014,1,1),DATE(2021,1,1),""weekly"")"),"Date")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  <c r="G1" s="3"/>
      <c r="H1" s="5" t="s">
        <v>0</v>
      </c>
    </row>
    <row r="2">
      <c r="A2" s="1">
        <f>IFERROR(__xludf.DUMMYFUNCTION("""COMPUTED_VALUE"""),41642.666666666664)</f>
        <v>41642.66667</v>
      </c>
      <c r="B2" s="2">
        <f>IFERROR(__xludf.DUMMYFUNCTION("""COMPUTED_VALUE"""),183.87)</f>
        <v>183.87</v>
      </c>
      <c r="C2" s="2">
        <f>IFERROR(__xludf.DUMMYFUNCTION("""COMPUTED_VALUE"""),184.69)</f>
        <v>184.69</v>
      </c>
      <c r="D2" s="2">
        <f>IFERROR(__xludf.DUMMYFUNCTION("""COMPUTED_VALUE"""),182.48)</f>
        <v>182.48</v>
      </c>
      <c r="E2" s="2">
        <f>IFERROR(__xludf.DUMMYFUNCTION("""COMPUTED_VALUE"""),182.89)</f>
        <v>182.89</v>
      </c>
      <c r="F2" s="2">
        <f>IFERROR(__xludf.DUMMYFUNCTION("""COMPUTED_VALUE"""),3.44132434E8)</f>
        <v>344132434</v>
      </c>
      <c r="G2" s="3"/>
      <c r="H2" s="5">
        <v>1000.0</v>
      </c>
    </row>
    <row r="3">
      <c r="A3" s="1">
        <f>IFERROR(__xludf.DUMMYFUNCTION("""COMPUTED_VALUE"""),41649.666666666664)</f>
        <v>41649.66667</v>
      </c>
      <c r="B3" s="2">
        <f>IFERROR(__xludf.DUMMYFUNCTION("""COMPUTED_VALUE"""),183.47)</f>
        <v>183.47</v>
      </c>
      <c r="C3" s="2">
        <f>IFERROR(__xludf.DUMMYFUNCTION("""COMPUTED_VALUE"""),184.22)</f>
        <v>184.22</v>
      </c>
      <c r="D3" s="2">
        <f>IFERROR(__xludf.DUMMYFUNCTION("""COMPUTED_VALUE"""),182.08)</f>
        <v>182.08</v>
      </c>
      <c r="E3" s="2">
        <f>IFERROR(__xludf.DUMMYFUNCTION("""COMPUTED_VALUE"""),184.14)</f>
        <v>184.14</v>
      </c>
      <c r="F3" s="2">
        <f>IFERROR(__xludf.DUMMYFUNCTION("""COMPUTED_VALUE"""),4.83464162E8)</f>
        <v>483464162</v>
      </c>
      <c r="G3" s="3">
        <f t="shared" ref="G3:G367" si="1">E3/E2-1</f>
        <v>0.006834709388</v>
      </c>
      <c r="H3" s="2">
        <f t="shared" ref="H3:H367" si="2">H2*(1+G3)</f>
        <v>1006.834709</v>
      </c>
    </row>
    <row r="4">
      <c r="A4" s="1">
        <f>IFERROR(__xludf.DUMMYFUNCTION("""COMPUTED_VALUE"""),41656.666666666664)</f>
        <v>41656.66667</v>
      </c>
      <c r="B4" s="2">
        <f>IFERROR(__xludf.DUMMYFUNCTION("""COMPUTED_VALUE"""),183.71)</f>
        <v>183.71</v>
      </c>
      <c r="C4" s="2">
        <f>IFERROR(__xludf.DUMMYFUNCTION("""COMPUTED_VALUE"""),184.94)</f>
        <v>184.94</v>
      </c>
      <c r="D4" s="2">
        <f>IFERROR(__xludf.DUMMYFUNCTION("""COMPUTED_VALUE"""),181.34)</f>
        <v>181.34</v>
      </c>
      <c r="E4" s="2">
        <f>IFERROR(__xludf.DUMMYFUNCTION("""COMPUTED_VALUE"""),183.64)</f>
        <v>183.64</v>
      </c>
      <c r="F4" s="2">
        <f>IFERROR(__xludf.DUMMYFUNCTION("""COMPUTED_VALUE"""),5.3357285E8)</f>
        <v>533572850</v>
      </c>
      <c r="G4" s="3">
        <f t="shared" si="1"/>
        <v>-0.002715325296</v>
      </c>
      <c r="H4" s="2">
        <f t="shared" si="2"/>
        <v>1004.100826</v>
      </c>
    </row>
    <row r="5">
      <c r="A5" s="1">
        <f>IFERROR(__xludf.DUMMYFUNCTION("""COMPUTED_VALUE"""),41663.666666666664)</f>
        <v>41663.66667</v>
      </c>
      <c r="B5" s="2">
        <f>IFERROR(__xludf.DUMMYFUNCTION("""COMPUTED_VALUE"""),184.7)</f>
        <v>184.7</v>
      </c>
      <c r="C5" s="2">
        <f>IFERROR(__xludf.DUMMYFUNCTION("""COMPUTED_VALUE"""),184.77)</f>
        <v>184.77</v>
      </c>
      <c r="D5" s="2">
        <f>IFERROR(__xludf.DUMMYFUNCTION("""COMPUTED_VALUE"""),178.83)</f>
        <v>178.83</v>
      </c>
      <c r="E5" s="2">
        <f>IFERROR(__xludf.DUMMYFUNCTION("""COMPUTED_VALUE"""),178.89)</f>
        <v>178.89</v>
      </c>
      <c r="F5" s="2">
        <f>IFERROR(__xludf.DUMMYFUNCTION("""COMPUTED_VALUE"""),4.91065927E8)</f>
        <v>491065927</v>
      </c>
      <c r="G5" s="3">
        <f t="shared" si="1"/>
        <v>-0.02586582444</v>
      </c>
      <c r="H5" s="2">
        <f t="shared" si="2"/>
        <v>978.12893</v>
      </c>
    </row>
    <row r="6">
      <c r="A6" s="1">
        <f>IFERROR(__xludf.DUMMYFUNCTION("""COMPUTED_VALUE"""),41670.666666666664)</f>
        <v>41670.66667</v>
      </c>
      <c r="B6" s="2">
        <f>IFERROR(__xludf.DUMMYFUNCTION("""COMPUTED_VALUE"""),179.06)</f>
        <v>179.06</v>
      </c>
      <c r="C6" s="2">
        <f>IFERROR(__xludf.DUMMYFUNCTION("""COMPUTED_VALUE"""),179.81)</f>
        <v>179.81</v>
      </c>
      <c r="D6" s="2">
        <f>IFERROR(__xludf.DUMMYFUNCTION("""COMPUTED_VALUE"""),176.88)</f>
        <v>176.88</v>
      </c>
      <c r="E6" s="2">
        <f>IFERROR(__xludf.DUMMYFUNCTION("""COMPUTED_VALUE"""),178.18)</f>
        <v>178.18</v>
      </c>
      <c r="F6" s="2">
        <f>IFERROR(__xludf.DUMMYFUNCTION("""COMPUTED_VALUE"""),8.21519337E8)</f>
        <v>821519337</v>
      </c>
      <c r="G6" s="3">
        <f t="shared" si="1"/>
        <v>-0.003968919448</v>
      </c>
      <c r="H6" s="2">
        <f t="shared" si="2"/>
        <v>974.246815</v>
      </c>
    </row>
    <row r="7">
      <c r="A7" s="1">
        <f>IFERROR(__xludf.DUMMYFUNCTION("""COMPUTED_VALUE"""),41677.666666666664)</f>
        <v>41677.66667</v>
      </c>
      <c r="B7" s="2">
        <f>IFERROR(__xludf.DUMMYFUNCTION("""COMPUTED_VALUE"""),177.95)</f>
        <v>177.95</v>
      </c>
      <c r="C7" s="2">
        <f>IFERROR(__xludf.DUMMYFUNCTION("""COMPUTED_VALUE"""),179.87)</f>
        <v>179.87</v>
      </c>
      <c r="D7" s="2">
        <f>IFERROR(__xludf.DUMMYFUNCTION("""COMPUTED_VALUE"""),173.71)</f>
        <v>173.71</v>
      </c>
      <c r="E7" s="2">
        <f>IFERROR(__xludf.DUMMYFUNCTION("""COMPUTED_VALUE"""),179.68)</f>
        <v>179.68</v>
      </c>
      <c r="F7" s="2">
        <f>IFERROR(__xludf.DUMMYFUNCTION("""COMPUTED_VALUE"""),8.87744548E8)</f>
        <v>887744548</v>
      </c>
      <c r="G7" s="3">
        <f t="shared" si="1"/>
        <v>0.00841845325</v>
      </c>
      <c r="H7" s="2">
        <f t="shared" si="2"/>
        <v>982.4484663</v>
      </c>
    </row>
    <row r="8">
      <c r="A8" s="1">
        <f>IFERROR(__xludf.DUMMYFUNCTION("""COMPUTED_VALUE"""),41684.666666666664)</f>
        <v>41684.66667</v>
      </c>
      <c r="B8" s="2">
        <f>IFERROR(__xludf.DUMMYFUNCTION("""COMPUTED_VALUE"""),179.7)</f>
        <v>179.7</v>
      </c>
      <c r="C8" s="2">
        <f>IFERROR(__xludf.DUMMYFUNCTION("""COMPUTED_VALUE"""),184.36)</f>
        <v>184.36</v>
      </c>
      <c r="D8" s="2">
        <f>IFERROR(__xludf.DUMMYFUNCTION("""COMPUTED_VALUE"""),179.21)</f>
        <v>179.21</v>
      </c>
      <c r="E8" s="2">
        <f>IFERROR(__xludf.DUMMYFUNCTION("""COMPUTED_VALUE"""),184.02)</f>
        <v>184.02</v>
      </c>
      <c r="F8" s="2">
        <f>IFERROR(__xludf.DUMMYFUNCTION("""COMPUTED_VALUE"""),5.01790836E8)</f>
        <v>501790836</v>
      </c>
      <c r="G8" s="3">
        <f t="shared" si="1"/>
        <v>0.02415405165</v>
      </c>
      <c r="H8" s="2">
        <f t="shared" si="2"/>
        <v>1006.178577</v>
      </c>
    </row>
    <row r="9">
      <c r="A9" s="1">
        <f>IFERROR(__xludf.DUMMYFUNCTION("""COMPUTED_VALUE"""),41691.666666666664)</f>
        <v>41691.66667</v>
      </c>
      <c r="B9" s="2">
        <f>IFERROR(__xludf.DUMMYFUNCTION("""COMPUTED_VALUE"""),184.19)</f>
        <v>184.19</v>
      </c>
      <c r="C9" s="2">
        <f>IFERROR(__xludf.DUMMYFUNCTION("""COMPUTED_VALUE"""),184.95)</f>
        <v>184.95</v>
      </c>
      <c r="D9" s="2">
        <f>IFERROR(__xludf.DUMMYFUNCTION("""COMPUTED_VALUE"""),182.6)</f>
        <v>182.6</v>
      </c>
      <c r="E9" s="2">
        <f>IFERROR(__xludf.DUMMYFUNCTION("""COMPUTED_VALUE"""),183.89)</f>
        <v>183.89</v>
      </c>
      <c r="F9" s="2">
        <f>IFERROR(__xludf.DUMMYFUNCTION("""COMPUTED_VALUE"""),4.30099597E8)</f>
        <v>430099597</v>
      </c>
      <c r="G9" s="3">
        <f t="shared" si="1"/>
        <v>-0.0007064449516</v>
      </c>
      <c r="H9" s="2">
        <f t="shared" si="2"/>
        <v>1005.467768</v>
      </c>
    </row>
    <row r="10">
      <c r="A10" s="1">
        <f>IFERROR(__xludf.DUMMYFUNCTION("""COMPUTED_VALUE"""),41698.666666666664)</f>
        <v>41698.66667</v>
      </c>
      <c r="B10" s="2">
        <f>IFERROR(__xludf.DUMMYFUNCTION("""COMPUTED_VALUE"""),184.28)</f>
        <v>184.28</v>
      </c>
      <c r="C10" s="2">
        <f>IFERROR(__xludf.DUMMYFUNCTION("""COMPUTED_VALUE"""),187.15)</f>
        <v>187.15</v>
      </c>
      <c r="D10" s="2">
        <f>IFERROR(__xludf.DUMMYFUNCTION("""COMPUTED_VALUE"""),184.2)</f>
        <v>184.2</v>
      </c>
      <c r="E10" s="2">
        <f>IFERROR(__xludf.DUMMYFUNCTION("""COMPUTED_VALUE"""),186.29)</f>
        <v>186.29</v>
      </c>
      <c r="F10" s="2">
        <f>IFERROR(__xludf.DUMMYFUNCTION("""COMPUTED_VALUE"""),5.74548693E8)</f>
        <v>574548693</v>
      </c>
      <c r="G10" s="3">
        <f t="shared" si="1"/>
        <v>0.01305128066</v>
      </c>
      <c r="H10" s="2">
        <f t="shared" si="2"/>
        <v>1018.59041</v>
      </c>
    </row>
    <row r="11">
      <c r="A11" s="1">
        <f>IFERROR(__xludf.DUMMYFUNCTION("""COMPUTED_VALUE"""),41705.666666666664)</f>
        <v>41705.66667</v>
      </c>
      <c r="B11" s="2">
        <f>IFERROR(__xludf.DUMMYFUNCTION("""COMPUTED_VALUE"""),184.69)</f>
        <v>184.69</v>
      </c>
      <c r="C11" s="2">
        <f>IFERROR(__xludf.DUMMYFUNCTION("""COMPUTED_VALUE"""),188.96)</f>
        <v>188.96</v>
      </c>
      <c r="D11" s="2">
        <f>IFERROR(__xludf.DUMMYFUNCTION("""COMPUTED_VALUE"""),183.75)</f>
        <v>183.75</v>
      </c>
      <c r="E11" s="2">
        <f>IFERROR(__xludf.DUMMYFUNCTION("""COMPUTED_VALUE"""),188.26)</f>
        <v>188.26</v>
      </c>
      <c r="F11" s="2">
        <f>IFERROR(__xludf.DUMMYFUNCTION("""COMPUTED_VALUE"""),6.20701098E8)</f>
        <v>620701098</v>
      </c>
      <c r="G11" s="3">
        <f t="shared" si="1"/>
        <v>0.01057491009</v>
      </c>
      <c r="H11" s="2">
        <f t="shared" si="2"/>
        <v>1029.361912</v>
      </c>
    </row>
    <row r="12">
      <c r="A12" s="1">
        <f>IFERROR(__xludf.DUMMYFUNCTION("""COMPUTED_VALUE"""),41712.666666666664)</f>
        <v>41712.66667</v>
      </c>
      <c r="B12" s="2">
        <f>IFERROR(__xludf.DUMMYFUNCTION("""COMPUTED_VALUE"""),187.94)</f>
        <v>187.94</v>
      </c>
      <c r="C12" s="2">
        <f>IFERROR(__xludf.DUMMYFUNCTION("""COMPUTED_VALUE"""),188.71)</f>
        <v>188.71</v>
      </c>
      <c r="D12" s="2">
        <f>IFERROR(__xludf.DUMMYFUNCTION("""COMPUTED_VALUE"""),184.44)</f>
        <v>184.44</v>
      </c>
      <c r="E12" s="2">
        <f>IFERROR(__xludf.DUMMYFUNCTION("""COMPUTED_VALUE"""),184.66)</f>
        <v>184.66</v>
      </c>
      <c r="F12" s="2">
        <f>IFERROR(__xludf.DUMMYFUNCTION("""COMPUTED_VALUE"""),5.87706347E8)</f>
        <v>587706347</v>
      </c>
      <c r="G12" s="3">
        <f t="shared" si="1"/>
        <v>-0.01912249017</v>
      </c>
      <c r="H12" s="2">
        <f t="shared" si="2"/>
        <v>1009.677948</v>
      </c>
    </row>
    <row r="13">
      <c r="A13" s="1">
        <f>IFERROR(__xludf.DUMMYFUNCTION("""COMPUTED_VALUE"""),41719.666666666664)</f>
        <v>41719.66667</v>
      </c>
      <c r="B13" s="2">
        <f>IFERROR(__xludf.DUMMYFUNCTION("""COMPUTED_VALUE"""),185.59)</f>
        <v>185.59</v>
      </c>
      <c r="C13" s="2">
        <f>IFERROR(__xludf.DUMMYFUNCTION("""COMPUTED_VALUE"""),189.02)</f>
        <v>189.02</v>
      </c>
      <c r="D13" s="2">
        <f>IFERROR(__xludf.DUMMYFUNCTION("""COMPUTED_VALUE"""),185.47)</f>
        <v>185.47</v>
      </c>
      <c r="E13" s="2">
        <f>IFERROR(__xludf.DUMMYFUNCTION("""COMPUTED_VALUE"""),186.2)</f>
        <v>186.2</v>
      </c>
      <c r="F13" s="2">
        <f>IFERROR(__xludf.DUMMYFUNCTION("""COMPUTED_VALUE"""),6.56800103E8)</f>
        <v>656800103</v>
      </c>
      <c r="G13" s="3">
        <f t="shared" si="1"/>
        <v>0.008339651251</v>
      </c>
      <c r="H13" s="2">
        <f t="shared" si="2"/>
        <v>1018.09831</v>
      </c>
    </row>
    <row r="14">
      <c r="A14" s="1">
        <f>IFERROR(__xludf.DUMMYFUNCTION("""COMPUTED_VALUE"""),41726.666666666664)</f>
        <v>41726.66667</v>
      </c>
      <c r="B14" s="2">
        <f>IFERROR(__xludf.DUMMYFUNCTION("""COMPUTED_VALUE"""),186.82)</f>
        <v>186.82</v>
      </c>
      <c r="C14" s="2">
        <f>IFERROR(__xludf.DUMMYFUNCTION("""COMPUTED_VALUE"""),187.34)</f>
        <v>187.34</v>
      </c>
      <c r="D14" s="2">
        <f>IFERROR(__xludf.DUMMYFUNCTION("""COMPUTED_VALUE"""),183.9)</f>
        <v>183.9</v>
      </c>
      <c r="E14" s="2">
        <f>IFERROR(__xludf.DUMMYFUNCTION("""COMPUTED_VALUE"""),185.49)</f>
        <v>185.49</v>
      </c>
      <c r="F14" s="2">
        <f>IFERROR(__xludf.DUMMYFUNCTION("""COMPUTED_VALUE"""),5.89130083E8)</f>
        <v>589130083</v>
      </c>
      <c r="G14" s="3">
        <f t="shared" si="1"/>
        <v>-0.003813104189</v>
      </c>
      <c r="H14" s="2">
        <f t="shared" si="2"/>
        <v>1014.216196</v>
      </c>
    </row>
    <row r="15">
      <c r="A15" s="1">
        <f>IFERROR(__xludf.DUMMYFUNCTION("""COMPUTED_VALUE"""),41733.666666666664)</f>
        <v>41733.66667</v>
      </c>
      <c r="B15" s="2">
        <f>IFERROR(__xludf.DUMMYFUNCTION("""COMPUTED_VALUE"""),186.65)</f>
        <v>186.65</v>
      </c>
      <c r="C15" s="2">
        <f>IFERROR(__xludf.DUMMYFUNCTION("""COMPUTED_VALUE"""),189.7)</f>
        <v>189.7</v>
      </c>
      <c r="D15" s="2">
        <f>IFERROR(__xludf.DUMMYFUNCTION("""COMPUTED_VALUE"""),185.52)</f>
        <v>185.52</v>
      </c>
      <c r="E15" s="2">
        <f>IFERROR(__xludf.DUMMYFUNCTION("""COMPUTED_VALUE"""),186.4)</f>
        <v>186.4</v>
      </c>
      <c r="F15" s="2">
        <f>IFERROR(__xludf.DUMMYFUNCTION("""COMPUTED_VALUE"""),5.14527879E8)</f>
        <v>514527879</v>
      </c>
      <c r="G15" s="3">
        <f t="shared" si="1"/>
        <v>0.004905924848</v>
      </c>
      <c r="H15" s="2">
        <f t="shared" si="2"/>
        <v>1019.191864</v>
      </c>
    </row>
    <row r="16">
      <c r="A16" s="1">
        <f>IFERROR(__xludf.DUMMYFUNCTION("""COMPUTED_VALUE"""),41740.666666666664)</f>
        <v>41740.66667</v>
      </c>
      <c r="B16" s="2">
        <f>IFERROR(__xludf.DUMMYFUNCTION("""COMPUTED_VALUE"""),185.9)</f>
        <v>185.9</v>
      </c>
      <c r="C16" s="2">
        <f>IFERROR(__xludf.DUMMYFUNCTION("""COMPUTED_VALUE"""),187.17)</f>
        <v>187.17</v>
      </c>
      <c r="D16" s="2">
        <f>IFERROR(__xludf.DUMMYFUNCTION("""COMPUTED_VALUE"""),181.31)</f>
        <v>181.31</v>
      </c>
      <c r="E16" s="2">
        <f>IFERROR(__xludf.DUMMYFUNCTION("""COMPUTED_VALUE"""),181.51)</f>
        <v>181.51</v>
      </c>
      <c r="F16" s="2">
        <f>IFERROR(__xludf.DUMMYFUNCTION("""COMPUTED_VALUE"""),6.93926189E8)</f>
        <v>693926189</v>
      </c>
      <c r="G16" s="3">
        <f t="shared" si="1"/>
        <v>-0.02623390558</v>
      </c>
      <c r="H16" s="2">
        <f t="shared" si="2"/>
        <v>992.4544808</v>
      </c>
    </row>
    <row r="17">
      <c r="A17" s="1">
        <f>IFERROR(__xludf.DUMMYFUNCTION("""COMPUTED_VALUE"""),41746.666666666664)</f>
        <v>41746.66667</v>
      </c>
      <c r="B17" s="2">
        <f>IFERROR(__xludf.DUMMYFUNCTION("""COMPUTED_VALUE"""),182.93)</f>
        <v>182.93</v>
      </c>
      <c r="C17" s="2">
        <f>IFERROR(__xludf.DUMMYFUNCTION("""COMPUTED_VALUE"""),186.91)</f>
        <v>186.91</v>
      </c>
      <c r="D17" s="2">
        <f>IFERROR(__xludf.DUMMYFUNCTION("""COMPUTED_VALUE"""),181.44)</f>
        <v>181.44</v>
      </c>
      <c r="E17" s="2">
        <f>IFERROR(__xludf.DUMMYFUNCTION("""COMPUTED_VALUE"""),186.39)</f>
        <v>186.39</v>
      </c>
      <c r="F17" s="2">
        <f>IFERROR(__xludf.DUMMYFUNCTION("""COMPUTED_VALUE"""),4.99925416E8)</f>
        <v>499925416</v>
      </c>
      <c r="G17" s="3">
        <f t="shared" si="1"/>
        <v>0.02688557104</v>
      </c>
      <c r="H17" s="2">
        <f t="shared" si="2"/>
        <v>1019.137186</v>
      </c>
    </row>
    <row r="18">
      <c r="A18" s="1">
        <f>IFERROR(__xludf.DUMMYFUNCTION("""COMPUTED_VALUE"""),41754.666666666664)</f>
        <v>41754.66667</v>
      </c>
      <c r="B18" s="2">
        <f>IFERROR(__xludf.DUMMYFUNCTION("""COMPUTED_VALUE"""),186.44)</f>
        <v>186.44</v>
      </c>
      <c r="C18" s="2">
        <f>IFERROR(__xludf.DUMMYFUNCTION("""COMPUTED_VALUE"""),188.4)</f>
        <v>188.4</v>
      </c>
      <c r="D18" s="2">
        <f>IFERROR(__xludf.DUMMYFUNCTION("""COMPUTED_VALUE"""),185.87)</f>
        <v>185.87</v>
      </c>
      <c r="E18" s="2">
        <f>IFERROR(__xludf.DUMMYFUNCTION("""COMPUTED_VALUE"""),186.29)</f>
        <v>186.29</v>
      </c>
      <c r="F18" s="2">
        <f>IFERROR(__xludf.DUMMYFUNCTION("""COMPUTED_VALUE"""),4.16539155E8)</f>
        <v>416539155</v>
      </c>
      <c r="G18" s="3">
        <f t="shared" si="1"/>
        <v>-0.0005365094694</v>
      </c>
      <c r="H18" s="2">
        <f t="shared" si="2"/>
        <v>1018.59041</v>
      </c>
    </row>
    <row r="19">
      <c r="A19" s="1">
        <f>IFERROR(__xludf.DUMMYFUNCTION("""COMPUTED_VALUE"""),41761.666666666664)</f>
        <v>41761.66667</v>
      </c>
      <c r="B19" s="2">
        <f>IFERROR(__xludf.DUMMYFUNCTION("""COMPUTED_VALUE"""),187.05)</f>
        <v>187.05</v>
      </c>
      <c r="C19" s="2">
        <f>IFERROR(__xludf.DUMMYFUNCTION("""COMPUTED_VALUE"""),189.14)</f>
        <v>189.14</v>
      </c>
      <c r="D19" s="2">
        <f>IFERROR(__xludf.DUMMYFUNCTION("""COMPUTED_VALUE"""),184.96)</f>
        <v>184.96</v>
      </c>
      <c r="E19" s="2">
        <f>IFERROR(__xludf.DUMMYFUNCTION("""COMPUTED_VALUE"""),188.06)</f>
        <v>188.06</v>
      </c>
      <c r="F19" s="2">
        <f>IFERROR(__xludf.DUMMYFUNCTION("""COMPUTED_VALUE"""),5.11867119E8)</f>
        <v>511867119</v>
      </c>
      <c r="G19" s="3">
        <f t="shared" si="1"/>
        <v>0.009501315154</v>
      </c>
      <c r="H19" s="2">
        <f t="shared" si="2"/>
        <v>1028.268358</v>
      </c>
    </row>
    <row r="20">
      <c r="A20" s="1">
        <f>IFERROR(__xludf.DUMMYFUNCTION("""COMPUTED_VALUE"""),41768.666666666664)</f>
        <v>41768.66667</v>
      </c>
      <c r="B20" s="2">
        <f>IFERROR(__xludf.DUMMYFUNCTION("""COMPUTED_VALUE"""),187.14)</f>
        <v>187.14</v>
      </c>
      <c r="C20" s="2">
        <f>IFERROR(__xludf.DUMMYFUNCTION("""COMPUTED_VALUE"""),189.05)</f>
        <v>189.05</v>
      </c>
      <c r="D20" s="2">
        <f>IFERROR(__xludf.DUMMYFUNCTION("""COMPUTED_VALUE"""),186.01)</f>
        <v>186.01</v>
      </c>
      <c r="E20" s="2">
        <f>IFERROR(__xludf.DUMMYFUNCTION("""COMPUTED_VALUE"""),187.96)</f>
        <v>187.96</v>
      </c>
      <c r="F20" s="2">
        <f>IFERROR(__xludf.DUMMYFUNCTION("""COMPUTED_VALUE"""),4.45133526E8)</f>
        <v>445133526</v>
      </c>
      <c r="G20" s="3">
        <f t="shared" si="1"/>
        <v>-0.0005317451877</v>
      </c>
      <c r="H20" s="2">
        <f t="shared" si="2"/>
        <v>1027.721581</v>
      </c>
    </row>
    <row r="21">
      <c r="A21" s="1">
        <f>IFERROR(__xludf.DUMMYFUNCTION("""COMPUTED_VALUE"""),41775.666666666664)</f>
        <v>41775.66667</v>
      </c>
      <c r="B21" s="2">
        <f>IFERROR(__xludf.DUMMYFUNCTION("""COMPUTED_VALUE"""),188.76)</f>
        <v>188.76</v>
      </c>
      <c r="C21" s="2">
        <f>IFERROR(__xludf.DUMMYFUNCTION("""COMPUTED_VALUE"""),190.42)</f>
        <v>190.42</v>
      </c>
      <c r="D21" s="2">
        <f>IFERROR(__xludf.DUMMYFUNCTION("""COMPUTED_VALUE"""),186.48)</f>
        <v>186.48</v>
      </c>
      <c r="E21" s="2">
        <f>IFERROR(__xludf.DUMMYFUNCTION("""COMPUTED_VALUE"""),188.05)</f>
        <v>188.05</v>
      </c>
      <c r="F21" s="2">
        <f>IFERROR(__xludf.DUMMYFUNCTION("""COMPUTED_VALUE"""),4.78174935E8)</f>
        <v>478174935</v>
      </c>
      <c r="G21" s="3">
        <f t="shared" si="1"/>
        <v>0.000478825282</v>
      </c>
      <c r="H21" s="2">
        <f t="shared" si="2"/>
        <v>1028.21368</v>
      </c>
    </row>
    <row r="22">
      <c r="A22" s="1">
        <f>IFERROR(__xludf.DUMMYFUNCTION("""COMPUTED_VALUE"""),41782.666666666664)</f>
        <v>41782.66667</v>
      </c>
      <c r="B22" s="2">
        <f>IFERROR(__xludf.DUMMYFUNCTION("""COMPUTED_VALUE"""),187.69)</f>
        <v>187.69</v>
      </c>
      <c r="C22" s="2">
        <f>IFERROR(__xludf.DUMMYFUNCTION("""COMPUTED_VALUE"""),190.48)</f>
        <v>190.48</v>
      </c>
      <c r="D22" s="2">
        <f>IFERROR(__xludf.DUMMYFUNCTION("""COMPUTED_VALUE"""),187.07)</f>
        <v>187.07</v>
      </c>
      <c r="E22" s="2">
        <f>IFERROR(__xludf.DUMMYFUNCTION("""COMPUTED_VALUE"""),190.35)</f>
        <v>190.35</v>
      </c>
      <c r="F22" s="2">
        <f>IFERROR(__xludf.DUMMYFUNCTION("""COMPUTED_VALUE"""),3.86282594E8)</f>
        <v>386282594</v>
      </c>
      <c r="G22" s="3">
        <f t="shared" si="1"/>
        <v>0.01223078968</v>
      </c>
      <c r="H22" s="2">
        <f t="shared" si="2"/>
        <v>1040.789546</v>
      </c>
    </row>
    <row r="23">
      <c r="A23" s="1">
        <f>IFERROR(__xludf.DUMMYFUNCTION("""COMPUTED_VALUE"""),41789.666666666664)</f>
        <v>41789.66667</v>
      </c>
      <c r="B23" s="2">
        <f>IFERROR(__xludf.DUMMYFUNCTION("""COMPUTED_VALUE"""),191.05)</f>
        <v>191.05</v>
      </c>
      <c r="C23" s="2">
        <f>IFERROR(__xludf.DUMMYFUNCTION("""COMPUTED_VALUE"""),192.8)</f>
        <v>192.8</v>
      </c>
      <c r="D23" s="2">
        <f>IFERROR(__xludf.DUMMYFUNCTION("""COMPUTED_VALUE"""),190.95)</f>
        <v>190.95</v>
      </c>
      <c r="E23" s="2">
        <f>IFERROR(__xludf.DUMMYFUNCTION("""COMPUTED_VALUE"""),192.68)</f>
        <v>192.68</v>
      </c>
      <c r="F23" s="2">
        <f>IFERROR(__xludf.DUMMYFUNCTION("""COMPUTED_VALUE"""),2.79425433E8)</f>
        <v>279425433</v>
      </c>
      <c r="G23" s="3">
        <f t="shared" si="1"/>
        <v>0.0122406094</v>
      </c>
      <c r="H23" s="2">
        <f t="shared" si="2"/>
        <v>1053.529444</v>
      </c>
    </row>
    <row r="24">
      <c r="A24" s="1">
        <f>IFERROR(__xludf.DUMMYFUNCTION("""COMPUTED_VALUE"""),41796.666666666664)</f>
        <v>41796.66667</v>
      </c>
      <c r="B24" s="2">
        <f>IFERROR(__xludf.DUMMYFUNCTION("""COMPUTED_VALUE"""),192.95)</f>
        <v>192.95</v>
      </c>
      <c r="C24" s="2">
        <f>IFERROR(__xludf.DUMMYFUNCTION("""COMPUTED_VALUE"""),195.43)</f>
        <v>195.43</v>
      </c>
      <c r="D24" s="2">
        <f>IFERROR(__xludf.DUMMYFUNCTION("""COMPUTED_VALUE"""),191.97)</f>
        <v>191.97</v>
      </c>
      <c r="E24" s="2">
        <f>IFERROR(__xludf.DUMMYFUNCTION("""COMPUTED_VALUE"""),195.38)</f>
        <v>195.38</v>
      </c>
      <c r="F24" s="2">
        <f>IFERROR(__xludf.DUMMYFUNCTION("""COMPUTED_VALUE"""),3.56031024E8)</f>
        <v>356031024</v>
      </c>
      <c r="G24" s="3">
        <f t="shared" si="1"/>
        <v>0.01401287108</v>
      </c>
      <c r="H24" s="2">
        <f t="shared" si="2"/>
        <v>1068.292416</v>
      </c>
    </row>
    <row r="25">
      <c r="A25" s="1">
        <f>IFERROR(__xludf.DUMMYFUNCTION("""COMPUTED_VALUE"""),41803.666666666664)</f>
        <v>41803.66667</v>
      </c>
      <c r="B25" s="2">
        <f>IFERROR(__xludf.DUMMYFUNCTION("""COMPUTED_VALUE"""),195.35)</f>
        <v>195.35</v>
      </c>
      <c r="C25" s="2">
        <f>IFERROR(__xludf.DUMMYFUNCTION("""COMPUTED_VALUE"""),196.05)</f>
        <v>196.05</v>
      </c>
      <c r="D25" s="2">
        <f>IFERROR(__xludf.DUMMYFUNCTION("""COMPUTED_VALUE"""),193.11)</f>
        <v>193.11</v>
      </c>
      <c r="E25" s="2">
        <f>IFERROR(__xludf.DUMMYFUNCTION("""COMPUTED_VALUE"""),194.13)</f>
        <v>194.13</v>
      </c>
      <c r="F25" s="2">
        <f>IFERROR(__xludf.DUMMYFUNCTION("""COMPUTED_VALUE"""),3.79388225E8)</f>
        <v>379388225</v>
      </c>
      <c r="G25" s="3">
        <f t="shared" si="1"/>
        <v>-0.006397788924</v>
      </c>
      <c r="H25" s="2">
        <f t="shared" si="2"/>
        <v>1061.457707</v>
      </c>
    </row>
    <row r="26">
      <c r="A26" s="1">
        <f>IFERROR(__xludf.DUMMYFUNCTION("""COMPUTED_VALUE"""),41810.666666666664)</f>
        <v>41810.66667</v>
      </c>
      <c r="B26" s="2">
        <f>IFERROR(__xludf.DUMMYFUNCTION("""COMPUTED_VALUE"""),193.89)</f>
        <v>193.89</v>
      </c>
      <c r="C26" s="2">
        <f>IFERROR(__xludf.DUMMYFUNCTION("""COMPUTED_VALUE"""),196.6)</f>
        <v>196.6</v>
      </c>
      <c r="D26" s="2">
        <f>IFERROR(__xludf.DUMMYFUNCTION("""COMPUTED_VALUE"""),193.66)</f>
        <v>193.66</v>
      </c>
      <c r="E26" s="2">
        <f>IFERROR(__xludf.DUMMYFUNCTION("""COMPUTED_VALUE"""),195.94)</f>
        <v>195.94</v>
      </c>
      <c r="F26" s="2">
        <f>IFERROR(__xludf.DUMMYFUNCTION("""COMPUTED_VALUE"""),4.64041003E8)</f>
        <v>464041003</v>
      </c>
      <c r="G26" s="3">
        <f t="shared" si="1"/>
        <v>0.009323649101</v>
      </c>
      <c r="H26" s="2">
        <f t="shared" si="2"/>
        <v>1071.354366</v>
      </c>
    </row>
    <row r="27">
      <c r="A27" s="1">
        <f>IFERROR(__xludf.DUMMYFUNCTION("""COMPUTED_VALUE"""),41817.666666666664)</f>
        <v>41817.66667</v>
      </c>
      <c r="B27" s="2">
        <f>IFERROR(__xludf.DUMMYFUNCTION("""COMPUTED_VALUE"""),195.97)</f>
        <v>195.97</v>
      </c>
      <c r="C27" s="2">
        <f>IFERROR(__xludf.DUMMYFUNCTION("""COMPUTED_VALUE"""),196.5)</f>
        <v>196.5</v>
      </c>
      <c r="D27" s="2">
        <f>IFERROR(__xludf.DUMMYFUNCTION("""COMPUTED_VALUE"""),194.13)</f>
        <v>194.13</v>
      </c>
      <c r="E27" s="2">
        <f>IFERROR(__xludf.DUMMYFUNCTION("""COMPUTED_VALUE"""),195.82)</f>
        <v>195.82</v>
      </c>
      <c r="F27" s="2">
        <f>IFERROR(__xludf.DUMMYFUNCTION("""COMPUTED_VALUE"""),4.05395753E8)</f>
        <v>405395753</v>
      </c>
      <c r="G27" s="3">
        <f t="shared" si="1"/>
        <v>-0.0006124323773</v>
      </c>
      <c r="H27" s="2">
        <f t="shared" si="2"/>
        <v>1070.698234</v>
      </c>
    </row>
    <row r="28">
      <c r="A28" s="1">
        <f>IFERROR(__xludf.DUMMYFUNCTION("""COMPUTED_VALUE"""),41823.666666666664)</f>
        <v>41823.66667</v>
      </c>
      <c r="B28" s="2">
        <f>IFERROR(__xludf.DUMMYFUNCTION("""COMPUTED_VALUE"""),195.7)</f>
        <v>195.7</v>
      </c>
      <c r="C28" s="2">
        <f>IFERROR(__xludf.DUMMYFUNCTION("""COMPUTED_VALUE"""),198.29)</f>
        <v>198.29</v>
      </c>
      <c r="D28" s="2">
        <f>IFERROR(__xludf.DUMMYFUNCTION("""COMPUTED_VALUE"""),195.53)</f>
        <v>195.53</v>
      </c>
      <c r="E28" s="2">
        <f>IFERROR(__xludf.DUMMYFUNCTION("""COMPUTED_VALUE"""),198.2)</f>
        <v>198.2</v>
      </c>
      <c r="F28" s="2">
        <f>IFERROR(__xludf.DUMMYFUNCTION("""COMPUTED_VALUE"""),2.66388013E8)</f>
        <v>266388013</v>
      </c>
      <c r="G28" s="3">
        <f t="shared" si="1"/>
        <v>0.012154019</v>
      </c>
      <c r="H28" s="2">
        <f t="shared" si="2"/>
        <v>1083.711521</v>
      </c>
    </row>
    <row r="29">
      <c r="A29" s="1">
        <f>IFERROR(__xludf.DUMMYFUNCTION("""COMPUTED_VALUE"""),41831.666666666664)</f>
        <v>41831.66667</v>
      </c>
      <c r="B29" s="2">
        <f>IFERROR(__xludf.DUMMYFUNCTION("""COMPUTED_VALUE"""),197.82)</f>
        <v>197.82</v>
      </c>
      <c r="C29" s="2">
        <f>IFERROR(__xludf.DUMMYFUNCTION("""COMPUTED_VALUE"""),197.98)</f>
        <v>197.98</v>
      </c>
      <c r="D29" s="2">
        <f>IFERROR(__xludf.DUMMYFUNCTION("""COMPUTED_VALUE"""),195.06)</f>
        <v>195.06</v>
      </c>
      <c r="E29" s="2">
        <f>IFERROR(__xludf.DUMMYFUNCTION("""COMPUTED_VALUE"""),196.61)</f>
        <v>196.61</v>
      </c>
      <c r="F29" s="2">
        <f>IFERROR(__xludf.DUMMYFUNCTION("""COMPUTED_VALUE"""),4.06115138E8)</f>
        <v>406115138</v>
      </c>
      <c r="G29" s="3">
        <f t="shared" si="1"/>
        <v>-0.008022199798</v>
      </c>
      <c r="H29" s="2">
        <f t="shared" si="2"/>
        <v>1075.01777</v>
      </c>
    </row>
    <row r="30">
      <c r="A30" s="1">
        <f>IFERROR(__xludf.DUMMYFUNCTION("""COMPUTED_VALUE"""),41838.666666666664)</f>
        <v>41838.66667</v>
      </c>
      <c r="B30" s="2">
        <f>IFERROR(__xludf.DUMMYFUNCTION("""COMPUTED_VALUE"""),197.61)</f>
        <v>197.61</v>
      </c>
      <c r="C30" s="2">
        <f>IFERROR(__xludf.DUMMYFUNCTION("""COMPUTED_VALUE"""),198.26)</f>
        <v>198.26</v>
      </c>
      <c r="D30" s="2">
        <f>IFERROR(__xludf.DUMMYFUNCTION("""COMPUTED_VALUE"""),195.43)</f>
        <v>195.43</v>
      </c>
      <c r="E30" s="2">
        <f>IFERROR(__xludf.DUMMYFUNCTION("""COMPUTED_VALUE"""),197.71)</f>
        <v>197.71</v>
      </c>
      <c r="F30" s="2">
        <f>IFERROR(__xludf.DUMMYFUNCTION("""COMPUTED_VALUE"""),5.19806269E8)</f>
        <v>519806269</v>
      </c>
      <c r="G30" s="3">
        <f t="shared" si="1"/>
        <v>0.005594832409</v>
      </c>
      <c r="H30" s="2">
        <f t="shared" si="2"/>
        <v>1081.032315</v>
      </c>
    </row>
    <row r="31">
      <c r="A31" s="1">
        <f>IFERROR(__xludf.DUMMYFUNCTION("""COMPUTED_VALUE"""),41845.666666666664)</f>
        <v>41845.66667</v>
      </c>
      <c r="B31" s="2">
        <f>IFERROR(__xludf.DUMMYFUNCTION("""COMPUTED_VALUE"""),197.09)</f>
        <v>197.09</v>
      </c>
      <c r="C31" s="2">
        <f>IFERROR(__xludf.DUMMYFUNCTION("""COMPUTED_VALUE"""),199.06)</f>
        <v>199.06</v>
      </c>
      <c r="D31" s="2">
        <f>IFERROR(__xludf.DUMMYFUNCTION("""COMPUTED_VALUE"""),196.43)</f>
        <v>196.43</v>
      </c>
      <c r="E31" s="2">
        <f>IFERROR(__xludf.DUMMYFUNCTION("""COMPUTED_VALUE"""),197.72)</f>
        <v>197.72</v>
      </c>
      <c r="F31" s="2">
        <f>IFERROR(__xludf.DUMMYFUNCTION("""COMPUTED_VALUE"""),3.346064E8)</f>
        <v>334606400</v>
      </c>
      <c r="G31" s="3">
        <f t="shared" si="1"/>
        <v>0.00005057913105</v>
      </c>
      <c r="H31" s="2">
        <f t="shared" si="2"/>
        <v>1081.086992</v>
      </c>
    </row>
    <row r="32">
      <c r="A32" s="1">
        <f>IFERROR(__xludf.DUMMYFUNCTION("""COMPUTED_VALUE"""),41852.666666666664)</f>
        <v>41852.66667</v>
      </c>
      <c r="B32" s="2">
        <f>IFERROR(__xludf.DUMMYFUNCTION("""COMPUTED_VALUE"""),197.76)</f>
        <v>197.76</v>
      </c>
      <c r="C32" s="2">
        <f>IFERROR(__xludf.DUMMYFUNCTION("""COMPUTED_VALUE"""),198.45)</f>
        <v>198.45</v>
      </c>
      <c r="D32" s="2">
        <f>IFERROR(__xludf.DUMMYFUNCTION("""COMPUTED_VALUE"""),191.57)</f>
        <v>191.57</v>
      </c>
      <c r="E32" s="2">
        <f>IFERROR(__xludf.DUMMYFUNCTION("""COMPUTED_VALUE"""),192.5)</f>
        <v>192.5</v>
      </c>
      <c r="F32" s="2">
        <f>IFERROR(__xludf.DUMMYFUNCTION("""COMPUTED_VALUE"""),6.26687893E8)</f>
        <v>626687893</v>
      </c>
      <c r="G32" s="3">
        <f t="shared" si="1"/>
        <v>-0.02640097107</v>
      </c>
      <c r="H32" s="2">
        <f t="shared" si="2"/>
        <v>1052.545246</v>
      </c>
    </row>
    <row r="33">
      <c r="A33" s="1">
        <f>IFERROR(__xludf.DUMMYFUNCTION("""COMPUTED_VALUE"""),41859.666666666664)</f>
        <v>41859.66667</v>
      </c>
      <c r="B33" s="2">
        <f>IFERROR(__xludf.DUMMYFUNCTION("""COMPUTED_VALUE"""),192.87)</f>
        <v>192.87</v>
      </c>
      <c r="C33" s="2">
        <f>IFERROR(__xludf.DUMMYFUNCTION("""COMPUTED_VALUE"""),194.3)</f>
        <v>194.3</v>
      </c>
      <c r="D33" s="2">
        <f>IFERROR(__xludf.DUMMYFUNCTION("""COMPUTED_VALUE"""),190.55)</f>
        <v>190.55</v>
      </c>
      <c r="E33" s="2">
        <f>IFERROR(__xludf.DUMMYFUNCTION("""COMPUTED_VALUE"""),193.24)</f>
        <v>193.24</v>
      </c>
      <c r="F33" s="2">
        <f>IFERROR(__xludf.DUMMYFUNCTION("""COMPUTED_VALUE"""),5.91596988E8)</f>
        <v>591596988</v>
      </c>
      <c r="G33" s="3">
        <f t="shared" si="1"/>
        <v>0.003844155844</v>
      </c>
      <c r="H33" s="2">
        <f t="shared" si="2"/>
        <v>1056.591394</v>
      </c>
    </row>
    <row r="34">
      <c r="A34" s="1">
        <f>IFERROR(__xludf.DUMMYFUNCTION("""COMPUTED_VALUE"""),41866.666666666664)</f>
        <v>41866.66667</v>
      </c>
      <c r="B34" s="2">
        <f>IFERROR(__xludf.DUMMYFUNCTION("""COMPUTED_VALUE"""),193.97)</f>
        <v>193.97</v>
      </c>
      <c r="C34" s="2">
        <f>IFERROR(__xludf.DUMMYFUNCTION("""COMPUTED_VALUE"""),196.65)</f>
        <v>196.65</v>
      </c>
      <c r="D34" s="2">
        <f>IFERROR(__xludf.DUMMYFUNCTION("""COMPUTED_VALUE"""),192.94)</f>
        <v>192.94</v>
      </c>
      <c r="E34" s="2">
        <f>IFERROR(__xludf.DUMMYFUNCTION("""COMPUTED_VALUE"""),195.72)</f>
        <v>195.72</v>
      </c>
      <c r="F34" s="2">
        <f>IFERROR(__xludf.DUMMYFUNCTION("""COMPUTED_VALUE"""),4.14543337E8)</f>
        <v>414543337</v>
      </c>
      <c r="G34" s="3">
        <f t="shared" si="1"/>
        <v>0.01283378183</v>
      </c>
      <c r="H34" s="2">
        <f t="shared" si="2"/>
        <v>1070.151457</v>
      </c>
    </row>
    <row r="35">
      <c r="A35" s="1">
        <f>IFERROR(__xludf.DUMMYFUNCTION("""COMPUTED_VALUE"""),41873.666666666664)</f>
        <v>41873.66667</v>
      </c>
      <c r="B35" s="2">
        <f>IFERROR(__xludf.DUMMYFUNCTION("""COMPUTED_VALUE"""),196.8)</f>
        <v>196.8</v>
      </c>
      <c r="C35" s="2">
        <f>IFERROR(__xludf.DUMMYFUNCTION("""COMPUTED_VALUE"""),199.76)</f>
        <v>199.76</v>
      </c>
      <c r="D35" s="2">
        <f>IFERROR(__xludf.DUMMYFUNCTION("""COMPUTED_VALUE"""),196.69)</f>
        <v>196.69</v>
      </c>
      <c r="E35" s="2">
        <f>IFERROR(__xludf.DUMMYFUNCTION("""COMPUTED_VALUE"""),199.19)</f>
        <v>199.19</v>
      </c>
      <c r="F35" s="2">
        <f>IFERROR(__xludf.DUMMYFUNCTION("""COMPUTED_VALUE"""),3.51219659E8)</f>
        <v>351219659</v>
      </c>
      <c r="G35" s="3">
        <f t="shared" si="1"/>
        <v>0.01772940936</v>
      </c>
      <c r="H35" s="2">
        <f t="shared" si="2"/>
        <v>1089.12461</v>
      </c>
    </row>
    <row r="36">
      <c r="A36" s="1">
        <f>IFERROR(__xludf.DUMMYFUNCTION("""COMPUTED_VALUE"""),41880.666666666664)</f>
        <v>41880.66667</v>
      </c>
      <c r="B36" s="2">
        <f>IFERROR(__xludf.DUMMYFUNCTION("""COMPUTED_VALUE"""),200.14)</f>
        <v>200.14</v>
      </c>
      <c r="C36" s="2">
        <f>IFERROR(__xludf.DUMMYFUNCTION("""COMPUTED_VALUE"""),200.82)</f>
        <v>200.82</v>
      </c>
      <c r="D36" s="2">
        <f>IFERROR(__xludf.DUMMYFUNCTION("""COMPUTED_VALUE"""),199.15)</f>
        <v>199.15</v>
      </c>
      <c r="E36" s="2">
        <f>IFERROR(__xludf.DUMMYFUNCTION("""COMPUTED_VALUE"""),200.71)</f>
        <v>200.71</v>
      </c>
      <c r="F36" s="2">
        <f>IFERROR(__xludf.DUMMYFUNCTION("""COMPUTED_VALUE"""),2.83264025E8)</f>
        <v>283264025</v>
      </c>
      <c r="G36" s="3">
        <f t="shared" si="1"/>
        <v>0.007630905166</v>
      </c>
      <c r="H36" s="2">
        <f t="shared" si="2"/>
        <v>1097.435617</v>
      </c>
    </row>
    <row r="37">
      <c r="A37" s="1">
        <f>IFERROR(__xludf.DUMMYFUNCTION("""COMPUTED_VALUE"""),41887.666666666664)</f>
        <v>41887.66667</v>
      </c>
      <c r="B37" s="2">
        <f>IFERROR(__xludf.DUMMYFUNCTION("""COMPUTED_VALUE"""),200.97)</f>
        <v>200.97</v>
      </c>
      <c r="C37" s="2">
        <f>IFERROR(__xludf.DUMMYFUNCTION("""COMPUTED_VALUE"""),201.58)</f>
        <v>201.58</v>
      </c>
      <c r="D37" s="2">
        <f>IFERROR(__xludf.DUMMYFUNCTION("""COMPUTED_VALUE"""),199.41)</f>
        <v>199.41</v>
      </c>
      <c r="E37" s="2">
        <f>IFERROR(__xludf.DUMMYFUNCTION("""COMPUTED_VALUE"""),201.11)</f>
        <v>201.11</v>
      </c>
      <c r="F37" s="2">
        <f>IFERROR(__xludf.DUMMYFUNCTION("""COMPUTED_VALUE"""),3.17300761E8)</f>
        <v>317300761</v>
      </c>
      <c r="G37" s="3">
        <f t="shared" si="1"/>
        <v>0.001992925116</v>
      </c>
      <c r="H37" s="2">
        <f t="shared" si="2"/>
        <v>1099.622724</v>
      </c>
    </row>
    <row r="38">
      <c r="A38" s="1">
        <f>IFERROR(__xludf.DUMMYFUNCTION("""COMPUTED_VALUE"""),41894.666666666664)</f>
        <v>41894.66667</v>
      </c>
      <c r="B38" s="2">
        <f>IFERROR(__xludf.DUMMYFUNCTION("""COMPUTED_VALUE"""),200.92)</f>
        <v>200.92</v>
      </c>
      <c r="C38" s="2">
        <f>IFERROR(__xludf.DUMMYFUNCTION("""COMPUTED_VALUE"""),201.21)</f>
        <v>201.21</v>
      </c>
      <c r="D38" s="2">
        <f>IFERROR(__xludf.DUMMYFUNCTION("""COMPUTED_VALUE"""),198.56)</f>
        <v>198.56</v>
      </c>
      <c r="E38" s="2">
        <f>IFERROR(__xludf.DUMMYFUNCTION("""COMPUTED_VALUE"""),199.13)</f>
        <v>199.13</v>
      </c>
      <c r="F38" s="2">
        <f>IFERROR(__xludf.DUMMYFUNCTION("""COMPUTED_VALUE"""),4.04289798E8)</f>
        <v>404289798</v>
      </c>
      <c r="G38" s="3">
        <f t="shared" si="1"/>
        <v>-0.009845358262</v>
      </c>
      <c r="H38" s="2">
        <f t="shared" si="2"/>
        <v>1088.796544</v>
      </c>
    </row>
    <row r="39">
      <c r="A39" s="1">
        <f>IFERROR(__xludf.DUMMYFUNCTION("""COMPUTED_VALUE"""),41901.666666666664)</f>
        <v>41901.66667</v>
      </c>
      <c r="B39" s="2">
        <f>IFERROR(__xludf.DUMMYFUNCTION("""COMPUTED_VALUE"""),199.16)</f>
        <v>199.16</v>
      </c>
      <c r="C39" s="2">
        <f>IFERROR(__xludf.DUMMYFUNCTION("""COMPUTED_VALUE"""),201.9)</f>
        <v>201.9</v>
      </c>
      <c r="D39" s="2">
        <f>IFERROR(__xludf.DUMMYFUNCTION("""COMPUTED_VALUE"""),198.38)</f>
        <v>198.38</v>
      </c>
      <c r="E39" s="2">
        <f>IFERROR(__xludf.DUMMYFUNCTION("""COMPUTED_VALUE"""),200.7)</f>
        <v>200.7</v>
      </c>
      <c r="F39" s="2">
        <f>IFERROR(__xludf.DUMMYFUNCTION("""COMPUTED_VALUE"""),5.60507486E8)</f>
        <v>560507486</v>
      </c>
      <c r="G39" s="3">
        <f t="shared" si="1"/>
        <v>0.007884296691</v>
      </c>
      <c r="H39" s="2">
        <f t="shared" si="2"/>
        <v>1097.380939</v>
      </c>
    </row>
    <row r="40">
      <c r="A40" s="1">
        <f>IFERROR(__xludf.DUMMYFUNCTION("""COMPUTED_VALUE"""),41908.666666666664)</f>
        <v>41908.66667</v>
      </c>
      <c r="B40" s="2">
        <f>IFERROR(__xludf.DUMMYFUNCTION("""COMPUTED_VALUE"""),200.35)</f>
        <v>200.35</v>
      </c>
      <c r="C40" s="2">
        <f>IFERROR(__xludf.DUMMYFUNCTION("""COMPUTED_VALUE"""),200.38)</f>
        <v>200.38</v>
      </c>
      <c r="D40" s="2">
        <f>IFERROR(__xludf.DUMMYFUNCTION("""COMPUTED_VALUE"""),196.27)</f>
        <v>196.27</v>
      </c>
      <c r="E40" s="2">
        <f>IFERROR(__xludf.DUMMYFUNCTION("""COMPUTED_VALUE"""),197.9)</f>
        <v>197.9</v>
      </c>
      <c r="F40" s="2">
        <f>IFERROR(__xludf.DUMMYFUNCTION("""COMPUTED_VALUE"""),5.9806848E8)</f>
        <v>598068480</v>
      </c>
      <c r="G40" s="3">
        <f t="shared" si="1"/>
        <v>-0.0139511709</v>
      </c>
      <c r="H40" s="2">
        <f t="shared" si="2"/>
        <v>1082.07119</v>
      </c>
    </row>
    <row r="41">
      <c r="A41" s="1">
        <f>IFERROR(__xludf.DUMMYFUNCTION("""COMPUTED_VALUE"""),41915.666666666664)</f>
        <v>41915.66667</v>
      </c>
      <c r="B41" s="2">
        <f>IFERROR(__xludf.DUMMYFUNCTION("""COMPUTED_VALUE"""),196.2)</f>
        <v>196.2</v>
      </c>
      <c r="C41" s="2">
        <f>IFERROR(__xludf.DUMMYFUNCTION("""COMPUTED_VALUE"""),198.3)</f>
        <v>198.3</v>
      </c>
      <c r="D41" s="2">
        <f>IFERROR(__xludf.DUMMYFUNCTION("""COMPUTED_VALUE"""),192.35)</f>
        <v>192.35</v>
      </c>
      <c r="E41" s="2">
        <f>IFERROR(__xludf.DUMMYFUNCTION("""COMPUTED_VALUE"""),196.52)</f>
        <v>196.52</v>
      </c>
      <c r="F41" s="2">
        <f>IFERROR(__xludf.DUMMYFUNCTION("""COMPUTED_VALUE"""),6.830655E8)</f>
        <v>683065500</v>
      </c>
      <c r="G41" s="3">
        <f t="shared" si="1"/>
        <v>-0.006973218797</v>
      </c>
      <c r="H41" s="2">
        <f t="shared" si="2"/>
        <v>1074.525671</v>
      </c>
    </row>
    <row r="42">
      <c r="A42" s="1">
        <f>IFERROR(__xludf.DUMMYFUNCTION("""COMPUTED_VALUE"""),41922.666666666664)</f>
        <v>41922.66667</v>
      </c>
      <c r="B42" s="2">
        <f>IFERROR(__xludf.DUMMYFUNCTION("""COMPUTED_VALUE"""),197.34)</f>
        <v>197.34</v>
      </c>
      <c r="C42" s="2">
        <f>IFERROR(__xludf.DUMMYFUNCTION("""COMPUTED_VALUE"""),197.6)</f>
        <v>197.6</v>
      </c>
      <c r="D42" s="2">
        <f>IFERROR(__xludf.DUMMYFUNCTION("""COMPUTED_VALUE"""),190.49)</f>
        <v>190.49</v>
      </c>
      <c r="E42" s="2">
        <f>IFERROR(__xludf.DUMMYFUNCTION("""COMPUTED_VALUE"""),190.54)</f>
        <v>190.54</v>
      </c>
      <c r="F42" s="2">
        <f>IFERROR(__xludf.DUMMYFUNCTION("""COMPUTED_VALUE"""),8.71766841E8)</f>
        <v>871766841</v>
      </c>
      <c r="G42" s="3">
        <f t="shared" si="1"/>
        <v>-0.03042947283</v>
      </c>
      <c r="H42" s="2">
        <f t="shared" si="2"/>
        <v>1041.828421</v>
      </c>
    </row>
    <row r="43">
      <c r="A43" s="1">
        <f>IFERROR(__xludf.DUMMYFUNCTION("""COMPUTED_VALUE"""),41929.666666666664)</f>
        <v>41929.66667</v>
      </c>
      <c r="B43" s="2">
        <f>IFERROR(__xludf.DUMMYFUNCTION("""COMPUTED_VALUE"""),190.46)</f>
        <v>190.46</v>
      </c>
      <c r="C43" s="2">
        <f>IFERROR(__xludf.DUMMYFUNCTION("""COMPUTED_VALUE"""),191.15)</f>
        <v>191.15</v>
      </c>
      <c r="D43" s="2">
        <f>IFERROR(__xludf.DUMMYFUNCTION("""COMPUTED_VALUE"""),181.92)</f>
        <v>181.92</v>
      </c>
      <c r="E43" s="2">
        <f>IFERROR(__xludf.DUMMYFUNCTION("""COMPUTED_VALUE"""),188.47)</f>
        <v>188.47</v>
      </c>
      <c r="F43" s="2">
        <f>IFERROR(__xludf.DUMMYFUNCTION("""COMPUTED_VALUE"""),1.312516367E9)</f>
        <v>1312516367</v>
      </c>
      <c r="G43" s="3">
        <f t="shared" si="1"/>
        <v>-0.01086386061</v>
      </c>
      <c r="H43" s="2">
        <f t="shared" si="2"/>
        <v>1030.510143</v>
      </c>
    </row>
    <row r="44">
      <c r="A44" s="1">
        <f>IFERROR(__xludf.DUMMYFUNCTION("""COMPUTED_VALUE"""),41936.666666666664)</f>
        <v>41936.66667</v>
      </c>
      <c r="B44" s="2">
        <f>IFERROR(__xludf.DUMMYFUNCTION("""COMPUTED_VALUE"""),188.13)</f>
        <v>188.13</v>
      </c>
      <c r="C44" s="2">
        <f>IFERROR(__xludf.DUMMYFUNCTION("""COMPUTED_VALUE"""),196.49)</f>
        <v>196.49</v>
      </c>
      <c r="D44" s="2">
        <f>IFERROR(__xludf.DUMMYFUNCTION("""COMPUTED_VALUE"""),188.07)</f>
        <v>188.07</v>
      </c>
      <c r="E44" s="2">
        <f>IFERROR(__xludf.DUMMYFUNCTION("""COMPUTED_VALUE"""),196.43)</f>
        <v>196.43</v>
      </c>
      <c r="F44" s="2">
        <f>IFERROR(__xludf.DUMMYFUNCTION("""COMPUTED_VALUE"""),7.09653256E8)</f>
        <v>709653256</v>
      </c>
      <c r="G44" s="3">
        <f t="shared" si="1"/>
        <v>0.04223483844</v>
      </c>
      <c r="H44" s="2">
        <f t="shared" si="2"/>
        <v>1074.033572</v>
      </c>
    </row>
    <row r="45">
      <c r="A45" s="1">
        <f>IFERROR(__xludf.DUMMYFUNCTION("""COMPUTED_VALUE"""),41943.666666666664)</f>
        <v>41943.66667</v>
      </c>
      <c r="B45" s="2">
        <f>IFERROR(__xludf.DUMMYFUNCTION("""COMPUTED_VALUE"""),195.73)</f>
        <v>195.73</v>
      </c>
      <c r="C45" s="2">
        <f>IFERROR(__xludf.DUMMYFUNCTION("""COMPUTED_VALUE"""),201.82)</f>
        <v>201.82</v>
      </c>
      <c r="D45" s="2">
        <f>IFERROR(__xludf.DUMMYFUNCTION("""COMPUTED_VALUE"""),195.03)</f>
        <v>195.03</v>
      </c>
      <c r="E45" s="2">
        <f>IFERROR(__xludf.DUMMYFUNCTION("""COMPUTED_VALUE"""),201.66)</f>
        <v>201.66</v>
      </c>
      <c r="F45" s="2">
        <f>IFERROR(__xludf.DUMMYFUNCTION("""COMPUTED_VALUE"""),5.92479572E8)</f>
        <v>592479572</v>
      </c>
      <c r="G45" s="3">
        <f t="shared" si="1"/>
        <v>0.02662526091</v>
      </c>
      <c r="H45" s="2">
        <f t="shared" si="2"/>
        <v>1102.629996</v>
      </c>
    </row>
    <row r="46">
      <c r="A46" s="1">
        <f>IFERROR(__xludf.DUMMYFUNCTION("""COMPUTED_VALUE"""),41950.666666666664)</f>
        <v>41950.66667</v>
      </c>
      <c r="B46" s="2">
        <f>IFERROR(__xludf.DUMMYFUNCTION("""COMPUTED_VALUE"""),201.92)</f>
        <v>201.92</v>
      </c>
      <c r="C46" s="2">
        <f>IFERROR(__xludf.DUMMYFUNCTION("""COMPUTED_VALUE"""),203.6)</f>
        <v>203.6</v>
      </c>
      <c r="D46" s="2">
        <f>IFERROR(__xludf.DUMMYFUNCTION("""COMPUTED_VALUE"""),200.06)</f>
        <v>200.06</v>
      </c>
      <c r="E46" s="2">
        <f>IFERROR(__xludf.DUMMYFUNCTION("""COMPUTED_VALUE"""),203.34)</f>
        <v>203.34</v>
      </c>
      <c r="F46" s="2">
        <f>IFERROR(__xludf.DUMMYFUNCTION("""COMPUTED_VALUE"""),4.75279839E8)</f>
        <v>475279839</v>
      </c>
      <c r="G46" s="3">
        <f t="shared" si="1"/>
        <v>0.008330853913</v>
      </c>
      <c r="H46" s="2">
        <f t="shared" si="2"/>
        <v>1111.815846</v>
      </c>
    </row>
    <row r="47">
      <c r="A47" s="1">
        <f>IFERROR(__xludf.DUMMYFUNCTION("""COMPUTED_VALUE"""),41957.66666666667)</f>
        <v>41957.66667</v>
      </c>
      <c r="B47" s="2">
        <f>IFERROR(__xludf.DUMMYFUNCTION("""COMPUTED_VALUE"""),203.38)</f>
        <v>203.38</v>
      </c>
      <c r="C47" s="2">
        <f>IFERROR(__xludf.DUMMYFUNCTION("""COMPUTED_VALUE"""),204.83)</f>
        <v>204.83</v>
      </c>
      <c r="D47" s="2">
        <f>IFERROR(__xludf.DUMMYFUNCTION("""COMPUTED_VALUE"""),203.13)</f>
        <v>203.13</v>
      </c>
      <c r="E47" s="2">
        <f>IFERROR(__xludf.DUMMYFUNCTION("""COMPUTED_VALUE"""),204.24)</f>
        <v>204.24</v>
      </c>
      <c r="F47" s="2">
        <f>IFERROR(__xludf.DUMMYFUNCTION("""COMPUTED_VALUE"""),3.76714066E8)</f>
        <v>376714066</v>
      </c>
      <c r="G47" s="3">
        <f t="shared" si="1"/>
        <v>0.004426084391</v>
      </c>
      <c r="H47" s="2">
        <f t="shared" si="2"/>
        <v>1116.736836</v>
      </c>
    </row>
    <row r="48">
      <c r="A48" s="1">
        <f>IFERROR(__xludf.DUMMYFUNCTION("""COMPUTED_VALUE"""),41964.66666666667)</f>
        <v>41964.66667</v>
      </c>
      <c r="B48" s="2">
        <f>IFERROR(__xludf.DUMMYFUNCTION("""COMPUTED_VALUE"""),203.85)</f>
        <v>203.85</v>
      </c>
      <c r="C48" s="2">
        <f>IFERROR(__xludf.DUMMYFUNCTION("""COMPUTED_VALUE"""),207.84)</f>
        <v>207.84</v>
      </c>
      <c r="D48" s="2">
        <f>IFERROR(__xludf.DUMMYFUNCTION("""COMPUTED_VALUE"""),203.65)</f>
        <v>203.65</v>
      </c>
      <c r="E48" s="2">
        <f>IFERROR(__xludf.DUMMYFUNCTION("""COMPUTED_VALUE"""),206.68)</f>
        <v>206.68</v>
      </c>
      <c r="F48" s="2">
        <f>IFERROR(__xludf.DUMMYFUNCTION("""COMPUTED_VALUE"""),4.54049681E8)</f>
        <v>454049681</v>
      </c>
      <c r="G48" s="3">
        <f t="shared" si="1"/>
        <v>0.01194672934</v>
      </c>
      <c r="H48" s="2">
        <f t="shared" si="2"/>
        <v>1130.078189</v>
      </c>
    </row>
    <row r="49">
      <c r="A49" s="1">
        <f>IFERROR(__xludf.DUMMYFUNCTION("""COMPUTED_VALUE"""),41971.66666666667)</f>
        <v>41971.66667</v>
      </c>
      <c r="B49" s="2">
        <f>IFERROR(__xludf.DUMMYFUNCTION("""COMPUTED_VALUE"""),207.17)</f>
        <v>207.17</v>
      </c>
      <c r="C49" s="2">
        <f>IFERROR(__xludf.DUMMYFUNCTION("""COMPUTED_VALUE"""),207.87)</f>
        <v>207.87</v>
      </c>
      <c r="D49" s="2">
        <f>IFERROR(__xludf.DUMMYFUNCTION("""COMPUTED_VALUE"""),206.8)</f>
        <v>206.8</v>
      </c>
      <c r="E49" s="2">
        <f>IFERROR(__xludf.DUMMYFUNCTION("""COMPUTED_VALUE"""),207.2)</f>
        <v>207.2</v>
      </c>
      <c r="F49" s="2">
        <f>IFERROR(__xludf.DUMMYFUNCTION("""COMPUTED_VALUE"""),2.65046982E8)</f>
        <v>265046982</v>
      </c>
      <c r="G49" s="3">
        <f t="shared" si="1"/>
        <v>0.002515966712</v>
      </c>
      <c r="H49" s="2">
        <f t="shared" si="2"/>
        <v>1132.921428</v>
      </c>
    </row>
    <row r="50">
      <c r="A50" s="1">
        <f>IFERROR(__xludf.DUMMYFUNCTION("""COMPUTED_VALUE"""),41978.66666666667)</f>
        <v>41978.66667</v>
      </c>
      <c r="B50" s="2">
        <f>IFERROR(__xludf.DUMMYFUNCTION("""COMPUTED_VALUE"""),206.4)</f>
        <v>206.4</v>
      </c>
      <c r="C50" s="2">
        <f>IFERROR(__xludf.DUMMYFUNCTION("""COMPUTED_VALUE"""),208.47)</f>
        <v>208.47</v>
      </c>
      <c r="D50" s="2">
        <f>IFERROR(__xludf.DUMMYFUNCTION("""COMPUTED_VALUE"""),205.38)</f>
        <v>205.38</v>
      </c>
      <c r="E50" s="2">
        <f>IFERROR(__xludf.DUMMYFUNCTION("""COMPUTED_VALUE"""),208.0)</f>
        <v>208</v>
      </c>
      <c r="F50" s="2">
        <f>IFERROR(__xludf.DUMMYFUNCTION("""COMPUTED_VALUE"""),4.29769575E8)</f>
        <v>429769575</v>
      </c>
      <c r="G50" s="3">
        <f t="shared" si="1"/>
        <v>0.003861003861</v>
      </c>
      <c r="H50" s="2">
        <f t="shared" si="2"/>
        <v>1137.295642</v>
      </c>
    </row>
    <row r="51">
      <c r="A51" s="1">
        <f>IFERROR(__xludf.DUMMYFUNCTION("""COMPUTED_VALUE"""),41985.66666666667)</f>
        <v>41985.66667</v>
      </c>
      <c r="B51" s="2">
        <f>IFERROR(__xludf.DUMMYFUNCTION("""COMPUTED_VALUE"""),207.52)</f>
        <v>207.52</v>
      </c>
      <c r="C51" s="2">
        <f>IFERROR(__xludf.DUMMYFUNCTION("""COMPUTED_VALUE"""),208.12)</f>
        <v>208.12</v>
      </c>
      <c r="D51" s="2">
        <f>IFERROR(__xludf.DUMMYFUNCTION("""COMPUTED_VALUE"""),200.85)</f>
        <v>200.85</v>
      </c>
      <c r="E51" s="2">
        <f>IFERROR(__xludf.DUMMYFUNCTION("""COMPUTED_VALUE"""),200.89)</f>
        <v>200.89</v>
      </c>
      <c r="F51" s="2">
        <f>IFERROR(__xludf.DUMMYFUNCTION("""COMPUTED_VALUE"""),7.54967596E8)</f>
        <v>754967596</v>
      </c>
      <c r="G51" s="3">
        <f t="shared" si="1"/>
        <v>-0.03418269231</v>
      </c>
      <c r="H51" s="2">
        <f t="shared" si="2"/>
        <v>1098.419815</v>
      </c>
    </row>
    <row r="52">
      <c r="A52" s="1">
        <f>IFERROR(__xludf.DUMMYFUNCTION("""COMPUTED_VALUE"""),41992.66666666667)</f>
        <v>41992.66667</v>
      </c>
      <c r="B52" s="2">
        <f>IFERROR(__xludf.DUMMYFUNCTION("""COMPUTED_VALUE"""),201.98)</f>
        <v>201.98</v>
      </c>
      <c r="C52" s="2">
        <f>IFERROR(__xludf.DUMMYFUNCTION("""COMPUTED_VALUE"""),212.97)</f>
        <v>212.97</v>
      </c>
      <c r="D52" s="2">
        <f>IFERROR(__xludf.DUMMYFUNCTION("""COMPUTED_VALUE"""),197.86)</f>
        <v>197.86</v>
      </c>
      <c r="E52" s="2">
        <f>IFERROR(__xludf.DUMMYFUNCTION("""COMPUTED_VALUE"""),206.52)</f>
        <v>206.52</v>
      </c>
      <c r="F52" s="2">
        <f>IFERROR(__xludf.DUMMYFUNCTION("""COMPUTED_VALUE"""),1.206138167E9)</f>
        <v>1206138167</v>
      </c>
      <c r="G52" s="3">
        <f t="shared" si="1"/>
        <v>0.02802528747</v>
      </c>
      <c r="H52" s="2">
        <f t="shared" si="2"/>
        <v>1129.203346</v>
      </c>
    </row>
    <row r="53">
      <c r="A53" s="1">
        <f>IFERROR(__xludf.DUMMYFUNCTION("""COMPUTED_VALUE"""),41999.66666666667)</f>
        <v>41999.66667</v>
      </c>
      <c r="B53" s="2">
        <f>IFERROR(__xludf.DUMMYFUNCTION("""COMPUTED_VALUE"""),206.75)</f>
        <v>206.75</v>
      </c>
      <c r="C53" s="2">
        <f>IFERROR(__xludf.DUMMYFUNCTION("""COMPUTED_VALUE"""),208.85)</f>
        <v>208.85</v>
      </c>
      <c r="D53" s="2">
        <f>IFERROR(__xludf.DUMMYFUNCTION("""COMPUTED_VALUE"""),206.46)</f>
        <v>206.46</v>
      </c>
      <c r="E53" s="2">
        <f>IFERROR(__xludf.DUMMYFUNCTION("""COMPUTED_VALUE"""),208.44)</f>
        <v>208.44</v>
      </c>
      <c r="F53" s="2">
        <f>IFERROR(__xludf.DUMMYFUNCTION("""COMPUTED_VALUE"""),3.70776967E8)</f>
        <v>370776967</v>
      </c>
      <c r="G53" s="3">
        <f t="shared" si="1"/>
        <v>0.009296920395</v>
      </c>
      <c r="H53" s="2">
        <f t="shared" si="2"/>
        <v>1139.70146</v>
      </c>
    </row>
    <row r="54">
      <c r="A54" s="1">
        <f>IFERROR(__xludf.DUMMYFUNCTION("""COMPUTED_VALUE"""),42006.66666666667)</f>
        <v>42006.66667</v>
      </c>
      <c r="B54" s="2">
        <f>IFERROR(__xludf.DUMMYFUNCTION("""COMPUTED_VALUE"""),208.22)</f>
        <v>208.22</v>
      </c>
      <c r="C54" s="2">
        <f>IFERROR(__xludf.DUMMYFUNCTION("""COMPUTED_VALUE"""),208.97)</f>
        <v>208.97</v>
      </c>
      <c r="D54" s="2">
        <f>IFERROR(__xludf.DUMMYFUNCTION("""COMPUTED_VALUE"""),204.18)</f>
        <v>204.18</v>
      </c>
      <c r="E54" s="2">
        <f>IFERROR(__xludf.DUMMYFUNCTION("""COMPUTED_VALUE"""),205.43)</f>
        <v>205.43</v>
      </c>
      <c r="F54" s="2">
        <f>IFERROR(__xludf.DUMMYFUNCTION("""COMPUTED_VALUE"""),4.04984403E8)</f>
        <v>404984403</v>
      </c>
      <c r="G54" s="3">
        <f t="shared" si="1"/>
        <v>-0.01444060641</v>
      </c>
      <c r="H54" s="2">
        <f t="shared" si="2"/>
        <v>1123.24348</v>
      </c>
    </row>
    <row r="55">
      <c r="A55" s="1">
        <f>IFERROR(__xludf.DUMMYFUNCTION("""COMPUTED_VALUE"""),42013.66666666667)</f>
        <v>42013.66667</v>
      </c>
      <c r="B55" s="2">
        <f>IFERROR(__xludf.DUMMYFUNCTION("""COMPUTED_VALUE"""),204.17)</f>
        <v>204.17</v>
      </c>
      <c r="C55" s="2">
        <f>IFERROR(__xludf.DUMMYFUNCTION("""COMPUTED_VALUE"""),206.42)</f>
        <v>206.42</v>
      </c>
      <c r="D55" s="2">
        <f>IFERROR(__xludf.DUMMYFUNCTION("""COMPUTED_VALUE"""),198.86)</f>
        <v>198.86</v>
      </c>
      <c r="E55" s="2">
        <f>IFERROR(__xludf.DUMMYFUNCTION("""COMPUTED_VALUE"""),204.25)</f>
        <v>204.25</v>
      </c>
      <c r="F55" s="2">
        <f>IFERROR(__xludf.DUMMYFUNCTION("""COMPUTED_VALUE"""),8.09915835E8)</f>
        <v>809915835</v>
      </c>
      <c r="G55" s="3">
        <f t="shared" si="1"/>
        <v>-0.005744049068</v>
      </c>
      <c r="H55" s="2">
        <f t="shared" si="2"/>
        <v>1116.791514</v>
      </c>
    </row>
    <row r="56">
      <c r="A56" s="1">
        <f>IFERROR(__xludf.DUMMYFUNCTION("""COMPUTED_VALUE"""),42020.66666666667)</f>
        <v>42020.66667</v>
      </c>
      <c r="B56" s="2">
        <f>IFERROR(__xludf.DUMMYFUNCTION("""COMPUTED_VALUE"""),204.41)</f>
        <v>204.41</v>
      </c>
      <c r="C56" s="2">
        <f>IFERROR(__xludf.DUMMYFUNCTION("""COMPUTED_VALUE"""),205.48)</f>
        <v>205.48</v>
      </c>
      <c r="D56" s="2">
        <f>IFERROR(__xludf.DUMMYFUNCTION("""COMPUTED_VALUE"""),198.55)</f>
        <v>198.55</v>
      </c>
      <c r="E56" s="2">
        <f>IFERROR(__xludf.DUMMYFUNCTION("""COMPUTED_VALUE"""),201.63)</f>
        <v>201.63</v>
      </c>
      <c r="F56" s="2">
        <f>IFERROR(__xludf.DUMMYFUNCTION("""COMPUTED_VALUE"""),9.40433976E8)</f>
        <v>940433976</v>
      </c>
      <c r="G56" s="3">
        <f t="shared" si="1"/>
        <v>-0.01282741738</v>
      </c>
      <c r="H56" s="2">
        <f t="shared" si="2"/>
        <v>1102.465963</v>
      </c>
    </row>
    <row r="57">
      <c r="A57" s="1">
        <f>IFERROR(__xludf.DUMMYFUNCTION("""COMPUTED_VALUE"""),42027.66666666667)</f>
        <v>42027.66667</v>
      </c>
      <c r="B57" s="2">
        <f>IFERROR(__xludf.DUMMYFUNCTION("""COMPUTED_VALUE"""),202.4)</f>
        <v>202.4</v>
      </c>
      <c r="C57" s="2">
        <f>IFERROR(__xludf.DUMMYFUNCTION("""COMPUTED_VALUE"""),206.26)</f>
        <v>206.26</v>
      </c>
      <c r="D57" s="2">
        <f>IFERROR(__xludf.DUMMYFUNCTION("""COMPUTED_VALUE"""),200.17)</f>
        <v>200.17</v>
      </c>
      <c r="E57" s="2">
        <f>IFERROR(__xludf.DUMMYFUNCTION("""COMPUTED_VALUE"""),204.97)</f>
        <v>204.97</v>
      </c>
      <c r="F57" s="2">
        <f>IFERROR(__xludf.DUMMYFUNCTION("""COMPUTED_VALUE"""),5.45806558E8)</f>
        <v>545806558</v>
      </c>
      <c r="G57" s="3">
        <f t="shared" si="1"/>
        <v>0.01656499529</v>
      </c>
      <c r="H57" s="2">
        <f t="shared" si="2"/>
        <v>1120.728307</v>
      </c>
    </row>
    <row r="58">
      <c r="A58" s="1">
        <f>IFERROR(__xludf.DUMMYFUNCTION("""COMPUTED_VALUE"""),42034.66666666667)</f>
        <v>42034.66667</v>
      </c>
      <c r="B58" s="2">
        <f>IFERROR(__xludf.DUMMYFUNCTION("""COMPUTED_VALUE"""),204.71)</f>
        <v>204.71</v>
      </c>
      <c r="C58" s="2">
        <f>IFERROR(__xludf.DUMMYFUNCTION("""COMPUTED_VALUE"""),205.56)</f>
        <v>205.56</v>
      </c>
      <c r="D58" s="2">
        <f>IFERROR(__xludf.DUMMYFUNCTION("""COMPUTED_VALUE"""),198.68)</f>
        <v>198.68</v>
      </c>
      <c r="E58" s="2">
        <f>IFERROR(__xludf.DUMMYFUNCTION("""COMPUTED_VALUE"""),199.45)</f>
        <v>199.45</v>
      </c>
      <c r="F58" s="2">
        <f>IFERROR(__xludf.DUMMYFUNCTION("""COMPUTED_VALUE"""),7.65883769E8)</f>
        <v>765883769</v>
      </c>
      <c r="G58" s="3">
        <f t="shared" si="1"/>
        <v>-0.02693077036</v>
      </c>
      <c r="H58" s="2">
        <f t="shared" si="2"/>
        <v>1090.54623</v>
      </c>
    </row>
    <row r="59">
      <c r="A59" s="1">
        <f>IFERROR(__xludf.DUMMYFUNCTION("""COMPUTED_VALUE"""),42041.66666666667)</f>
        <v>42041.66667</v>
      </c>
      <c r="B59" s="2">
        <f>IFERROR(__xludf.DUMMYFUNCTION("""COMPUTED_VALUE"""),200.05)</f>
        <v>200.05</v>
      </c>
      <c r="C59" s="2">
        <f>IFERROR(__xludf.DUMMYFUNCTION("""COMPUTED_VALUE"""),207.24)</f>
        <v>207.24</v>
      </c>
      <c r="D59" s="2">
        <f>IFERROR(__xludf.DUMMYFUNCTION("""COMPUTED_VALUE"""),197.86)</f>
        <v>197.86</v>
      </c>
      <c r="E59" s="2">
        <f>IFERROR(__xludf.DUMMYFUNCTION("""COMPUTED_VALUE"""),205.55)</f>
        <v>205.55</v>
      </c>
      <c r="F59" s="2">
        <f>IFERROR(__xludf.DUMMYFUNCTION("""COMPUTED_VALUE"""),6.45251785E8)</f>
        <v>645251785</v>
      </c>
      <c r="G59" s="3">
        <f t="shared" si="1"/>
        <v>0.03058410629</v>
      </c>
      <c r="H59" s="2">
        <f t="shared" si="2"/>
        <v>1123.899612</v>
      </c>
    </row>
    <row r="60">
      <c r="A60" s="1">
        <f>IFERROR(__xludf.DUMMYFUNCTION("""COMPUTED_VALUE"""),42048.66666666667)</f>
        <v>42048.66667</v>
      </c>
      <c r="B60" s="2">
        <f>IFERROR(__xludf.DUMMYFUNCTION("""COMPUTED_VALUE"""),204.77)</f>
        <v>204.77</v>
      </c>
      <c r="C60" s="2">
        <f>IFERROR(__xludf.DUMMYFUNCTION("""COMPUTED_VALUE"""),209.84)</f>
        <v>209.84</v>
      </c>
      <c r="D60" s="2">
        <f>IFERROR(__xludf.DUMMYFUNCTION("""COMPUTED_VALUE"""),204.14)</f>
        <v>204.14</v>
      </c>
      <c r="E60" s="2">
        <f>IFERROR(__xludf.DUMMYFUNCTION("""COMPUTED_VALUE"""),209.78)</f>
        <v>209.78</v>
      </c>
      <c r="F60" s="2">
        <f>IFERROR(__xludf.DUMMYFUNCTION("""COMPUTED_VALUE"""),4.65687363E8)</f>
        <v>465687363</v>
      </c>
      <c r="G60" s="3">
        <f t="shared" si="1"/>
        <v>0.02057893457</v>
      </c>
      <c r="H60" s="2">
        <f t="shared" si="2"/>
        <v>1147.028268</v>
      </c>
    </row>
    <row r="61">
      <c r="A61" s="1">
        <f>IFERROR(__xludf.DUMMYFUNCTION("""COMPUTED_VALUE"""),42055.66666666667)</f>
        <v>42055.66667</v>
      </c>
      <c r="B61" s="2">
        <f>IFERROR(__xludf.DUMMYFUNCTION("""COMPUTED_VALUE"""),209.4)</f>
        <v>209.4</v>
      </c>
      <c r="C61" s="2">
        <f>IFERROR(__xludf.DUMMYFUNCTION("""COMPUTED_VALUE"""),211.33)</f>
        <v>211.33</v>
      </c>
      <c r="D61" s="2">
        <f>IFERROR(__xludf.DUMMYFUNCTION("""COMPUTED_VALUE"""),208.73)</f>
        <v>208.73</v>
      </c>
      <c r="E61" s="2">
        <f>IFERROR(__xludf.DUMMYFUNCTION("""COMPUTED_VALUE"""),211.24)</f>
        <v>211.24</v>
      </c>
      <c r="F61" s="2">
        <f>IFERROR(__xludf.DUMMYFUNCTION("""COMPUTED_VALUE"""),3.89980023E8)</f>
        <v>389980023</v>
      </c>
      <c r="G61" s="3">
        <f t="shared" si="1"/>
        <v>0.006959672037</v>
      </c>
      <c r="H61" s="2">
        <f t="shared" si="2"/>
        <v>1155.011209</v>
      </c>
    </row>
    <row r="62">
      <c r="A62" s="1">
        <f>IFERROR(__xludf.DUMMYFUNCTION("""COMPUTED_VALUE"""),42062.66666666667)</f>
        <v>42062.66667</v>
      </c>
      <c r="B62" s="2">
        <f>IFERROR(__xludf.DUMMYFUNCTION("""COMPUTED_VALUE"""),210.94)</f>
        <v>210.94</v>
      </c>
      <c r="C62" s="2">
        <f>IFERROR(__xludf.DUMMYFUNCTION("""COMPUTED_VALUE"""),212.24)</f>
        <v>212.24</v>
      </c>
      <c r="D62" s="2">
        <f>IFERROR(__xludf.DUMMYFUNCTION("""COMPUTED_VALUE"""),210.48)</f>
        <v>210.48</v>
      </c>
      <c r="E62" s="2">
        <f>IFERROR(__xludf.DUMMYFUNCTION("""COMPUTED_VALUE"""),210.66)</f>
        <v>210.66</v>
      </c>
      <c r="F62" s="2">
        <f>IFERROR(__xludf.DUMMYFUNCTION("""COMPUTED_VALUE"""),4.00718844E8)</f>
        <v>400718844</v>
      </c>
      <c r="G62" s="3">
        <f t="shared" si="1"/>
        <v>-0.002745692104</v>
      </c>
      <c r="H62" s="2">
        <f t="shared" si="2"/>
        <v>1151.839904</v>
      </c>
    </row>
    <row r="63">
      <c r="A63" s="1">
        <f>IFERROR(__xludf.DUMMYFUNCTION("""COMPUTED_VALUE"""),42069.66666666667)</f>
        <v>42069.66667</v>
      </c>
      <c r="B63" s="2">
        <f>IFERROR(__xludf.DUMMYFUNCTION("""COMPUTED_VALUE"""),210.78)</f>
        <v>210.78</v>
      </c>
      <c r="C63" s="2">
        <f>IFERROR(__xludf.DUMMYFUNCTION("""COMPUTED_VALUE"""),212.06)</f>
        <v>212.06</v>
      </c>
      <c r="D63" s="2">
        <f>IFERROR(__xludf.DUMMYFUNCTION("""COMPUTED_VALUE"""),207.1)</f>
        <v>207.1</v>
      </c>
      <c r="E63" s="2">
        <f>IFERROR(__xludf.DUMMYFUNCTION("""COMPUTED_VALUE"""),207.5)</f>
        <v>207.5</v>
      </c>
      <c r="F63" s="2">
        <f>IFERROR(__xludf.DUMMYFUNCTION("""COMPUTED_VALUE"""),5.77315368E8)</f>
        <v>577315368</v>
      </c>
      <c r="G63" s="3">
        <f t="shared" si="1"/>
        <v>-0.0150004747</v>
      </c>
      <c r="H63" s="2">
        <f t="shared" si="2"/>
        <v>1134.561758</v>
      </c>
    </row>
    <row r="64">
      <c r="A64" s="1">
        <f>IFERROR(__xludf.DUMMYFUNCTION("""COMPUTED_VALUE"""),42076.66666666667)</f>
        <v>42076.66667</v>
      </c>
      <c r="B64" s="2">
        <f>IFERROR(__xludf.DUMMYFUNCTION("""COMPUTED_VALUE"""),207.74)</f>
        <v>207.74</v>
      </c>
      <c r="C64" s="2">
        <f>IFERROR(__xludf.DUMMYFUNCTION("""COMPUTED_VALUE"""),208.79)</f>
        <v>208.79</v>
      </c>
      <c r="D64" s="2">
        <f>IFERROR(__xludf.DUMMYFUNCTION("""COMPUTED_VALUE"""),204.4)</f>
        <v>204.4</v>
      </c>
      <c r="E64" s="2">
        <f>IFERROR(__xludf.DUMMYFUNCTION("""COMPUTED_VALUE"""),205.83)</f>
        <v>205.83</v>
      </c>
      <c r="F64" s="2">
        <f>IFERROR(__xludf.DUMMYFUNCTION("""COMPUTED_VALUE"""),6.1349029E8)</f>
        <v>613490290</v>
      </c>
      <c r="G64" s="3">
        <f t="shared" si="1"/>
        <v>-0.008048192771</v>
      </c>
      <c r="H64" s="2">
        <f t="shared" si="2"/>
        <v>1125.430587</v>
      </c>
    </row>
    <row r="65">
      <c r="A65" s="1">
        <f>IFERROR(__xludf.DUMMYFUNCTION("""COMPUTED_VALUE"""),42083.66666666667)</f>
        <v>42083.66667</v>
      </c>
      <c r="B65" s="2">
        <f>IFERROR(__xludf.DUMMYFUNCTION("""COMPUTED_VALUE"""),206.71)</f>
        <v>206.71</v>
      </c>
      <c r="C65" s="2">
        <f>IFERROR(__xludf.DUMMYFUNCTION("""COMPUTED_VALUE"""),211.27)</f>
        <v>211.27</v>
      </c>
      <c r="D65" s="2">
        <f>IFERROR(__xludf.DUMMYFUNCTION("""COMPUTED_VALUE"""),205.86)</f>
        <v>205.86</v>
      </c>
      <c r="E65" s="2">
        <f>IFERROR(__xludf.DUMMYFUNCTION("""COMPUTED_VALUE"""),210.41)</f>
        <v>210.41</v>
      </c>
      <c r="F65" s="2">
        <f>IFERROR(__xludf.DUMMYFUNCTION("""COMPUTED_VALUE"""),7.55050521E8)</f>
        <v>755050521</v>
      </c>
      <c r="G65" s="3">
        <f t="shared" si="1"/>
        <v>0.02225137249</v>
      </c>
      <c r="H65" s="2">
        <f t="shared" si="2"/>
        <v>1150.472962</v>
      </c>
    </row>
    <row r="66">
      <c r="A66" s="1">
        <f>IFERROR(__xludf.DUMMYFUNCTION("""COMPUTED_VALUE"""),42090.66666666667)</f>
        <v>42090.66667</v>
      </c>
      <c r="B66" s="2">
        <f>IFERROR(__xludf.DUMMYFUNCTION("""COMPUTED_VALUE"""),210.42)</f>
        <v>210.42</v>
      </c>
      <c r="C66" s="2">
        <f>IFERROR(__xludf.DUMMYFUNCTION("""COMPUTED_VALUE"""),211.11)</f>
        <v>211.11</v>
      </c>
      <c r="D66" s="2">
        <f>IFERROR(__xludf.DUMMYFUNCTION("""COMPUTED_VALUE"""),204.12)</f>
        <v>204.12</v>
      </c>
      <c r="E66" s="2">
        <f>IFERROR(__xludf.DUMMYFUNCTION("""COMPUTED_VALUE"""),205.74)</f>
        <v>205.74</v>
      </c>
      <c r="F66" s="2">
        <f>IFERROR(__xludf.DUMMYFUNCTION("""COMPUTED_VALUE"""),5.81117772E8)</f>
        <v>581117772</v>
      </c>
      <c r="G66" s="3">
        <f t="shared" si="1"/>
        <v>-0.02219476261</v>
      </c>
      <c r="H66" s="2">
        <f t="shared" si="2"/>
        <v>1124.938488</v>
      </c>
    </row>
    <row r="67">
      <c r="A67" s="1">
        <f>IFERROR(__xludf.DUMMYFUNCTION("""COMPUTED_VALUE"""),42096.66666666667)</f>
        <v>42096.66667</v>
      </c>
      <c r="B67" s="2">
        <f>IFERROR(__xludf.DUMMYFUNCTION("""COMPUTED_VALUE"""),206.98)</f>
        <v>206.98</v>
      </c>
      <c r="C67" s="2">
        <f>IFERROR(__xludf.DUMMYFUNCTION("""COMPUTED_VALUE"""),208.61)</f>
        <v>208.61</v>
      </c>
      <c r="D67" s="2">
        <f>IFERROR(__xludf.DUMMYFUNCTION("""COMPUTED_VALUE"""),204.51)</f>
        <v>204.51</v>
      </c>
      <c r="E67" s="2">
        <f>IFERROR(__xludf.DUMMYFUNCTION("""COMPUTED_VALUE"""),206.44)</f>
        <v>206.44</v>
      </c>
      <c r="F67" s="2">
        <f>IFERROR(__xludf.DUMMYFUNCTION("""COMPUTED_VALUE"""),4.47074758E8)</f>
        <v>447074758</v>
      </c>
      <c r="G67" s="3">
        <f t="shared" si="1"/>
        <v>0.003402352484</v>
      </c>
      <c r="H67" s="2">
        <f t="shared" si="2"/>
        <v>1128.765925</v>
      </c>
    </row>
    <row r="68">
      <c r="A68" s="1">
        <f>IFERROR(__xludf.DUMMYFUNCTION("""COMPUTED_VALUE"""),42104.66666666667)</f>
        <v>42104.66667</v>
      </c>
      <c r="B68" s="2">
        <f>IFERROR(__xludf.DUMMYFUNCTION("""COMPUTED_VALUE"""),205.37)</f>
        <v>205.37</v>
      </c>
      <c r="C68" s="2">
        <f>IFERROR(__xludf.DUMMYFUNCTION("""COMPUTED_VALUE"""),210.09)</f>
        <v>210.09</v>
      </c>
      <c r="D68" s="2">
        <f>IFERROR(__xludf.DUMMYFUNCTION("""COMPUTED_VALUE"""),205.21)</f>
        <v>205.21</v>
      </c>
      <c r="E68" s="2">
        <f>IFERROR(__xludf.DUMMYFUNCTION("""COMPUTED_VALUE"""),210.04)</f>
        <v>210.04</v>
      </c>
      <c r="F68" s="2">
        <f>IFERROR(__xludf.DUMMYFUNCTION("""COMPUTED_VALUE"""),4.432282E8)</f>
        <v>443228200</v>
      </c>
      <c r="G68" s="3">
        <f t="shared" si="1"/>
        <v>0.01743848091</v>
      </c>
      <c r="H68" s="2">
        <f t="shared" si="2"/>
        <v>1148.449888</v>
      </c>
    </row>
    <row r="69">
      <c r="A69" s="1">
        <f>IFERROR(__xludf.DUMMYFUNCTION("""COMPUTED_VALUE"""),42111.66666666667)</f>
        <v>42111.66667</v>
      </c>
      <c r="B69" s="2">
        <f>IFERROR(__xludf.DUMMYFUNCTION("""COMPUTED_VALUE"""),209.87)</f>
        <v>209.87</v>
      </c>
      <c r="C69" s="2">
        <f>IFERROR(__xludf.DUMMYFUNCTION("""COMPUTED_VALUE"""),211.04)</f>
        <v>211.04</v>
      </c>
      <c r="D69" s="2">
        <f>IFERROR(__xludf.DUMMYFUNCTION("""COMPUTED_VALUE"""),207.01)</f>
        <v>207.01</v>
      </c>
      <c r="E69" s="2">
        <f>IFERROR(__xludf.DUMMYFUNCTION("""COMPUTED_VALUE"""),207.95)</f>
        <v>207.95</v>
      </c>
      <c r="F69" s="2">
        <f>IFERROR(__xludf.DUMMYFUNCTION("""COMPUTED_VALUE"""),5.09113874E8)</f>
        <v>509113874</v>
      </c>
      <c r="G69" s="3">
        <f t="shared" si="1"/>
        <v>-0.009950485622</v>
      </c>
      <c r="H69" s="2">
        <f t="shared" si="2"/>
        <v>1137.022254</v>
      </c>
    </row>
    <row r="70">
      <c r="A70" s="1">
        <f>IFERROR(__xludf.DUMMYFUNCTION("""COMPUTED_VALUE"""),42118.66666666667)</f>
        <v>42118.66667</v>
      </c>
      <c r="B70" s="2">
        <f>IFERROR(__xludf.DUMMYFUNCTION("""COMPUTED_VALUE"""),209.06)</f>
        <v>209.06</v>
      </c>
      <c r="C70" s="2">
        <f>IFERROR(__xludf.DUMMYFUNCTION("""COMPUTED_VALUE"""),211.97)</f>
        <v>211.97</v>
      </c>
      <c r="D70" s="2">
        <f>IFERROR(__xludf.DUMMYFUNCTION("""COMPUTED_VALUE"""),208.9)</f>
        <v>208.9</v>
      </c>
      <c r="E70" s="2">
        <f>IFERROR(__xludf.DUMMYFUNCTION("""COMPUTED_VALUE"""),211.65)</f>
        <v>211.65</v>
      </c>
      <c r="F70" s="2">
        <f>IFERROR(__xludf.DUMMYFUNCTION("""COMPUTED_VALUE"""),4.06927257E8)</f>
        <v>406927257</v>
      </c>
      <c r="G70" s="3">
        <f t="shared" si="1"/>
        <v>0.01779273864</v>
      </c>
      <c r="H70" s="2">
        <f t="shared" si="2"/>
        <v>1157.252994</v>
      </c>
    </row>
    <row r="71">
      <c r="A71" s="1">
        <f>IFERROR(__xludf.DUMMYFUNCTION("""COMPUTED_VALUE"""),42125.66666666667)</f>
        <v>42125.66667</v>
      </c>
      <c r="B71" s="2">
        <f>IFERROR(__xludf.DUMMYFUNCTION("""COMPUTED_VALUE"""),212.33)</f>
        <v>212.33</v>
      </c>
      <c r="C71" s="2">
        <f>IFERROR(__xludf.DUMMYFUNCTION("""COMPUTED_VALUE"""),212.48)</f>
        <v>212.48</v>
      </c>
      <c r="D71" s="2">
        <f>IFERROR(__xludf.DUMMYFUNCTION("""COMPUTED_VALUE"""),207.62)</f>
        <v>207.62</v>
      </c>
      <c r="E71" s="2">
        <f>IFERROR(__xludf.DUMMYFUNCTION("""COMPUTED_VALUE"""),210.72)</f>
        <v>210.72</v>
      </c>
      <c r="F71" s="2">
        <f>IFERROR(__xludf.DUMMYFUNCTION("""COMPUTED_VALUE"""),5.56611161E8)</f>
        <v>556611161</v>
      </c>
      <c r="G71" s="3">
        <f t="shared" si="1"/>
        <v>-0.004394046775</v>
      </c>
      <c r="H71" s="2">
        <f t="shared" si="2"/>
        <v>1152.16797</v>
      </c>
    </row>
    <row r="72">
      <c r="A72" s="1">
        <f>IFERROR(__xludf.DUMMYFUNCTION("""COMPUTED_VALUE"""),42132.66666666667)</f>
        <v>42132.66667</v>
      </c>
      <c r="B72" s="2">
        <f>IFERROR(__xludf.DUMMYFUNCTION("""COMPUTED_VALUE"""),211.23)</f>
        <v>211.23</v>
      </c>
      <c r="C72" s="2">
        <f>IFERROR(__xludf.DUMMYFUNCTION("""COMPUTED_VALUE"""),212.02)</f>
        <v>212.02</v>
      </c>
      <c r="D72" s="2">
        <f>IFERROR(__xludf.DUMMYFUNCTION("""COMPUTED_VALUE"""),206.76)</f>
        <v>206.76</v>
      </c>
      <c r="E72" s="2">
        <f>IFERROR(__xludf.DUMMYFUNCTION("""COMPUTED_VALUE"""),211.62)</f>
        <v>211.62</v>
      </c>
      <c r="F72" s="2">
        <f>IFERROR(__xludf.DUMMYFUNCTION("""COMPUTED_VALUE"""),5.63435742E8)</f>
        <v>563435742</v>
      </c>
      <c r="G72" s="3">
        <f t="shared" si="1"/>
        <v>0.004271070615</v>
      </c>
      <c r="H72" s="2">
        <f t="shared" si="2"/>
        <v>1157.088961</v>
      </c>
    </row>
    <row r="73">
      <c r="A73" s="1">
        <f>IFERROR(__xludf.DUMMYFUNCTION("""COMPUTED_VALUE"""),42139.66666666667)</f>
        <v>42139.66667</v>
      </c>
      <c r="B73" s="2">
        <f>IFERROR(__xludf.DUMMYFUNCTION("""COMPUTED_VALUE"""),211.57)</f>
        <v>211.57</v>
      </c>
      <c r="C73" s="2">
        <f>IFERROR(__xludf.DUMMYFUNCTION("""COMPUTED_VALUE"""),212.61)</f>
        <v>212.61</v>
      </c>
      <c r="D73" s="2">
        <f>IFERROR(__xludf.DUMMYFUNCTION("""COMPUTED_VALUE"""),208.62)</f>
        <v>208.62</v>
      </c>
      <c r="E73" s="2">
        <f>IFERROR(__xludf.DUMMYFUNCTION("""COMPUTED_VALUE"""),212.44)</f>
        <v>212.44</v>
      </c>
      <c r="F73" s="2">
        <f>IFERROR(__xludf.DUMMYFUNCTION("""COMPUTED_VALUE"""),4.62547705E8)</f>
        <v>462547705</v>
      </c>
      <c r="G73" s="3">
        <f t="shared" si="1"/>
        <v>0.00387487005</v>
      </c>
      <c r="H73" s="2">
        <f t="shared" si="2"/>
        <v>1161.57253</v>
      </c>
    </row>
    <row r="74">
      <c r="A74" s="1">
        <f>IFERROR(__xludf.DUMMYFUNCTION("""COMPUTED_VALUE"""),42146.66666666667)</f>
        <v>42146.66667</v>
      </c>
      <c r="B74" s="2">
        <f>IFERROR(__xludf.DUMMYFUNCTION("""COMPUTED_VALUE"""),212.24)</f>
        <v>212.24</v>
      </c>
      <c r="C74" s="2">
        <f>IFERROR(__xludf.DUMMYFUNCTION("""COMPUTED_VALUE"""),213.78)</f>
        <v>213.78</v>
      </c>
      <c r="D74" s="2">
        <f>IFERROR(__xludf.DUMMYFUNCTION("""COMPUTED_VALUE"""),212.16)</f>
        <v>212.16</v>
      </c>
      <c r="E74" s="2">
        <f>IFERROR(__xludf.DUMMYFUNCTION("""COMPUTED_VALUE"""),212.99)</f>
        <v>212.99</v>
      </c>
      <c r="F74" s="2">
        <f>IFERROR(__xludf.DUMMYFUNCTION("""COMPUTED_VALUE"""),3.45719905E8)</f>
        <v>345719905</v>
      </c>
      <c r="G74" s="3">
        <f t="shared" si="1"/>
        <v>0.002588966296</v>
      </c>
      <c r="H74" s="2">
        <f t="shared" si="2"/>
        <v>1164.579802</v>
      </c>
    </row>
    <row r="75">
      <c r="A75" s="1">
        <f>IFERROR(__xludf.DUMMYFUNCTION("""COMPUTED_VALUE"""),42153.66666666667)</f>
        <v>42153.66667</v>
      </c>
      <c r="B75" s="2">
        <f>IFERROR(__xludf.DUMMYFUNCTION("""COMPUTED_VALUE"""),212.4)</f>
        <v>212.4</v>
      </c>
      <c r="C75" s="2">
        <f>IFERROR(__xludf.DUMMYFUNCTION("""COMPUTED_VALUE"""),212.98)</f>
        <v>212.98</v>
      </c>
      <c r="D75" s="2">
        <f>IFERROR(__xludf.DUMMYFUNCTION("""COMPUTED_VALUE"""),210.2)</f>
        <v>210.2</v>
      </c>
      <c r="E75" s="2">
        <f>IFERROR(__xludf.DUMMYFUNCTION("""COMPUTED_VALUE"""),211.14)</f>
        <v>211.14</v>
      </c>
      <c r="F75" s="2">
        <f>IFERROR(__xludf.DUMMYFUNCTION("""COMPUTED_VALUE"""),4.17416736E8)</f>
        <v>417416736</v>
      </c>
      <c r="G75" s="3">
        <f t="shared" si="1"/>
        <v>-0.008685853796</v>
      </c>
      <c r="H75" s="2">
        <f t="shared" si="2"/>
        <v>1154.464432</v>
      </c>
    </row>
    <row r="76">
      <c r="A76" s="1">
        <f>IFERROR(__xludf.DUMMYFUNCTION("""COMPUTED_VALUE"""),42160.66666666667)</f>
        <v>42160.66667</v>
      </c>
      <c r="B76" s="2">
        <f>IFERROR(__xludf.DUMMYFUNCTION("""COMPUTED_VALUE"""),211.94)</f>
        <v>211.94</v>
      </c>
      <c r="C76" s="2">
        <f>IFERROR(__xludf.DUMMYFUNCTION("""COMPUTED_VALUE"""),212.67)</f>
        <v>212.67</v>
      </c>
      <c r="D76" s="2">
        <f>IFERROR(__xludf.DUMMYFUNCTION("""COMPUTED_VALUE"""),208.98)</f>
        <v>208.98</v>
      </c>
      <c r="E76" s="2">
        <f>IFERROR(__xludf.DUMMYFUNCTION("""COMPUTED_VALUE"""),209.77)</f>
        <v>209.77</v>
      </c>
      <c r="F76" s="2">
        <f>IFERROR(__xludf.DUMMYFUNCTION("""COMPUTED_VALUE"""),5.46278167E8)</f>
        <v>546278167</v>
      </c>
      <c r="G76" s="3">
        <f t="shared" si="1"/>
        <v>-0.006488585772</v>
      </c>
      <c r="H76" s="2">
        <f t="shared" si="2"/>
        <v>1146.973591</v>
      </c>
    </row>
    <row r="77">
      <c r="A77" s="1">
        <f>IFERROR(__xludf.DUMMYFUNCTION("""COMPUTED_VALUE"""),42167.66666666667)</f>
        <v>42167.66667</v>
      </c>
      <c r="B77" s="2">
        <f>IFERROR(__xludf.DUMMYFUNCTION("""COMPUTED_VALUE"""),209.64)</f>
        <v>209.64</v>
      </c>
      <c r="C77" s="2">
        <f>IFERROR(__xludf.DUMMYFUNCTION("""COMPUTED_VALUE"""),212.09)</f>
        <v>212.09</v>
      </c>
      <c r="D77" s="2">
        <f>IFERROR(__xludf.DUMMYFUNCTION("""COMPUTED_VALUE"""),207.69)</f>
        <v>207.69</v>
      </c>
      <c r="E77" s="2">
        <f>IFERROR(__xludf.DUMMYFUNCTION("""COMPUTED_VALUE"""),210.01)</f>
        <v>210.01</v>
      </c>
      <c r="F77" s="2">
        <f>IFERROR(__xludf.DUMMYFUNCTION("""COMPUTED_VALUE"""),5.37908121E8)</f>
        <v>537908121</v>
      </c>
      <c r="G77" s="3">
        <f t="shared" si="1"/>
        <v>0.001144110216</v>
      </c>
      <c r="H77" s="2">
        <f t="shared" si="2"/>
        <v>1148.285855</v>
      </c>
    </row>
    <row r="78">
      <c r="A78" s="1">
        <f>IFERROR(__xludf.DUMMYFUNCTION("""COMPUTED_VALUE"""),42174.66666666667)</f>
        <v>42174.66667</v>
      </c>
      <c r="B78" s="2">
        <f>IFERROR(__xludf.DUMMYFUNCTION("""COMPUTED_VALUE"""),208.64)</f>
        <v>208.64</v>
      </c>
      <c r="C78" s="2">
        <f>IFERROR(__xludf.DUMMYFUNCTION("""COMPUTED_VALUE"""),213.34)</f>
        <v>213.34</v>
      </c>
      <c r="D78" s="2">
        <f>IFERROR(__xludf.DUMMYFUNCTION("""COMPUTED_VALUE"""),207.79)</f>
        <v>207.79</v>
      </c>
      <c r="E78" s="2">
        <f>IFERROR(__xludf.DUMMYFUNCTION("""COMPUTED_VALUE"""),210.81)</f>
        <v>210.81</v>
      </c>
      <c r="F78" s="2">
        <f>IFERROR(__xludf.DUMMYFUNCTION("""COMPUTED_VALUE"""),6.32747684E8)</f>
        <v>632747684</v>
      </c>
      <c r="G78" s="3">
        <f t="shared" si="1"/>
        <v>0.003809342412</v>
      </c>
      <c r="H78" s="2">
        <f t="shared" si="2"/>
        <v>1152.660069</v>
      </c>
    </row>
    <row r="79">
      <c r="A79" s="1">
        <f>IFERROR(__xludf.DUMMYFUNCTION("""COMPUTED_VALUE"""),42181.66666666667)</f>
        <v>42181.66667</v>
      </c>
      <c r="B79" s="2">
        <f>IFERROR(__xludf.DUMMYFUNCTION("""COMPUTED_VALUE"""),211.91)</f>
        <v>211.91</v>
      </c>
      <c r="C79" s="2">
        <f>IFERROR(__xludf.DUMMYFUNCTION("""COMPUTED_VALUE"""),212.59)</f>
        <v>212.59</v>
      </c>
      <c r="D79" s="2">
        <f>IFERROR(__xludf.DUMMYFUNCTION("""COMPUTED_VALUE"""),209.16)</f>
        <v>209.16</v>
      </c>
      <c r="E79" s="2">
        <f>IFERROR(__xludf.DUMMYFUNCTION("""COMPUTED_VALUE"""),209.82)</f>
        <v>209.82</v>
      </c>
      <c r="F79" s="2">
        <f>IFERROR(__xludf.DUMMYFUNCTION("""COMPUTED_VALUE"""),4.32762343E8)</f>
        <v>432762343</v>
      </c>
      <c r="G79" s="3">
        <f t="shared" si="1"/>
        <v>-0.004696171908</v>
      </c>
      <c r="H79" s="2">
        <f t="shared" si="2"/>
        <v>1147.246979</v>
      </c>
    </row>
    <row r="80">
      <c r="A80" s="1">
        <f>IFERROR(__xludf.DUMMYFUNCTION("""COMPUTED_VALUE"""),42187.66666666667)</f>
        <v>42187.66667</v>
      </c>
      <c r="B80" s="2">
        <f>IFERROR(__xludf.DUMMYFUNCTION("""COMPUTED_VALUE"""),208.05)</f>
        <v>208.05</v>
      </c>
      <c r="C80" s="2">
        <f>IFERROR(__xludf.DUMMYFUNCTION("""COMPUTED_VALUE"""),209.83)</f>
        <v>209.83</v>
      </c>
      <c r="D80" s="2">
        <f>IFERROR(__xludf.DUMMYFUNCTION("""COMPUTED_VALUE"""),205.28)</f>
        <v>205.28</v>
      </c>
      <c r="E80" s="2">
        <f>IFERROR(__xludf.DUMMYFUNCTION("""COMPUTED_VALUE"""),207.31)</f>
        <v>207.31</v>
      </c>
      <c r="F80" s="2">
        <f>IFERROR(__xludf.DUMMYFUNCTION("""COMPUTED_VALUE"""),6.25899963E8)</f>
        <v>625899963</v>
      </c>
      <c r="G80" s="3">
        <f t="shared" si="1"/>
        <v>-0.01196263464</v>
      </c>
      <c r="H80" s="2">
        <f t="shared" si="2"/>
        <v>1133.522883</v>
      </c>
    </row>
    <row r="81">
      <c r="A81" s="1">
        <f>IFERROR(__xludf.DUMMYFUNCTION("""COMPUTED_VALUE"""),42195.66666666667)</f>
        <v>42195.66667</v>
      </c>
      <c r="B81" s="2">
        <f>IFERROR(__xludf.DUMMYFUNCTION("""COMPUTED_VALUE"""),205.77)</f>
        <v>205.77</v>
      </c>
      <c r="C81" s="2">
        <f>IFERROR(__xludf.DUMMYFUNCTION("""COMPUTED_VALUE"""),208.17)</f>
        <v>208.17</v>
      </c>
      <c r="D81" s="2">
        <f>IFERROR(__xludf.DUMMYFUNCTION("""COMPUTED_VALUE"""),204.11)</f>
        <v>204.11</v>
      </c>
      <c r="E81" s="2">
        <f>IFERROR(__xludf.DUMMYFUNCTION("""COMPUTED_VALUE"""),207.48)</f>
        <v>207.48</v>
      </c>
      <c r="F81" s="2">
        <f>IFERROR(__xludf.DUMMYFUNCTION("""COMPUTED_VALUE"""),7.29385674E8)</f>
        <v>729385674</v>
      </c>
      <c r="G81" s="3">
        <f t="shared" si="1"/>
        <v>0.0008200279774</v>
      </c>
      <c r="H81" s="2">
        <f t="shared" si="2"/>
        <v>1134.452403</v>
      </c>
    </row>
    <row r="82">
      <c r="A82" s="1">
        <f>IFERROR(__xludf.DUMMYFUNCTION("""COMPUTED_VALUE"""),42202.66666666667)</f>
        <v>42202.66667</v>
      </c>
      <c r="B82" s="2">
        <f>IFERROR(__xludf.DUMMYFUNCTION("""COMPUTED_VALUE"""),208.99)</f>
        <v>208.99</v>
      </c>
      <c r="C82" s="2">
        <f>IFERROR(__xludf.DUMMYFUNCTION("""COMPUTED_VALUE"""),212.55)</f>
        <v>212.55</v>
      </c>
      <c r="D82" s="2">
        <f>IFERROR(__xludf.DUMMYFUNCTION("""COMPUTED_VALUE"""),208.94)</f>
        <v>208.94</v>
      </c>
      <c r="E82" s="2">
        <f>IFERROR(__xludf.DUMMYFUNCTION("""COMPUTED_VALUE"""),212.48)</f>
        <v>212.48</v>
      </c>
      <c r="F82" s="2">
        <f>IFERROR(__xludf.DUMMYFUNCTION("""COMPUTED_VALUE"""),4.81406355E8)</f>
        <v>481406355</v>
      </c>
      <c r="G82" s="3">
        <f t="shared" si="1"/>
        <v>0.02409870831</v>
      </c>
      <c r="H82" s="2">
        <f t="shared" si="2"/>
        <v>1161.791241</v>
      </c>
    </row>
    <row r="83">
      <c r="A83" s="1">
        <f>IFERROR(__xludf.DUMMYFUNCTION("""COMPUTED_VALUE"""),42209.66666666667)</f>
        <v>42209.66667</v>
      </c>
      <c r="B83" s="2">
        <f>IFERROR(__xludf.DUMMYFUNCTION("""COMPUTED_VALUE"""),212.75)</f>
        <v>212.75</v>
      </c>
      <c r="C83" s="2">
        <f>IFERROR(__xludf.DUMMYFUNCTION("""COMPUTED_VALUE"""),213.18)</f>
        <v>213.18</v>
      </c>
      <c r="D83" s="2">
        <f>IFERROR(__xludf.DUMMYFUNCTION("""COMPUTED_VALUE"""),207.6)</f>
        <v>207.6</v>
      </c>
      <c r="E83" s="2">
        <f>IFERROR(__xludf.DUMMYFUNCTION("""COMPUTED_VALUE"""),208.0)</f>
        <v>208</v>
      </c>
      <c r="F83" s="2">
        <f>IFERROR(__xludf.DUMMYFUNCTION("""COMPUTED_VALUE"""),4.45343896E8)</f>
        <v>445343896</v>
      </c>
      <c r="G83" s="3">
        <f t="shared" si="1"/>
        <v>-0.02108433735</v>
      </c>
      <c r="H83" s="2">
        <f t="shared" si="2"/>
        <v>1137.295642</v>
      </c>
    </row>
    <row r="84">
      <c r="A84" s="1">
        <f>IFERROR(__xludf.DUMMYFUNCTION("""COMPUTED_VALUE"""),42216.66666666667)</f>
        <v>42216.66667</v>
      </c>
      <c r="B84" s="2">
        <f>IFERROR(__xludf.DUMMYFUNCTION("""COMPUTED_VALUE"""),206.94)</f>
        <v>206.94</v>
      </c>
      <c r="C84" s="2">
        <f>IFERROR(__xludf.DUMMYFUNCTION("""COMPUTED_VALUE"""),211.45)</f>
        <v>211.45</v>
      </c>
      <c r="D84" s="2">
        <f>IFERROR(__xludf.DUMMYFUNCTION("""COMPUTED_VALUE"""),206.26)</f>
        <v>206.26</v>
      </c>
      <c r="E84" s="2">
        <f>IFERROR(__xludf.DUMMYFUNCTION("""COMPUTED_VALUE"""),210.5)</f>
        <v>210.5</v>
      </c>
      <c r="F84" s="2">
        <f>IFERROR(__xludf.DUMMYFUNCTION("""COMPUTED_VALUE"""),5.56268413E8)</f>
        <v>556268413</v>
      </c>
      <c r="G84" s="3">
        <f t="shared" si="1"/>
        <v>0.01201923077</v>
      </c>
      <c r="H84" s="2">
        <f t="shared" si="2"/>
        <v>1150.965061</v>
      </c>
    </row>
    <row r="85">
      <c r="A85" s="1">
        <f>IFERROR(__xludf.DUMMYFUNCTION("""COMPUTED_VALUE"""),42223.66666666667)</f>
        <v>42223.66667</v>
      </c>
      <c r="B85" s="2">
        <f>IFERROR(__xludf.DUMMYFUNCTION("""COMPUTED_VALUE"""),210.46)</f>
        <v>210.46</v>
      </c>
      <c r="C85" s="2">
        <f>IFERROR(__xludf.DUMMYFUNCTION("""COMPUTED_VALUE"""),211.31)</f>
        <v>211.31</v>
      </c>
      <c r="D85" s="2">
        <f>IFERROR(__xludf.DUMMYFUNCTION("""COMPUTED_VALUE"""),206.87)</f>
        <v>206.87</v>
      </c>
      <c r="E85" s="2">
        <f>IFERROR(__xludf.DUMMYFUNCTION("""COMPUTED_VALUE"""),207.95)</f>
        <v>207.95</v>
      </c>
      <c r="F85" s="2">
        <f>IFERROR(__xludf.DUMMYFUNCTION("""COMPUTED_VALUE"""),5.15462127E8)</f>
        <v>515462127</v>
      </c>
      <c r="G85" s="3">
        <f t="shared" si="1"/>
        <v>-0.01211401425</v>
      </c>
      <c r="H85" s="2">
        <f t="shared" si="2"/>
        <v>1137.022254</v>
      </c>
    </row>
    <row r="86">
      <c r="A86" s="1">
        <f>IFERROR(__xludf.DUMMYFUNCTION("""COMPUTED_VALUE"""),42230.66666666667)</f>
        <v>42230.66667</v>
      </c>
      <c r="B86" s="2">
        <f>IFERROR(__xludf.DUMMYFUNCTION("""COMPUTED_VALUE"""),209.28)</f>
        <v>209.28</v>
      </c>
      <c r="C86" s="2">
        <f>IFERROR(__xludf.DUMMYFUNCTION("""COMPUTED_VALUE"""),210.67)</f>
        <v>210.67</v>
      </c>
      <c r="D86" s="2">
        <f>IFERROR(__xludf.DUMMYFUNCTION("""COMPUTED_VALUE"""),205.36)</f>
        <v>205.36</v>
      </c>
      <c r="E86" s="2">
        <f>IFERROR(__xludf.DUMMYFUNCTION("""COMPUTED_VALUE"""),209.42)</f>
        <v>209.42</v>
      </c>
      <c r="F86" s="2">
        <f>IFERROR(__xludf.DUMMYFUNCTION("""COMPUTED_VALUE"""),5.40645506E8)</f>
        <v>540645506</v>
      </c>
      <c r="G86" s="3">
        <f t="shared" si="1"/>
        <v>0.007069006973</v>
      </c>
      <c r="H86" s="2">
        <f t="shared" si="2"/>
        <v>1145.059872</v>
      </c>
    </row>
    <row r="87">
      <c r="A87" s="1">
        <f>IFERROR(__xludf.DUMMYFUNCTION("""COMPUTED_VALUE"""),42237.66666666667)</f>
        <v>42237.66667</v>
      </c>
      <c r="B87" s="2">
        <f>IFERROR(__xludf.DUMMYFUNCTION("""COMPUTED_VALUE"""),208.71)</f>
        <v>208.71</v>
      </c>
      <c r="C87" s="2">
        <f>IFERROR(__xludf.DUMMYFUNCTION("""COMPUTED_VALUE"""),210.68)</f>
        <v>210.68</v>
      </c>
      <c r="D87" s="2">
        <f>IFERROR(__xludf.DUMMYFUNCTION("""COMPUTED_VALUE"""),197.52)</f>
        <v>197.52</v>
      </c>
      <c r="E87" s="2">
        <f>IFERROR(__xludf.DUMMYFUNCTION("""COMPUTED_VALUE"""),197.63)</f>
        <v>197.63</v>
      </c>
      <c r="F87" s="2">
        <f>IFERROR(__xludf.DUMMYFUNCTION("""COMPUTED_VALUE"""),8.64627649E8)</f>
        <v>864627649</v>
      </c>
      <c r="G87" s="3">
        <f t="shared" si="1"/>
        <v>-0.05629834782</v>
      </c>
      <c r="H87" s="2">
        <f t="shared" si="2"/>
        <v>1080.594893</v>
      </c>
    </row>
    <row r="88">
      <c r="A88" s="1">
        <f>IFERROR(__xludf.DUMMYFUNCTION("""COMPUTED_VALUE"""),42244.66666666667)</f>
        <v>42244.66667</v>
      </c>
      <c r="B88" s="2">
        <f>IFERROR(__xludf.DUMMYFUNCTION("""COMPUTED_VALUE"""),187.49)</f>
        <v>187.49</v>
      </c>
      <c r="C88" s="2">
        <f>IFERROR(__xludf.DUMMYFUNCTION("""COMPUTED_VALUE"""),199.84)</f>
        <v>199.84</v>
      </c>
      <c r="D88" s="2">
        <f>IFERROR(__xludf.DUMMYFUNCTION("""COMPUTED_VALUE"""),182.4)</f>
        <v>182.4</v>
      </c>
      <c r="E88" s="2">
        <f>IFERROR(__xludf.DUMMYFUNCTION("""COMPUTED_VALUE"""),199.28)</f>
        <v>199.28</v>
      </c>
      <c r="F88" s="2">
        <f>IFERROR(__xludf.DUMMYFUNCTION("""COMPUTED_VALUE"""),1.650892648E9)</f>
        <v>1650892648</v>
      </c>
      <c r="G88" s="3">
        <f t="shared" si="1"/>
        <v>0.008348934878</v>
      </c>
      <c r="H88" s="2">
        <f t="shared" si="2"/>
        <v>1089.616709</v>
      </c>
    </row>
    <row r="89">
      <c r="A89" s="1">
        <f>IFERROR(__xludf.DUMMYFUNCTION("""COMPUTED_VALUE"""),42251.66666666667)</f>
        <v>42251.66667</v>
      </c>
      <c r="B89" s="2">
        <f>IFERROR(__xludf.DUMMYFUNCTION("""COMPUTED_VALUE"""),198.11)</f>
        <v>198.11</v>
      </c>
      <c r="C89" s="2">
        <f>IFERROR(__xludf.DUMMYFUNCTION("""COMPUTED_VALUE"""),199.13)</f>
        <v>199.13</v>
      </c>
      <c r="D89" s="2">
        <f>IFERROR(__xludf.DUMMYFUNCTION("""COMPUTED_VALUE"""),190.73)</f>
        <v>190.73</v>
      </c>
      <c r="E89" s="2">
        <f>IFERROR(__xludf.DUMMYFUNCTION("""COMPUTED_VALUE"""),192.59)</f>
        <v>192.59</v>
      </c>
      <c r="F89" s="2">
        <f>IFERROR(__xludf.DUMMYFUNCTION("""COMPUTED_VALUE"""),9.38737336E8)</f>
        <v>938737336</v>
      </c>
      <c r="G89" s="3">
        <f t="shared" si="1"/>
        <v>-0.03357085508</v>
      </c>
      <c r="H89" s="2">
        <f t="shared" si="2"/>
        <v>1053.037345</v>
      </c>
    </row>
    <row r="90">
      <c r="A90" s="1">
        <f>IFERROR(__xludf.DUMMYFUNCTION("""COMPUTED_VALUE"""),42258.66666666667)</f>
        <v>42258.66667</v>
      </c>
      <c r="B90" s="2">
        <f>IFERROR(__xludf.DUMMYFUNCTION("""COMPUTED_VALUE"""),195.94)</f>
        <v>195.94</v>
      </c>
      <c r="C90" s="2">
        <f>IFERROR(__xludf.DUMMYFUNCTION("""COMPUTED_VALUE"""),199.47)</f>
        <v>199.47</v>
      </c>
      <c r="D90" s="2">
        <f>IFERROR(__xludf.DUMMYFUNCTION("""COMPUTED_VALUE"""),194.25)</f>
        <v>194.25</v>
      </c>
      <c r="E90" s="2">
        <f>IFERROR(__xludf.DUMMYFUNCTION("""COMPUTED_VALUE"""),196.74)</f>
        <v>196.74</v>
      </c>
      <c r="F90" s="2">
        <f>IFERROR(__xludf.DUMMYFUNCTION("""COMPUTED_VALUE"""),5.43675749E8)</f>
        <v>543675749</v>
      </c>
      <c r="G90" s="3">
        <f t="shared" si="1"/>
        <v>0.021548367</v>
      </c>
      <c r="H90" s="2">
        <f t="shared" si="2"/>
        <v>1075.72858</v>
      </c>
    </row>
    <row r="91">
      <c r="A91" s="1">
        <f>IFERROR(__xludf.DUMMYFUNCTION("""COMPUTED_VALUE"""),42265.66666666667)</f>
        <v>42265.66667</v>
      </c>
      <c r="B91" s="2">
        <f>IFERROR(__xludf.DUMMYFUNCTION("""COMPUTED_VALUE"""),196.95)</f>
        <v>196.95</v>
      </c>
      <c r="C91" s="2">
        <f>IFERROR(__xludf.DUMMYFUNCTION("""COMPUTED_VALUE"""),202.89)</f>
        <v>202.89</v>
      </c>
      <c r="D91" s="2">
        <f>IFERROR(__xludf.DUMMYFUNCTION("""COMPUTED_VALUE"""),194.96)</f>
        <v>194.96</v>
      </c>
      <c r="E91" s="2">
        <f>IFERROR(__xludf.DUMMYFUNCTION("""COMPUTED_VALUE"""),195.45)</f>
        <v>195.45</v>
      </c>
      <c r="F91" s="2">
        <f>IFERROR(__xludf.DUMMYFUNCTION("""COMPUTED_VALUE"""),7.9254379E8)</f>
        <v>792543790</v>
      </c>
      <c r="G91" s="3">
        <f t="shared" si="1"/>
        <v>-0.006556877097</v>
      </c>
      <c r="H91" s="2">
        <f t="shared" si="2"/>
        <v>1068.67516</v>
      </c>
    </row>
    <row r="92">
      <c r="A92" s="1">
        <f>IFERROR(__xludf.DUMMYFUNCTION("""COMPUTED_VALUE"""),42272.66666666667)</f>
        <v>42272.66667</v>
      </c>
      <c r="B92" s="2">
        <f>IFERROR(__xludf.DUMMYFUNCTION("""COMPUTED_VALUE"""),196.44)</f>
        <v>196.44</v>
      </c>
      <c r="C92" s="2">
        <f>IFERROR(__xludf.DUMMYFUNCTION("""COMPUTED_VALUE"""),197.68)</f>
        <v>197.68</v>
      </c>
      <c r="D92" s="2">
        <f>IFERROR(__xludf.DUMMYFUNCTION("""COMPUTED_VALUE"""),190.56)</f>
        <v>190.56</v>
      </c>
      <c r="E92" s="2">
        <f>IFERROR(__xludf.DUMMYFUNCTION("""COMPUTED_VALUE"""),192.85)</f>
        <v>192.85</v>
      </c>
      <c r="F92" s="2">
        <f>IFERROR(__xludf.DUMMYFUNCTION("""COMPUTED_VALUE"""),6.66841322E8)</f>
        <v>666841322</v>
      </c>
      <c r="G92" s="3">
        <f t="shared" si="1"/>
        <v>-0.01330263494</v>
      </c>
      <c r="H92" s="2">
        <f t="shared" si="2"/>
        <v>1054.458964</v>
      </c>
    </row>
    <row r="93">
      <c r="A93" s="1">
        <f>IFERROR(__xludf.DUMMYFUNCTION("""COMPUTED_VALUE"""),42279.66666666667)</f>
        <v>42279.66667</v>
      </c>
      <c r="B93" s="2">
        <f>IFERROR(__xludf.DUMMYFUNCTION("""COMPUTED_VALUE"""),191.78)</f>
        <v>191.78</v>
      </c>
      <c r="C93" s="2">
        <f>IFERROR(__xludf.DUMMYFUNCTION("""COMPUTED_VALUE"""),195.03)</f>
        <v>195.03</v>
      </c>
      <c r="D93" s="2">
        <f>IFERROR(__xludf.DUMMYFUNCTION("""COMPUTED_VALUE"""),186.93)</f>
        <v>186.93</v>
      </c>
      <c r="E93" s="2">
        <f>IFERROR(__xludf.DUMMYFUNCTION("""COMPUTED_VALUE"""),195.0)</f>
        <v>195</v>
      </c>
      <c r="F93" s="2">
        <f>IFERROR(__xludf.DUMMYFUNCTION("""COMPUTED_VALUE"""),8.43095793E8)</f>
        <v>843095793</v>
      </c>
      <c r="G93" s="3">
        <f t="shared" si="1"/>
        <v>0.01114856106</v>
      </c>
      <c r="H93" s="2">
        <f t="shared" si="2"/>
        <v>1066.214665</v>
      </c>
    </row>
    <row r="94">
      <c r="A94" s="1">
        <f>IFERROR(__xludf.DUMMYFUNCTION("""COMPUTED_VALUE"""),42286.66666666667)</f>
        <v>42286.66667</v>
      </c>
      <c r="B94" s="2">
        <f>IFERROR(__xludf.DUMMYFUNCTION("""COMPUTED_VALUE"""),196.46)</f>
        <v>196.46</v>
      </c>
      <c r="C94" s="2">
        <f>IFERROR(__xludf.DUMMYFUNCTION("""COMPUTED_VALUE"""),201.9)</f>
        <v>201.9</v>
      </c>
      <c r="D94" s="2">
        <f>IFERROR(__xludf.DUMMYFUNCTION("""COMPUTED_VALUE"""),196.33)</f>
        <v>196.33</v>
      </c>
      <c r="E94" s="2">
        <f>IFERROR(__xludf.DUMMYFUNCTION("""COMPUTED_VALUE"""),201.33)</f>
        <v>201.33</v>
      </c>
      <c r="F94" s="2">
        <f>IFERROR(__xludf.DUMMYFUNCTION("""COMPUTED_VALUE"""),6.21027138E8)</f>
        <v>621027138</v>
      </c>
      <c r="G94" s="3">
        <f t="shared" si="1"/>
        <v>0.03246153846</v>
      </c>
      <c r="H94" s="2">
        <f t="shared" si="2"/>
        <v>1100.825633</v>
      </c>
    </row>
    <row r="95">
      <c r="A95" s="1">
        <f>IFERROR(__xludf.DUMMYFUNCTION("""COMPUTED_VALUE"""),42293.66666666667)</f>
        <v>42293.66667</v>
      </c>
      <c r="B95" s="2">
        <f>IFERROR(__xludf.DUMMYFUNCTION("""COMPUTED_VALUE"""),201.42)</f>
        <v>201.42</v>
      </c>
      <c r="C95" s="2">
        <f>IFERROR(__xludf.DUMMYFUNCTION("""COMPUTED_VALUE"""),203.29)</f>
        <v>203.29</v>
      </c>
      <c r="D95" s="2">
        <f>IFERROR(__xludf.DUMMYFUNCTION("""COMPUTED_VALUE"""),198.94)</f>
        <v>198.94</v>
      </c>
      <c r="E95" s="2">
        <f>IFERROR(__xludf.DUMMYFUNCTION("""COMPUTED_VALUE"""),203.27)</f>
        <v>203.27</v>
      </c>
      <c r="F95" s="2">
        <f>IFERROR(__xludf.DUMMYFUNCTION("""COMPUTED_VALUE"""),4.92262711E8)</f>
        <v>492262711</v>
      </c>
      <c r="G95" s="3">
        <f t="shared" si="1"/>
        <v>0.009635921125</v>
      </c>
      <c r="H95" s="2">
        <f t="shared" si="2"/>
        <v>1111.433102</v>
      </c>
    </row>
    <row r="96">
      <c r="A96" s="1">
        <f>IFERROR(__xludf.DUMMYFUNCTION("""COMPUTED_VALUE"""),42300.66666666667)</f>
        <v>42300.66667</v>
      </c>
      <c r="B96" s="2">
        <f>IFERROR(__xludf.DUMMYFUNCTION("""COMPUTED_VALUE"""),202.5)</f>
        <v>202.5</v>
      </c>
      <c r="C96" s="2">
        <f>IFERROR(__xludf.DUMMYFUNCTION("""COMPUTED_VALUE"""),207.95)</f>
        <v>207.95</v>
      </c>
      <c r="D96" s="2">
        <f>IFERROR(__xludf.DUMMYFUNCTION("""COMPUTED_VALUE"""),201.65)</f>
        <v>201.65</v>
      </c>
      <c r="E96" s="2">
        <f>IFERROR(__xludf.DUMMYFUNCTION("""COMPUTED_VALUE"""),207.51)</f>
        <v>207.51</v>
      </c>
      <c r="F96" s="2">
        <f>IFERROR(__xludf.DUMMYFUNCTION("""COMPUTED_VALUE"""),5.76364477E8)</f>
        <v>576364477</v>
      </c>
      <c r="G96" s="3">
        <f t="shared" si="1"/>
        <v>0.02085895607</v>
      </c>
      <c r="H96" s="2">
        <f t="shared" si="2"/>
        <v>1134.616436</v>
      </c>
    </row>
    <row r="97">
      <c r="A97" s="1">
        <f>IFERROR(__xludf.DUMMYFUNCTION("""COMPUTED_VALUE"""),42307.66666666667)</f>
        <v>42307.66667</v>
      </c>
      <c r="B97" s="2">
        <f>IFERROR(__xludf.DUMMYFUNCTION("""COMPUTED_VALUE"""),207.3)</f>
        <v>207.3</v>
      </c>
      <c r="C97" s="2">
        <f>IFERROR(__xludf.DUMMYFUNCTION("""COMPUTED_VALUE"""),209.44)</f>
        <v>209.44</v>
      </c>
      <c r="D97" s="2">
        <f>IFERROR(__xludf.DUMMYFUNCTION("""COMPUTED_VALUE"""),205.79)</f>
        <v>205.79</v>
      </c>
      <c r="E97" s="2">
        <f>IFERROR(__xludf.DUMMYFUNCTION("""COMPUTED_VALUE"""),207.93)</f>
        <v>207.93</v>
      </c>
      <c r="F97" s="2">
        <f>IFERROR(__xludf.DUMMYFUNCTION("""COMPUTED_VALUE"""),5.044459E8)</f>
        <v>504445900</v>
      </c>
      <c r="G97" s="3">
        <f t="shared" si="1"/>
        <v>0.002023998843</v>
      </c>
      <c r="H97" s="2">
        <f t="shared" si="2"/>
        <v>1136.912898</v>
      </c>
    </row>
    <row r="98">
      <c r="A98" s="1">
        <f>IFERROR(__xludf.DUMMYFUNCTION("""COMPUTED_VALUE"""),42314.66666666667)</f>
        <v>42314.66667</v>
      </c>
      <c r="B98" s="2">
        <f>IFERROR(__xludf.DUMMYFUNCTION("""COMPUTED_VALUE"""),208.32)</f>
        <v>208.32</v>
      </c>
      <c r="C98" s="2">
        <f>IFERROR(__xludf.DUMMYFUNCTION("""COMPUTED_VALUE"""),211.66)</f>
        <v>211.66</v>
      </c>
      <c r="D98" s="2">
        <f>IFERROR(__xludf.DUMMYFUNCTION("""COMPUTED_VALUE"""),208.17)</f>
        <v>208.17</v>
      </c>
      <c r="E98" s="2">
        <f>IFERROR(__xludf.DUMMYFUNCTION("""COMPUTED_VALUE"""),210.04)</f>
        <v>210.04</v>
      </c>
      <c r="F98" s="2">
        <f>IFERROR(__xludf.DUMMYFUNCTION("""COMPUTED_VALUE"""),4.66621557E8)</f>
        <v>466621557</v>
      </c>
      <c r="G98" s="3">
        <f t="shared" si="1"/>
        <v>0.01014764584</v>
      </c>
      <c r="H98" s="2">
        <f t="shared" si="2"/>
        <v>1148.449888</v>
      </c>
    </row>
    <row r="99">
      <c r="A99" s="1">
        <f>IFERROR(__xludf.DUMMYFUNCTION("""COMPUTED_VALUE"""),42321.66666666667)</f>
        <v>42321.66667</v>
      </c>
      <c r="B99" s="2">
        <f>IFERROR(__xludf.DUMMYFUNCTION("""COMPUTED_VALUE"""),209.31)</f>
        <v>209.31</v>
      </c>
      <c r="C99" s="2">
        <f>IFERROR(__xludf.DUMMYFUNCTION("""COMPUTED_VALUE"""),209.49)</f>
        <v>209.49</v>
      </c>
      <c r="D99" s="2">
        <f>IFERROR(__xludf.DUMMYFUNCTION("""COMPUTED_VALUE"""),202.44)</f>
        <v>202.44</v>
      </c>
      <c r="E99" s="2">
        <f>IFERROR(__xludf.DUMMYFUNCTION("""COMPUTED_VALUE"""),202.54)</f>
        <v>202.54</v>
      </c>
      <c r="F99" s="2">
        <f>IFERROR(__xludf.DUMMYFUNCTION("""COMPUTED_VALUE"""),5.49621483E8)</f>
        <v>549621483</v>
      </c>
      <c r="G99" s="3">
        <f t="shared" si="1"/>
        <v>-0.03570748429</v>
      </c>
      <c r="H99" s="2">
        <f t="shared" si="2"/>
        <v>1107.441632</v>
      </c>
    </row>
    <row r="100">
      <c r="A100" s="1">
        <f>IFERROR(__xludf.DUMMYFUNCTION("""COMPUTED_VALUE"""),42328.66666666667)</f>
        <v>42328.66667</v>
      </c>
      <c r="B100" s="2">
        <f>IFERROR(__xludf.DUMMYFUNCTION("""COMPUTED_VALUE"""),202.32)</f>
        <v>202.32</v>
      </c>
      <c r="C100" s="2">
        <f>IFERROR(__xludf.DUMMYFUNCTION("""COMPUTED_VALUE"""),210.12)</f>
        <v>210.12</v>
      </c>
      <c r="D100" s="2">
        <f>IFERROR(__xludf.DUMMYFUNCTION("""COMPUTED_VALUE"""),202.18)</f>
        <v>202.18</v>
      </c>
      <c r="E100" s="2">
        <f>IFERROR(__xludf.DUMMYFUNCTION("""COMPUTED_VALUE"""),209.31)</f>
        <v>209.31</v>
      </c>
      <c r="F100" s="2">
        <f>IFERROR(__xludf.DUMMYFUNCTION("""COMPUTED_VALUE"""),5.42281618E8)</f>
        <v>542281618</v>
      </c>
      <c r="G100" s="3">
        <f t="shared" si="1"/>
        <v>0.0334254962</v>
      </c>
      <c r="H100" s="2">
        <f t="shared" si="2"/>
        <v>1144.458418</v>
      </c>
    </row>
    <row r="101">
      <c r="A101" s="1">
        <f>IFERROR(__xludf.DUMMYFUNCTION("""COMPUTED_VALUE"""),42335.66666666667)</f>
        <v>42335.66667</v>
      </c>
      <c r="B101" s="2">
        <f>IFERROR(__xludf.DUMMYFUNCTION("""COMPUTED_VALUE"""),209.38)</f>
        <v>209.38</v>
      </c>
      <c r="C101" s="2">
        <f>IFERROR(__xludf.DUMMYFUNCTION("""COMPUTED_VALUE"""),209.98)</f>
        <v>209.98</v>
      </c>
      <c r="D101" s="2">
        <f>IFERROR(__xludf.DUMMYFUNCTION("""COMPUTED_VALUE"""),207.41)</f>
        <v>207.41</v>
      </c>
      <c r="E101" s="2">
        <f>IFERROR(__xludf.DUMMYFUNCTION("""COMPUTED_VALUE"""),209.56)</f>
        <v>209.56</v>
      </c>
      <c r="F101" s="2">
        <f>IFERROR(__xludf.DUMMYFUNCTION("""COMPUTED_VALUE"""),2.53103378E8)</f>
        <v>253103378</v>
      </c>
      <c r="G101" s="3">
        <f t="shared" si="1"/>
        <v>0.00119440065</v>
      </c>
      <c r="H101" s="2">
        <f t="shared" si="2"/>
        <v>1145.82536</v>
      </c>
    </row>
    <row r="102">
      <c r="A102" s="1">
        <f>IFERROR(__xludf.DUMMYFUNCTION("""COMPUTED_VALUE"""),42342.66666666667)</f>
        <v>42342.66667</v>
      </c>
      <c r="B102" s="2">
        <f>IFERROR(__xludf.DUMMYFUNCTION("""COMPUTED_VALUE"""),209.75)</f>
        <v>209.75</v>
      </c>
      <c r="C102" s="2">
        <f>IFERROR(__xludf.DUMMYFUNCTION("""COMPUTED_VALUE"""),211.0)</f>
        <v>211</v>
      </c>
      <c r="D102" s="2">
        <f>IFERROR(__xludf.DUMMYFUNCTION("""COMPUTED_VALUE"""),204.75)</f>
        <v>204.75</v>
      </c>
      <c r="E102" s="2">
        <f>IFERROR(__xludf.DUMMYFUNCTION("""COMPUTED_VALUE"""),209.62)</f>
        <v>209.62</v>
      </c>
      <c r="F102" s="2">
        <f>IFERROR(__xludf.DUMMYFUNCTION("""COMPUTED_VALUE"""),6.7826041E8)</f>
        <v>678260410</v>
      </c>
      <c r="G102" s="3">
        <f t="shared" si="1"/>
        <v>0.0002863141821</v>
      </c>
      <c r="H102" s="2">
        <f t="shared" si="2"/>
        <v>1146.153426</v>
      </c>
    </row>
    <row r="103">
      <c r="A103" s="1">
        <f>IFERROR(__xludf.DUMMYFUNCTION("""COMPUTED_VALUE"""),42349.66666666667)</f>
        <v>42349.66667</v>
      </c>
      <c r="B103" s="2">
        <f>IFERROR(__xludf.DUMMYFUNCTION("""COMPUTED_VALUE"""),209.23)</f>
        <v>209.23</v>
      </c>
      <c r="C103" s="2">
        <f>IFERROR(__xludf.DUMMYFUNCTION("""COMPUTED_VALUE"""),209.73)</f>
        <v>209.73</v>
      </c>
      <c r="D103" s="2">
        <f>IFERROR(__xludf.DUMMYFUNCTION("""COMPUTED_VALUE"""),201.51)</f>
        <v>201.51</v>
      </c>
      <c r="E103" s="2">
        <f>IFERROR(__xludf.DUMMYFUNCTION("""COMPUTED_VALUE"""),201.88)</f>
        <v>201.88</v>
      </c>
      <c r="F103" s="2">
        <f>IFERROR(__xludf.DUMMYFUNCTION("""COMPUTED_VALUE"""),6.95103204E8)</f>
        <v>695103204</v>
      </c>
      <c r="G103" s="3">
        <f t="shared" si="1"/>
        <v>-0.03692395764</v>
      </c>
      <c r="H103" s="2">
        <f t="shared" si="2"/>
        <v>1103.832905</v>
      </c>
    </row>
    <row r="104">
      <c r="A104" s="1">
        <f>IFERROR(__xludf.DUMMYFUNCTION("""COMPUTED_VALUE"""),42356.66666666667)</f>
        <v>42356.66667</v>
      </c>
      <c r="B104" s="2">
        <f>IFERROR(__xludf.DUMMYFUNCTION("""COMPUTED_VALUE"""),202.07)</f>
        <v>202.07</v>
      </c>
      <c r="C104" s="2">
        <f>IFERROR(__xludf.DUMMYFUNCTION("""COMPUTED_VALUE"""),208.48)</f>
        <v>208.48</v>
      </c>
      <c r="D104" s="2">
        <f>IFERROR(__xludf.DUMMYFUNCTION("""COMPUTED_VALUE"""),199.83)</f>
        <v>199.83</v>
      </c>
      <c r="E104" s="2">
        <f>IFERROR(__xludf.DUMMYFUNCTION("""COMPUTED_VALUE"""),200.02)</f>
        <v>200.02</v>
      </c>
      <c r="F104" s="2">
        <f>IFERROR(__xludf.DUMMYFUNCTION("""COMPUTED_VALUE"""),9.57957765E8)</f>
        <v>957957765</v>
      </c>
      <c r="G104" s="3">
        <f t="shared" si="1"/>
        <v>-0.009213394096</v>
      </c>
      <c r="H104" s="2">
        <f t="shared" si="2"/>
        <v>1093.662857</v>
      </c>
    </row>
    <row r="105">
      <c r="A105" s="1">
        <f>IFERROR(__xludf.DUMMYFUNCTION("""COMPUTED_VALUE"""),42362.66666666667)</f>
        <v>42362.66667</v>
      </c>
      <c r="B105" s="2">
        <f>IFERROR(__xludf.DUMMYFUNCTION("""COMPUTED_VALUE"""),201.41)</f>
        <v>201.41</v>
      </c>
      <c r="C105" s="2">
        <f>IFERROR(__xludf.DUMMYFUNCTION("""COMPUTED_VALUE"""),206.33)</f>
        <v>206.33</v>
      </c>
      <c r="D105" s="2">
        <f>IFERROR(__xludf.DUMMYFUNCTION("""COMPUTED_VALUE"""),200.09)</f>
        <v>200.09</v>
      </c>
      <c r="E105" s="2">
        <f>IFERROR(__xludf.DUMMYFUNCTION("""COMPUTED_VALUE"""),205.68)</f>
        <v>205.68</v>
      </c>
      <c r="F105" s="2">
        <f>IFERROR(__xludf.DUMMYFUNCTION("""COMPUTED_VALUE"""),3.69649914E8)</f>
        <v>369649914</v>
      </c>
      <c r="G105" s="3">
        <f t="shared" si="1"/>
        <v>0.02829717028</v>
      </c>
      <c r="H105" s="2">
        <f t="shared" si="2"/>
        <v>1124.610422</v>
      </c>
    </row>
    <row r="106">
      <c r="A106" s="1">
        <f>IFERROR(__xludf.DUMMYFUNCTION("""COMPUTED_VALUE"""),42369.66666666667)</f>
        <v>42369.66667</v>
      </c>
      <c r="B106" s="2">
        <f>IFERROR(__xludf.DUMMYFUNCTION("""COMPUTED_VALUE"""),204.86)</f>
        <v>204.86</v>
      </c>
      <c r="C106" s="2">
        <f>IFERROR(__xludf.DUMMYFUNCTION("""COMPUTED_VALUE"""),207.79)</f>
        <v>207.79</v>
      </c>
      <c r="D106" s="2">
        <f>IFERROR(__xludf.DUMMYFUNCTION("""COMPUTED_VALUE"""),203.87)</f>
        <v>203.87</v>
      </c>
      <c r="E106" s="2">
        <f>IFERROR(__xludf.DUMMYFUNCTION("""COMPUTED_VALUE"""),203.87)</f>
        <v>203.87</v>
      </c>
      <c r="F106" s="2">
        <f>IFERROR(__xludf.DUMMYFUNCTION("""COMPUTED_VALUE"""),3.36736149E8)</f>
        <v>336736149</v>
      </c>
      <c r="G106" s="3">
        <f t="shared" si="1"/>
        <v>-0.008800077791</v>
      </c>
      <c r="H106" s="2">
        <f t="shared" si="2"/>
        <v>1114.713762</v>
      </c>
    </row>
    <row r="107">
      <c r="A107" s="1">
        <f>IFERROR(__xludf.DUMMYFUNCTION("""COMPUTED_VALUE"""),42377.66666666667)</f>
        <v>42377.66667</v>
      </c>
      <c r="B107" s="2">
        <f>IFERROR(__xludf.DUMMYFUNCTION("""COMPUTED_VALUE"""),200.49)</f>
        <v>200.49</v>
      </c>
      <c r="C107" s="2">
        <f>IFERROR(__xludf.DUMMYFUNCTION("""COMPUTED_VALUE"""),201.9)</f>
        <v>201.9</v>
      </c>
      <c r="D107" s="2">
        <f>IFERROR(__xludf.DUMMYFUNCTION("""COMPUTED_VALUE"""),191.58)</f>
        <v>191.58</v>
      </c>
      <c r="E107" s="2">
        <f>IFERROR(__xludf.DUMMYFUNCTION("""COMPUTED_VALUE"""),191.92)</f>
        <v>191.92</v>
      </c>
      <c r="F107" s="2">
        <f>IFERROR(__xludf.DUMMYFUNCTION("""COMPUTED_VALUE"""),9.08565288E8)</f>
        <v>908565288</v>
      </c>
      <c r="G107" s="3">
        <f t="shared" si="1"/>
        <v>-0.05861578457</v>
      </c>
      <c r="H107" s="2">
        <f t="shared" si="2"/>
        <v>1049.373941</v>
      </c>
    </row>
    <row r="108">
      <c r="A108" s="1">
        <f>IFERROR(__xludf.DUMMYFUNCTION("""COMPUTED_VALUE"""),42384.66666666667)</f>
        <v>42384.66667</v>
      </c>
      <c r="B108" s="2">
        <f>IFERROR(__xludf.DUMMYFUNCTION("""COMPUTED_VALUE"""),193.01)</f>
        <v>193.01</v>
      </c>
      <c r="C108" s="2">
        <f>IFERROR(__xludf.DUMMYFUNCTION("""COMPUTED_VALUE"""),194.86)</f>
        <v>194.86</v>
      </c>
      <c r="D108" s="2">
        <f>IFERROR(__xludf.DUMMYFUNCTION("""COMPUTED_VALUE"""),185.52)</f>
        <v>185.52</v>
      </c>
      <c r="E108" s="2">
        <f>IFERROR(__xludf.DUMMYFUNCTION("""COMPUTED_VALUE"""),187.81)</f>
        <v>187.81</v>
      </c>
      <c r="F108" s="2">
        <f>IFERROR(__xludf.DUMMYFUNCTION("""COMPUTED_VALUE"""),1.147082755E9)</f>
        <v>1147082755</v>
      </c>
      <c r="G108" s="3">
        <f t="shared" si="1"/>
        <v>-0.02141517299</v>
      </c>
      <c r="H108" s="2">
        <f t="shared" si="2"/>
        <v>1026.901416</v>
      </c>
    </row>
    <row r="109">
      <c r="A109" s="1">
        <f>IFERROR(__xludf.DUMMYFUNCTION("""COMPUTED_VALUE"""),42391.66666666667)</f>
        <v>42391.66667</v>
      </c>
      <c r="B109" s="2">
        <f>IFERROR(__xludf.DUMMYFUNCTION("""COMPUTED_VALUE"""),189.96)</f>
        <v>189.96</v>
      </c>
      <c r="C109" s="2">
        <f>IFERROR(__xludf.DUMMYFUNCTION("""COMPUTED_VALUE"""),190.76)</f>
        <v>190.76</v>
      </c>
      <c r="D109" s="2">
        <f>IFERROR(__xludf.DUMMYFUNCTION("""COMPUTED_VALUE"""),181.02)</f>
        <v>181.02</v>
      </c>
      <c r="E109" s="2">
        <f>IFERROR(__xludf.DUMMYFUNCTION("""COMPUTED_VALUE"""),190.52)</f>
        <v>190.52</v>
      </c>
      <c r="F109" s="2">
        <f>IFERROR(__xludf.DUMMYFUNCTION("""COMPUTED_VALUE"""),8.45884751E8)</f>
        <v>845884751</v>
      </c>
      <c r="G109" s="3">
        <f t="shared" si="1"/>
        <v>0.0144294766</v>
      </c>
      <c r="H109" s="2">
        <f t="shared" si="2"/>
        <v>1041.719066</v>
      </c>
    </row>
    <row r="110">
      <c r="A110" s="1">
        <f>IFERROR(__xludf.DUMMYFUNCTION("""COMPUTED_VALUE"""),42398.66666666667)</f>
        <v>42398.66667</v>
      </c>
      <c r="B110" s="2">
        <f>IFERROR(__xludf.DUMMYFUNCTION("""COMPUTED_VALUE"""),189.92)</f>
        <v>189.92</v>
      </c>
      <c r="C110" s="2">
        <f>IFERROR(__xludf.DUMMYFUNCTION("""COMPUTED_VALUE"""),193.88)</f>
        <v>193.88</v>
      </c>
      <c r="D110" s="2">
        <f>IFERROR(__xludf.DUMMYFUNCTION("""COMPUTED_VALUE"""),187.06)</f>
        <v>187.06</v>
      </c>
      <c r="E110" s="2">
        <f>IFERROR(__xludf.DUMMYFUNCTION("""COMPUTED_VALUE"""),193.72)</f>
        <v>193.72</v>
      </c>
      <c r="F110" s="2">
        <f>IFERROR(__xludf.DUMMYFUNCTION("""COMPUTED_VALUE"""),8.11418266E8)</f>
        <v>811418266</v>
      </c>
      <c r="G110" s="3">
        <f t="shared" si="1"/>
        <v>0.01679613689</v>
      </c>
      <c r="H110" s="2">
        <f t="shared" si="2"/>
        <v>1059.215922</v>
      </c>
    </row>
    <row r="111">
      <c r="A111" s="1">
        <f>IFERROR(__xludf.DUMMYFUNCTION("""COMPUTED_VALUE"""),42405.66666666667)</f>
        <v>42405.66667</v>
      </c>
      <c r="B111" s="2">
        <f>IFERROR(__xludf.DUMMYFUNCTION("""COMPUTED_VALUE"""),192.53)</f>
        <v>192.53</v>
      </c>
      <c r="C111" s="2">
        <f>IFERROR(__xludf.DUMMYFUNCTION("""COMPUTED_VALUE"""),194.58)</f>
        <v>194.58</v>
      </c>
      <c r="D111" s="2">
        <f>IFERROR(__xludf.DUMMYFUNCTION("""COMPUTED_VALUE"""),187.1)</f>
        <v>187.1</v>
      </c>
      <c r="E111" s="2">
        <f>IFERROR(__xludf.DUMMYFUNCTION("""COMPUTED_VALUE"""),187.95)</f>
        <v>187.95</v>
      </c>
      <c r="F111" s="2">
        <f>IFERROR(__xludf.DUMMYFUNCTION("""COMPUTED_VALUE"""),8.4400149E8)</f>
        <v>844001490</v>
      </c>
      <c r="G111" s="3">
        <f t="shared" si="1"/>
        <v>-0.02978525707</v>
      </c>
      <c r="H111" s="2">
        <f t="shared" si="2"/>
        <v>1027.666904</v>
      </c>
    </row>
    <row r="112">
      <c r="A112" s="1">
        <f>IFERROR(__xludf.DUMMYFUNCTION("""COMPUTED_VALUE"""),42412.66666666667)</f>
        <v>42412.66667</v>
      </c>
      <c r="B112" s="2">
        <f>IFERROR(__xludf.DUMMYFUNCTION("""COMPUTED_VALUE"""),185.77)</f>
        <v>185.77</v>
      </c>
      <c r="C112" s="2">
        <f>IFERROR(__xludf.DUMMYFUNCTION("""COMPUTED_VALUE"""),188.34)</f>
        <v>188.34</v>
      </c>
      <c r="D112" s="2">
        <f>IFERROR(__xludf.DUMMYFUNCTION("""COMPUTED_VALUE"""),181.09)</f>
        <v>181.09</v>
      </c>
      <c r="E112" s="2">
        <f>IFERROR(__xludf.DUMMYFUNCTION("""COMPUTED_VALUE"""),186.63)</f>
        <v>186.63</v>
      </c>
      <c r="F112" s="2">
        <f>IFERROR(__xludf.DUMMYFUNCTION("""COMPUTED_VALUE"""),8.70945165E8)</f>
        <v>870945165</v>
      </c>
      <c r="G112" s="3">
        <f t="shared" si="1"/>
        <v>-0.007023144453</v>
      </c>
      <c r="H112" s="2">
        <f t="shared" si="2"/>
        <v>1020.44945</v>
      </c>
    </row>
    <row r="113">
      <c r="A113" s="1">
        <f>IFERROR(__xludf.DUMMYFUNCTION("""COMPUTED_VALUE"""),42419.66666666667)</f>
        <v>42419.66667</v>
      </c>
      <c r="B113" s="2">
        <f>IFERROR(__xludf.DUMMYFUNCTION("""COMPUTED_VALUE"""),188.77)</f>
        <v>188.77</v>
      </c>
      <c r="C113" s="2">
        <f>IFERROR(__xludf.DUMMYFUNCTION("""COMPUTED_VALUE"""),193.32)</f>
        <v>193.32</v>
      </c>
      <c r="D113" s="2">
        <f>IFERROR(__xludf.DUMMYFUNCTION("""COMPUTED_VALUE"""),187.63)</f>
        <v>187.63</v>
      </c>
      <c r="E113" s="2">
        <f>IFERROR(__xludf.DUMMYFUNCTION("""COMPUTED_VALUE"""),192.0)</f>
        <v>192</v>
      </c>
      <c r="F113" s="2">
        <f>IFERROR(__xludf.DUMMYFUNCTION("""COMPUTED_VALUE"""),4.73396149E8)</f>
        <v>473396149</v>
      </c>
      <c r="G113" s="3">
        <f t="shared" si="1"/>
        <v>0.02877350908</v>
      </c>
      <c r="H113" s="2">
        <f t="shared" si="2"/>
        <v>1049.811362</v>
      </c>
    </row>
    <row r="114">
      <c r="A114" s="1">
        <f>IFERROR(__xludf.DUMMYFUNCTION("""COMPUTED_VALUE"""),42426.66666666667)</f>
        <v>42426.66667</v>
      </c>
      <c r="B114" s="2">
        <f>IFERROR(__xludf.DUMMYFUNCTION("""COMPUTED_VALUE"""),193.87)</f>
        <v>193.87</v>
      </c>
      <c r="C114" s="2">
        <f>IFERROR(__xludf.DUMMYFUNCTION("""COMPUTED_VALUE"""),196.68)</f>
        <v>196.68</v>
      </c>
      <c r="D114" s="2">
        <f>IFERROR(__xludf.DUMMYFUNCTION("""COMPUTED_VALUE"""),189.32)</f>
        <v>189.32</v>
      </c>
      <c r="E114" s="2">
        <f>IFERROR(__xludf.DUMMYFUNCTION("""COMPUTED_VALUE"""),195.09)</f>
        <v>195.09</v>
      </c>
      <c r="F114" s="2">
        <f>IFERROR(__xludf.DUMMYFUNCTION("""COMPUTED_VALUE"""),6.06469713E8)</f>
        <v>606469713</v>
      </c>
      <c r="G114" s="3">
        <f t="shared" si="1"/>
        <v>0.01609375</v>
      </c>
      <c r="H114" s="2">
        <f t="shared" si="2"/>
        <v>1066.706764</v>
      </c>
    </row>
    <row r="115">
      <c r="A115" s="1">
        <f>IFERROR(__xludf.DUMMYFUNCTION("""COMPUTED_VALUE"""),42433.66666666667)</f>
        <v>42433.66667</v>
      </c>
      <c r="B115" s="2">
        <f>IFERROR(__xludf.DUMMYFUNCTION("""COMPUTED_VALUE"""),195.11)</f>
        <v>195.11</v>
      </c>
      <c r="C115" s="2">
        <f>IFERROR(__xludf.DUMMYFUNCTION("""COMPUTED_VALUE"""),201.35)</f>
        <v>201.35</v>
      </c>
      <c r="D115" s="2">
        <f>IFERROR(__xludf.DUMMYFUNCTION("""COMPUTED_VALUE"""),193.33)</f>
        <v>193.33</v>
      </c>
      <c r="E115" s="2">
        <f>IFERROR(__xludf.DUMMYFUNCTION("""COMPUTED_VALUE"""),200.43)</f>
        <v>200.43</v>
      </c>
      <c r="F115" s="2">
        <f>IFERROR(__xludf.DUMMYFUNCTION("""COMPUTED_VALUE"""),5.94598547E8)</f>
        <v>594598547</v>
      </c>
      <c r="G115" s="3">
        <f t="shared" si="1"/>
        <v>0.02737198216</v>
      </c>
      <c r="H115" s="2">
        <f t="shared" si="2"/>
        <v>1095.904642</v>
      </c>
    </row>
    <row r="116">
      <c r="A116" s="1">
        <f>IFERROR(__xludf.DUMMYFUNCTION("""COMPUTED_VALUE"""),42440.66666666667)</f>
        <v>42440.66667</v>
      </c>
      <c r="B116" s="2">
        <f>IFERROR(__xludf.DUMMYFUNCTION("""COMPUTED_VALUE"""),199.34)</f>
        <v>199.34</v>
      </c>
      <c r="C116" s="2">
        <f>IFERROR(__xludf.DUMMYFUNCTION("""COMPUTED_VALUE"""),202.81)</f>
        <v>202.81</v>
      </c>
      <c r="D116" s="2">
        <f>IFERROR(__xludf.DUMMYFUNCTION("""COMPUTED_VALUE"""),197.38)</f>
        <v>197.38</v>
      </c>
      <c r="E116" s="2">
        <f>IFERROR(__xludf.DUMMYFUNCTION("""COMPUTED_VALUE"""),202.76)</f>
        <v>202.76</v>
      </c>
      <c r="F116" s="2">
        <f>IFERROR(__xludf.DUMMYFUNCTION("""COMPUTED_VALUE"""),6.13798302E8)</f>
        <v>613798302</v>
      </c>
      <c r="G116" s="3">
        <f t="shared" si="1"/>
        <v>0.01162500624</v>
      </c>
      <c r="H116" s="2">
        <f t="shared" si="2"/>
        <v>1108.64454</v>
      </c>
    </row>
    <row r="117">
      <c r="A117" s="1">
        <f>IFERROR(__xludf.DUMMYFUNCTION("""COMPUTED_VALUE"""),42447.66666666667)</f>
        <v>42447.66667</v>
      </c>
      <c r="B117" s="2">
        <f>IFERROR(__xludf.DUMMYFUNCTION("""COMPUTED_VALUE"""),202.16)</f>
        <v>202.16</v>
      </c>
      <c r="C117" s="2">
        <f>IFERROR(__xludf.DUMMYFUNCTION("""COMPUTED_VALUE"""),205.23)</f>
        <v>205.23</v>
      </c>
      <c r="D117" s="2">
        <f>IFERROR(__xludf.DUMMYFUNCTION("""COMPUTED_VALUE"""),201.05)</f>
        <v>201.05</v>
      </c>
      <c r="E117" s="2">
        <f>IFERROR(__xludf.DUMMYFUNCTION("""COMPUTED_VALUE"""),204.38)</f>
        <v>204.38</v>
      </c>
      <c r="F117" s="2">
        <f>IFERROR(__xludf.DUMMYFUNCTION("""COMPUTED_VALUE"""),4.64534731E8)</f>
        <v>464534731</v>
      </c>
      <c r="G117" s="3">
        <f t="shared" si="1"/>
        <v>0.007989741566</v>
      </c>
      <c r="H117" s="2">
        <f t="shared" si="2"/>
        <v>1117.502324</v>
      </c>
    </row>
    <row r="118">
      <c r="A118" s="1">
        <f>IFERROR(__xludf.DUMMYFUNCTION("""COMPUTED_VALUE"""),42453.66666666667)</f>
        <v>42453.66667</v>
      </c>
      <c r="B118" s="2">
        <f>IFERROR(__xludf.DUMMYFUNCTION("""COMPUTED_VALUE"""),204.07)</f>
        <v>204.07</v>
      </c>
      <c r="C118" s="2">
        <f>IFERROR(__xludf.DUMMYFUNCTION("""COMPUTED_VALUE"""),205.23)</f>
        <v>205.23</v>
      </c>
      <c r="D118" s="2">
        <f>IFERROR(__xludf.DUMMYFUNCTION("""COMPUTED_VALUE"""),201.74)</f>
        <v>201.74</v>
      </c>
      <c r="E118" s="2">
        <f>IFERROR(__xludf.DUMMYFUNCTION("""COMPUTED_VALUE"""),203.12)</f>
        <v>203.12</v>
      </c>
      <c r="F118" s="2">
        <f>IFERROR(__xludf.DUMMYFUNCTION("""COMPUTED_VALUE"""),3.35811906E8)</f>
        <v>335811906</v>
      </c>
      <c r="G118" s="3">
        <f t="shared" si="1"/>
        <v>-0.006164986789</v>
      </c>
      <c r="H118" s="2">
        <f t="shared" si="2"/>
        <v>1110.612937</v>
      </c>
    </row>
    <row r="119">
      <c r="A119" s="1">
        <f>IFERROR(__xludf.DUMMYFUNCTION("""COMPUTED_VALUE"""),42461.66666666667)</f>
        <v>42461.66667</v>
      </c>
      <c r="B119" s="2">
        <f>IFERROR(__xludf.DUMMYFUNCTION("""COMPUTED_VALUE"""),203.61)</f>
        <v>203.61</v>
      </c>
      <c r="C119" s="2">
        <f>IFERROR(__xludf.DUMMYFUNCTION("""COMPUTED_VALUE"""),207.14)</f>
        <v>207.14</v>
      </c>
      <c r="D119" s="2">
        <f>IFERROR(__xludf.DUMMYFUNCTION("""COMPUTED_VALUE"""),202.4)</f>
        <v>202.4</v>
      </c>
      <c r="E119" s="2">
        <f>IFERROR(__xludf.DUMMYFUNCTION("""COMPUTED_VALUE"""),206.92)</f>
        <v>206.92</v>
      </c>
      <c r="F119" s="2">
        <f>IFERROR(__xludf.DUMMYFUNCTION("""COMPUTED_VALUE"""),4.50703946E8)</f>
        <v>450703946</v>
      </c>
      <c r="G119" s="3">
        <f t="shared" si="1"/>
        <v>0.01870815282</v>
      </c>
      <c r="H119" s="2">
        <f t="shared" si="2"/>
        <v>1131.390453</v>
      </c>
    </row>
    <row r="120">
      <c r="A120" s="1">
        <f>IFERROR(__xludf.DUMMYFUNCTION("""COMPUTED_VALUE"""),42468.66666666667)</f>
        <v>42468.66667</v>
      </c>
      <c r="B120" s="2">
        <f>IFERROR(__xludf.DUMMYFUNCTION("""COMPUTED_VALUE"""),206.83)</f>
        <v>206.83</v>
      </c>
      <c r="C120" s="2">
        <f>IFERROR(__xludf.DUMMYFUNCTION("""COMPUTED_VALUE"""),207.07)</f>
        <v>207.07</v>
      </c>
      <c r="D120" s="2">
        <f>IFERROR(__xludf.DUMMYFUNCTION("""COMPUTED_VALUE"""),203.09)</f>
        <v>203.09</v>
      </c>
      <c r="E120" s="2">
        <f>IFERROR(__xludf.DUMMYFUNCTION("""COMPUTED_VALUE"""),204.5)</f>
        <v>204.5</v>
      </c>
      <c r="F120" s="2">
        <f>IFERROR(__xludf.DUMMYFUNCTION("""COMPUTED_VALUE"""),4.63898523E8)</f>
        <v>463898523</v>
      </c>
      <c r="G120" s="3">
        <f t="shared" si="1"/>
        <v>-0.01169534119</v>
      </c>
      <c r="H120" s="2">
        <f t="shared" si="2"/>
        <v>1118.158456</v>
      </c>
    </row>
    <row r="121">
      <c r="A121" s="1">
        <f>IFERROR(__xludf.DUMMYFUNCTION("""COMPUTED_VALUE"""),42475.66666666667)</f>
        <v>42475.66667</v>
      </c>
      <c r="B121" s="2">
        <f>IFERROR(__xludf.DUMMYFUNCTION("""COMPUTED_VALUE"""),205.25)</f>
        <v>205.25</v>
      </c>
      <c r="C121" s="2">
        <f>IFERROR(__xludf.DUMMYFUNCTION("""COMPUTED_VALUE"""),208.6)</f>
        <v>208.6</v>
      </c>
      <c r="D121" s="2">
        <f>IFERROR(__xludf.DUMMYFUNCTION("""COMPUTED_VALUE"""),203.7)</f>
        <v>203.7</v>
      </c>
      <c r="E121" s="2">
        <f>IFERROR(__xludf.DUMMYFUNCTION("""COMPUTED_VALUE"""),207.78)</f>
        <v>207.78</v>
      </c>
      <c r="F121" s="2">
        <f>IFERROR(__xludf.DUMMYFUNCTION("""COMPUTED_VALUE"""),4.36418984E8)</f>
        <v>436418984</v>
      </c>
      <c r="G121" s="3">
        <f t="shared" si="1"/>
        <v>0.0160391198</v>
      </c>
      <c r="H121" s="2">
        <f t="shared" si="2"/>
        <v>1136.092733</v>
      </c>
    </row>
    <row r="122">
      <c r="A122" s="1">
        <f>IFERROR(__xludf.DUMMYFUNCTION("""COMPUTED_VALUE"""),42482.66666666667)</f>
        <v>42482.66667</v>
      </c>
      <c r="B122" s="2">
        <f>IFERROR(__xludf.DUMMYFUNCTION("""COMPUTED_VALUE"""),207.14)</f>
        <v>207.14</v>
      </c>
      <c r="C122" s="2">
        <f>IFERROR(__xludf.DUMMYFUNCTION("""COMPUTED_VALUE"""),210.92)</f>
        <v>210.92</v>
      </c>
      <c r="D122" s="2">
        <f>IFERROR(__xludf.DUMMYFUNCTION("""COMPUTED_VALUE"""),207.0)</f>
        <v>207</v>
      </c>
      <c r="E122" s="2">
        <f>IFERROR(__xludf.DUMMYFUNCTION("""COMPUTED_VALUE"""),208.97)</f>
        <v>208.97</v>
      </c>
      <c r="F122" s="2">
        <f>IFERROR(__xludf.DUMMYFUNCTION("""COMPUTED_VALUE"""),4.36894099E8)</f>
        <v>436894099</v>
      </c>
      <c r="G122" s="3">
        <f t="shared" si="1"/>
        <v>0.005727211474</v>
      </c>
      <c r="H122" s="2">
        <f t="shared" si="2"/>
        <v>1142.599377</v>
      </c>
    </row>
    <row r="123">
      <c r="A123" s="1">
        <f>IFERROR(__xludf.DUMMYFUNCTION("""COMPUTED_VALUE"""),42489.66666666667)</f>
        <v>42489.66667</v>
      </c>
      <c r="B123" s="2">
        <f>IFERROR(__xludf.DUMMYFUNCTION("""COMPUTED_VALUE"""),208.26)</f>
        <v>208.26</v>
      </c>
      <c r="C123" s="2">
        <f>IFERROR(__xludf.DUMMYFUNCTION("""COMPUTED_VALUE"""),209.81)</f>
        <v>209.81</v>
      </c>
      <c r="D123" s="2">
        <f>IFERROR(__xludf.DUMMYFUNCTION("""COMPUTED_VALUE"""),205.03)</f>
        <v>205.03</v>
      </c>
      <c r="E123" s="2">
        <f>IFERROR(__xludf.DUMMYFUNCTION("""COMPUTED_VALUE"""),206.33)</f>
        <v>206.33</v>
      </c>
      <c r="F123" s="2">
        <f>IFERROR(__xludf.DUMMYFUNCTION("""COMPUTED_VALUE"""),4.59000411E8)</f>
        <v>459000411</v>
      </c>
      <c r="G123" s="3">
        <f t="shared" si="1"/>
        <v>-0.01263339235</v>
      </c>
      <c r="H123" s="2">
        <f t="shared" si="2"/>
        <v>1128.16447</v>
      </c>
    </row>
    <row r="124">
      <c r="A124" s="1">
        <f>IFERROR(__xludf.DUMMYFUNCTION("""COMPUTED_VALUE"""),42496.66666666667)</f>
        <v>42496.66667</v>
      </c>
      <c r="B124" s="2">
        <f>IFERROR(__xludf.DUMMYFUNCTION("""COMPUTED_VALUE"""),206.92)</f>
        <v>206.92</v>
      </c>
      <c r="C124" s="2">
        <f>IFERROR(__xludf.DUMMYFUNCTION("""COMPUTED_VALUE"""),208.18)</f>
        <v>208.18</v>
      </c>
      <c r="D124" s="2">
        <f>IFERROR(__xludf.DUMMYFUNCTION("""COMPUTED_VALUE"""),203.88)</f>
        <v>203.88</v>
      </c>
      <c r="E124" s="2">
        <f>IFERROR(__xludf.DUMMYFUNCTION("""COMPUTED_VALUE"""),205.72)</f>
        <v>205.72</v>
      </c>
      <c r="F124" s="2">
        <f>IFERROR(__xludf.DUMMYFUNCTION("""COMPUTED_VALUE"""),4.17788193E8)</f>
        <v>417788193</v>
      </c>
      <c r="G124" s="3">
        <f t="shared" si="1"/>
        <v>-0.002956429021</v>
      </c>
      <c r="H124" s="2">
        <f t="shared" si="2"/>
        <v>1124.829132</v>
      </c>
    </row>
    <row r="125">
      <c r="A125" s="1">
        <f>IFERROR(__xludf.DUMMYFUNCTION("""COMPUTED_VALUE"""),42503.66666666667)</f>
        <v>42503.66667</v>
      </c>
      <c r="B125" s="2">
        <f>IFERROR(__xludf.DUMMYFUNCTION("""COMPUTED_VALUE"""),205.57)</f>
        <v>205.57</v>
      </c>
      <c r="C125" s="2">
        <f>IFERROR(__xludf.DUMMYFUNCTION("""COMPUTED_VALUE"""),208.54)</f>
        <v>208.54</v>
      </c>
      <c r="D125" s="2">
        <f>IFERROR(__xludf.DUMMYFUNCTION("""COMPUTED_VALUE"""),204.38)</f>
        <v>204.38</v>
      </c>
      <c r="E125" s="2">
        <f>IFERROR(__xludf.DUMMYFUNCTION("""COMPUTED_VALUE"""),204.76)</f>
        <v>204.76</v>
      </c>
      <c r="F125" s="2">
        <f>IFERROR(__xludf.DUMMYFUNCTION("""COMPUTED_VALUE"""),4.19635056E8)</f>
        <v>419635056</v>
      </c>
      <c r="G125" s="3">
        <f t="shared" si="1"/>
        <v>-0.004666537041</v>
      </c>
      <c r="H125" s="2">
        <f t="shared" si="2"/>
        <v>1119.580075</v>
      </c>
    </row>
    <row r="126">
      <c r="A126" s="1">
        <f>IFERROR(__xludf.DUMMYFUNCTION("""COMPUTED_VALUE"""),42510.66666666667)</f>
        <v>42510.66667</v>
      </c>
      <c r="B126" s="2">
        <f>IFERROR(__xludf.DUMMYFUNCTION("""COMPUTED_VALUE"""),204.96)</f>
        <v>204.96</v>
      </c>
      <c r="C126" s="2">
        <f>IFERROR(__xludf.DUMMYFUNCTION("""COMPUTED_VALUE"""),207.34)</f>
        <v>207.34</v>
      </c>
      <c r="D126" s="2">
        <f>IFERROR(__xludf.DUMMYFUNCTION("""COMPUTED_VALUE"""),202.78)</f>
        <v>202.78</v>
      </c>
      <c r="E126" s="2">
        <f>IFERROR(__xludf.DUMMYFUNCTION("""COMPUTED_VALUE"""),205.49)</f>
        <v>205.49</v>
      </c>
      <c r="F126" s="2">
        <f>IFERROR(__xludf.DUMMYFUNCTION("""COMPUTED_VALUE"""),5.36326061E8)</f>
        <v>536326061</v>
      </c>
      <c r="G126" s="3">
        <f t="shared" si="1"/>
        <v>0.003565149443</v>
      </c>
      <c r="H126" s="2">
        <f t="shared" si="2"/>
        <v>1123.571546</v>
      </c>
    </row>
    <row r="127">
      <c r="A127" s="1">
        <f>IFERROR(__xludf.DUMMYFUNCTION("""COMPUTED_VALUE"""),42517.66666666667)</f>
        <v>42517.66667</v>
      </c>
      <c r="B127" s="2">
        <f>IFERROR(__xludf.DUMMYFUNCTION("""COMPUTED_VALUE"""),205.51)</f>
        <v>205.51</v>
      </c>
      <c r="C127" s="2">
        <f>IFERROR(__xludf.DUMMYFUNCTION("""COMPUTED_VALUE"""),210.25)</f>
        <v>210.25</v>
      </c>
      <c r="D127" s="2">
        <f>IFERROR(__xludf.DUMMYFUNCTION("""COMPUTED_VALUE"""),204.99)</f>
        <v>204.99</v>
      </c>
      <c r="E127" s="2">
        <f>IFERROR(__xludf.DUMMYFUNCTION("""COMPUTED_VALUE"""),210.24)</f>
        <v>210.24</v>
      </c>
      <c r="F127" s="2">
        <f>IFERROR(__xludf.DUMMYFUNCTION("""COMPUTED_VALUE"""),3.50933822E8)</f>
        <v>350933822</v>
      </c>
      <c r="G127" s="3">
        <f t="shared" si="1"/>
        <v>0.02311548007</v>
      </c>
      <c r="H127" s="2">
        <f t="shared" si="2"/>
        <v>1149.543441</v>
      </c>
    </row>
    <row r="128">
      <c r="A128" s="1">
        <f>IFERROR(__xludf.DUMMYFUNCTION("""COMPUTED_VALUE"""),42524.66666666667)</f>
        <v>42524.66667</v>
      </c>
      <c r="B128" s="2">
        <f>IFERROR(__xludf.DUMMYFUNCTION("""COMPUTED_VALUE"""),210.56)</f>
        <v>210.56</v>
      </c>
      <c r="C128" s="2">
        <f>IFERROR(__xludf.DUMMYFUNCTION("""COMPUTED_VALUE"""),210.93)</f>
        <v>210.93</v>
      </c>
      <c r="D128" s="2">
        <f>IFERROR(__xludf.DUMMYFUNCTION("""COMPUTED_VALUE"""),208.86)</f>
        <v>208.86</v>
      </c>
      <c r="E128" s="2">
        <f>IFERROR(__xludf.DUMMYFUNCTION("""COMPUTED_VALUE"""),210.28)</f>
        <v>210.28</v>
      </c>
      <c r="F128" s="2">
        <f>IFERROR(__xludf.DUMMYFUNCTION("""COMPUTED_VALUE"""),3.4461747E8)</f>
        <v>344617470</v>
      </c>
      <c r="G128" s="3">
        <f t="shared" si="1"/>
        <v>0.0001902587519</v>
      </c>
      <c r="H128" s="2">
        <f t="shared" si="2"/>
        <v>1149.762152</v>
      </c>
    </row>
    <row r="129">
      <c r="A129" s="1">
        <f>IFERROR(__xludf.DUMMYFUNCTION("""COMPUTED_VALUE"""),42531.66666666667)</f>
        <v>42531.66667</v>
      </c>
      <c r="B129" s="2">
        <f>IFERROR(__xludf.DUMMYFUNCTION("""COMPUTED_VALUE"""),210.7)</f>
        <v>210.7</v>
      </c>
      <c r="C129" s="2">
        <f>IFERROR(__xludf.DUMMYFUNCTION("""COMPUTED_VALUE"""),212.52)</f>
        <v>212.52</v>
      </c>
      <c r="D129" s="2">
        <f>IFERROR(__xludf.DUMMYFUNCTION("""COMPUTED_VALUE"""),209.43)</f>
        <v>209.43</v>
      </c>
      <c r="E129" s="2">
        <f>IFERROR(__xludf.DUMMYFUNCTION("""COMPUTED_VALUE"""),210.07)</f>
        <v>210.07</v>
      </c>
      <c r="F129" s="2">
        <f>IFERROR(__xludf.DUMMYFUNCTION("""COMPUTED_VALUE"""),3.79648753E8)</f>
        <v>379648753</v>
      </c>
      <c r="G129" s="3">
        <f t="shared" si="1"/>
        <v>-0.0009986684421</v>
      </c>
      <c r="H129" s="2">
        <f t="shared" si="2"/>
        <v>1148.613921</v>
      </c>
    </row>
    <row r="130">
      <c r="A130" s="1">
        <f>IFERROR(__xludf.DUMMYFUNCTION("""COMPUTED_VALUE"""),42538.66666666667)</f>
        <v>42538.66667</v>
      </c>
      <c r="B130" s="2">
        <f>IFERROR(__xludf.DUMMYFUNCTION("""COMPUTED_VALUE"""),209.36)</f>
        <v>209.36</v>
      </c>
      <c r="C130" s="2">
        <f>IFERROR(__xludf.DUMMYFUNCTION("""COMPUTED_VALUE"""),210.37)</f>
        <v>210.37</v>
      </c>
      <c r="D130" s="2">
        <f>IFERROR(__xludf.DUMMYFUNCTION("""COMPUTED_VALUE"""),205.59)</f>
        <v>205.59</v>
      </c>
      <c r="E130" s="2">
        <f>IFERROR(__xludf.DUMMYFUNCTION("""COMPUTED_VALUE"""),206.52)</f>
        <v>206.52</v>
      </c>
      <c r="F130" s="2">
        <f>IFERROR(__xludf.DUMMYFUNCTION("""COMPUTED_VALUE"""),6.18523748E8)</f>
        <v>618523748</v>
      </c>
      <c r="G130" s="3">
        <f t="shared" si="1"/>
        <v>-0.01689912886</v>
      </c>
      <c r="H130" s="2">
        <f t="shared" si="2"/>
        <v>1129.203346</v>
      </c>
    </row>
    <row r="131">
      <c r="A131" s="1">
        <f>IFERROR(__xludf.DUMMYFUNCTION("""COMPUTED_VALUE"""),42545.66666666667)</f>
        <v>42545.66667</v>
      </c>
      <c r="B131" s="2">
        <f>IFERROR(__xludf.DUMMYFUNCTION("""COMPUTED_VALUE"""),208.82)</f>
        <v>208.82</v>
      </c>
      <c r="C131" s="2">
        <f>IFERROR(__xludf.DUMMYFUNCTION("""COMPUTED_VALUE"""),210.87)</f>
        <v>210.87</v>
      </c>
      <c r="D131" s="2">
        <f>IFERROR(__xludf.DUMMYFUNCTION("""COMPUTED_VALUE"""),202.72)</f>
        <v>202.72</v>
      </c>
      <c r="E131" s="2">
        <f>IFERROR(__xludf.DUMMYFUNCTION("""COMPUTED_VALUE"""),203.13)</f>
        <v>203.13</v>
      </c>
      <c r="F131" s="2">
        <f>IFERROR(__xludf.DUMMYFUNCTION("""COMPUTED_VALUE"""),6.8698749E8)</f>
        <v>686987490</v>
      </c>
      <c r="G131" s="3">
        <f t="shared" si="1"/>
        <v>-0.01641487507</v>
      </c>
      <c r="H131" s="2">
        <f t="shared" si="2"/>
        <v>1110.667614</v>
      </c>
    </row>
    <row r="132">
      <c r="A132" s="1">
        <f>IFERROR(__xludf.DUMMYFUNCTION("""COMPUTED_VALUE"""),42552.66666666667)</f>
        <v>42552.66667</v>
      </c>
      <c r="B132" s="2">
        <f>IFERROR(__xludf.DUMMYFUNCTION("""COMPUTED_VALUE"""),201.59)</f>
        <v>201.59</v>
      </c>
      <c r="C132" s="2">
        <f>IFERROR(__xludf.DUMMYFUNCTION("""COMPUTED_VALUE"""),210.49)</f>
        <v>210.49</v>
      </c>
      <c r="D132" s="2">
        <f>IFERROR(__xludf.DUMMYFUNCTION("""COMPUTED_VALUE"""),198.65)</f>
        <v>198.65</v>
      </c>
      <c r="E132" s="2">
        <f>IFERROR(__xludf.DUMMYFUNCTION("""COMPUTED_VALUE"""),209.92)</f>
        <v>209.92</v>
      </c>
      <c r="F132" s="2">
        <f>IFERROR(__xludf.DUMMYFUNCTION("""COMPUTED_VALUE"""),8.16776954E8)</f>
        <v>816776954</v>
      </c>
      <c r="G132" s="3">
        <f t="shared" si="1"/>
        <v>0.03342686949</v>
      </c>
      <c r="H132" s="2">
        <f t="shared" si="2"/>
        <v>1147.793756</v>
      </c>
    </row>
    <row r="133">
      <c r="A133" s="1">
        <f>IFERROR(__xludf.DUMMYFUNCTION("""COMPUTED_VALUE"""),42559.66666666667)</f>
        <v>42559.66667</v>
      </c>
      <c r="B133" s="2">
        <f>IFERROR(__xludf.DUMMYFUNCTION("""COMPUTED_VALUE"""),208.95)</f>
        <v>208.95</v>
      </c>
      <c r="C133" s="2">
        <f>IFERROR(__xludf.DUMMYFUNCTION("""COMPUTED_VALUE"""),212.94)</f>
        <v>212.94</v>
      </c>
      <c r="D133" s="2">
        <f>IFERROR(__xludf.DUMMYFUNCTION("""COMPUTED_VALUE"""),207.06)</f>
        <v>207.06</v>
      </c>
      <c r="E133" s="2">
        <f>IFERROR(__xludf.DUMMYFUNCTION("""COMPUTED_VALUE"""),212.65)</f>
        <v>212.65</v>
      </c>
      <c r="F133" s="2">
        <f>IFERROR(__xludf.DUMMYFUNCTION("""COMPUTED_VALUE"""),4.25390003E8)</f>
        <v>425390003</v>
      </c>
      <c r="G133" s="3">
        <f t="shared" si="1"/>
        <v>0.01300495427</v>
      </c>
      <c r="H133" s="2">
        <f t="shared" si="2"/>
        <v>1162.720761</v>
      </c>
    </row>
    <row r="134">
      <c r="A134" s="1">
        <f>IFERROR(__xludf.DUMMYFUNCTION("""COMPUTED_VALUE"""),42566.66666666667)</f>
        <v>42566.66667</v>
      </c>
      <c r="B134" s="2">
        <f>IFERROR(__xludf.DUMMYFUNCTION("""COMPUTED_VALUE"""),213.19)</f>
        <v>213.19</v>
      </c>
      <c r="C134" s="2">
        <f>IFERROR(__xludf.DUMMYFUNCTION("""COMPUTED_VALUE"""),217.01)</f>
        <v>217.01</v>
      </c>
      <c r="D134" s="2">
        <f>IFERROR(__xludf.DUMMYFUNCTION("""COMPUTED_VALUE"""),212.95)</f>
        <v>212.95</v>
      </c>
      <c r="E134" s="2">
        <f>IFERROR(__xludf.DUMMYFUNCTION("""COMPUTED_VALUE"""),215.83)</f>
        <v>215.83</v>
      </c>
      <c r="F134" s="2">
        <f>IFERROR(__xludf.DUMMYFUNCTION("""COMPUTED_VALUE"""),4.60619966E8)</f>
        <v>460619966</v>
      </c>
      <c r="G134" s="3">
        <f t="shared" si="1"/>
        <v>0.01495415001</v>
      </c>
      <c r="H134" s="2">
        <f t="shared" si="2"/>
        <v>1180.108262</v>
      </c>
    </row>
    <row r="135">
      <c r="A135" s="1">
        <f>IFERROR(__xludf.DUMMYFUNCTION("""COMPUTED_VALUE"""),42573.66666666667)</f>
        <v>42573.66667</v>
      </c>
      <c r="B135" s="2">
        <f>IFERROR(__xludf.DUMMYFUNCTION("""COMPUTED_VALUE"""),215.97)</f>
        <v>215.97</v>
      </c>
      <c r="C135" s="2">
        <f>IFERROR(__xludf.DUMMYFUNCTION("""COMPUTED_VALUE"""),217.37)</f>
        <v>217.37</v>
      </c>
      <c r="D135" s="2">
        <f>IFERROR(__xludf.DUMMYFUNCTION("""COMPUTED_VALUE"""),215.63)</f>
        <v>215.63</v>
      </c>
      <c r="E135" s="2">
        <f>IFERROR(__xludf.DUMMYFUNCTION("""COMPUTED_VALUE"""),217.24)</f>
        <v>217.24</v>
      </c>
      <c r="F135" s="2">
        <f>IFERROR(__xludf.DUMMYFUNCTION("""COMPUTED_VALUE"""),3.0179589E8)</f>
        <v>301795890</v>
      </c>
      <c r="G135" s="3">
        <f t="shared" si="1"/>
        <v>0.006532919427</v>
      </c>
      <c r="H135" s="2">
        <f t="shared" si="2"/>
        <v>1187.817814</v>
      </c>
    </row>
    <row r="136">
      <c r="A136" s="1">
        <f>IFERROR(__xludf.DUMMYFUNCTION("""COMPUTED_VALUE"""),42580.66666666667)</f>
        <v>42580.66667</v>
      </c>
      <c r="B136" s="2">
        <f>IFERROR(__xludf.DUMMYFUNCTION("""COMPUTED_VALUE"""),217.0)</f>
        <v>217</v>
      </c>
      <c r="C136" s="2">
        <f>IFERROR(__xludf.DUMMYFUNCTION("""COMPUTED_VALUE"""),217.54)</f>
        <v>217.54</v>
      </c>
      <c r="D136" s="2">
        <f>IFERROR(__xludf.DUMMYFUNCTION("""COMPUTED_VALUE"""),215.62)</f>
        <v>215.62</v>
      </c>
      <c r="E136" s="2">
        <f>IFERROR(__xludf.DUMMYFUNCTION("""COMPUTED_VALUE"""),217.12)</f>
        <v>217.12</v>
      </c>
      <c r="F136" s="2">
        <f>IFERROR(__xludf.DUMMYFUNCTION("""COMPUTED_VALUE"""),3.54592687E8)</f>
        <v>354592687</v>
      </c>
      <c r="G136" s="3">
        <f t="shared" si="1"/>
        <v>-0.0005523844596</v>
      </c>
      <c r="H136" s="2">
        <f t="shared" si="2"/>
        <v>1187.161682</v>
      </c>
    </row>
    <row r="137">
      <c r="A137" s="1">
        <f>IFERROR(__xludf.DUMMYFUNCTION("""COMPUTED_VALUE"""),42587.66666666667)</f>
        <v>42587.66667</v>
      </c>
      <c r="B137" s="2">
        <f>IFERROR(__xludf.DUMMYFUNCTION("""COMPUTED_VALUE"""),217.19)</f>
        <v>217.19</v>
      </c>
      <c r="C137" s="2">
        <f>IFERROR(__xludf.DUMMYFUNCTION("""COMPUTED_VALUE"""),218.23)</f>
        <v>218.23</v>
      </c>
      <c r="D137" s="2">
        <f>IFERROR(__xludf.DUMMYFUNCTION("""COMPUTED_VALUE"""),214.25)</f>
        <v>214.25</v>
      </c>
      <c r="E137" s="2">
        <f>IFERROR(__xludf.DUMMYFUNCTION("""COMPUTED_VALUE"""),218.18)</f>
        <v>218.18</v>
      </c>
      <c r="F137" s="2">
        <f>IFERROR(__xludf.DUMMYFUNCTION("""COMPUTED_VALUE"""),3.38078243E8)</f>
        <v>338078243</v>
      </c>
      <c r="G137" s="3">
        <f t="shared" si="1"/>
        <v>0.004882092852</v>
      </c>
      <c r="H137" s="2">
        <f t="shared" si="2"/>
        <v>1192.957515</v>
      </c>
    </row>
    <row r="138">
      <c r="A138" s="1">
        <f>IFERROR(__xludf.DUMMYFUNCTION("""COMPUTED_VALUE"""),42594.66666666667)</f>
        <v>42594.66667</v>
      </c>
      <c r="B138" s="2">
        <f>IFERROR(__xludf.DUMMYFUNCTION("""COMPUTED_VALUE"""),218.4)</f>
        <v>218.4</v>
      </c>
      <c r="C138" s="2">
        <f>IFERROR(__xludf.DUMMYFUNCTION("""COMPUTED_VALUE"""),218.94)</f>
        <v>218.94</v>
      </c>
      <c r="D138" s="2">
        <f>IFERROR(__xludf.DUMMYFUNCTION("""COMPUTED_VALUE"""),217.23)</f>
        <v>217.23</v>
      </c>
      <c r="E138" s="2">
        <f>IFERROR(__xludf.DUMMYFUNCTION("""COMPUTED_VALUE"""),218.46)</f>
        <v>218.46</v>
      </c>
      <c r="F138" s="2">
        <f>IFERROR(__xludf.DUMMYFUNCTION("""COMPUTED_VALUE"""),2.82917113E8)</f>
        <v>282917113</v>
      </c>
      <c r="G138" s="3">
        <f t="shared" si="1"/>
        <v>0.001283344028</v>
      </c>
      <c r="H138" s="2">
        <f t="shared" si="2"/>
        <v>1194.48849</v>
      </c>
    </row>
    <row r="139">
      <c r="A139" s="1">
        <f>IFERROR(__xludf.DUMMYFUNCTION("""COMPUTED_VALUE"""),42601.66666666667)</f>
        <v>42601.66667</v>
      </c>
      <c r="B139" s="2">
        <f>IFERROR(__xludf.DUMMYFUNCTION("""COMPUTED_VALUE"""),218.89)</f>
        <v>218.89</v>
      </c>
      <c r="C139" s="2">
        <f>IFERROR(__xludf.DUMMYFUNCTION("""COMPUTED_VALUE"""),219.5)</f>
        <v>219.5</v>
      </c>
      <c r="D139" s="2">
        <f>IFERROR(__xludf.DUMMYFUNCTION("""COMPUTED_VALUE"""),217.02)</f>
        <v>217.02</v>
      </c>
      <c r="E139" s="2">
        <f>IFERROR(__xludf.DUMMYFUNCTION("""COMPUTED_VALUE"""),218.54)</f>
        <v>218.54</v>
      </c>
      <c r="F139" s="2">
        <f>IFERROR(__xludf.DUMMYFUNCTION("""COMPUTED_VALUE"""),3.06593712E8)</f>
        <v>306593712</v>
      </c>
      <c r="G139" s="3">
        <f t="shared" si="1"/>
        <v>0.000366199762</v>
      </c>
      <c r="H139" s="2">
        <f t="shared" si="2"/>
        <v>1194.925912</v>
      </c>
    </row>
    <row r="140">
      <c r="A140" s="1">
        <f>IFERROR(__xludf.DUMMYFUNCTION("""COMPUTED_VALUE"""),42608.66666666667)</f>
        <v>42608.66667</v>
      </c>
      <c r="B140" s="2">
        <f>IFERROR(__xludf.DUMMYFUNCTION("""COMPUTED_VALUE"""),218.26)</f>
        <v>218.26</v>
      </c>
      <c r="C140" s="2">
        <f>IFERROR(__xludf.DUMMYFUNCTION("""COMPUTED_VALUE"""),219.6)</f>
        <v>219.6</v>
      </c>
      <c r="D140" s="2">
        <f>IFERROR(__xludf.DUMMYFUNCTION("""COMPUTED_VALUE"""),216.25)</f>
        <v>216.25</v>
      </c>
      <c r="E140" s="2">
        <f>IFERROR(__xludf.DUMMYFUNCTION("""COMPUTED_VALUE"""),217.29)</f>
        <v>217.29</v>
      </c>
      <c r="F140" s="2">
        <f>IFERROR(__xludf.DUMMYFUNCTION("""COMPUTED_VALUE"""),3.78227998E8)</f>
        <v>378227998</v>
      </c>
      <c r="G140" s="3">
        <f t="shared" si="1"/>
        <v>-0.0057197767</v>
      </c>
      <c r="H140" s="2">
        <f t="shared" si="2"/>
        <v>1188.091202</v>
      </c>
    </row>
    <row r="141">
      <c r="A141" s="1">
        <f>IFERROR(__xludf.DUMMYFUNCTION("""COMPUTED_VALUE"""),42615.66666666667)</f>
        <v>42615.66667</v>
      </c>
      <c r="B141" s="2">
        <f>IFERROR(__xludf.DUMMYFUNCTION("""COMPUTED_VALUE"""),217.44)</f>
        <v>217.44</v>
      </c>
      <c r="C141" s="2">
        <f>IFERROR(__xludf.DUMMYFUNCTION("""COMPUTED_VALUE"""),218.87)</f>
        <v>218.87</v>
      </c>
      <c r="D141" s="2">
        <f>IFERROR(__xludf.DUMMYFUNCTION("""COMPUTED_VALUE"""),216.03)</f>
        <v>216.03</v>
      </c>
      <c r="E141" s="2">
        <f>IFERROR(__xludf.DUMMYFUNCTION("""COMPUTED_VALUE"""),218.37)</f>
        <v>218.37</v>
      </c>
      <c r="F141" s="2">
        <f>IFERROR(__xludf.DUMMYFUNCTION("""COMPUTED_VALUE"""),3.91024226E8)</f>
        <v>391024226</v>
      </c>
      <c r="G141" s="3">
        <f t="shared" si="1"/>
        <v>0.004970316167</v>
      </c>
      <c r="H141" s="2">
        <f t="shared" si="2"/>
        <v>1193.996391</v>
      </c>
    </row>
    <row r="142">
      <c r="A142" s="1">
        <f>IFERROR(__xludf.DUMMYFUNCTION("""COMPUTED_VALUE"""),42622.66666666667)</f>
        <v>42622.66667</v>
      </c>
      <c r="B142" s="2">
        <f>IFERROR(__xludf.DUMMYFUNCTION("""COMPUTED_VALUE"""),218.7)</f>
        <v>218.7</v>
      </c>
      <c r="C142" s="2">
        <f>IFERROR(__xludf.DUMMYFUNCTION("""COMPUTED_VALUE"""),219.22)</f>
        <v>219.22</v>
      </c>
      <c r="D142" s="2">
        <f>IFERROR(__xludf.DUMMYFUNCTION("""COMPUTED_VALUE"""),213.25)</f>
        <v>213.25</v>
      </c>
      <c r="E142" s="2">
        <f>IFERROR(__xludf.DUMMYFUNCTION("""COMPUTED_VALUE"""),213.28)</f>
        <v>213.28</v>
      </c>
      <c r="F142" s="2">
        <f>IFERROR(__xludf.DUMMYFUNCTION("""COMPUTED_VALUE"""),4.28948897E8)</f>
        <v>428948897</v>
      </c>
      <c r="G142" s="3">
        <f t="shared" si="1"/>
        <v>-0.0233090626</v>
      </c>
      <c r="H142" s="2">
        <f t="shared" si="2"/>
        <v>1166.165455</v>
      </c>
    </row>
    <row r="143">
      <c r="A143" s="1">
        <f>IFERROR(__xludf.DUMMYFUNCTION("""COMPUTED_VALUE"""),42629.66666666667)</f>
        <v>42629.66667</v>
      </c>
      <c r="B143" s="2">
        <f>IFERROR(__xludf.DUMMYFUNCTION("""COMPUTED_VALUE"""),212.39)</f>
        <v>212.39</v>
      </c>
      <c r="C143" s="2">
        <f>IFERROR(__xludf.DUMMYFUNCTION("""COMPUTED_VALUE"""),216.81)</f>
        <v>216.81</v>
      </c>
      <c r="D143" s="2">
        <f>IFERROR(__xludf.DUMMYFUNCTION("""COMPUTED_VALUE"""),212.31)</f>
        <v>212.31</v>
      </c>
      <c r="E143" s="2">
        <f>IFERROR(__xludf.DUMMYFUNCTION("""COMPUTED_VALUE"""),213.37)</f>
        <v>213.37</v>
      </c>
      <c r="F143" s="2">
        <f>IFERROR(__xludf.DUMMYFUNCTION("""COMPUTED_VALUE"""),7.8609772E8)</f>
        <v>786097720</v>
      </c>
      <c r="G143" s="3">
        <f t="shared" si="1"/>
        <v>0.0004219804951</v>
      </c>
      <c r="H143" s="2">
        <f t="shared" si="2"/>
        <v>1166.657554</v>
      </c>
    </row>
    <row r="144">
      <c r="A144" s="1">
        <f>IFERROR(__xludf.DUMMYFUNCTION("""COMPUTED_VALUE"""),42636.66666666667)</f>
        <v>42636.66667</v>
      </c>
      <c r="B144" s="2">
        <f>IFERROR(__xludf.DUMMYFUNCTION("""COMPUTED_VALUE"""),214.13)</f>
        <v>214.13</v>
      </c>
      <c r="C144" s="2">
        <f>IFERROR(__xludf.DUMMYFUNCTION("""COMPUTED_VALUE"""),217.53)</f>
        <v>217.53</v>
      </c>
      <c r="D144" s="2">
        <f>IFERROR(__xludf.DUMMYFUNCTION("""COMPUTED_VALUE"""),213.03)</f>
        <v>213.03</v>
      </c>
      <c r="E144" s="2">
        <f>IFERROR(__xludf.DUMMYFUNCTION("""COMPUTED_VALUE"""),215.99)</f>
        <v>215.99</v>
      </c>
      <c r="F144" s="2">
        <f>IFERROR(__xludf.DUMMYFUNCTION("""COMPUTED_VALUE"""),4.10509828E8)</f>
        <v>410509828</v>
      </c>
      <c r="G144" s="3">
        <f t="shared" si="1"/>
        <v>0.01227913952</v>
      </c>
      <c r="H144" s="2">
        <f t="shared" si="2"/>
        <v>1180.983105</v>
      </c>
    </row>
    <row r="145">
      <c r="A145" s="1">
        <f>IFERROR(__xludf.DUMMYFUNCTION("""COMPUTED_VALUE"""),42643.66666666667)</f>
        <v>42643.66667</v>
      </c>
      <c r="B145" s="2">
        <f>IFERROR(__xludf.DUMMYFUNCTION("""COMPUTED_VALUE"""),215.02)</f>
        <v>215.02</v>
      </c>
      <c r="C145" s="2">
        <f>IFERROR(__xludf.DUMMYFUNCTION("""COMPUTED_VALUE"""),217.12)</f>
        <v>217.12</v>
      </c>
      <c r="D145" s="2">
        <f>IFERROR(__xludf.DUMMYFUNCTION("""COMPUTED_VALUE"""),213.62)</f>
        <v>213.62</v>
      </c>
      <c r="E145" s="2">
        <f>IFERROR(__xludf.DUMMYFUNCTION("""COMPUTED_VALUE"""),216.3)</f>
        <v>216.3</v>
      </c>
      <c r="F145" s="2">
        <f>IFERROR(__xludf.DUMMYFUNCTION("""COMPUTED_VALUE"""),5.01006678E8)</f>
        <v>501006678</v>
      </c>
      <c r="G145" s="3">
        <f t="shared" si="1"/>
        <v>0.001435251632</v>
      </c>
      <c r="H145" s="2">
        <f t="shared" si="2"/>
        <v>1182.678113</v>
      </c>
    </row>
    <row r="146">
      <c r="A146" s="1">
        <f>IFERROR(__xludf.DUMMYFUNCTION("""COMPUTED_VALUE"""),42650.66666666667)</f>
        <v>42650.66667</v>
      </c>
      <c r="B146" s="2">
        <f>IFERROR(__xludf.DUMMYFUNCTION("""COMPUTED_VALUE"""),215.82)</f>
        <v>215.82</v>
      </c>
      <c r="C146" s="2">
        <f>IFERROR(__xludf.DUMMYFUNCTION("""COMPUTED_VALUE"""),216.3)</f>
        <v>216.3</v>
      </c>
      <c r="D146" s="2">
        <f>IFERROR(__xludf.DUMMYFUNCTION("""COMPUTED_VALUE"""),213.99)</f>
        <v>213.99</v>
      </c>
      <c r="E146" s="2">
        <f>IFERROR(__xludf.DUMMYFUNCTION("""COMPUTED_VALUE"""),215.04)</f>
        <v>215.04</v>
      </c>
      <c r="F146" s="2">
        <f>IFERROR(__xludf.DUMMYFUNCTION("""COMPUTED_VALUE"""),4.28991703E8)</f>
        <v>428991703</v>
      </c>
      <c r="G146" s="3">
        <f t="shared" si="1"/>
        <v>-0.005825242718</v>
      </c>
      <c r="H146" s="2">
        <f t="shared" si="2"/>
        <v>1175.788725</v>
      </c>
    </row>
    <row r="147">
      <c r="A147" s="1">
        <f>IFERROR(__xludf.DUMMYFUNCTION("""COMPUTED_VALUE"""),42657.66666666667)</f>
        <v>42657.66667</v>
      </c>
      <c r="B147" s="2">
        <f>IFERROR(__xludf.DUMMYFUNCTION("""COMPUTED_VALUE"""),216.16)</f>
        <v>216.16</v>
      </c>
      <c r="C147" s="2">
        <f>IFERROR(__xludf.DUMMYFUNCTION("""COMPUTED_VALUE"""),216.7)</f>
        <v>216.7</v>
      </c>
      <c r="D147" s="2">
        <f>IFERROR(__xludf.DUMMYFUNCTION("""COMPUTED_VALUE"""),211.21)</f>
        <v>211.21</v>
      </c>
      <c r="E147" s="2">
        <f>IFERROR(__xludf.DUMMYFUNCTION("""COMPUTED_VALUE"""),213.12)</f>
        <v>213.12</v>
      </c>
      <c r="F147" s="2">
        <f>IFERROR(__xludf.DUMMYFUNCTION("""COMPUTED_VALUE"""),4.5079171E8)</f>
        <v>450791710</v>
      </c>
      <c r="G147" s="3">
        <f t="shared" si="1"/>
        <v>-0.008928571429</v>
      </c>
      <c r="H147" s="2">
        <f t="shared" si="2"/>
        <v>1165.290612</v>
      </c>
    </row>
    <row r="148">
      <c r="A148" s="1">
        <f>IFERROR(__xludf.DUMMYFUNCTION("""COMPUTED_VALUE"""),42664.66666666667)</f>
        <v>42664.66667</v>
      </c>
      <c r="B148" s="2">
        <f>IFERROR(__xludf.DUMMYFUNCTION("""COMPUTED_VALUE"""),213.09)</f>
        <v>213.09</v>
      </c>
      <c r="C148" s="2">
        <f>IFERROR(__xludf.DUMMYFUNCTION("""COMPUTED_VALUE"""),214.64)</f>
        <v>214.64</v>
      </c>
      <c r="D148" s="2">
        <f>IFERROR(__xludf.DUMMYFUNCTION("""COMPUTED_VALUE"""),212.17)</f>
        <v>212.17</v>
      </c>
      <c r="E148" s="2">
        <f>IFERROR(__xludf.DUMMYFUNCTION("""COMPUTED_VALUE"""),213.98)</f>
        <v>213.98</v>
      </c>
      <c r="F148" s="2">
        <f>IFERROR(__xludf.DUMMYFUNCTION("""COMPUTED_VALUE"""),3.64393476E8)</f>
        <v>364393476</v>
      </c>
      <c r="G148" s="3">
        <f t="shared" si="1"/>
        <v>0.004035285285</v>
      </c>
      <c r="H148" s="2">
        <f t="shared" si="2"/>
        <v>1169.992892</v>
      </c>
    </row>
    <row r="149">
      <c r="A149" s="1">
        <f>IFERROR(__xludf.DUMMYFUNCTION("""COMPUTED_VALUE"""),42671.66666666667)</f>
        <v>42671.66667</v>
      </c>
      <c r="B149" s="2">
        <f>IFERROR(__xludf.DUMMYFUNCTION("""COMPUTED_VALUE"""),215.0)</f>
        <v>215</v>
      </c>
      <c r="C149" s="2">
        <f>IFERROR(__xludf.DUMMYFUNCTION("""COMPUTED_VALUE"""),215.32)</f>
        <v>215.32</v>
      </c>
      <c r="D149" s="2">
        <f>IFERROR(__xludf.DUMMYFUNCTION("""COMPUTED_VALUE"""),211.71)</f>
        <v>211.71</v>
      </c>
      <c r="E149" s="2">
        <f>IFERROR(__xludf.DUMMYFUNCTION("""COMPUTED_VALUE"""),212.54)</f>
        <v>212.54</v>
      </c>
      <c r="F149" s="2">
        <f>IFERROR(__xludf.DUMMYFUNCTION("""COMPUTED_VALUE"""),4.20237795E8)</f>
        <v>420237795</v>
      </c>
      <c r="G149" s="3">
        <f t="shared" si="1"/>
        <v>-0.006729600897</v>
      </c>
      <c r="H149" s="2">
        <f t="shared" si="2"/>
        <v>1162.119307</v>
      </c>
    </row>
    <row r="150">
      <c r="A150" s="1">
        <f>IFERROR(__xludf.DUMMYFUNCTION("""COMPUTED_VALUE"""),42678.66666666667)</f>
        <v>42678.66667</v>
      </c>
      <c r="B150" s="2">
        <f>IFERROR(__xludf.DUMMYFUNCTION("""COMPUTED_VALUE"""),212.93)</f>
        <v>212.93</v>
      </c>
      <c r="C150" s="2">
        <f>IFERROR(__xludf.DUMMYFUNCTION("""COMPUTED_VALUE"""),213.19)</f>
        <v>213.19</v>
      </c>
      <c r="D150" s="2">
        <f>IFERROR(__xludf.DUMMYFUNCTION("""COMPUTED_VALUE"""),208.38)</f>
        <v>208.38</v>
      </c>
      <c r="E150" s="2">
        <f>IFERROR(__xludf.DUMMYFUNCTION("""COMPUTED_VALUE"""),208.55)</f>
        <v>208.55</v>
      </c>
      <c r="F150" s="2">
        <f>IFERROR(__xludf.DUMMYFUNCTION("""COMPUTED_VALUE"""),4.85446536E8)</f>
        <v>485446536</v>
      </c>
      <c r="G150" s="3">
        <f t="shared" si="1"/>
        <v>-0.01877293686</v>
      </c>
      <c r="H150" s="2">
        <f t="shared" si="2"/>
        <v>1140.302914</v>
      </c>
    </row>
    <row r="151">
      <c r="A151" s="1">
        <f>IFERROR(__xludf.DUMMYFUNCTION("""COMPUTED_VALUE"""),42685.66666666667)</f>
        <v>42685.66667</v>
      </c>
      <c r="B151" s="2">
        <f>IFERROR(__xludf.DUMMYFUNCTION("""COMPUTED_VALUE"""),211.45)</f>
        <v>211.45</v>
      </c>
      <c r="C151" s="2">
        <f>IFERROR(__xludf.DUMMYFUNCTION("""COMPUTED_VALUE"""),218.31)</f>
        <v>218.31</v>
      </c>
      <c r="D151" s="2">
        <f>IFERROR(__xludf.DUMMYFUNCTION("""COMPUTED_VALUE"""),211.3)</f>
        <v>211.3</v>
      </c>
      <c r="E151" s="2">
        <f>IFERROR(__xludf.DUMMYFUNCTION("""COMPUTED_VALUE"""),216.42)</f>
        <v>216.42</v>
      </c>
      <c r="F151" s="2">
        <f>IFERROR(__xludf.DUMMYFUNCTION("""COMPUTED_VALUE"""),7.47662016E8)</f>
        <v>747662016</v>
      </c>
      <c r="G151" s="3">
        <f t="shared" si="1"/>
        <v>0.03773675378</v>
      </c>
      <c r="H151" s="2">
        <f t="shared" si="2"/>
        <v>1183.334245</v>
      </c>
    </row>
    <row r="152">
      <c r="A152" s="1">
        <f>IFERROR(__xludf.DUMMYFUNCTION("""COMPUTED_VALUE"""),42692.66666666667)</f>
        <v>42692.66667</v>
      </c>
      <c r="B152" s="2">
        <f>IFERROR(__xludf.DUMMYFUNCTION("""COMPUTED_VALUE"""),217.03)</f>
        <v>217.03</v>
      </c>
      <c r="C152" s="2">
        <f>IFERROR(__xludf.DUMMYFUNCTION("""COMPUTED_VALUE"""),219.27)</f>
        <v>219.27</v>
      </c>
      <c r="D152" s="2">
        <f>IFERROR(__xludf.DUMMYFUNCTION("""COMPUTED_VALUE"""),215.72)</f>
        <v>215.72</v>
      </c>
      <c r="E152" s="2">
        <f>IFERROR(__xludf.DUMMYFUNCTION("""COMPUTED_VALUE"""),218.5)</f>
        <v>218.5</v>
      </c>
      <c r="F152" s="2">
        <f>IFERROR(__xludf.DUMMYFUNCTION("""COMPUTED_VALUE"""),4.07913201E8)</f>
        <v>407913201</v>
      </c>
      <c r="G152" s="3">
        <f t="shared" si="1"/>
        <v>0.009610941687</v>
      </c>
      <c r="H152" s="2">
        <f t="shared" si="2"/>
        <v>1194.707201</v>
      </c>
    </row>
    <row r="153">
      <c r="A153" s="1">
        <f>IFERROR(__xludf.DUMMYFUNCTION("""COMPUTED_VALUE"""),42699.66666666667)</f>
        <v>42699.66667</v>
      </c>
      <c r="B153" s="2">
        <f>IFERROR(__xludf.DUMMYFUNCTION("""COMPUTED_VALUE"""),219.17)</f>
        <v>219.17</v>
      </c>
      <c r="C153" s="2">
        <f>IFERROR(__xludf.DUMMYFUNCTION("""COMPUTED_VALUE"""),221.56)</f>
        <v>221.56</v>
      </c>
      <c r="D153" s="2">
        <f>IFERROR(__xludf.DUMMYFUNCTION("""COMPUTED_VALUE"""),219.0)</f>
        <v>219</v>
      </c>
      <c r="E153" s="2">
        <f>IFERROR(__xludf.DUMMYFUNCTION("""COMPUTED_VALUE"""),221.52)</f>
        <v>221.52</v>
      </c>
      <c r="F153" s="2">
        <f>IFERROR(__xludf.DUMMYFUNCTION("""COMPUTED_VALUE"""),2.34324087E8)</f>
        <v>234324087</v>
      </c>
      <c r="G153" s="3">
        <f t="shared" si="1"/>
        <v>0.0138215103</v>
      </c>
      <c r="H153" s="2">
        <f t="shared" si="2"/>
        <v>1211.219859</v>
      </c>
    </row>
    <row r="154">
      <c r="A154" s="1">
        <f>IFERROR(__xludf.DUMMYFUNCTION("""COMPUTED_VALUE"""),42706.66666666667)</f>
        <v>42706.66667</v>
      </c>
      <c r="B154" s="2">
        <f>IFERROR(__xludf.DUMMYFUNCTION("""COMPUTED_VALUE"""),221.16)</f>
        <v>221.16</v>
      </c>
      <c r="C154" s="2">
        <f>IFERROR(__xludf.DUMMYFUNCTION("""COMPUTED_VALUE"""),221.82)</f>
        <v>221.82</v>
      </c>
      <c r="D154" s="2">
        <f>IFERROR(__xludf.DUMMYFUNCTION("""COMPUTED_VALUE"""),219.15)</f>
        <v>219.15</v>
      </c>
      <c r="E154" s="2">
        <f>IFERROR(__xludf.DUMMYFUNCTION("""COMPUTED_VALUE"""),219.68)</f>
        <v>219.68</v>
      </c>
      <c r="F154" s="2">
        <f>IFERROR(__xludf.DUMMYFUNCTION("""COMPUTED_VALUE"""),4.13631828E8)</f>
        <v>413631828</v>
      </c>
      <c r="G154" s="3">
        <f t="shared" si="1"/>
        <v>-0.008306247743</v>
      </c>
      <c r="H154" s="2">
        <f t="shared" si="2"/>
        <v>1201.159167</v>
      </c>
    </row>
    <row r="155">
      <c r="A155" s="1">
        <f>IFERROR(__xludf.DUMMYFUNCTION("""COMPUTED_VALUE"""),42713.66666666667)</f>
        <v>42713.66667</v>
      </c>
      <c r="B155" s="2">
        <f>IFERROR(__xludf.DUMMYFUNCTION("""COMPUTED_VALUE"""),220.65)</f>
        <v>220.65</v>
      </c>
      <c r="C155" s="2">
        <f>IFERROR(__xludf.DUMMYFUNCTION("""COMPUTED_VALUE"""),226.53)</f>
        <v>226.53</v>
      </c>
      <c r="D155" s="2">
        <f>IFERROR(__xludf.DUMMYFUNCTION("""COMPUTED_VALUE"""),220.42)</f>
        <v>220.42</v>
      </c>
      <c r="E155" s="2">
        <f>IFERROR(__xludf.DUMMYFUNCTION("""COMPUTED_VALUE"""),226.51)</f>
        <v>226.51</v>
      </c>
      <c r="F155" s="2">
        <f>IFERROR(__xludf.DUMMYFUNCTION("""COMPUTED_VALUE"""),4.26173401E8)</f>
        <v>426173401</v>
      </c>
      <c r="G155" s="3">
        <f t="shared" si="1"/>
        <v>0.03109067735</v>
      </c>
      <c r="H155" s="2">
        <f t="shared" si="2"/>
        <v>1238.504019</v>
      </c>
    </row>
    <row r="156">
      <c r="A156" s="1">
        <f>IFERROR(__xludf.DUMMYFUNCTION("""COMPUTED_VALUE"""),42720.66666666667)</f>
        <v>42720.66667</v>
      </c>
      <c r="B156" s="2">
        <f>IFERROR(__xludf.DUMMYFUNCTION("""COMPUTED_VALUE"""),226.4)</f>
        <v>226.4</v>
      </c>
      <c r="C156" s="2">
        <f>IFERROR(__xludf.DUMMYFUNCTION("""COMPUTED_VALUE"""),228.34)</f>
        <v>228.34</v>
      </c>
      <c r="D156" s="2">
        <f>IFERROR(__xludf.DUMMYFUNCTION("""COMPUTED_VALUE"""),224.67)</f>
        <v>224.67</v>
      </c>
      <c r="E156" s="2">
        <f>IFERROR(__xludf.DUMMYFUNCTION("""COMPUTED_VALUE"""),225.04)</f>
        <v>225.04</v>
      </c>
      <c r="F156" s="2">
        <f>IFERROR(__xludf.DUMMYFUNCTION("""COMPUTED_VALUE"""),6.36388128E8)</f>
        <v>636388128</v>
      </c>
      <c r="G156" s="3">
        <f t="shared" si="1"/>
        <v>-0.006489779701</v>
      </c>
      <c r="H156" s="2">
        <f t="shared" si="2"/>
        <v>1230.466401</v>
      </c>
    </row>
    <row r="157">
      <c r="A157" s="1">
        <f>IFERROR(__xludf.DUMMYFUNCTION("""COMPUTED_VALUE"""),42727.66666666667)</f>
        <v>42727.66667</v>
      </c>
      <c r="B157" s="2">
        <f>IFERROR(__xludf.DUMMYFUNCTION("""COMPUTED_VALUE"""),225.25)</f>
        <v>225.25</v>
      </c>
      <c r="C157" s="2">
        <f>IFERROR(__xludf.DUMMYFUNCTION("""COMPUTED_VALUE"""),226.57)</f>
        <v>226.57</v>
      </c>
      <c r="D157" s="2">
        <f>IFERROR(__xludf.DUMMYFUNCTION("""COMPUTED_VALUE"""),224.92)</f>
        <v>224.92</v>
      </c>
      <c r="E157" s="2">
        <f>IFERROR(__xludf.DUMMYFUNCTION("""COMPUTED_VALUE"""),225.71)</f>
        <v>225.71</v>
      </c>
      <c r="F157" s="2">
        <f>IFERROR(__xludf.DUMMYFUNCTION("""COMPUTED_VALUE"""),3.41005889E8)</f>
        <v>341005889</v>
      </c>
      <c r="G157" s="3">
        <f t="shared" si="1"/>
        <v>0.002977248489</v>
      </c>
      <c r="H157" s="2">
        <f t="shared" si="2"/>
        <v>1234.129805</v>
      </c>
    </row>
    <row r="158">
      <c r="A158" s="1">
        <f>IFERROR(__xludf.DUMMYFUNCTION("""COMPUTED_VALUE"""),42734.66666666667)</f>
        <v>42734.66667</v>
      </c>
      <c r="B158" s="2">
        <f>IFERROR(__xludf.DUMMYFUNCTION("""COMPUTED_VALUE"""),226.02)</f>
        <v>226.02</v>
      </c>
      <c r="C158" s="2">
        <f>IFERROR(__xludf.DUMMYFUNCTION("""COMPUTED_VALUE"""),226.73)</f>
        <v>226.73</v>
      </c>
      <c r="D158" s="2">
        <f>IFERROR(__xludf.DUMMYFUNCTION("""COMPUTED_VALUE"""),222.73)</f>
        <v>222.73</v>
      </c>
      <c r="E158" s="2">
        <f>IFERROR(__xludf.DUMMYFUNCTION("""COMPUTED_VALUE"""),223.53)</f>
        <v>223.53</v>
      </c>
      <c r="F158" s="2">
        <f>IFERROR(__xludf.DUMMYFUNCTION("""COMPUTED_VALUE"""),2.64461909E8)</f>
        <v>264461909</v>
      </c>
      <c r="G158" s="3">
        <f t="shared" si="1"/>
        <v>-0.009658411236</v>
      </c>
      <c r="H158" s="2">
        <f t="shared" si="2"/>
        <v>1222.210072</v>
      </c>
    </row>
    <row r="159">
      <c r="A159" s="1">
        <f>IFERROR(__xludf.DUMMYFUNCTION("""COMPUTED_VALUE"""),42741.66666666667)</f>
        <v>42741.66667</v>
      </c>
      <c r="B159" s="2">
        <f>IFERROR(__xludf.DUMMYFUNCTION("""COMPUTED_VALUE"""),225.04)</f>
        <v>225.04</v>
      </c>
      <c r="C159" s="2">
        <f>IFERROR(__xludf.DUMMYFUNCTION("""COMPUTED_VALUE"""),227.75)</f>
        <v>227.75</v>
      </c>
      <c r="D159" s="2">
        <f>IFERROR(__xludf.DUMMYFUNCTION("""COMPUTED_VALUE"""),223.88)</f>
        <v>223.88</v>
      </c>
      <c r="E159" s="2">
        <f>IFERROR(__xludf.DUMMYFUNCTION("""COMPUTED_VALUE"""),227.21)</f>
        <v>227.21</v>
      </c>
      <c r="F159" s="2">
        <f>IFERROR(__xludf.DUMMYFUNCTION("""COMPUTED_VALUE"""),3.20049889E8)</f>
        <v>320049889</v>
      </c>
      <c r="G159" s="3">
        <f t="shared" si="1"/>
        <v>0.01646311457</v>
      </c>
      <c r="H159" s="2">
        <f t="shared" si="2"/>
        <v>1242.331456</v>
      </c>
    </row>
    <row r="160">
      <c r="A160" s="1">
        <f>IFERROR(__xludf.DUMMYFUNCTION("""COMPUTED_VALUE"""),42748.66666666667)</f>
        <v>42748.66667</v>
      </c>
      <c r="B160" s="2">
        <f>IFERROR(__xludf.DUMMYFUNCTION("""COMPUTED_VALUE"""),226.91)</f>
        <v>226.91</v>
      </c>
      <c r="C160" s="2">
        <f>IFERROR(__xludf.DUMMYFUNCTION("""COMPUTED_VALUE"""),227.45)</f>
        <v>227.45</v>
      </c>
      <c r="D160" s="2">
        <f>IFERROR(__xludf.DUMMYFUNCTION("""COMPUTED_VALUE"""),224.96)</f>
        <v>224.96</v>
      </c>
      <c r="E160" s="2">
        <f>IFERROR(__xludf.DUMMYFUNCTION("""COMPUTED_VALUE"""),227.05)</f>
        <v>227.05</v>
      </c>
      <c r="F160" s="2">
        <f>IFERROR(__xludf.DUMMYFUNCTION("""COMPUTED_VALUE"""),3.20192677E8)</f>
        <v>320192677</v>
      </c>
      <c r="G160" s="3">
        <f t="shared" si="1"/>
        <v>-0.0007041943576</v>
      </c>
      <c r="H160" s="2">
        <f t="shared" si="2"/>
        <v>1241.456613</v>
      </c>
    </row>
    <row r="161">
      <c r="A161" s="1">
        <f>IFERROR(__xludf.DUMMYFUNCTION("""COMPUTED_VALUE"""),42755.66666666667)</f>
        <v>42755.66667</v>
      </c>
      <c r="B161" s="2">
        <f>IFERROR(__xludf.DUMMYFUNCTION("""COMPUTED_VALUE"""),226.31)</f>
        <v>226.31</v>
      </c>
      <c r="C161" s="2">
        <f>IFERROR(__xludf.DUMMYFUNCTION("""COMPUTED_VALUE"""),227.31)</f>
        <v>227.31</v>
      </c>
      <c r="D161" s="2">
        <f>IFERROR(__xludf.DUMMYFUNCTION("""COMPUTED_VALUE"""),225.41)</f>
        <v>225.41</v>
      </c>
      <c r="E161" s="2">
        <f>IFERROR(__xludf.DUMMYFUNCTION("""COMPUTED_VALUE"""),226.74)</f>
        <v>226.74</v>
      </c>
      <c r="F161" s="2">
        <f>IFERROR(__xludf.DUMMYFUNCTION("""COMPUTED_VALUE"""),3.11811526E8)</f>
        <v>311811526</v>
      </c>
      <c r="G161" s="3">
        <f t="shared" si="1"/>
        <v>-0.001365338031</v>
      </c>
      <c r="H161" s="2">
        <f t="shared" si="2"/>
        <v>1239.761605</v>
      </c>
    </row>
    <row r="162">
      <c r="A162" s="1">
        <f>IFERROR(__xludf.DUMMYFUNCTION("""COMPUTED_VALUE"""),42762.66666666667)</f>
        <v>42762.66667</v>
      </c>
      <c r="B162" s="2">
        <f>IFERROR(__xludf.DUMMYFUNCTION("""COMPUTED_VALUE"""),226.35)</f>
        <v>226.35</v>
      </c>
      <c r="C162" s="2">
        <f>IFERROR(__xludf.DUMMYFUNCTION("""COMPUTED_VALUE"""),229.71)</f>
        <v>229.71</v>
      </c>
      <c r="D162" s="2">
        <f>IFERROR(__xludf.DUMMYFUNCTION("""COMPUTED_VALUE"""),225.27)</f>
        <v>225.27</v>
      </c>
      <c r="E162" s="2">
        <f>IFERROR(__xludf.DUMMYFUNCTION("""COMPUTED_VALUE"""),228.97)</f>
        <v>228.97</v>
      </c>
      <c r="F162" s="2">
        <f>IFERROR(__xludf.DUMMYFUNCTION("""COMPUTED_VALUE"""),3.74736489E8)</f>
        <v>374736489</v>
      </c>
      <c r="G162" s="3">
        <f t="shared" si="1"/>
        <v>0.009835053365</v>
      </c>
      <c r="H162" s="2">
        <f t="shared" si="2"/>
        <v>1251.954727</v>
      </c>
    </row>
    <row r="163">
      <c r="A163" s="1">
        <f>IFERROR(__xludf.DUMMYFUNCTION("""COMPUTED_VALUE"""),42769.66666666667)</f>
        <v>42769.66667</v>
      </c>
      <c r="B163" s="2">
        <f>IFERROR(__xludf.DUMMYFUNCTION("""COMPUTED_VALUE"""),228.17)</f>
        <v>228.17</v>
      </c>
      <c r="C163" s="2">
        <f>IFERROR(__xludf.DUMMYFUNCTION("""COMPUTED_VALUE"""),229.55)</f>
        <v>229.55</v>
      </c>
      <c r="D163" s="2">
        <f>IFERROR(__xludf.DUMMYFUNCTION("""COMPUTED_VALUE"""),226.32)</f>
        <v>226.32</v>
      </c>
      <c r="E163" s="2">
        <f>IFERROR(__xludf.DUMMYFUNCTION("""COMPUTED_VALUE"""),229.34)</f>
        <v>229.34</v>
      </c>
      <c r="F163" s="2">
        <f>IFERROR(__xludf.DUMMYFUNCTION("""COMPUTED_VALUE"""),3.84956436E8)</f>
        <v>384956436</v>
      </c>
      <c r="G163" s="3">
        <f t="shared" si="1"/>
        <v>0.001615932218</v>
      </c>
      <c r="H163" s="2">
        <f t="shared" si="2"/>
        <v>1253.977801</v>
      </c>
    </row>
    <row r="164">
      <c r="A164" s="1">
        <f>IFERROR(__xludf.DUMMYFUNCTION("""COMPUTED_VALUE"""),42776.66666666667)</f>
        <v>42776.66667</v>
      </c>
      <c r="B164" s="2">
        <f>IFERROR(__xludf.DUMMYFUNCTION("""COMPUTED_VALUE"""),228.87)</f>
        <v>228.87</v>
      </c>
      <c r="C164" s="2">
        <f>IFERROR(__xludf.DUMMYFUNCTION("""COMPUTED_VALUE"""),231.77)</f>
        <v>231.77</v>
      </c>
      <c r="D164" s="2">
        <f>IFERROR(__xludf.DUMMYFUNCTION("""COMPUTED_VALUE"""),228.31)</f>
        <v>228.31</v>
      </c>
      <c r="E164" s="2">
        <f>IFERROR(__xludf.DUMMYFUNCTION("""COMPUTED_VALUE"""),231.51)</f>
        <v>231.51</v>
      </c>
      <c r="F164" s="2">
        <f>IFERROR(__xludf.DUMMYFUNCTION("""COMPUTED_VALUE"""),2.99258614E8)</f>
        <v>299258614</v>
      </c>
      <c r="G164" s="3">
        <f t="shared" si="1"/>
        <v>0.009461934246</v>
      </c>
      <c r="H164" s="2">
        <f t="shared" si="2"/>
        <v>1265.842856</v>
      </c>
    </row>
    <row r="165">
      <c r="A165" s="1">
        <f>IFERROR(__xludf.DUMMYFUNCTION("""COMPUTED_VALUE"""),42783.66666666667)</f>
        <v>42783.66667</v>
      </c>
      <c r="B165" s="2">
        <f>IFERROR(__xludf.DUMMYFUNCTION("""COMPUTED_VALUE"""),232.08)</f>
        <v>232.08</v>
      </c>
      <c r="C165" s="2">
        <f>IFERROR(__xludf.DUMMYFUNCTION("""COMPUTED_VALUE"""),235.16)</f>
        <v>235.16</v>
      </c>
      <c r="D165" s="2">
        <f>IFERROR(__xludf.DUMMYFUNCTION("""COMPUTED_VALUE"""),232.05)</f>
        <v>232.05</v>
      </c>
      <c r="E165" s="2">
        <f>IFERROR(__xludf.DUMMYFUNCTION("""COMPUTED_VALUE"""),235.09)</f>
        <v>235.09</v>
      </c>
      <c r="F165" s="2">
        <f>IFERROR(__xludf.DUMMYFUNCTION("""COMPUTED_VALUE"""),3.750034E8)</f>
        <v>375003400</v>
      </c>
      <c r="G165" s="3">
        <f t="shared" si="1"/>
        <v>0.01546369487</v>
      </c>
      <c r="H165" s="2">
        <f t="shared" si="2"/>
        <v>1285.417464</v>
      </c>
    </row>
    <row r="166">
      <c r="A166" s="1">
        <f>IFERROR(__xludf.DUMMYFUNCTION("""COMPUTED_VALUE"""),42790.66666666667)</f>
        <v>42790.66667</v>
      </c>
      <c r="B166" s="2">
        <f>IFERROR(__xludf.DUMMYFUNCTION("""COMPUTED_VALUE"""),235.52)</f>
        <v>235.52</v>
      </c>
      <c r="C166" s="2">
        <f>IFERROR(__xludf.DUMMYFUNCTION("""COMPUTED_VALUE"""),236.9)</f>
        <v>236.9</v>
      </c>
      <c r="D166" s="2">
        <f>IFERROR(__xludf.DUMMYFUNCTION("""COMPUTED_VALUE"""),235.41)</f>
        <v>235.41</v>
      </c>
      <c r="E166" s="2">
        <f>IFERROR(__xludf.DUMMYFUNCTION("""COMPUTED_VALUE"""),236.74)</f>
        <v>236.74</v>
      </c>
      <c r="F166" s="2">
        <f>IFERROR(__xludf.DUMMYFUNCTION("""COMPUTED_VALUE"""),3.0805875E8)</f>
        <v>308058750</v>
      </c>
      <c r="G166" s="3">
        <f t="shared" si="1"/>
        <v>0.007018588626</v>
      </c>
      <c r="H166" s="2">
        <f t="shared" si="2"/>
        <v>1294.43928</v>
      </c>
    </row>
    <row r="167">
      <c r="A167" s="1">
        <f>IFERROR(__xludf.DUMMYFUNCTION("""COMPUTED_VALUE"""),42797.66666666667)</f>
        <v>42797.66667</v>
      </c>
      <c r="B167" s="2">
        <f>IFERROR(__xludf.DUMMYFUNCTION("""COMPUTED_VALUE"""),236.64)</f>
        <v>236.64</v>
      </c>
      <c r="C167" s="2">
        <f>IFERROR(__xludf.DUMMYFUNCTION("""COMPUTED_VALUE"""),240.32)</f>
        <v>240.32</v>
      </c>
      <c r="D167" s="2">
        <f>IFERROR(__xludf.DUMMYFUNCTION("""COMPUTED_VALUE"""),236.02)</f>
        <v>236.02</v>
      </c>
      <c r="E167" s="2">
        <f>IFERROR(__xludf.DUMMYFUNCTION("""COMPUTED_VALUE"""),238.42)</f>
        <v>238.42</v>
      </c>
      <c r="F167" s="2">
        <f>IFERROR(__xludf.DUMMYFUNCTION("""COMPUTED_VALUE"""),4.54855826E8)</f>
        <v>454855826</v>
      </c>
      <c r="G167" s="3">
        <f t="shared" si="1"/>
        <v>0.007096392667</v>
      </c>
      <c r="H167" s="2">
        <f t="shared" si="2"/>
        <v>1303.62513</v>
      </c>
    </row>
    <row r="168">
      <c r="A168" s="1">
        <f>IFERROR(__xludf.DUMMYFUNCTION("""COMPUTED_VALUE"""),42804.66666666667)</f>
        <v>42804.66667</v>
      </c>
      <c r="B168" s="2">
        <f>IFERROR(__xludf.DUMMYFUNCTION("""COMPUTED_VALUE"""),237.5)</f>
        <v>237.5</v>
      </c>
      <c r="C168" s="2">
        <f>IFERROR(__xludf.DUMMYFUNCTION("""COMPUTED_VALUE"""),238.12)</f>
        <v>238.12</v>
      </c>
      <c r="D168" s="2">
        <f>IFERROR(__xludf.DUMMYFUNCTION("""COMPUTED_VALUE"""),235.74)</f>
        <v>235.74</v>
      </c>
      <c r="E168" s="2">
        <f>IFERROR(__xludf.DUMMYFUNCTION("""COMPUTED_VALUE"""),237.69)</f>
        <v>237.69</v>
      </c>
      <c r="F168" s="2">
        <f>IFERROR(__xludf.DUMMYFUNCTION("""COMPUTED_VALUE"""),3.71339635E8)</f>
        <v>371339635</v>
      </c>
      <c r="G168" s="3">
        <f t="shared" si="1"/>
        <v>-0.003061823673</v>
      </c>
      <c r="H168" s="2">
        <f t="shared" si="2"/>
        <v>1299.63366</v>
      </c>
    </row>
    <row r="169">
      <c r="A169" s="1">
        <f>IFERROR(__xludf.DUMMYFUNCTION("""COMPUTED_VALUE"""),42811.66666666667)</f>
        <v>42811.66667</v>
      </c>
      <c r="B169" s="2">
        <f>IFERROR(__xludf.DUMMYFUNCTION("""COMPUTED_VALUE"""),237.62)</f>
        <v>237.62</v>
      </c>
      <c r="C169" s="2">
        <f>IFERROR(__xludf.DUMMYFUNCTION("""COMPUTED_VALUE"""),239.44)</f>
        <v>239.44</v>
      </c>
      <c r="D169" s="2">
        <f>IFERROR(__xludf.DUMMYFUNCTION("""COMPUTED_VALUE"""),236.19)</f>
        <v>236.19</v>
      </c>
      <c r="E169" s="2">
        <f>IFERROR(__xludf.DUMMYFUNCTION("""COMPUTED_VALUE"""),237.03)</f>
        <v>237.03</v>
      </c>
      <c r="F169" s="2">
        <f>IFERROR(__xludf.DUMMYFUNCTION("""COMPUTED_VALUE"""),3.80565414E8)</f>
        <v>380565414</v>
      </c>
      <c r="G169" s="3">
        <f t="shared" si="1"/>
        <v>-0.002776725988</v>
      </c>
      <c r="H169" s="2">
        <f t="shared" si="2"/>
        <v>1296.024933</v>
      </c>
    </row>
    <row r="170">
      <c r="A170" s="1">
        <f>IFERROR(__xludf.DUMMYFUNCTION("""COMPUTED_VALUE"""),42818.66666666667)</f>
        <v>42818.66667</v>
      </c>
      <c r="B170" s="2">
        <f>IFERROR(__xludf.DUMMYFUNCTION("""COMPUTED_VALUE"""),237.03)</f>
        <v>237.03</v>
      </c>
      <c r="C170" s="2">
        <f>IFERROR(__xludf.DUMMYFUNCTION("""COMPUTED_VALUE"""),237.61)</f>
        <v>237.61</v>
      </c>
      <c r="D170" s="2">
        <f>IFERROR(__xludf.DUMMYFUNCTION("""COMPUTED_VALUE"""),232.96)</f>
        <v>232.96</v>
      </c>
      <c r="E170" s="2">
        <f>IFERROR(__xludf.DUMMYFUNCTION("""COMPUTED_VALUE"""),233.86)</f>
        <v>233.86</v>
      </c>
      <c r="F170" s="2">
        <f>IFERROR(__xludf.DUMMYFUNCTION("""COMPUTED_VALUE"""),4.94830588E8)</f>
        <v>494830588</v>
      </c>
      <c r="G170" s="3">
        <f t="shared" si="1"/>
        <v>-0.01337383454</v>
      </c>
      <c r="H170" s="2">
        <f t="shared" si="2"/>
        <v>1278.69211</v>
      </c>
    </row>
    <row r="171">
      <c r="A171" s="1">
        <f>IFERROR(__xludf.DUMMYFUNCTION("""COMPUTED_VALUE"""),42825.66666666667)</f>
        <v>42825.66667</v>
      </c>
      <c r="B171" s="2">
        <f>IFERROR(__xludf.DUMMYFUNCTION("""COMPUTED_VALUE"""),231.93)</f>
        <v>231.93</v>
      </c>
      <c r="C171" s="2">
        <f>IFERROR(__xludf.DUMMYFUNCTION("""COMPUTED_VALUE"""),236.52)</f>
        <v>236.52</v>
      </c>
      <c r="D171" s="2">
        <f>IFERROR(__xludf.DUMMYFUNCTION("""COMPUTED_VALUE"""),231.61)</f>
        <v>231.61</v>
      </c>
      <c r="E171" s="2">
        <f>IFERROR(__xludf.DUMMYFUNCTION("""COMPUTED_VALUE"""),235.74)</f>
        <v>235.74</v>
      </c>
      <c r="F171" s="2">
        <f>IFERROR(__xludf.DUMMYFUNCTION("""COMPUTED_VALUE"""),3.73359705E8)</f>
        <v>373359705</v>
      </c>
      <c r="G171" s="3">
        <f t="shared" si="1"/>
        <v>0.008038997691</v>
      </c>
      <c r="H171" s="2">
        <f t="shared" si="2"/>
        <v>1288.971513</v>
      </c>
    </row>
    <row r="172">
      <c r="A172" s="1">
        <f>IFERROR(__xludf.DUMMYFUNCTION("""COMPUTED_VALUE"""),42832.66666666667)</f>
        <v>42832.66667</v>
      </c>
      <c r="B172" s="2">
        <f>IFERROR(__xludf.DUMMYFUNCTION("""COMPUTED_VALUE"""),235.8)</f>
        <v>235.8</v>
      </c>
      <c r="C172" s="2">
        <f>IFERROR(__xludf.DUMMYFUNCTION("""COMPUTED_VALUE"""),237.39)</f>
        <v>237.39</v>
      </c>
      <c r="D172" s="2">
        <f>IFERROR(__xludf.DUMMYFUNCTION("""COMPUTED_VALUE"""),233.91)</f>
        <v>233.91</v>
      </c>
      <c r="E172" s="2">
        <f>IFERROR(__xludf.DUMMYFUNCTION("""COMPUTED_VALUE"""),235.2)</f>
        <v>235.2</v>
      </c>
      <c r="F172" s="2">
        <f>IFERROR(__xludf.DUMMYFUNCTION("""COMPUTED_VALUE"""),3.94361353E8)</f>
        <v>394361353</v>
      </c>
      <c r="G172" s="3">
        <f t="shared" si="1"/>
        <v>-0.002290659201</v>
      </c>
      <c r="H172" s="2">
        <f t="shared" si="2"/>
        <v>1286.018918</v>
      </c>
    </row>
    <row r="173">
      <c r="A173" s="1">
        <f>IFERROR(__xludf.DUMMYFUNCTION("""COMPUTED_VALUE"""),42838.66666666667)</f>
        <v>42838.66667</v>
      </c>
      <c r="B173" s="2">
        <f>IFERROR(__xludf.DUMMYFUNCTION("""COMPUTED_VALUE"""),235.36)</f>
        <v>235.36</v>
      </c>
      <c r="C173" s="2">
        <f>IFERROR(__xludf.DUMMYFUNCTION("""COMPUTED_VALUE"""),236.26)</f>
        <v>236.26</v>
      </c>
      <c r="D173" s="2">
        <f>IFERROR(__xludf.DUMMYFUNCTION("""COMPUTED_VALUE"""),232.51)</f>
        <v>232.51</v>
      </c>
      <c r="E173" s="2">
        <f>IFERROR(__xludf.DUMMYFUNCTION("""COMPUTED_VALUE"""),232.51)</f>
        <v>232.51</v>
      </c>
      <c r="F173" s="2">
        <f>IFERROR(__xludf.DUMMYFUNCTION("""COMPUTED_VALUE"""),3.30405408E8)</f>
        <v>330405408</v>
      </c>
      <c r="G173" s="3">
        <f t="shared" si="1"/>
        <v>-0.01143707483</v>
      </c>
      <c r="H173" s="2">
        <f t="shared" si="2"/>
        <v>1271.310624</v>
      </c>
    </row>
    <row r="174">
      <c r="A174" s="1">
        <f>IFERROR(__xludf.DUMMYFUNCTION("""COMPUTED_VALUE"""),42846.66666666667)</f>
        <v>42846.66667</v>
      </c>
      <c r="B174" s="2">
        <f>IFERROR(__xludf.DUMMYFUNCTION("""COMPUTED_VALUE"""),233.11)</f>
        <v>233.11</v>
      </c>
      <c r="C174" s="2">
        <f>IFERROR(__xludf.DUMMYFUNCTION("""COMPUTED_VALUE"""),235.85)</f>
        <v>235.85</v>
      </c>
      <c r="D174" s="2">
        <f>IFERROR(__xludf.DUMMYFUNCTION("""COMPUTED_VALUE"""),232.88)</f>
        <v>232.88</v>
      </c>
      <c r="E174" s="2">
        <f>IFERROR(__xludf.DUMMYFUNCTION("""COMPUTED_VALUE"""),234.59)</f>
        <v>234.59</v>
      </c>
      <c r="F174" s="2">
        <f>IFERROR(__xludf.DUMMYFUNCTION("""COMPUTED_VALUE"""),4.23293089E8)</f>
        <v>423293089</v>
      </c>
      <c r="G174" s="3">
        <f t="shared" si="1"/>
        <v>0.008945851791</v>
      </c>
      <c r="H174" s="2">
        <f t="shared" si="2"/>
        <v>1282.68358</v>
      </c>
    </row>
    <row r="175">
      <c r="A175" s="1">
        <f>IFERROR(__xludf.DUMMYFUNCTION("""COMPUTED_VALUE"""),42853.66666666667)</f>
        <v>42853.66667</v>
      </c>
      <c r="B175" s="2">
        <f>IFERROR(__xludf.DUMMYFUNCTION("""COMPUTED_VALUE"""),237.18)</f>
        <v>237.18</v>
      </c>
      <c r="C175" s="2">
        <f>IFERROR(__xludf.DUMMYFUNCTION("""COMPUTED_VALUE"""),239.53)</f>
        <v>239.53</v>
      </c>
      <c r="D175" s="2">
        <f>IFERROR(__xludf.DUMMYFUNCTION("""COMPUTED_VALUE"""),234.56)</f>
        <v>234.56</v>
      </c>
      <c r="E175" s="2">
        <f>IFERROR(__xludf.DUMMYFUNCTION("""COMPUTED_VALUE"""),238.08)</f>
        <v>238.08</v>
      </c>
      <c r="F175" s="2">
        <f>IFERROR(__xludf.DUMMYFUNCTION("""COMPUTED_VALUE"""),4.01553768E8)</f>
        <v>401553768</v>
      </c>
      <c r="G175" s="3">
        <f t="shared" si="1"/>
        <v>0.01487701948</v>
      </c>
      <c r="H175" s="2">
        <f t="shared" si="2"/>
        <v>1301.766089</v>
      </c>
    </row>
    <row r="176">
      <c r="A176" s="1">
        <f>IFERROR(__xludf.DUMMYFUNCTION("""COMPUTED_VALUE"""),42860.66666666667)</f>
        <v>42860.66667</v>
      </c>
      <c r="B176" s="2">
        <f>IFERROR(__xludf.DUMMYFUNCTION("""COMPUTED_VALUE"""),238.68)</f>
        <v>238.68</v>
      </c>
      <c r="C176" s="2">
        <f>IFERROR(__xludf.DUMMYFUNCTION("""COMPUTED_VALUE"""),239.72)</f>
        <v>239.72</v>
      </c>
      <c r="D176" s="2">
        <f>IFERROR(__xludf.DUMMYFUNCTION("""COMPUTED_VALUE"""),237.7)</f>
        <v>237.7</v>
      </c>
      <c r="E176" s="2">
        <f>IFERROR(__xludf.DUMMYFUNCTION("""COMPUTED_VALUE"""),239.7)</f>
        <v>239.7</v>
      </c>
      <c r="F176" s="2">
        <f>IFERROR(__xludf.DUMMYFUNCTION("""COMPUTED_VALUE"""),3.20859985E8)</f>
        <v>320859985</v>
      </c>
      <c r="G176" s="3">
        <f t="shared" si="1"/>
        <v>0.006804435484</v>
      </c>
      <c r="H176" s="2">
        <f t="shared" si="2"/>
        <v>1310.623872</v>
      </c>
    </row>
    <row r="177">
      <c r="A177" s="1">
        <f>IFERROR(__xludf.DUMMYFUNCTION("""COMPUTED_VALUE"""),42867.66666666667)</f>
        <v>42867.66667</v>
      </c>
      <c r="B177" s="2">
        <f>IFERROR(__xludf.DUMMYFUNCTION("""COMPUTED_VALUE"""),239.75)</f>
        <v>239.75</v>
      </c>
      <c r="C177" s="2">
        <f>IFERROR(__xludf.DUMMYFUNCTION("""COMPUTED_VALUE"""),240.19)</f>
        <v>240.19</v>
      </c>
      <c r="D177" s="2">
        <f>IFERROR(__xludf.DUMMYFUNCTION("""COMPUTED_VALUE"""),238.13)</f>
        <v>238.13</v>
      </c>
      <c r="E177" s="2">
        <f>IFERROR(__xludf.DUMMYFUNCTION("""COMPUTED_VALUE"""),238.98)</f>
        <v>238.98</v>
      </c>
      <c r="F177" s="2">
        <f>IFERROR(__xludf.DUMMYFUNCTION("""COMPUTED_VALUE"""),2.70313805E8)</f>
        <v>270313805</v>
      </c>
      <c r="G177" s="3">
        <f t="shared" si="1"/>
        <v>-0.003003754693</v>
      </c>
      <c r="H177" s="2">
        <f t="shared" si="2"/>
        <v>1306.68708</v>
      </c>
    </row>
    <row r="178">
      <c r="A178" s="1">
        <f>IFERROR(__xludf.DUMMYFUNCTION("""COMPUTED_VALUE"""),42874.66666666667)</f>
        <v>42874.66667</v>
      </c>
      <c r="B178" s="2">
        <f>IFERROR(__xludf.DUMMYFUNCTION("""COMPUTED_VALUE"""),239.47)</f>
        <v>239.47</v>
      </c>
      <c r="C178" s="2">
        <f>IFERROR(__xludf.DUMMYFUNCTION("""COMPUTED_VALUE"""),240.67)</f>
        <v>240.67</v>
      </c>
      <c r="D178" s="2">
        <f>IFERROR(__xludf.DUMMYFUNCTION("""COMPUTED_VALUE"""),235.43)</f>
        <v>235.43</v>
      </c>
      <c r="E178" s="2">
        <f>IFERROR(__xludf.DUMMYFUNCTION("""COMPUTED_VALUE"""),238.31)</f>
        <v>238.31</v>
      </c>
      <c r="F178" s="2">
        <f>IFERROR(__xludf.DUMMYFUNCTION("""COMPUTED_VALUE"""),5.07393864E8)</f>
        <v>507393864</v>
      </c>
      <c r="G178" s="3">
        <f t="shared" si="1"/>
        <v>-0.00280358189</v>
      </c>
      <c r="H178" s="2">
        <f t="shared" si="2"/>
        <v>1303.023675</v>
      </c>
    </row>
    <row r="179">
      <c r="A179" s="1">
        <f>IFERROR(__xludf.DUMMYFUNCTION("""COMPUTED_VALUE"""),42881.66666666667)</f>
        <v>42881.66667</v>
      </c>
      <c r="B179" s="2">
        <f>IFERROR(__xludf.DUMMYFUNCTION("""COMPUTED_VALUE"""),238.9)</f>
        <v>238.9</v>
      </c>
      <c r="C179" s="2">
        <f>IFERROR(__xludf.DUMMYFUNCTION("""COMPUTED_VALUE"""),242.08)</f>
        <v>242.08</v>
      </c>
      <c r="D179" s="2">
        <f>IFERROR(__xludf.DUMMYFUNCTION("""COMPUTED_VALUE"""),238.82)</f>
        <v>238.82</v>
      </c>
      <c r="E179" s="2">
        <f>IFERROR(__xludf.DUMMYFUNCTION("""COMPUTED_VALUE"""),241.71)</f>
        <v>241.71</v>
      </c>
      <c r="F179" s="2">
        <f>IFERROR(__xludf.DUMMYFUNCTION("""COMPUTED_VALUE"""),2.6923495E8)</f>
        <v>269234950</v>
      </c>
      <c r="G179" s="3">
        <f t="shared" si="1"/>
        <v>0.01426713105</v>
      </c>
      <c r="H179" s="2">
        <f t="shared" si="2"/>
        <v>1321.614085</v>
      </c>
    </row>
    <row r="180">
      <c r="A180" s="1">
        <f>IFERROR(__xludf.DUMMYFUNCTION("""COMPUTED_VALUE"""),42888.66666666667)</f>
        <v>42888.66667</v>
      </c>
      <c r="B180" s="2">
        <f>IFERROR(__xludf.DUMMYFUNCTION("""COMPUTED_VALUE"""),241.34)</f>
        <v>241.34</v>
      </c>
      <c r="C180" s="2">
        <f>IFERROR(__xludf.DUMMYFUNCTION("""COMPUTED_VALUE"""),244.35)</f>
        <v>244.35</v>
      </c>
      <c r="D180" s="2">
        <f>IFERROR(__xludf.DUMMYFUNCTION("""COMPUTED_VALUE"""),240.64)</f>
        <v>240.64</v>
      </c>
      <c r="E180" s="2">
        <f>IFERROR(__xludf.DUMMYFUNCTION("""COMPUTED_VALUE"""),244.17)</f>
        <v>244.17</v>
      </c>
      <c r="F180" s="2">
        <f>IFERROR(__xludf.DUMMYFUNCTION("""COMPUTED_VALUE"""),2.84626065E8)</f>
        <v>284626065</v>
      </c>
      <c r="G180" s="3">
        <f t="shared" si="1"/>
        <v>0.01017748542</v>
      </c>
      <c r="H180" s="2">
        <f t="shared" si="2"/>
        <v>1335.064793</v>
      </c>
    </row>
    <row r="181">
      <c r="A181" s="1">
        <f>IFERROR(__xludf.DUMMYFUNCTION("""COMPUTED_VALUE"""),42895.66666666667)</f>
        <v>42895.66667</v>
      </c>
      <c r="B181" s="2">
        <f>IFERROR(__xludf.DUMMYFUNCTION("""COMPUTED_VALUE"""),243.97)</f>
        <v>243.97</v>
      </c>
      <c r="C181" s="2">
        <f>IFERROR(__xludf.DUMMYFUNCTION("""COMPUTED_VALUE"""),245.01)</f>
        <v>245.01</v>
      </c>
      <c r="D181" s="2">
        <f>IFERROR(__xludf.DUMMYFUNCTION("""COMPUTED_VALUE"""),241.95)</f>
        <v>241.95</v>
      </c>
      <c r="E181" s="2">
        <f>IFERROR(__xludf.DUMMYFUNCTION("""COMPUTED_VALUE"""),243.41)</f>
        <v>243.41</v>
      </c>
      <c r="F181" s="2">
        <f>IFERROR(__xludf.DUMMYFUNCTION("""COMPUTED_VALUE"""),3.47425619E8)</f>
        <v>347425619</v>
      </c>
      <c r="G181" s="3">
        <f t="shared" si="1"/>
        <v>-0.003112585494</v>
      </c>
      <c r="H181" s="2">
        <f t="shared" si="2"/>
        <v>1330.90929</v>
      </c>
    </row>
    <row r="182">
      <c r="A182" s="1">
        <f>IFERROR(__xludf.DUMMYFUNCTION("""COMPUTED_VALUE"""),42902.66666666667)</f>
        <v>42902.66667</v>
      </c>
      <c r="B182" s="2">
        <f>IFERROR(__xludf.DUMMYFUNCTION("""COMPUTED_VALUE"""),243.13)</f>
        <v>243.13</v>
      </c>
      <c r="C182" s="2">
        <f>IFERROR(__xludf.DUMMYFUNCTION("""COMPUTED_VALUE"""),244.87)</f>
        <v>244.87</v>
      </c>
      <c r="D182" s="2">
        <f>IFERROR(__xludf.DUMMYFUNCTION("""COMPUTED_VALUE"""),241.63)</f>
        <v>241.63</v>
      </c>
      <c r="E182" s="2">
        <f>IFERROR(__xludf.DUMMYFUNCTION("""COMPUTED_VALUE"""),242.64)</f>
        <v>242.64</v>
      </c>
      <c r="F182" s="2">
        <f>IFERROR(__xludf.DUMMYFUNCTION("""COMPUTED_VALUE"""),3.75795351E8)</f>
        <v>375795351</v>
      </c>
      <c r="G182" s="3">
        <f t="shared" si="1"/>
        <v>-0.003163386878</v>
      </c>
      <c r="H182" s="2">
        <f t="shared" si="2"/>
        <v>1326.699109</v>
      </c>
    </row>
    <row r="183">
      <c r="A183" s="1">
        <f>IFERROR(__xludf.DUMMYFUNCTION("""COMPUTED_VALUE"""),42909.66666666667)</f>
        <v>42909.66667</v>
      </c>
      <c r="B183" s="2">
        <f>IFERROR(__xludf.DUMMYFUNCTION("""COMPUTED_VALUE"""),243.59)</f>
        <v>243.59</v>
      </c>
      <c r="C183" s="2">
        <f>IFERROR(__xludf.DUMMYFUNCTION("""COMPUTED_VALUE"""),244.73)</f>
        <v>244.73</v>
      </c>
      <c r="D183" s="2">
        <f>IFERROR(__xludf.DUMMYFUNCTION("""COMPUTED_VALUE"""),242.41)</f>
        <v>242.41</v>
      </c>
      <c r="E183" s="2">
        <f>IFERROR(__xludf.DUMMYFUNCTION("""COMPUTED_VALUE"""),243.13)</f>
        <v>243.13</v>
      </c>
      <c r="F183" s="2">
        <f>IFERROR(__xludf.DUMMYFUNCTION("""COMPUTED_VALUE"""),2.89142599E8)</f>
        <v>289142599</v>
      </c>
      <c r="G183" s="3">
        <f t="shared" si="1"/>
        <v>0.002019452687</v>
      </c>
      <c r="H183" s="2">
        <f t="shared" si="2"/>
        <v>1329.378315</v>
      </c>
    </row>
    <row r="184">
      <c r="A184" s="1">
        <f>IFERROR(__xludf.DUMMYFUNCTION("""COMPUTED_VALUE"""),42916.66666666667)</f>
        <v>42916.66667</v>
      </c>
      <c r="B184" s="2">
        <f>IFERROR(__xludf.DUMMYFUNCTION("""COMPUTED_VALUE"""),243.9)</f>
        <v>243.9</v>
      </c>
      <c r="C184" s="2">
        <f>IFERROR(__xludf.DUMMYFUNCTION("""COMPUTED_VALUE"""),244.38)</f>
        <v>244.38</v>
      </c>
      <c r="D184" s="2">
        <f>IFERROR(__xludf.DUMMYFUNCTION("""COMPUTED_VALUE"""),239.96)</f>
        <v>239.96</v>
      </c>
      <c r="E184" s="2">
        <f>IFERROR(__xludf.DUMMYFUNCTION("""COMPUTED_VALUE"""),241.8)</f>
        <v>241.8</v>
      </c>
      <c r="F184" s="2">
        <f>IFERROR(__xludf.DUMMYFUNCTION("""COMPUTED_VALUE"""),4.02761155E8)</f>
        <v>402761155</v>
      </c>
      <c r="G184" s="3">
        <f t="shared" si="1"/>
        <v>-0.005470324518</v>
      </c>
      <c r="H184" s="2">
        <f t="shared" si="2"/>
        <v>1322.106184</v>
      </c>
    </row>
    <row r="185">
      <c r="A185" s="1">
        <f>IFERROR(__xludf.DUMMYFUNCTION("""COMPUTED_VALUE"""),42923.66666666667)</f>
        <v>42923.66667</v>
      </c>
      <c r="B185" s="2">
        <f>IFERROR(__xludf.DUMMYFUNCTION("""COMPUTED_VALUE"""),242.88)</f>
        <v>242.88</v>
      </c>
      <c r="C185" s="2">
        <f>IFERROR(__xludf.DUMMYFUNCTION("""COMPUTED_VALUE"""),243.38)</f>
        <v>243.38</v>
      </c>
      <c r="D185" s="2">
        <f>IFERROR(__xludf.DUMMYFUNCTION("""COMPUTED_VALUE"""),240.34)</f>
        <v>240.34</v>
      </c>
      <c r="E185" s="2">
        <f>IFERROR(__xludf.DUMMYFUNCTION("""COMPUTED_VALUE"""),242.11)</f>
        <v>242.11</v>
      </c>
      <c r="F185" s="2">
        <f>IFERROR(__xludf.DUMMYFUNCTION("""COMPUTED_VALUE"""),2.17668987E8)</f>
        <v>217668987</v>
      </c>
      <c r="G185" s="3">
        <f t="shared" si="1"/>
        <v>0.001282051282</v>
      </c>
      <c r="H185" s="2">
        <f t="shared" si="2"/>
        <v>1323.801192</v>
      </c>
    </row>
    <row r="186">
      <c r="A186" s="1">
        <f>IFERROR(__xludf.DUMMYFUNCTION("""COMPUTED_VALUE"""),42930.66666666667)</f>
        <v>42930.66667</v>
      </c>
      <c r="B186" s="2">
        <f>IFERROR(__xludf.DUMMYFUNCTION("""COMPUTED_VALUE"""),241.95)</f>
        <v>241.95</v>
      </c>
      <c r="C186" s="2">
        <f>IFERROR(__xludf.DUMMYFUNCTION("""COMPUTED_VALUE"""),245.97)</f>
        <v>245.97</v>
      </c>
      <c r="D186" s="2">
        <f>IFERROR(__xludf.DUMMYFUNCTION("""COMPUTED_VALUE"""),240.85)</f>
        <v>240.85</v>
      </c>
      <c r="E186" s="2">
        <f>IFERROR(__xludf.DUMMYFUNCTION("""COMPUTED_VALUE"""),245.56)</f>
        <v>245.56</v>
      </c>
      <c r="F186" s="2">
        <f>IFERROR(__xludf.DUMMYFUNCTION("""COMPUTED_VALUE"""),2.46362622E8)</f>
        <v>246362622</v>
      </c>
      <c r="G186" s="3">
        <f t="shared" si="1"/>
        <v>0.0142497212</v>
      </c>
      <c r="H186" s="2">
        <f t="shared" si="2"/>
        <v>1342.66499</v>
      </c>
    </row>
    <row r="187">
      <c r="A187" s="1">
        <f>IFERROR(__xludf.DUMMYFUNCTION("""COMPUTED_VALUE"""),42937.66666666667)</f>
        <v>42937.66667</v>
      </c>
      <c r="B187" s="2">
        <f>IFERROR(__xludf.DUMMYFUNCTION("""COMPUTED_VALUE"""),245.47)</f>
        <v>245.47</v>
      </c>
      <c r="C187" s="2">
        <f>IFERROR(__xludf.DUMMYFUNCTION("""COMPUTED_VALUE"""),247.42)</f>
        <v>247.42</v>
      </c>
      <c r="D187" s="2">
        <f>IFERROR(__xludf.DUMMYFUNCTION("""COMPUTED_VALUE"""),244.67)</f>
        <v>244.67</v>
      </c>
      <c r="E187" s="2">
        <f>IFERROR(__xludf.DUMMYFUNCTION("""COMPUTED_VALUE"""),246.88)</f>
        <v>246.88</v>
      </c>
      <c r="F187" s="2">
        <f>IFERROR(__xludf.DUMMYFUNCTION("""COMPUTED_VALUE"""),2.63154877E8)</f>
        <v>263154877</v>
      </c>
      <c r="G187" s="3">
        <f t="shared" si="1"/>
        <v>0.005375468317</v>
      </c>
      <c r="H187" s="2">
        <f t="shared" si="2"/>
        <v>1349.882443</v>
      </c>
    </row>
    <row r="188">
      <c r="A188" s="1">
        <f>IFERROR(__xludf.DUMMYFUNCTION("""COMPUTED_VALUE"""),42944.66666666667)</f>
        <v>42944.66667</v>
      </c>
      <c r="B188" s="2">
        <f>IFERROR(__xludf.DUMMYFUNCTION("""COMPUTED_VALUE"""),246.79)</f>
        <v>246.79</v>
      </c>
      <c r="C188" s="2">
        <f>IFERROR(__xludf.DUMMYFUNCTION("""COMPUTED_VALUE"""),248.0)</f>
        <v>248</v>
      </c>
      <c r="D188" s="2">
        <f>IFERROR(__xludf.DUMMYFUNCTION("""COMPUTED_VALUE"""),245.68)</f>
        <v>245.68</v>
      </c>
      <c r="E188" s="2">
        <f>IFERROR(__xludf.DUMMYFUNCTION("""COMPUTED_VALUE"""),246.91)</f>
        <v>246.91</v>
      </c>
      <c r="F188" s="2">
        <f>IFERROR(__xludf.DUMMYFUNCTION("""COMPUTED_VALUE"""),2.69968196E8)</f>
        <v>269968196</v>
      </c>
      <c r="G188" s="3">
        <f t="shared" si="1"/>
        <v>0.0001215165262</v>
      </c>
      <c r="H188" s="2">
        <f t="shared" si="2"/>
        <v>1350.046476</v>
      </c>
    </row>
    <row r="189">
      <c r="A189" s="1">
        <f>IFERROR(__xludf.DUMMYFUNCTION("""COMPUTED_VALUE"""),42951.66666666667)</f>
        <v>42951.66667</v>
      </c>
      <c r="B189" s="2">
        <f>IFERROR(__xludf.DUMMYFUNCTION("""COMPUTED_VALUE"""),247.37)</f>
        <v>247.37</v>
      </c>
      <c r="C189" s="2">
        <f>IFERROR(__xludf.DUMMYFUNCTION("""COMPUTED_VALUE"""),247.79)</f>
        <v>247.79</v>
      </c>
      <c r="D189" s="2">
        <f>IFERROR(__xludf.DUMMYFUNCTION("""COMPUTED_VALUE"""),246.37)</f>
        <v>246.37</v>
      </c>
      <c r="E189" s="2">
        <f>IFERROR(__xludf.DUMMYFUNCTION("""COMPUTED_VALUE"""),247.41)</f>
        <v>247.41</v>
      </c>
      <c r="F189" s="2">
        <f>IFERROR(__xludf.DUMMYFUNCTION("""COMPUTED_VALUE"""),2.69148111E8)</f>
        <v>269148111</v>
      </c>
      <c r="G189" s="3">
        <f t="shared" si="1"/>
        <v>0.002025029363</v>
      </c>
      <c r="H189" s="2">
        <f t="shared" si="2"/>
        <v>1352.78036</v>
      </c>
    </row>
    <row r="190">
      <c r="A190" s="1">
        <f>IFERROR(__xludf.DUMMYFUNCTION("""COMPUTED_VALUE"""),42958.66666666667)</f>
        <v>42958.66667</v>
      </c>
      <c r="B190" s="2">
        <f>IFERROR(__xludf.DUMMYFUNCTION("""COMPUTED_VALUE"""),247.49)</f>
        <v>247.49</v>
      </c>
      <c r="C190" s="2">
        <f>IFERROR(__xludf.DUMMYFUNCTION("""COMPUTED_VALUE"""),248.91)</f>
        <v>248.91</v>
      </c>
      <c r="D190" s="2">
        <f>IFERROR(__xludf.DUMMYFUNCTION("""COMPUTED_VALUE"""),243.7)</f>
        <v>243.7</v>
      </c>
      <c r="E190" s="2">
        <f>IFERROR(__xludf.DUMMYFUNCTION("""COMPUTED_VALUE"""),244.12)</f>
        <v>244.12</v>
      </c>
      <c r="F190" s="2">
        <f>IFERROR(__xludf.DUMMYFUNCTION("""COMPUTED_VALUE"""),3.5169641E8)</f>
        <v>351696410</v>
      </c>
      <c r="G190" s="3">
        <f t="shared" si="1"/>
        <v>-0.01329776484</v>
      </c>
      <c r="H190" s="2">
        <f t="shared" si="2"/>
        <v>1334.791405</v>
      </c>
    </row>
    <row r="191">
      <c r="A191" s="1">
        <f>IFERROR(__xludf.DUMMYFUNCTION("""COMPUTED_VALUE"""),42965.66666666667)</f>
        <v>42965.66667</v>
      </c>
      <c r="B191" s="2">
        <f>IFERROR(__xludf.DUMMYFUNCTION("""COMPUTED_VALUE"""),245.59)</f>
        <v>245.59</v>
      </c>
      <c r="C191" s="2">
        <f>IFERROR(__xludf.DUMMYFUNCTION("""COMPUTED_VALUE"""),247.57)</f>
        <v>247.57</v>
      </c>
      <c r="D191" s="2">
        <f>IFERROR(__xludf.DUMMYFUNCTION("""COMPUTED_VALUE"""),242.2)</f>
        <v>242.2</v>
      </c>
      <c r="E191" s="2">
        <f>IFERROR(__xludf.DUMMYFUNCTION("""COMPUTED_VALUE"""),242.71)</f>
        <v>242.71</v>
      </c>
      <c r="F191" s="2">
        <f>IFERROR(__xludf.DUMMYFUNCTION("""COMPUTED_VALUE"""),4.50488591E8)</f>
        <v>450488591</v>
      </c>
      <c r="G191" s="3">
        <f t="shared" si="1"/>
        <v>-0.005775847944</v>
      </c>
      <c r="H191" s="2">
        <f t="shared" si="2"/>
        <v>1327.081852</v>
      </c>
    </row>
    <row r="192">
      <c r="A192" s="1">
        <f>IFERROR(__xludf.DUMMYFUNCTION("""COMPUTED_VALUE"""),42972.66666666667)</f>
        <v>42972.66667</v>
      </c>
      <c r="B192" s="2">
        <f>IFERROR(__xludf.DUMMYFUNCTION("""COMPUTED_VALUE"""),242.64)</f>
        <v>242.64</v>
      </c>
      <c r="C192" s="2">
        <f>IFERROR(__xludf.DUMMYFUNCTION("""COMPUTED_VALUE"""),245.62)</f>
        <v>245.62</v>
      </c>
      <c r="D192" s="2">
        <f>IFERROR(__xludf.DUMMYFUNCTION("""COMPUTED_VALUE"""),241.83)</f>
        <v>241.83</v>
      </c>
      <c r="E192" s="2">
        <f>IFERROR(__xludf.DUMMYFUNCTION("""COMPUTED_VALUE"""),244.56)</f>
        <v>244.56</v>
      </c>
      <c r="F192" s="2">
        <f>IFERROR(__xludf.DUMMYFUNCTION("""COMPUTED_VALUE"""),2.94001257E8)</f>
        <v>294001257</v>
      </c>
      <c r="G192" s="3">
        <f t="shared" si="1"/>
        <v>0.007622265255</v>
      </c>
      <c r="H192" s="2">
        <f t="shared" si="2"/>
        <v>1337.197222</v>
      </c>
    </row>
    <row r="193">
      <c r="A193" s="1">
        <f>IFERROR(__xludf.DUMMYFUNCTION("""COMPUTED_VALUE"""),42979.66666666667)</f>
        <v>42979.66667</v>
      </c>
      <c r="B193" s="2">
        <f>IFERROR(__xludf.DUMMYFUNCTION("""COMPUTED_VALUE"""),245.17)</f>
        <v>245.17</v>
      </c>
      <c r="C193" s="2">
        <f>IFERROR(__xludf.DUMMYFUNCTION("""COMPUTED_VALUE"""),248.33)</f>
        <v>248.33</v>
      </c>
      <c r="D193" s="2">
        <f>IFERROR(__xludf.DUMMYFUNCTION("""COMPUTED_VALUE"""),242.93)</f>
        <v>242.93</v>
      </c>
      <c r="E193" s="2">
        <f>IFERROR(__xludf.DUMMYFUNCTION("""COMPUTED_VALUE"""),247.84)</f>
        <v>247.84</v>
      </c>
      <c r="F193" s="2">
        <f>IFERROR(__xludf.DUMMYFUNCTION("""COMPUTED_VALUE"""),3.19542995E8)</f>
        <v>319542995</v>
      </c>
      <c r="G193" s="3">
        <f t="shared" si="1"/>
        <v>0.01341184167</v>
      </c>
      <c r="H193" s="2">
        <f t="shared" si="2"/>
        <v>1355.1315</v>
      </c>
    </row>
    <row r="194">
      <c r="A194" s="1">
        <f>IFERROR(__xludf.DUMMYFUNCTION("""COMPUTED_VALUE"""),42986.66666666667)</f>
        <v>42986.66667</v>
      </c>
      <c r="B194" s="2">
        <f>IFERROR(__xludf.DUMMYFUNCTION("""COMPUTED_VALUE"""),247.26)</f>
        <v>247.26</v>
      </c>
      <c r="C194" s="2">
        <f>IFERROR(__xludf.DUMMYFUNCTION("""COMPUTED_VALUE"""),247.52)</f>
        <v>247.52</v>
      </c>
      <c r="D194" s="2">
        <f>IFERROR(__xludf.DUMMYFUNCTION("""COMPUTED_VALUE"""),244.95)</f>
        <v>244.95</v>
      </c>
      <c r="E194" s="2">
        <f>IFERROR(__xludf.DUMMYFUNCTION("""COMPUTED_VALUE"""),246.58)</f>
        <v>246.58</v>
      </c>
      <c r="F194" s="2">
        <f>IFERROR(__xludf.DUMMYFUNCTION("""COMPUTED_VALUE"""),2.71183199E8)</f>
        <v>271183199</v>
      </c>
      <c r="G194" s="3">
        <f t="shared" si="1"/>
        <v>-0.005083925113</v>
      </c>
      <c r="H194" s="2">
        <f t="shared" si="2"/>
        <v>1348.242113</v>
      </c>
    </row>
    <row r="195">
      <c r="A195" s="1">
        <f>IFERROR(__xludf.DUMMYFUNCTION("""COMPUTED_VALUE"""),42993.66666666667)</f>
        <v>42993.66667</v>
      </c>
      <c r="B195" s="2">
        <f>IFERROR(__xludf.DUMMYFUNCTION("""COMPUTED_VALUE"""),248.04)</f>
        <v>248.04</v>
      </c>
      <c r="C195" s="2">
        <f>IFERROR(__xludf.DUMMYFUNCTION("""COMPUTED_VALUE"""),250.32)</f>
        <v>250.32</v>
      </c>
      <c r="D195" s="2">
        <f>IFERROR(__xludf.DUMMYFUNCTION("""COMPUTED_VALUE"""),248.02)</f>
        <v>248.02</v>
      </c>
      <c r="E195" s="2">
        <f>IFERROR(__xludf.DUMMYFUNCTION("""COMPUTED_VALUE"""),249.19)</f>
        <v>249.19</v>
      </c>
      <c r="F195" s="2">
        <f>IFERROR(__xludf.DUMMYFUNCTION("""COMPUTED_VALUE"""),3.78367608E8)</f>
        <v>378367608</v>
      </c>
      <c r="G195" s="3">
        <f t="shared" si="1"/>
        <v>0.01058480006</v>
      </c>
      <c r="H195" s="2">
        <f t="shared" si="2"/>
        <v>1362.512986</v>
      </c>
    </row>
    <row r="196">
      <c r="A196" s="1">
        <f>IFERROR(__xludf.DUMMYFUNCTION("""COMPUTED_VALUE"""),43000.66666666667)</f>
        <v>43000.66667</v>
      </c>
      <c r="B196" s="2">
        <f>IFERROR(__xludf.DUMMYFUNCTION("""COMPUTED_VALUE"""),249.61)</f>
        <v>249.61</v>
      </c>
      <c r="C196" s="2">
        <f>IFERROR(__xludf.DUMMYFUNCTION("""COMPUTED_VALUE"""),250.19)</f>
        <v>250.19</v>
      </c>
      <c r="D196" s="2">
        <f>IFERROR(__xludf.DUMMYFUNCTION("""COMPUTED_VALUE"""),248.92)</f>
        <v>248.92</v>
      </c>
      <c r="E196" s="2">
        <f>IFERROR(__xludf.DUMMYFUNCTION("""COMPUTED_VALUE"""),249.44)</f>
        <v>249.44</v>
      </c>
      <c r="F196" s="2">
        <f>IFERROR(__xludf.DUMMYFUNCTION("""COMPUTED_VALUE"""),2.52342899E8)</f>
        <v>252342899</v>
      </c>
      <c r="G196" s="3">
        <f t="shared" si="1"/>
        <v>0.001003250532</v>
      </c>
      <c r="H196" s="2">
        <f t="shared" si="2"/>
        <v>1363.879928</v>
      </c>
    </row>
    <row r="197">
      <c r="A197" s="1">
        <f>IFERROR(__xludf.DUMMYFUNCTION("""COMPUTED_VALUE"""),43007.66666666667)</f>
        <v>43007.66667</v>
      </c>
      <c r="B197" s="2">
        <f>IFERROR(__xludf.DUMMYFUNCTION("""COMPUTED_VALUE"""),249.15)</f>
        <v>249.15</v>
      </c>
      <c r="C197" s="2">
        <f>IFERROR(__xludf.DUMMYFUNCTION("""COMPUTED_VALUE"""),251.32)</f>
        <v>251.32</v>
      </c>
      <c r="D197" s="2">
        <f>IFERROR(__xludf.DUMMYFUNCTION("""COMPUTED_VALUE"""),248.08)</f>
        <v>248.08</v>
      </c>
      <c r="E197" s="2">
        <f>IFERROR(__xludf.DUMMYFUNCTION("""COMPUTED_VALUE"""),251.23)</f>
        <v>251.23</v>
      </c>
      <c r="F197" s="2">
        <f>IFERROR(__xludf.DUMMYFUNCTION("""COMPUTED_VALUE"""),3.22504585E8)</f>
        <v>322504585</v>
      </c>
      <c r="G197" s="3">
        <f t="shared" si="1"/>
        <v>0.007176074407</v>
      </c>
      <c r="H197" s="2">
        <f t="shared" si="2"/>
        <v>1373.667232</v>
      </c>
    </row>
    <row r="198">
      <c r="A198" s="1">
        <f>IFERROR(__xludf.DUMMYFUNCTION("""COMPUTED_VALUE"""),43014.66666666667)</f>
        <v>43014.66667</v>
      </c>
      <c r="B198" s="2">
        <f>IFERROR(__xludf.DUMMYFUNCTION("""COMPUTED_VALUE"""),251.49)</f>
        <v>251.49</v>
      </c>
      <c r="C198" s="2">
        <f>IFERROR(__xludf.DUMMYFUNCTION("""COMPUTED_VALUE"""),254.7)</f>
        <v>254.7</v>
      </c>
      <c r="D198" s="2">
        <f>IFERROR(__xludf.DUMMYFUNCTION("""COMPUTED_VALUE"""),251.29)</f>
        <v>251.29</v>
      </c>
      <c r="E198" s="2">
        <f>IFERROR(__xludf.DUMMYFUNCTION("""COMPUTED_VALUE"""),254.37)</f>
        <v>254.37</v>
      </c>
      <c r="F198" s="2">
        <f>IFERROR(__xludf.DUMMYFUNCTION("""COMPUTED_VALUE"""),3.25955528E8)</f>
        <v>325955528</v>
      </c>
      <c r="G198" s="3">
        <f t="shared" si="1"/>
        <v>0.01249850734</v>
      </c>
      <c r="H198" s="2">
        <f t="shared" si="2"/>
        <v>1390.836022</v>
      </c>
    </row>
    <row r="199">
      <c r="A199" s="1">
        <f>IFERROR(__xludf.DUMMYFUNCTION("""COMPUTED_VALUE"""),43021.66666666667)</f>
        <v>43021.66667</v>
      </c>
      <c r="B199" s="2">
        <f>IFERROR(__xludf.DUMMYFUNCTION("""COMPUTED_VALUE"""),254.63)</f>
        <v>254.63</v>
      </c>
      <c r="C199" s="2">
        <f>IFERROR(__xludf.DUMMYFUNCTION("""COMPUTED_VALUE"""),255.27)</f>
        <v>255.27</v>
      </c>
      <c r="D199" s="2">
        <f>IFERROR(__xludf.DUMMYFUNCTION("""COMPUTED_VALUE"""),253.65)</f>
        <v>253.65</v>
      </c>
      <c r="E199" s="2">
        <f>IFERROR(__xludf.DUMMYFUNCTION("""COMPUTED_VALUE"""),254.95)</f>
        <v>254.95</v>
      </c>
      <c r="F199" s="2">
        <f>IFERROR(__xludf.DUMMYFUNCTION("""COMPUTED_VALUE"""),2.28400405E8)</f>
        <v>228400405</v>
      </c>
      <c r="G199" s="3">
        <f t="shared" si="1"/>
        <v>0.002280143099</v>
      </c>
      <c r="H199" s="2">
        <f t="shared" si="2"/>
        <v>1394.007327</v>
      </c>
    </row>
    <row r="200">
      <c r="A200" s="1">
        <f>IFERROR(__xludf.DUMMYFUNCTION("""COMPUTED_VALUE"""),43028.66666666667)</f>
        <v>43028.66667</v>
      </c>
      <c r="B200" s="2">
        <f>IFERROR(__xludf.DUMMYFUNCTION("""COMPUTED_VALUE"""),255.21)</f>
        <v>255.21</v>
      </c>
      <c r="C200" s="2">
        <f>IFERROR(__xludf.DUMMYFUNCTION("""COMPUTED_VALUE"""),257.14)</f>
        <v>257.14</v>
      </c>
      <c r="D200" s="2">
        <f>IFERROR(__xludf.DUMMYFUNCTION("""COMPUTED_VALUE"""),254.35)</f>
        <v>254.35</v>
      </c>
      <c r="E200" s="2">
        <f>IFERROR(__xludf.DUMMYFUNCTION("""COMPUTED_VALUE"""),257.11)</f>
        <v>257.11</v>
      </c>
      <c r="F200" s="2">
        <f>IFERROR(__xludf.DUMMYFUNCTION("""COMPUTED_VALUE"""),2.61751134E8)</f>
        <v>261751134</v>
      </c>
      <c r="G200" s="3">
        <f t="shared" si="1"/>
        <v>0.008472249461</v>
      </c>
      <c r="H200" s="2">
        <f t="shared" si="2"/>
        <v>1405.817705</v>
      </c>
    </row>
    <row r="201">
      <c r="A201" s="1">
        <f>IFERROR(__xludf.DUMMYFUNCTION("""COMPUTED_VALUE"""),43035.66666666667)</f>
        <v>43035.66667</v>
      </c>
      <c r="B201" s="2">
        <f>IFERROR(__xludf.DUMMYFUNCTION("""COMPUTED_VALUE"""),257.48)</f>
        <v>257.48</v>
      </c>
      <c r="C201" s="2">
        <f>IFERROR(__xludf.DUMMYFUNCTION("""COMPUTED_VALUE"""),257.89)</f>
        <v>257.89</v>
      </c>
      <c r="D201" s="2">
        <f>IFERROR(__xludf.DUMMYFUNCTION("""COMPUTED_VALUE"""),254.0)</f>
        <v>254</v>
      </c>
      <c r="E201" s="2">
        <f>IFERROR(__xludf.DUMMYFUNCTION("""COMPUTED_VALUE"""),257.71)</f>
        <v>257.71</v>
      </c>
      <c r="F201" s="2">
        <f>IFERROR(__xludf.DUMMYFUNCTION("""COMPUTED_VALUE"""),3.89927023E8)</f>
        <v>389927023</v>
      </c>
      <c r="G201" s="3">
        <f t="shared" si="1"/>
        <v>0.00233363152</v>
      </c>
      <c r="H201" s="2">
        <f t="shared" si="2"/>
        <v>1409.098365</v>
      </c>
    </row>
    <row r="202">
      <c r="A202" s="1">
        <f>IFERROR(__xludf.DUMMYFUNCTION("""COMPUTED_VALUE"""),43042.66666666667)</f>
        <v>43042.66667</v>
      </c>
      <c r="B202" s="2">
        <f>IFERROR(__xludf.DUMMYFUNCTION("""COMPUTED_VALUE"""),257.07)</f>
        <v>257.07</v>
      </c>
      <c r="C202" s="2">
        <f>IFERROR(__xludf.DUMMYFUNCTION("""COMPUTED_VALUE"""),258.5)</f>
        <v>258.5</v>
      </c>
      <c r="D202" s="2">
        <f>IFERROR(__xludf.DUMMYFUNCTION("""COMPUTED_VALUE"""),256.19)</f>
        <v>256.19</v>
      </c>
      <c r="E202" s="2">
        <f>IFERROR(__xludf.DUMMYFUNCTION("""COMPUTED_VALUE"""),258.45)</f>
        <v>258.45</v>
      </c>
      <c r="F202" s="2">
        <f>IFERROR(__xludf.DUMMYFUNCTION("""COMPUTED_VALUE"""),2.84832469E8)</f>
        <v>284832469</v>
      </c>
      <c r="G202" s="3">
        <f t="shared" si="1"/>
        <v>0.002871444647</v>
      </c>
      <c r="H202" s="2">
        <f t="shared" si="2"/>
        <v>1413.144513</v>
      </c>
    </row>
    <row r="203">
      <c r="A203" s="1">
        <f>IFERROR(__xludf.DUMMYFUNCTION("""COMPUTED_VALUE"""),43049.66666666667)</f>
        <v>43049.66667</v>
      </c>
      <c r="B203" s="2">
        <f>IFERROR(__xludf.DUMMYFUNCTION("""COMPUTED_VALUE"""),258.3)</f>
        <v>258.3</v>
      </c>
      <c r="C203" s="2">
        <f>IFERROR(__xludf.DUMMYFUNCTION("""COMPUTED_VALUE"""),259.35)</f>
        <v>259.35</v>
      </c>
      <c r="D203" s="2">
        <f>IFERROR(__xludf.DUMMYFUNCTION("""COMPUTED_VALUE"""),256.36)</f>
        <v>256.36</v>
      </c>
      <c r="E203" s="2">
        <f>IFERROR(__xludf.DUMMYFUNCTION("""COMPUTED_VALUE"""),258.09)</f>
        <v>258.09</v>
      </c>
      <c r="F203" s="2">
        <f>IFERROR(__xludf.DUMMYFUNCTION("""COMPUTED_VALUE"""),3.12694497E8)</f>
        <v>312694497</v>
      </c>
      <c r="G203" s="3">
        <f t="shared" si="1"/>
        <v>-0.001392919327</v>
      </c>
      <c r="H203" s="2">
        <f t="shared" si="2"/>
        <v>1411.176117</v>
      </c>
    </row>
    <row r="204">
      <c r="A204" s="1">
        <f>IFERROR(__xludf.DUMMYFUNCTION("""COMPUTED_VALUE"""),43056.66666666667)</f>
        <v>43056.66667</v>
      </c>
      <c r="B204" s="2">
        <f>IFERROR(__xludf.DUMMYFUNCTION("""COMPUTED_VALUE"""),257.31)</f>
        <v>257.31</v>
      </c>
      <c r="C204" s="2">
        <f>IFERROR(__xludf.DUMMYFUNCTION("""COMPUTED_VALUE"""),259.04)</f>
        <v>259.04</v>
      </c>
      <c r="D204" s="2">
        <f>IFERROR(__xludf.DUMMYFUNCTION("""COMPUTED_VALUE"""),255.63)</f>
        <v>255.63</v>
      </c>
      <c r="E204" s="2">
        <f>IFERROR(__xludf.DUMMYFUNCTION("""COMPUTED_VALUE"""),257.86)</f>
        <v>257.86</v>
      </c>
      <c r="F204" s="2">
        <f>IFERROR(__xludf.DUMMYFUNCTION("""COMPUTED_VALUE"""),3.35889185E8)</f>
        <v>335889185</v>
      </c>
      <c r="G204" s="3">
        <f t="shared" si="1"/>
        <v>-0.0008911619978</v>
      </c>
      <c r="H204" s="2">
        <f t="shared" si="2"/>
        <v>1409.91853</v>
      </c>
    </row>
    <row r="205">
      <c r="A205" s="1">
        <f>IFERROR(__xludf.DUMMYFUNCTION("""COMPUTED_VALUE"""),43063.66666666667)</f>
        <v>43063.66667</v>
      </c>
      <c r="B205" s="2">
        <f>IFERROR(__xludf.DUMMYFUNCTION("""COMPUTED_VALUE"""),258.14)</f>
        <v>258.14</v>
      </c>
      <c r="C205" s="2">
        <f>IFERROR(__xludf.DUMMYFUNCTION("""COMPUTED_VALUE"""),260.48)</f>
        <v>260.48</v>
      </c>
      <c r="D205" s="2">
        <f>IFERROR(__xludf.DUMMYFUNCTION("""COMPUTED_VALUE"""),257.86)</f>
        <v>257.86</v>
      </c>
      <c r="E205" s="2">
        <f>IFERROR(__xludf.DUMMYFUNCTION("""COMPUTED_VALUE"""),260.36)</f>
        <v>260.36</v>
      </c>
      <c r="F205" s="2">
        <f>IFERROR(__xludf.DUMMYFUNCTION("""COMPUTED_VALUE"""),1.90142219E8)</f>
        <v>190142219</v>
      </c>
      <c r="G205" s="3">
        <f t="shared" si="1"/>
        <v>0.009695183433</v>
      </c>
      <c r="H205" s="2">
        <f t="shared" si="2"/>
        <v>1423.587949</v>
      </c>
    </row>
    <row r="206">
      <c r="A206" s="1">
        <f>IFERROR(__xludf.DUMMYFUNCTION("""COMPUTED_VALUE"""),43070.66666666667)</f>
        <v>43070.66667</v>
      </c>
      <c r="B206" s="2">
        <f>IFERROR(__xludf.DUMMYFUNCTION("""COMPUTED_VALUE"""),260.41)</f>
        <v>260.41</v>
      </c>
      <c r="C206" s="2">
        <f>IFERROR(__xludf.DUMMYFUNCTION("""COMPUTED_VALUE"""),266.05)</f>
        <v>266.05</v>
      </c>
      <c r="D206" s="2">
        <f>IFERROR(__xludf.DUMMYFUNCTION("""COMPUTED_VALUE"""),260.0)</f>
        <v>260</v>
      </c>
      <c r="E206" s="2">
        <f>IFERROR(__xludf.DUMMYFUNCTION("""COMPUTED_VALUE"""),264.46)</f>
        <v>264.46</v>
      </c>
      <c r="F206" s="2">
        <f>IFERROR(__xludf.DUMMYFUNCTION("""COMPUTED_VALUE"""),5.21044034E8)</f>
        <v>521044034</v>
      </c>
      <c r="G206" s="3">
        <f t="shared" si="1"/>
        <v>0.01574742664</v>
      </c>
      <c r="H206" s="2">
        <f t="shared" si="2"/>
        <v>1446.005796</v>
      </c>
    </row>
    <row r="207">
      <c r="A207" s="1">
        <f>IFERROR(__xludf.DUMMYFUNCTION("""COMPUTED_VALUE"""),43077.66666666667)</f>
        <v>43077.66667</v>
      </c>
      <c r="B207" s="2">
        <f>IFERROR(__xludf.DUMMYFUNCTION("""COMPUTED_VALUE"""),266.31)</f>
        <v>266.31</v>
      </c>
      <c r="C207" s="2">
        <f>IFERROR(__xludf.DUMMYFUNCTION("""COMPUTED_VALUE"""),266.8)</f>
        <v>266.8</v>
      </c>
      <c r="D207" s="2">
        <f>IFERROR(__xludf.DUMMYFUNCTION("""COMPUTED_VALUE"""),262.71)</f>
        <v>262.71</v>
      </c>
      <c r="E207" s="2">
        <f>IFERROR(__xludf.DUMMYFUNCTION("""COMPUTED_VALUE"""),265.51)</f>
        <v>265.51</v>
      </c>
      <c r="F207" s="2">
        <f>IFERROR(__xludf.DUMMYFUNCTION("""COMPUTED_VALUE"""),4.01716112E8)</f>
        <v>401716112</v>
      </c>
      <c r="G207" s="3">
        <f t="shared" si="1"/>
        <v>0.003970354685</v>
      </c>
      <c r="H207" s="2">
        <f t="shared" si="2"/>
        <v>1451.746952</v>
      </c>
    </row>
    <row r="208">
      <c r="A208" s="1">
        <f>IFERROR(__xludf.DUMMYFUNCTION("""COMPUTED_VALUE"""),43084.66666666667)</f>
        <v>43084.66667</v>
      </c>
      <c r="B208" s="2">
        <f>IFERROR(__xludf.DUMMYFUNCTION("""COMPUTED_VALUE"""),265.58)</f>
        <v>265.58</v>
      </c>
      <c r="C208" s="2">
        <f>IFERROR(__xludf.DUMMYFUNCTION("""COMPUTED_VALUE"""),267.56)</f>
        <v>267.56</v>
      </c>
      <c r="D208" s="2">
        <f>IFERROR(__xludf.DUMMYFUNCTION("""COMPUTED_VALUE"""),265.39)</f>
        <v>265.39</v>
      </c>
      <c r="E208" s="2">
        <f>IFERROR(__xludf.DUMMYFUNCTION("""COMPUTED_VALUE"""),266.51)</f>
        <v>266.51</v>
      </c>
      <c r="F208" s="2">
        <f>IFERROR(__xludf.DUMMYFUNCTION("""COMPUTED_VALUE"""),5.16455674E8)</f>
        <v>516455674</v>
      </c>
      <c r="G208" s="3">
        <f t="shared" si="1"/>
        <v>0.003766336485</v>
      </c>
      <c r="H208" s="2">
        <f t="shared" si="2"/>
        <v>1457.214719</v>
      </c>
    </row>
    <row r="209">
      <c r="A209" s="1">
        <f>IFERROR(__xludf.DUMMYFUNCTION("""COMPUTED_VALUE"""),43091.66666666667)</f>
        <v>43091.66667</v>
      </c>
      <c r="B209" s="2">
        <f>IFERROR(__xludf.DUMMYFUNCTION("""COMPUTED_VALUE"""),268.1)</f>
        <v>268.1</v>
      </c>
      <c r="C209" s="2">
        <f>IFERROR(__xludf.DUMMYFUNCTION("""COMPUTED_VALUE"""),268.6)</f>
        <v>268.6</v>
      </c>
      <c r="D209" s="2">
        <f>IFERROR(__xludf.DUMMYFUNCTION("""COMPUTED_VALUE"""),266.69)</f>
        <v>266.69</v>
      </c>
      <c r="E209" s="2">
        <f>IFERROR(__xludf.DUMMYFUNCTION("""COMPUTED_VALUE"""),267.51)</f>
        <v>267.51</v>
      </c>
      <c r="F209" s="2">
        <f>IFERROR(__xludf.DUMMYFUNCTION("""COMPUTED_VALUE"""),3.8854116E8)</f>
        <v>388541160</v>
      </c>
      <c r="G209" s="3">
        <f t="shared" si="1"/>
        <v>0.00375220442</v>
      </c>
      <c r="H209" s="2">
        <f t="shared" si="2"/>
        <v>1462.682487</v>
      </c>
    </row>
    <row r="210">
      <c r="A210" s="1">
        <f>IFERROR(__xludf.DUMMYFUNCTION("""COMPUTED_VALUE"""),43098.66666666667)</f>
        <v>43098.66667</v>
      </c>
      <c r="B210" s="2">
        <f>IFERROR(__xludf.DUMMYFUNCTION("""COMPUTED_VALUE"""),267.05)</f>
        <v>267.05</v>
      </c>
      <c r="C210" s="2">
        <f>IFERROR(__xludf.DUMMYFUNCTION("""COMPUTED_VALUE"""),268.55)</f>
        <v>268.55</v>
      </c>
      <c r="D210" s="2">
        <f>IFERROR(__xludf.DUMMYFUNCTION("""COMPUTED_VALUE"""),266.64)</f>
        <v>266.64</v>
      </c>
      <c r="E210" s="2">
        <f>IFERROR(__xludf.DUMMYFUNCTION("""COMPUTED_VALUE"""),266.86)</f>
        <v>266.86</v>
      </c>
      <c r="F210" s="2">
        <f>IFERROR(__xludf.DUMMYFUNCTION("""COMPUTED_VALUE"""),2.44118982E8)</f>
        <v>244118982</v>
      </c>
      <c r="G210" s="3">
        <f t="shared" si="1"/>
        <v>-0.002429815708</v>
      </c>
      <c r="H210" s="2">
        <f t="shared" si="2"/>
        <v>1459.128438</v>
      </c>
    </row>
    <row r="211">
      <c r="A211" s="1">
        <f>IFERROR(__xludf.DUMMYFUNCTION("""COMPUTED_VALUE"""),43105.66666666667)</f>
        <v>43105.66667</v>
      </c>
      <c r="B211" s="2">
        <f>IFERROR(__xludf.DUMMYFUNCTION("""COMPUTED_VALUE"""),267.84)</f>
        <v>267.84</v>
      </c>
      <c r="C211" s="2">
        <f>IFERROR(__xludf.DUMMYFUNCTION("""COMPUTED_VALUE"""),273.56)</f>
        <v>273.56</v>
      </c>
      <c r="D211" s="2">
        <f>IFERROR(__xludf.DUMMYFUNCTION("""COMPUTED_VALUE"""),267.4)</f>
        <v>267.4</v>
      </c>
      <c r="E211" s="2">
        <f>IFERROR(__xludf.DUMMYFUNCTION("""COMPUTED_VALUE"""),273.42)</f>
        <v>273.42</v>
      </c>
      <c r="F211" s="2">
        <f>IFERROR(__xludf.DUMMYFUNCTION("""COMPUTED_VALUE"""),3.40886568E8)</f>
        <v>340886568</v>
      </c>
      <c r="G211" s="3">
        <f t="shared" si="1"/>
        <v>0.02458217792</v>
      </c>
      <c r="H211" s="2">
        <f t="shared" si="2"/>
        <v>1494.996993</v>
      </c>
    </row>
    <row r="212">
      <c r="A212" s="1">
        <f>IFERROR(__xludf.DUMMYFUNCTION("""COMPUTED_VALUE"""),43112.66666666667)</f>
        <v>43112.66667</v>
      </c>
      <c r="B212" s="2">
        <f>IFERROR(__xludf.DUMMYFUNCTION("""COMPUTED_VALUE"""),273.31)</f>
        <v>273.31</v>
      </c>
      <c r="C212" s="2">
        <f>IFERROR(__xludf.DUMMYFUNCTION("""COMPUTED_VALUE"""),278.11)</f>
        <v>278.11</v>
      </c>
      <c r="D212" s="2">
        <f>IFERROR(__xludf.DUMMYFUNCTION("""COMPUTED_VALUE"""),272.92)</f>
        <v>272.92</v>
      </c>
      <c r="E212" s="2">
        <f>IFERROR(__xludf.DUMMYFUNCTION("""COMPUTED_VALUE"""),277.92)</f>
        <v>277.92</v>
      </c>
      <c r="F212" s="2">
        <f>IFERROR(__xludf.DUMMYFUNCTION("""COMPUTED_VALUE"""),3.37324998E8)</f>
        <v>337324998</v>
      </c>
      <c r="G212" s="3">
        <f t="shared" si="1"/>
        <v>0.01645819618</v>
      </c>
      <c r="H212" s="2">
        <f t="shared" si="2"/>
        <v>1519.601947</v>
      </c>
    </row>
    <row r="213">
      <c r="A213" s="1">
        <f>IFERROR(__xludf.DUMMYFUNCTION("""COMPUTED_VALUE"""),43119.66666666667)</f>
        <v>43119.66667</v>
      </c>
      <c r="B213" s="2">
        <f>IFERROR(__xludf.DUMMYFUNCTION("""COMPUTED_VALUE"""),279.35)</f>
        <v>279.35</v>
      </c>
      <c r="C213" s="2">
        <f>IFERROR(__xludf.DUMMYFUNCTION("""COMPUTED_VALUE"""),280.41)</f>
        <v>280.41</v>
      </c>
      <c r="D213" s="2">
        <f>IFERROR(__xludf.DUMMYFUNCTION("""COMPUTED_VALUE"""),276.18)</f>
        <v>276.18</v>
      </c>
      <c r="E213" s="2">
        <f>IFERROR(__xludf.DUMMYFUNCTION("""COMPUTED_VALUE"""),280.41)</f>
        <v>280.41</v>
      </c>
      <c r="F213" s="2">
        <f>IFERROR(__xludf.DUMMYFUNCTION("""COMPUTED_VALUE"""),4.61462045E8)</f>
        <v>461462045</v>
      </c>
      <c r="G213" s="3">
        <f t="shared" si="1"/>
        <v>0.008959412781</v>
      </c>
      <c r="H213" s="2">
        <f t="shared" si="2"/>
        <v>1533.216688</v>
      </c>
    </row>
    <row r="214">
      <c r="A214" s="1">
        <f>IFERROR(__xludf.DUMMYFUNCTION("""COMPUTED_VALUE"""),43126.66666666667)</f>
        <v>43126.66667</v>
      </c>
      <c r="B214" s="2">
        <f>IFERROR(__xludf.DUMMYFUNCTION("""COMPUTED_VALUE"""),280.17)</f>
        <v>280.17</v>
      </c>
      <c r="C214" s="2">
        <f>IFERROR(__xludf.DUMMYFUNCTION("""COMPUTED_VALUE"""),286.63)</f>
        <v>286.63</v>
      </c>
      <c r="D214" s="2">
        <f>IFERROR(__xludf.DUMMYFUNCTION("""COMPUTED_VALUE"""),280.11)</f>
        <v>280.11</v>
      </c>
      <c r="E214" s="2">
        <f>IFERROR(__xludf.DUMMYFUNCTION("""COMPUTED_VALUE"""),286.58)</f>
        <v>286.58</v>
      </c>
      <c r="F214" s="2">
        <f>IFERROR(__xludf.DUMMYFUNCTION("""COMPUTED_VALUE"""),5.15553657E8)</f>
        <v>515553657</v>
      </c>
      <c r="G214" s="3">
        <f t="shared" si="1"/>
        <v>0.02200349488</v>
      </c>
      <c r="H214" s="2">
        <f t="shared" si="2"/>
        <v>1566.952813</v>
      </c>
    </row>
    <row r="215">
      <c r="A215" s="1">
        <f>IFERROR(__xludf.DUMMYFUNCTION("""COMPUTED_VALUE"""),43133.66666666667)</f>
        <v>43133.66667</v>
      </c>
      <c r="B215" s="2">
        <f>IFERROR(__xludf.DUMMYFUNCTION("""COMPUTED_VALUE"""),285.93)</f>
        <v>285.93</v>
      </c>
      <c r="C215" s="2">
        <f>IFERROR(__xludf.DUMMYFUNCTION("""COMPUTED_VALUE"""),286.43)</f>
        <v>286.43</v>
      </c>
      <c r="D215" s="2">
        <f>IFERROR(__xludf.DUMMYFUNCTION("""COMPUTED_VALUE"""),275.41)</f>
        <v>275.41</v>
      </c>
      <c r="E215" s="2">
        <f>IFERROR(__xludf.DUMMYFUNCTION("""COMPUTED_VALUE"""),275.45)</f>
        <v>275.45</v>
      </c>
      <c r="F215" s="2">
        <f>IFERROR(__xludf.DUMMYFUNCTION("""COMPUTED_VALUE"""),6.04140147E8)</f>
        <v>604140147</v>
      </c>
      <c r="G215" s="3">
        <f t="shared" si="1"/>
        <v>-0.03883732291</v>
      </c>
      <c r="H215" s="2">
        <f t="shared" si="2"/>
        <v>1506.096561</v>
      </c>
    </row>
    <row r="216">
      <c r="A216" s="1">
        <f>IFERROR(__xludf.DUMMYFUNCTION("""COMPUTED_VALUE"""),43140.66666666667)</f>
        <v>43140.66667</v>
      </c>
      <c r="B216" s="2">
        <f>IFERROR(__xludf.DUMMYFUNCTION("""COMPUTED_VALUE"""),273.45)</f>
        <v>273.45</v>
      </c>
      <c r="C216" s="2">
        <f>IFERROR(__xludf.DUMMYFUNCTION("""COMPUTED_VALUE"""),275.85)</f>
        <v>275.85</v>
      </c>
      <c r="D216" s="2">
        <f>IFERROR(__xludf.DUMMYFUNCTION("""COMPUTED_VALUE"""),252.92)</f>
        <v>252.92</v>
      </c>
      <c r="E216" s="2">
        <f>IFERROR(__xludf.DUMMYFUNCTION("""COMPUTED_VALUE"""),261.5)</f>
        <v>261.5</v>
      </c>
      <c r="F216" s="2">
        <f>IFERROR(__xludf.DUMMYFUNCTION("""COMPUTED_VALUE"""),1.347099518E9)</f>
        <v>1347099518</v>
      </c>
      <c r="G216" s="3">
        <f t="shared" si="1"/>
        <v>-0.05064440007</v>
      </c>
      <c r="H216" s="2">
        <f t="shared" si="2"/>
        <v>1429.821204</v>
      </c>
    </row>
    <row r="217">
      <c r="A217" s="1">
        <f>IFERROR(__xludf.DUMMYFUNCTION("""COMPUTED_VALUE"""),43147.66666666667)</f>
        <v>43147.66667</v>
      </c>
      <c r="B217" s="2">
        <f>IFERROR(__xludf.DUMMYFUNCTION("""COMPUTED_VALUE"""),263.83)</f>
        <v>263.83</v>
      </c>
      <c r="C217" s="2">
        <f>IFERROR(__xludf.DUMMYFUNCTION("""COMPUTED_VALUE"""),275.32)</f>
        <v>275.32</v>
      </c>
      <c r="D217" s="2">
        <f>IFERROR(__xludf.DUMMYFUNCTION("""COMPUTED_VALUE"""),261.66)</f>
        <v>261.66</v>
      </c>
      <c r="E217" s="2">
        <f>IFERROR(__xludf.DUMMYFUNCTION("""COMPUTED_VALUE"""),273.11)</f>
        <v>273.11</v>
      </c>
      <c r="F217" s="2">
        <f>IFERROR(__xludf.DUMMYFUNCTION("""COMPUTED_VALUE"""),6.17315722E8)</f>
        <v>617315722</v>
      </c>
      <c r="G217" s="3">
        <f t="shared" si="1"/>
        <v>0.04439770554</v>
      </c>
      <c r="H217" s="2">
        <f t="shared" si="2"/>
        <v>1493.301985</v>
      </c>
    </row>
    <row r="218">
      <c r="A218" s="1">
        <f>IFERROR(__xludf.DUMMYFUNCTION("""COMPUTED_VALUE"""),43154.66666666667)</f>
        <v>43154.66667</v>
      </c>
      <c r="B218" s="2">
        <f>IFERROR(__xludf.DUMMYFUNCTION("""COMPUTED_VALUE"""),272.03)</f>
        <v>272.03</v>
      </c>
      <c r="C218" s="2">
        <f>IFERROR(__xludf.DUMMYFUNCTION("""COMPUTED_VALUE"""),274.72)</f>
        <v>274.72</v>
      </c>
      <c r="D218" s="2">
        <f>IFERROR(__xludf.DUMMYFUNCTION("""COMPUTED_VALUE"""),269.64)</f>
        <v>269.64</v>
      </c>
      <c r="E218" s="2">
        <f>IFERROR(__xludf.DUMMYFUNCTION("""COMPUTED_VALUE"""),274.71)</f>
        <v>274.71</v>
      </c>
      <c r="F218" s="2">
        <f>IFERROR(__xludf.DUMMYFUNCTION("""COMPUTED_VALUE"""),3.8853112E8)</f>
        <v>388531120</v>
      </c>
      <c r="G218" s="3">
        <f t="shared" si="1"/>
        <v>0.005858445315</v>
      </c>
      <c r="H218" s="2">
        <f t="shared" si="2"/>
        <v>1502.050413</v>
      </c>
    </row>
    <row r="219">
      <c r="A219" s="1">
        <f>IFERROR(__xludf.DUMMYFUNCTION("""COMPUTED_VALUE"""),43161.66666666667)</f>
        <v>43161.66667</v>
      </c>
      <c r="B219" s="2">
        <f>IFERROR(__xludf.DUMMYFUNCTION("""COMPUTED_VALUE"""),275.93)</f>
        <v>275.93</v>
      </c>
      <c r="C219" s="2">
        <f>IFERROR(__xludf.DUMMYFUNCTION("""COMPUTED_VALUE"""),278.92)</f>
        <v>278.92</v>
      </c>
      <c r="D219" s="2">
        <f>IFERROR(__xludf.DUMMYFUNCTION("""COMPUTED_VALUE"""),264.82)</f>
        <v>264.82</v>
      </c>
      <c r="E219" s="2">
        <f>IFERROR(__xludf.DUMMYFUNCTION("""COMPUTED_VALUE"""),269.08)</f>
        <v>269.08</v>
      </c>
      <c r="F219" s="2">
        <f>IFERROR(__xludf.DUMMYFUNCTION("""COMPUTED_VALUE"""),6.23436632E8)</f>
        <v>623436632</v>
      </c>
      <c r="G219" s="3">
        <f t="shared" si="1"/>
        <v>-0.02049433949</v>
      </c>
      <c r="H219" s="2">
        <f t="shared" si="2"/>
        <v>1471.266882</v>
      </c>
    </row>
    <row r="220">
      <c r="A220" s="1">
        <f>IFERROR(__xludf.DUMMYFUNCTION("""COMPUTED_VALUE"""),43168.66666666667)</f>
        <v>43168.66667</v>
      </c>
      <c r="B220" s="2">
        <f>IFERROR(__xludf.DUMMYFUNCTION("""COMPUTED_VALUE"""),267.73)</f>
        <v>267.73</v>
      </c>
      <c r="C220" s="2">
        <f>IFERROR(__xludf.DUMMYFUNCTION("""COMPUTED_VALUE"""),278.87)</f>
        <v>278.87</v>
      </c>
      <c r="D220" s="2">
        <f>IFERROR(__xludf.DUMMYFUNCTION("""COMPUTED_VALUE"""),267.61)</f>
        <v>267.61</v>
      </c>
      <c r="E220" s="2">
        <f>IFERROR(__xludf.DUMMYFUNCTION("""COMPUTED_VALUE"""),278.87)</f>
        <v>278.87</v>
      </c>
      <c r="F220" s="2">
        <f>IFERROR(__xludf.DUMMYFUNCTION("""COMPUTED_VALUE"""),4.44110537E8)</f>
        <v>444110537</v>
      </c>
      <c r="G220" s="3">
        <f t="shared" si="1"/>
        <v>0.03638323175</v>
      </c>
      <c r="H220" s="2">
        <f t="shared" si="2"/>
        <v>1524.796326</v>
      </c>
    </row>
    <row r="221">
      <c r="A221" s="1">
        <f>IFERROR(__xludf.DUMMYFUNCTION("""COMPUTED_VALUE"""),43175.66666666667)</f>
        <v>43175.66667</v>
      </c>
      <c r="B221" s="2">
        <f>IFERROR(__xludf.DUMMYFUNCTION("""COMPUTED_VALUE"""),279.2)</f>
        <v>279.2</v>
      </c>
      <c r="C221" s="2">
        <f>IFERROR(__xludf.DUMMYFUNCTION("""COMPUTED_VALUE"""),280.41)</f>
        <v>280.41</v>
      </c>
      <c r="D221" s="2">
        <f>IFERROR(__xludf.DUMMYFUNCTION("""COMPUTED_VALUE"""),274.14)</f>
        <v>274.14</v>
      </c>
      <c r="E221" s="2">
        <f>IFERROR(__xludf.DUMMYFUNCTION("""COMPUTED_VALUE"""),274.2)</f>
        <v>274.2</v>
      </c>
      <c r="F221" s="2">
        <f>IFERROR(__xludf.DUMMYFUNCTION("""COMPUTED_VALUE"""),4.5356552E8)</f>
        <v>453565520</v>
      </c>
      <c r="G221" s="3">
        <f t="shared" si="1"/>
        <v>-0.01674615412</v>
      </c>
      <c r="H221" s="2">
        <f t="shared" si="2"/>
        <v>1499.261851</v>
      </c>
    </row>
    <row r="222">
      <c r="A222" s="1">
        <f>IFERROR(__xludf.DUMMYFUNCTION("""COMPUTED_VALUE"""),43182.66666666667)</f>
        <v>43182.66667</v>
      </c>
      <c r="B222" s="2">
        <f>IFERROR(__xludf.DUMMYFUNCTION("""COMPUTED_VALUE"""),273.35)</f>
        <v>273.35</v>
      </c>
      <c r="C222" s="2">
        <f>IFERROR(__xludf.DUMMYFUNCTION("""COMPUTED_VALUE"""),274.4)</f>
        <v>274.4</v>
      </c>
      <c r="D222" s="2">
        <f>IFERROR(__xludf.DUMMYFUNCTION("""COMPUTED_VALUE"""),257.83)</f>
        <v>257.83</v>
      </c>
      <c r="E222" s="2">
        <f>IFERROR(__xludf.DUMMYFUNCTION("""COMPUTED_VALUE"""),258.05)</f>
        <v>258.05</v>
      </c>
      <c r="F222" s="2">
        <f>IFERROR(__xludf.DUMMYFUNCTION("""COMPUTED_VALUE"""),5.79995958E8)</f>
        <v>579995958</v>
      </c>
      <c r="G222" s="3">
        <f t="shared" si="1"/>
        <v>-0.05889861415</v>
      </c>
      <c r="H222" s="2">
        <f t="shared" si="2"/>
        <v>1410.957406</v>
      </c>
    </row>
    <row r="223">
      <c r="A223" s="1">
        <f>IFERROR(__xludf.DUMMYFUNCTION("""COMPUTED_VALUE"""),43188.66666666667)</f>
        <v>43188.66667</v>
      </c>
      <c r="B223" s="2">
        <f>IFERROR(__xludf.DUMMYFUNCTION("""COMPUTED_VALUE"""),262.13)</f>
        <v>262.13</v>
      </c>
      <c r="C223" s="2">
        <f>IFERROR(__xludf.DUMMYFUNCTION("""COMPUTED_VALUE"""),266.77)</f>
        <v>266.77</v>
      </c>
      <c r="D223" s="2">
        <f>IFERROR(__xludf.DUMMYFUNCTION("""COMPUTED_VALUE"""),258.58)</f>
        <v>258.58</v>
      </c>
      <c r="E223" s="2">
        <f>IFERROR(__xludf.DUMMYFUNCTION("""COMPUTED_VALUE"""),263.15)</f>
        <v>263.15</v>
      </c>
      <c r="F223" s="2">
        <f>IFERROR(__xludf.DUMMYFUNCTION("""COMPUTED_VALUE"""),5.42594643E8)</f>
        <v>542594643</v>
      </c>
      <c r="G223" s="3">
        <f t="shared" si="1"/>
        <v>0.0197636117</v>
      </c>
      <c r="H223" s="2">
        <f t="shared" si="2"/>
        <v>1438.84302</v>
      </c>
    </row>
    <row r="224">
      <c r="A224" s="1">
        <f>IFERROR(__xludf.DUMMYFUNCTION("""COMPUTED_VALUE"""),43196.66666666667)</f>
        <v>43196.66667</v>
      </c>
      <c r="B224" s="2">
        <f>IFERROR(__xludf.DUMMYFUNCTION("""COMPUTED_VALUE"""),262.55)</f>
        <v>262.55</v>
      </c>
      <c r="C224" s="2">
        <f>IFERROR(__xludf.DUMMYFUNCTION("""COMPUTED_VALUE"""),266.64)</f>
        <v>266.64</v>
      </c>
      <c r="D224" s="2">
        <f>IFERROR(__xludf.DUMMYFUNCTION("""COMPUTED_VALUE"""),254.67)</f>
        <v>254.67</v>
      </c>
      <c r="E224" s="2">
        <f>IFERROR(__xludf.DUMMYFUNCTION("""COMPUTED_VALUE"""),259.72)</f>
        <v>259.72</v>
      </c>
      <c r="F224" s="2">
        <f>IFERROR(__xludf.DUMMYFUNCTION("""COMPUTED_VALUE"""),6.9213237E8)</f>
        <v>692132370</v>
      </c>
      <c r="G224" s="3">
        <f t="shared" si="1"/>
        <v>-0.01303439103</v>
      </c>
      <c r="H224" s="2">
        <f t="shared" si="2"/>
        <v>1420.088578</v>
      </c>
    </row>
    <row r="225">
      <c r="A225" s="1">
        <f>IFERROR(__xludf.DUMMYFUNCTION("""COMPUTED_VALUE"""),43203.66666666667)</f>
        <v>43203.66667</v>
      </c>
      <c r="B225" s="2">
        <f>IFERROR(__xludf.DUMMYFUNCTION("""COMPUTED_VALUE"""),261.37)</f>
        <v>261.37</v>
      </c>
      <c r="C225" s="2">
        <f>IFERROR(__xludf.DUMMYFUNCTION("""COMPUTED_VALUE"""),267.54)</f>
        <v>267.54</v>
      </c>
      <c r="D225" s="2">
        <f>IFERROR(__xludf.DUMMYFUNCTION("""COMPUTED_VALUE"""),259.94)</f>
        <v>259.94</v>
      </c>
      <c r="E225" s="2">
        <f>IFERROR(__xludf.DUMMYFUNCTION("""COMPUTED_VALUE"""),265.15)</f>
        <v>265.15</v>
      </c>
      <c r="F225" s="2">
        <f>IFERROR(__xludf.DUMMYFUNCTION("""COMPUTED_VALUE"""),4.56126567E8)</f>
        <v>456126567</v>
      </c>
      <c r="G225" s="3">
        <f t="shared" si="1"/>
        <v>0.02090713076</v>
      </c>
      <c r="H225" s="2">
        <f t="shared" si="2"/>
        <v>1449.778555</v>
      </c>
    </row>
    <row r="226">
      <c r="A226" s="1">
        <f>IFERROR(__xludf.DUMMYFUNCTION("""COMPUTED_VALUE"""),43210.66666666667)</f>
        <v>43210.66667</v>
      </c>
      <c r="B226" s="2">
        <f>IFERROR(__xludf.DUMMYFUNCTION("""COMPUTED_VALUE"""),267.0)</f>
        <v>267</v>
      </c>
      <c r="C226" s="2">
        <f>IFERROR(__xludf.DUMMYFUNCTION("""COMPUTED_VALUE"""),271.3)</f>
        <v>271.3</v>
      </c>
      <c r="D226" s="2">
        <f>IFERROR(__xludf.DUMMYFUNCTION("""COMPUTED_VALUE"""),265.61)</f>
        <v>265.61</v>
      </c>
      <c r="E226" s="2">
        <f>IFERROR(__xludf.DUMMYFUNCTION("""COMPUTED_VALUE"""),266.61)</f>
        <v>266.61</v>
      </c>
      <c r="F226" s="2">
        <f>IFERROR(__xludf.DUMMYFUNCTION("""COMPUTED_VALUE"""),3.63000222E8)</f>
        <v>363000222</v>
      </c>
      <c r="G226" s="3">
        <f t="shared" si="1"/>
        <v>0.005506317179</v>
      </c>
      <c r="H226" s="2">
        <f t="shared" si="2"/>
        <v>1457.761496</v>
      </c>
    </row>
    <row r="227">
      <c r="A227" s="1">
        <f>IFERROR(__xludf.DUMMYFUNCTION("""COMPUTED_VALUE"""),43217.66666666667)</f>
        <v>43217.66667</v>
      </c>
      <c r="B227" s="2">
        <f>IFERROR(__xludf.DUMMYFUNCTION("""COMPUTED_VALUE"""),267.26)</f>
        <v>267.26</v>
      </c>
      <c r="C227" s="2">
        <f>IFERROR(__xludf.DUMMYFUNCTION("""COMPUTED_VALUE"""),267.98)</f>
        <v>267.98</v>
      </c>
      <c r="D227" s="2">
        <f>IFERROR(__xludf.DUMMYFUNCTION("""COMPUTED_VALUE"""),260.85)</f>
        <v>260.85</v>
      </c>
      <c r="E227" s="2">
        <f>IFERROR(__xludf.DUMMYFUNCTION("""COMPUTED_VALUE"""),266.56)</f>
        <v>266.56</v>
      </c>
      <c r="F227" s="2">
        <f>IFERROR(__xludf.DUMMYFUNCTION("""COMPUTED_VALUE"""),4.07069943E8)</f>
        <v>407069943</v>
      </c>
      <c r="G227" s="3">
        <f t="shared" si="1"/>
        <v>-0.0001875398522</v>
      </c>
      <c r="H227" s="2">
        <f t="shared" si="2"/>
        <v>1457.488108</v>
      </c>
    </row>
    <row r="228">
      <c r="A228" s="1">
        <f>IFERROR(__xludf.DUMMYFUNCTION("""COMPUTED_VALUE"""),43224.66666666667)</f>
        <v>43224.66667</v>
      </c>
      <c r="B228" s="2">
        <f>IFERROR(__xludf.DUMMYFUNCTION("""COMPUTED_VALUE"""),267.26)</f>
        <v>267.26</v>
      </c>
      <c r="C228" s="2">
        <f>IFERROR(__xludf.DUMMYFUNCTION("""COMPUTED_VALUE"""),267.89)</f>
        <v>267.89</v>
      </c>
      <c r="D228" s="2">
        <f>IFERROR(__xludf.DUMMYFUNCTION("""COMPUTED_VALUE"""),259.05)</f>
        <v>259.05</v>
      </c>
      <c r="E228" s="2">
        <f>IFERROR(__xludf.DUMMYFUNCTION("""COMPUTED_VALUE"""),266.02)</f>
        <v>266.02</v>
      </c>
      <c r="F228" s="2">
        <f>IFERROR(__xludf.DUMMYFUNCTION("""COMPUTED_VALUE"""),4.70288186E8)</f>
        <v>470288186</v>
      </c>
      <c r="G228" s="3">
        <f t="shared" si="1"/>
        <v>-0.002025810324</v>
      </c>
      <c r="H228" s="2">
        <f t="shared" si="2"/>
        <v>1454.535513</v>
      </c>
    </row>
    <row r="229">
      <c r="A229" s="1">
        <f>IFERROR(__xludf.DUMMYFUNCTION("""COMPUTED_VALUE"""),43231.66666666667)</f>
        <v>43231.66667</v>
      </c>
      <c r="B229" s="2">
        <f>IFERROR(__xludf.DUMMYFUNCTION("""COMPUTED_VALUE"""),266.89)</f>
        <v>266.89</v>
      </c>
      <c r="C229" s="2">
        <f>IFERROR(__xludf.DUMMYFUNCTION("""COMPUTED_VALUE"""),273.15)</f>
        <v>273.15</v>
      </c>
      <c r="D229" s="2">
        <f>IFERROR(__xludf.DUMMYFUNCTION("""COMPUTED_VALUE"""),265.15)</f>
        <v>265.15</v>
      </c>
      <c r="E229" s="2">
        <f>IFERROR(__xludf.DUMMYFUNCTION("""COMPUTED_VALUE"""),272.85)</f>
        <v>272.85</v>
      </c>
      <c r="F229" s="2">
        <f>IFERROR(__xludf.DUMMYFUNCTION("""COMPUTED_VALUE"""),3.14405739E8)</f>
        <v>314405739</v>
      </c>
      <c r="G229" s="3">
        <f t="shared" si="1"/>
        <v>0.0256747613</v>
      </c>
      <c r="H229" s="2">
        <f t="shared" si="2"/>
        <v>1491.880365</v>
      </c>
    </row>
    <row r="230">
      <c r="A230" s="1">
        <f>IFERROR(__xludf.DUMMYFUNCTION("""COMPUTED_VALUE"""),43238.66666666667)</f>
        <v>43238.66667</v>
      </c>
      <c r="B230" s="2">
        <f>IFERROR(__xludf.DUMMYFUNCTION("""COMPUTED_VALUE"""),273.34)</f>
        <v>273.34</v>
      </c>
      <c r="C230" s="2">
        <f>IFERROR(__xludf.DUMMYFUNCTION("""COMPUTED_VALUE"""),274.08)</f>
        <v>274.08</v>
      </c>
      <c r="D230" s="2">
        <f>IFERROR(__xludf.DUMMYFUNCTION("""COMPUTED_VALUE"""),270.03)</f>
        <v>270.03</v>
      </c>
      <c r="E230" s="2">
        <f>IFERROR(__xludf.DUMMYFUNCTION("""COMPUTED_VALUE"""),271.33)</f>
        <v>271.33</v>
      </c>
      <c r="F230" s="2">
        <f>IFERROR(__xludf.DUMMYFUNCTION("""COMPUTED_VALUE"""),3.16673732E8)</f>
        <v>316673732</v>
      </c>
      <c r="G230" s="3">
        <f t="shared" si="1"/>
        <v>-0.005570826461</v>
      </c>
      <c r="H230" s="2">
        <f t="shared" si="2"/>
        <v>1483.569359</v>
      </c>
    </row>
    <row r="231">
      <c r="A231" s="1">
        <f>IFERROR(__xludf.DUMMYFUNCTION("""COMPUTED_VALUE"""),43245.66666666667)</f>
        <v>43245.66667</v>
      </c>
      <c r="B231" s="2">
        <f>IFERROR(__xludf.DUMMYFUNCTION("""COMPUTED_VALUE"""),273.01)</f>
        <v>273.01</v>
      </c>
      <c r="C231" s="2">
        <f>IFERROR(__xludf.DUMMYFUNCTION("""COMPUTED_VALUE"""),274.25)</f>
        <v>274.25</v>
      </c>
      <c r="D231" s="2">
        <f>IFERROR(__xludf.DUMMYFUNCTION("""COMPUTED_VALUE"""),270.78)</f>
        <v>270.78</v>
      </c>
      <c r="E231" s="2">
        <f>IFERROR(__xludf.DUMMYFUNCTION("""COMPUTED_VALUE"""),272.15)</f>
        <v>272.15</v>
      </c>
      <c r="F231" s="2">
        <f>IFERROR(__xludf.DUMMYFUNCTION("""COMPUTED_VALUE"""),3.08104999E8)</f>
        <v>308104999</v>
      </c>
      <c r="G231" s="3">
        <f t="shared" si="1"/>
        <v>0.003022150149</v>
      </c>
      <c r="H231" s="2">
        <f t="shared" si="2"/>
        <v>1488.052928</v>
      </c>
    </row>
    <row r="232">
      <c r="A232" s="1">
        <f>IFERROR(__xludf.DUMMYFUNCTION("""COMPUTED_VALUE"""),43252.66666666667)</f>
        <v>43252.66667</v>
      </c>
      <c r="B232" s="2">
        <f>IFERROR(__xludf.DUMMYFUNCTION("""COMPUTED_VALUE"""),270.31)</f>
        <v>270.31</v>
      </c>
      <c r="C232" s="2">
        <f>IFERROR(__xludf.DUMMYFUNCTION("""COMPUTED_VALUE"""),273.94)</f>
        <v>273.94</v>
      </c>
      <c r="D232" s="2">
        <f>IFERROR(__xludf.DUMMYFUNCTION("""COMPUTED_VALUE"""),267.76)</f>
        <v>267.76</v>
      </c>
      <c r="E232" s="2">
        <f>IFERROR(__xludf.DUMMYFUNCTION("""COMPUTED_VALUE"""),273.6)</f>
        <v>273.6</v>
      </c>
      <c r="F232" s="2">
        <f>IFERROR(__xludf.DUMMYFUNCTION("""COMPUTED_VALUE"""),3.50365408E8)</f>
        <v>350365408</v>
      </c>
      <c r="G232" s="3">
        <f t="shared" si="1"/>
        <v>0.005327944148</v>
      </c>
      <c r="H232" s="2">
        <f t="shared" si="2"/>
        <v>1495.981191</v>
      </c>
    </row>
    <row r="233">
      <c r="A233" s="1">
        <f>IFERROR(__xludf.DUMMYFUNCTION("""COMPUTED_VALUE"""),43259.66666666667)</f>
        <v>43259.66667</v>
      </c>
      <c r="B233" s="2">
        <f>IFERROR(__xludf.DUMMYFUNCTION("""COMPUTED_VALUE"""),274.53)</f>
        <v>274.53</v>
      </c>
      <c r="C233" s="2">
        <f>IFERROR(__xludf.DUMMYFUNCTION("""COMPUTED_VALUE"""),278.28)</f>
        <v>278.28</v>
      </c>
      <c r="D233" s="2">
        <f>IFERROR(__xludf.DUMMYFUNCTION("""COMPUTED_VALUE"""),274.18)</f>
        <v>274.18</v>
      </c>
      <c r="E233" s="2">
        <f>IFERROR(__xludf.DUMMYFUNCTION("""COMPUTED_VALUE"""),278.19)</f>
        <v>278.19</v>
      </c>
      <c r="F233" s="2">
        <f>IFERROR(__xludf.DUMMYFUNCTION("""COMPUTED_VALUE"""),3.0436154E8)</f>
        <v>304361540</v>
      </c>
      <c r="G233" s="3">
        <f t="shared" si="1"/>
        <v>0.01677631579</v>
      </c>
      <c r="H233" s="2">
        <f t="shared" si="2"/>
        <v>1521.078244</v>
      </c>
    </row>
    <row r="234">
      <c r="A234" s="1">
        <f>IFERROR(__xludf.DUMMYFUNCTION("""COMPUTED_VALUE"""),43266.66666666667)</f>
        <v>43266.66667</v>
      </c>
      <c r="B234" s="2">
        <f>IFERROR(__xludf.DUMMYFUNCTION("""COMPUTED_VALUE"""),278.44)</f>
        <v>278.44</v>
      </c>
      <c r="C234" s="2">
        <f>IFERROR(__xludf.DUMMYFUNCTION("""COMPUTED_VALUE"""),279.48)</f>
        <v>279.48</v>
      </c>
      <c r="D234" s="2">
        <f>IFERROR(__xludf.DUMMYFUNCTION("""COMPUTED_VALUE"""),275.35)</f>
        <v>275.35</v>
      </c>
      <c r="E234" s="2">
        <f>IFERROR(__xludf.DUMMYFUNCTION("""COMPUTED_VALUE"""),277.13)</f>
        <v>277.13</v>
      </c>
      <c r="F234" s="2">
        <f>IFERROR(__xludf.DUMMYFUNCTION("""COMPUTED_VALUE"""),4.07431335E8)</f>
        <v>407431335</v>
      </c>
      <c r="G234" s="3">
        <f t="shared" si="1"/>
        <v>-0.003810345447</v>
      </c>
      <c r="H234" s="2">
        <f t="shared" si="2"/>
        <v>1515.28241</v>
      </c>
    </row>
    <row r="235">
      <c r="A235" s="1">
        <f>IFERROR(__xludf.DUMMYFUNCTION("""COMPUTED_VALUE"""),43273.66666666667)</f>
        <v>43273.66667</v>
      </c>
      <c r="B235" s="2">
        <f>IFERROR(__xludf.DUMMYFUNCTION("""COMPUTED_VALUE"""),275.49)</f>
        <v>275.49</v>
      </c>
      <c r="C235" s="2">
        <f>IFERROR(__xludf.DUMMYFUNCTION("""COMPUTED_VALUE"""),276.72)</f>
        <v>276.72</v>
      </c>
      <c r="D235" s="2">
        <f>IFERROR(__xludf.DUMMYFUNCTION("""COMPUTED_VALUE"""),273.53)</f>
        <v>273.53</v>
      </c>
      <c r="E235" s="2">
        <f>IFERROR(__xludf.DUMMYFUNCTION("""COMPUTED_VALUE"""),274.74)</f>
        <v>274.74</v>
      </c>
      <c r="F235" s="2">
        <f>IFERROR(__xludf.DUMMYFUNCTION("""COMPUTED_VALUE"""),3.31907984E8)</f>
        <v>331907984</v>
      </c>
      <c r="G235" s="3">
        <f t="shared" si="1"/>
        <v>-0.008624111428</v>
      </c>
      <c r="H235" s="2">
        <f t="shared" si="2"/>
        <v>1502.214446</v>
      </c>
    </row>
    <row r="236">
      <c r="A236" s="1">
        <f>IFERROR(__xludf.DUMMYFUNCTION("""COMPUTED_VALUE"""),43280.66666666667)</f>
        <v>43280.66667</v>
      </c>
      <c r="B236" s="2">
        <f>IFERROR(__xludf.DUMMYFUNCTION("""COMPUTED_VALUE"""),273.44)</f>
        <v>273.44</v>
      </c>
      <c r="C236" s="2">
        <f>IFERROR(__xludf.DUMMYFUNCTION("""COMPUTED_VALUE"""),273.87)</f>
        <v>273.87</v>
      </c>
      <c r="D236" s="2">
        <f>IFERROR(__xludf.DUMMYFUNCTION("""COMPUTED_VALUE"""),268.49)</f>
        <v>268.49</v>
      </c>
      <c r="E236" s="2">
        <f>IFERROR(__xludf.DUMMYFUNCTION("""COMPUTED_VALUE"""),271.28)</f>
        <v>271.28</v>
      </c>
      <c r="F236" s="2">
        <f>IFERROR(__xludf.DUMMYFUNCTION("""COMPUTED_VALUE"""),3.83506198E8)</f>
        <v>383506198</v>
      </c>
      <c r="G236" s="3">
        <f t="shared" si="1"/>
        <v>-0.01259372498</v>
      </c>
      <c r="H236" s="2">
        <f t="shared" si="2"/>
        <v>1483.29597</v>
      </c>
    </row>
    <row r="237">
      <c r="A237" s="1">
        <f>IFERROR(__xludf.DUMMYFUNCTION("""COMPUTED_VALUE"""),43287.66666666667)</f>
        <v>43287.66667</v>
      </c>
      <c r="B237" s="2">
        <f>IFERROR(__xludf.DUMMYFUNCTION("""COMPUTED_VALUE"""),269.51)</f>
        <v>269.51</v>
      </c>
      <c r="C237" s="2">
        <f>IFERROR(__xludf.DUMMYFUNCTION("""COMPUTED_VALUE"""),275.84)</f>
        <v>275.84</v>
      </c>
      <c r="D237" s="2">
        <f>IFERROR(__xludf.DUMMYFUNCTION("""COMPUTED_VALUE"""),269.24)</f>
        <v>269.24</v>
      </c>
      <c r="E237" s="2">
        <f>IFERROR(__xludf.DUMMYFUNCTION("""COMPUTED_VALUE"""),275.42)</f>
        <v>275.42</v>
      </c>
      <c r="F237" s="2">
        <f>IFERROR(__xludf.DUMMYFUNCTION("""COMPUTED_VALUE"""),2.2916146E8)</f>
        <v>229161460</v>
      </c>
      <c r="G237" s="3">
        <f t="shared" si="1"/>
        <v>0.01526098496</v>
      </c>
      <c r="H237" s="2">
        <f t="shared" si="2"/>
        <v>1505.932528</v>
      </c>
    </row>
    <row r="238">
      <c r="A238" s="1">
        <f>IFERROR(__xludf.DUMMYFUNCTION("""COMPUTED_VALUE"""),43294.66666666667)</f>
        <v>43294.66667</v>
      </c>
      <c r="B238" s="2">
        <f>IFERROR(__xludf.DUMMYFUNCTION("""COMPUTED_VALUE"""),276.55)</f>
        <v>276.55</v>
      </c>
      <c r="C238" s="2">
        <f>IFERROR(__xludf.DUMMYFUNCTION("""COMPUTED_VALUE"""),279.93)</f>
        <v>279.93</v>
      </c>
      <c r="D238" s="2">
        <f>IFERROR(__xludf.DUMMYFUNCTION("""COMPUTED_VALUE"""),276.5)</f>
        <v>276.5</v>
      </c>
      <c r="E238" s="2">
        <f>IFERROR(__xludf.DUMMYFUNCTION("""COMPUTED_VALUE"""),279.59)</f>
        <v>279.59</v>
      </c>
      <c r="F238" s="2">
        <f>IFERROR(__xludf.DUMMYFUNCTION("""COMPUTED_VALUE"""),2.87931618E8)</f>
        <v>287931618</v>
      </c>
      <c r="G238" s="3">
        <f t="shared" si="1"/>
        <v>0.01514051267</v>
      </c>
      <c r="H238" s="2">
        <f t="shared" si="2"/>
        <v>1528.733118</v>
      </c>
    </row>
    <row r="239">
      <c r="A239" s="1">
        <f>IFERROR(__xludf.DUMMYFUNCTION("""COMPUTED_VALUE"""),43301.66666666667)</f>
        <v>43301.66667</v>
      </c>
      <c r="B239" s="2">
        <f>IFERROR(__xludf.DUMMYFUNCTION("""COMPUTED_VALUE"""),279.64)</f>
        <v>279.64</v>
      </c>
      <c r="C239" s="2">
        <f>IFERROR(__xludf.DUMMYFUNCTION("""COMPUTED_VALUE"""),281.18)</f>
        <v>281.18</v>
      </c>
      <c r="D239" s="2">
        <f>IFERROR(__xludf.DUMMYFUNCTION("""COMPUTED_VALUE"""),278.41)</f>
        <v>278.41</v>
      </c>
      <c r="E239" s="2">
        <f>IFERROR(__xludf.DUMMYFUNCTION("""COMPUTED_VALUE"""),279.68)</f>
        <v>279.68</v>
      </c>
      <c r="F239" s="2">
        <f>IFERROR(__xludf.DUMMYFUNCTION("""COMPUTED_VALUE"""),2.88894849E8)</f>
        <v>288894849</v>
      </c>
      <c r="G239" s="3">
        <f t="shared" si="1"/>
        <v>0.0003218999249</v>
      </c>
      <c r="H239" s="2">
        <f t="shared" si="2"/>
        <v>1529.225217</v>
      </c>
    </row>
    <row r="240">
      <c r="A240" s="1">
        <f>IFERROR(__xludf.DUMMYFUNCTION("""COMPUTED_VALUE"""),43308.66666666667)</f>
        <v>43308.66667</v>
      </c>
      <c r="B240" s="2">
        <f>IFERROR(__xludf.DUMMYFUNCTION("""COMPUTED_VALUE"""),279.45)</f>
        <v>279.45</v>
      </c>
      <c r="C240" s="2">
        <f>IFERROR(__xludf.DUMMYFUNCTION("""COMPUTED_VALUE"""),284.37)</f>
        <v>284.37</v>
      </c>
      <c r="D240" s="2">
        <f>IFERROR(__xludf.DUMMYFUNCTION("""COMPUTED_VALUE"""),279.06)</f>
        <v>279.06</v>
      </c>
      <c r="E240" s="2">
        <f>IFERROR(__xludf.DUMMYFUNCTION("""COMPUTED_VALUE"""),281.42)</f>
        <v>281.42</v>
      </c>
      <c r="F240" s="2">
        <f>IFERROR(__xludf.DUMMYFUNCTION("""COMPUTED_VALUE"""),3.28660099E8)</f>
        <v>328660099</v>
      </c>
      <c r="G240" s="3">
        <f t="shared" si="1"/>
        <v>0.006221395881</v>
      </c>
      <c r="H240" s="2">
        <f t="shared" si="2"/>
        <v>1538.739133</v>
      </c>
    </row>
    <row r="241">
      <c r="A241" s="1">
        <f>IFERROR(__xludf.DUMMYFUNCTION("""COMPUTED_VALUE"""),43315.66666666667)</f>
        <v>43315.66667</v>
      </c>
      <c r="B241" s="2">
        <f>IFERROR(__xludf.DUMMYFUNCTION("""COMPUTED_VALUE"""),281.51)</f>
        <v>281.51</v>
      </c>
      <c r="C241" s="2">
        <f>IFERROR(__xludf.DUMMYFUNCTION("""COMPUTED_VALUE"""),283.66)</f>
        <v>283.66</v>
      </c>
      <c r="D241" s="2">
        <f>IFERROR(__xludf.DUMMYFUNCTION("""COMPUTED_VALUE"""),279.16)</f>
        <v>279.16</v>
      </c>
      <c r="E241" s="2">
        <f>IFERROR(__xludf.DUMMYFUNCTION("""COMPUTED_VALUE"""),283.6)</f>
        <v>283.6</v>
      </c>
      <c r="F241" s="2">
        <f>IFERROR(__xludf.DUMMYFUNCTION("""COMPUTED_VALUE"""),3.03528076E8)</f>
        <v>303528076</v>
      </c>
      <c r="G241" s="3">
        <f t="shared" si="1"/>
        <v>0.007746428825</v>
      </c>
      <c r="H241" s="2">
        <f t="shared" si="2"/>
        <v>1550.658866</v>
      </c>
    </row>
    <row r="242">
      <c r="A242" s="1">
        <f>IFERROR(__xludf.DUMMYFUNCTION("""COMPUTED_VALUE"""),43322.66666666667)</f>
        <v>43322.66667</v>
      </c>
      <c r="B242" s="2">
        <f>IFERROR(__xludf.DUMMYFUNCTION("""COMPUTED_VALUE"""),283.64)</f>
        <v>283.64</v>
      </c>
      <c r="C242" s="2">
        <f>IFERROR(__xludf.DUMMYFUNCTION("""COMPUTED_VALUE"""),286.01)</f>
        <v>286.01</v>
      </c>
      <c r="D242" s="2">
        <f>IFERROR(__xludf.DUMMYFUNCTION("""COMPUTED_VALUE"""),282.36)</f>
        <v>282.36</v>
      </c>
      <c r="E242" s="2">
        <f>IFERROR(__xludf.DUMMYFUNCTION("""COMPUTED_VALUE"""),283.16)</f>
        <v>283.16</v>
      </c>
      <c r="F242" s="2">
        <f>IFERROR(__xludf.DUMMYFUNCTION("""COMPUTED_VALUE"""),2.37505104E8)</f>
        <v>237505104</v>
      </c>
      <c r="G242" s="3">
        <f t="shared" si="1"/>
        <v>-0.001551480959</v>
      </c>
      <c r="H242" s="2">
        <f t="shared" si="2"/>
        <v>1548.253048</v>
      </c>
    </row>
    <row r="243">
      <c r="A243" s="1">
        <f>IFERROR(__xludf.DUMMYFUNCTION("""COMPUTED_VALUE"""),43329.66666666667)</f>
        <v>43329.66667</v>
      </c>
      <c r="B243" s="2">
        <f>IFERROR(__xludf.DUMMYFUNCTION("""COMPUTED_VALUE"""),283.47)</f>
        <v>283.47</v>
      </c>
      <c r="C243" s="2">
        <f>IFERROR(__xludf.DUMMYFUNCTION("""COMPUTED_VALUE"""),285.56)</f>
        <v>285.56</v>
      </c>
      <c r="D243" s="2">
        <f>IFERROR(__xludf.DUMMYFUNCTION("""COMPUTED_VALUE"""),280.16)</f>
        <v>280.16</v>
      </c>
      <c r="E243" s="2">
        <f>IFERROR(__xludf.DUMMYFUNCTION("""COMPUTED_VALUE"""),285.06)</f>
        <v>285.06</v>
      </c>
      <c r="F243" s="2">
        <f>IFERROR(__xludf.DUMMYFUNCTION("""COMPUTED_VALUE"""),3.48086695E8)</f>
        <v>348086695</v>
      </c>
      <c r="G243" s="3">
        <f t="shared" si="1"/>
        <v>0.006709987286</v>
      </c>
      <c r="H243" s="2">
        <f t="shared" si="2"/>
        <v>1558.641807</v>
      </c>
    </row>
    <row r="244">
      <c r="A244" s="1">
        <f>IFERROR(__xludf.DUMMYFUNCTION("""COMPUTED_VALUE"""),43336.66666666667)</f>
        <v>43336.66667</v>
      </c>
      <c r="B244" s="2">
        <f>IFERROR(__xludf.DUMMYFUNCTION("""COMPUTED_VALUE"""),285.57)</f>
        <v>285.57</v>
      </c>
      <c r="C244" s="2">
        <f>IFERROR(__xludf.DUMMYFUNCTION("""COMPUTED_VALUE"""),287.67)</f>
        <v>287.67</v>
      </c>
      <c r="D244" s="2">
        <f>IFERROR(__xludf.DUMMYFUNCTION("""COMPUTED_VALUE"""),285.06)</f>
        <v>285.06</v>
      </c>
      <c r="E244" s="2">
        <f>IFERROR(__xludf.DUMMYFUNCTION("""COMPUTED_VALUE"""),287.51)</f>
        <v>287.51</v>
      </c>
      <c r="F244" s="2">
        <f>IFERROR(__xludf.DUMMYFUNCTION("""COMPUTED_VALUE"""),2.58765056E8)</f>
        <v>258765056</v>
      </c>
      <c r="G244" s="3">
        <f t="shared" si="1"/>
        <v>0.008594681821</v>
      </c>
      <c r="H244" s="2">
        <f t="shared" si="2"/>
        <v>1572.037837</v>
      </c>
    </row>
    <row r="245">
      <c r="A245" s="1">
        <f>IFERROR(__xludf.DUMMYFUNCTION("""COMPUTED_VALUE"""),43343.66666666667)</f>
        <v>43343.66667</v>
      </c>
      <c r="B245" s="2">
        <f>IFERROR(__xludf.DUMMYFUNCTION("""COMPUTED_VALUE"""),288.86)</f>
        <v>288.86</v>
      </c>
      <c r="C245" s="2">
        <f>IFERROR(__xludf.DUMMYFUNCTION("""COMPUTED_VALUE"""),291.74)</f>
        <v>291.74</v>
      </c>
      <c r="D245" s="2">
        <f>IFERROR(__xludf.DUMMYFUNCTION("""COMPUTED_VALUE"""),288.68)</f>
        <v>288.68</v>
      </c>
      <c r="E245" s="2">
        <f>IFERROR(__xludf.DUMMYFUNCTION("""COMPUTED_VALUE"""),290.31)</f>
        <v>290.31</v>
      </c>
      <c r="F245" s="2">
        <f>IFERROR(__xludf.DUMMYFUNCTION("""COMPUTED_VALUE"""),2.92871702E8)</f>
        <v>292871702</v>
      </c>
      <c r="G245" s="3">
        <f t="shared" si="1"/>
        <v>0.009738791694</v>
      </c>
      <c r="H245" s="2">
        <f t="shared" si="2"/>
        <v>1587.347586</v>
      </c>
    </row>
    <row r="246">
      <c r="A246" s="1">
        <f>IFERROR(__xludf.DUMMYFUNCTION("""COMPUTED_VALUE"""),43350.66666666667)</f>
        <v>43350.66667</v>
      </c>
      <c r="B246" s="2">
        <f>IFERROR(__xludf.DUMMYFUNCTION("""COMPUTED_VALUE"""),289.84)</f>
        <v>289.84</v>
      </c>
      <c r="C246" s="2">
        <f>IFERROR(__xludf.DUMMYFUNCTION("""COMPUTED_VALUE"""),290.21)</f>
        <v>290.21</v>
      </c>
      <c r="D246" s="2">
        <f>IFERROR(__xludf.DUMMYFUNCTION("""COMPUTED_VALUE"""),286.71)</f>
        <v>286.71</v>
      </c>
      <c r="E246" s="2">
        <f>IFERROR(__xludf.DUMMYFUNCTION("""COMPUTED_VALUE"""),287.6)</f>
        <v>287.6</v>
      </c>
      <c r="F246" s="2">
        <f>IFERROR(__xludf.DUMMYFUNCTION("""COMPUTED_VALUE"""),2.69481491E8)</f>
        <v>269481491</v>
      </c>
      <c r="G246" s="3">
        <f t="shared" si="1"/>
        <v>-0.009334848955</v>
      </c>
      <c r="H246" s="2">
        <f t="shared" si="2"/>
        <v>1572.529936</v>
      </c>
    </row>
    <row r="247">
      <c r="A247" s="1">
        <f>IFERROR(__xludf.DUMMYFUNCTION("""COMPUTED_VALUE"""),43357.66666666667)</f>
        <v>43357.66667</v>
      </c>
      <c r="B247" s="2">
        <f>IFERROR(__xludf.DUMMYFUNCTION("""COMPUTED_VALUE"""),288.74)</f>
        <v>288.74</v>
      </c>
      <c r="C247" s="2">
        <f>IFERROR(__xludf.DUMMYFUNCTION("""COMPUTED_VALUE"""),291.27)</f>
        <v>291.27</v>
      </c>
      <c r="D247" s="2">
        <f>IFERROR(__xludf.DUMMYFUNCTION("""COMPUTED_VALUE"""),286.98)</f>
        <v>286.98</v>
      </c>
      <c r="E247" s="2">
        <f>IFERROR(__xludf.DUMMYFUNCTION("""COMPUTED_VALUE"""),290.88)</f>
        <v>290.88</v>
      </c>
      <c r="F247" s="2">
        <f>IFERROR(__xludf.DUMMYFUNCTION("""COMPUTED_VALUE"""),2.6666625E8)</f>
        <v>266666250</v>
      </c>
      <c r="G247" s="3">
        <f t="shared" si="1"/>
        <v>0.01140472879</v>
      </c>
      <c r="H247" s="2">
        <f t="shared" si="2"/>
        <v>1590.464213</v>
      </c>
    </row>
    <row r="248">
      <c r="A248" s="1">
        <f>IFERROR(__xludf.DUMMYFUNCTION("""COMPUTED_VALUE"""),43364.66666666667)</f>
        <v>43364.66667</v>
      </c>
      <c r="B248" s="2">
        <f>IFERROR(__xludf.DUMMYFUNCTION("""COMPUTED_VALUE"""),290.82)</f>
        <v>290.82</v>
      </c>
      <c r="C248" s="2">
        <f>IFERROR(__xludf.DUMMYFUNCTION("""COMPUTED_VALUE"""),293.94)</f>
        <v>293.94</v>
      </c>
      <c r="D248" s="2">
        <f>IFERROR(__xludf.DUMMYFUNCTION("""COMPUTED_VALUE"""),289.03)</f>
        <v>289.03</v>
      </c>
      <c r="E248" s="2">
        <f>IFERROR(__xludf.DUMMYFUNCTION("""COMPUTED_VALUE"""),291.99)</f>
        <v>291.99</v>
      </c>
      <c r="F248" s="2">
        <f>IFERROR(__xludf.DUMMYFUNCTION("""COMPUTED_VALUE"""),3.85095314E8)</f>
        <v>385095314</v>
      </c>
      <c r="G248" s="3">
        <f t="shared" si="1"/>
        <v>0.003816006601</v>
      </c>
      <c r="H248" s="2">
        <f t="shared" si="2"/>
        <v>1596.533435</v>
      </c>
    </row>
    <row r="249">
      <c r="A249" s="1">
        <f>IFERROR(__xludf.DUMMYFUNCTION("""COMPUTED_VALUE"""),43371.66666666667)</f>
        <v>43371.66667</v>
      </c>
      <c r="B249" s="2">
        <f>IFERROR(__xludf.DUMMYFUNCTION("""COMPUTED_VALUE"""),291.34)</f>
        <v>291.34</v>
      </c>
      <c r="C249" s="2">
        <f>IFERROR(__xludf.DUMMYFUNCTION("""COMPUTED_VALUE"""),292.24)</f>
        <v>292.24</v>
      </c>
      <c r="D249" s="2">
        <f>IFERROR(__xludf.DUMMYFUNCTION("""COMPUTED_VALUE"""),289.41)</f>
        <v>289.41</v>
      </c>
      <c r="E249" s="2">
        <f>IFERROR(__xludf.DUMMYFUNCTION("""COMPUTED_VALUE"""),290.72)</f>
        <v>290.72</v>
      </c>
      <c r="F249" s="2">
        <f>IFERROR(__xludf.DUMMYFUNCTION("""COMPUTED_VALUE"""),3.06860196E8)</f>
        <v>306860196</v>
      </c>
      <c r="G249" s="3">
        <f t="shared" si="1"/>
        <v>-0.004349464023</v>
      </c>
      <c r="H249" s="2">
        <f t="shared" si="2"/>
        <v>1589.589371</v>
      </c>
    </row>
    <row r="250">
      <c r="A250" s="1">
        <f>IFERROR(__xludf.DUMMYFUNCTION("""COMPUTED_VALUE"""),43378.66666666667)</f>
        <v>43378.66667</v>
      </c>
      <c r="B250" s="2">
        <f>IFERROR(__xludf.DUMMYFUNCTION("""COMPUTED_VALUE"""),292.11)</f>
        <v>292.11</v>
      </c>
      <c r="C250" s="2">
        <f>IFERROR(__xludf.DUMMYFUNCTION("""COMPUTED_VALUE"""),293.21)</f>
        <v>293.21</v>
      </c>
      <c r="D250" s="2">
        <f>IFERROR(__xludf.DUMMYFUNCTION("""COMPUTED_VALUE"""),286.22)</f>
        <v>286.22</v>
      </c>
      <c r="E250" s="2">
        <f>IFERROR(__xludf.DUMMYFUNCTION("""COMPUTED_VALUE"""),287.82)</f>
        <v>287.82</v>
      </c>
      <c r="F250" s="2">
        <f>IFERROR(__xludf.DUMMYFUNCTION("""COMPUTED_VALUE"""),3.91529366E8)</f>
        <v>391529366</v>
      </c>
      <c r="G250" s="3">
        <f t="shared" si="1"/>
        <v>-0.009975233902</v>
      </c>
      <c r="H250" s="2">
        <f t="shared" si="2"/>
        <v>1573.732845</v>
      </c>
    </row>
    <row r="251">
      <c r="A251" s="1">
        <f>IFERROR(__xludf.DUMMYFUNCTION("""COMPUTED_VALUE"""),43385.66666666667)</f>
        <v>43385.66667</v>
      </c>
      <c r="B251" s="2">
        <f>IFERROR(__xludf.DUMMYFUNCTION("""COMPUTED_VALUE"""),287.05)</f>
        <v>287.05</v>
      </c>
      <c r="C251" s="2">
        <f>IFERROR(__xludf.DUMMYFUNCTION("""COMPUTED_VALUE"""),288.86)</f>
        <v>288.86</v>
      </c>
      <c r="D251" s="2">
        <f>IFERROR(__xludf.DUMMYFUNCTION("""COMPUTED_VALUE"""),270.36)</f>
        <v>270.36</v>
      </c>
      <c r="E251" s="2">
        <f>IFERROR(__xludf.DUMMYFUNCTION("""COMPUTED_VALUE"""),275.95)</f>
        <v>275.95</v>
      </c>
      <c r="F251" s="2">
        <f>IFERROR(__xludf.DUMMYFUNCTION("""COMPUTED_VALUE"""),8.34839179E8)</f>
        <v>834839179</v>
      </c>
      <c r="G251" s="3">
        <f t="shared" si="1"/>
        <v>-0.04124105344</v>
      </c>
      <c r="H251" s="2">
        <f t="shared" si="2"/>
        <v>1508.830445</v>
      </c>
    </row>
    <row r="252">
      <c r="A252" s="1">
        <f>IFERROR(__xludf.DUMMYFUNCTION("""COMPUTED_VALUE"""),43392.66666666667)</f>
        <v>43392.66667</v>
      </c>
      <c r="B252" s="2">
        <f>IFERROR(__xludf.DUMMYFUNCTION("""COMPUTED_VALUE"""),275.55)</f>
        <v>275.55</v>
      </c>
      <c r="C252" s="2">
        <f>IFERROR(__xludf.DUMMYFUNCTION("""COMPUTED_VALUE"""),281.15)</f>
        <v>281.15</v>
      </c>
      <c r="D252" s="2">
        <f>IFERROR(__xludf.DUMMYFUNCTION("""COMPUTED_VALUE"""),274.3)</f>
        <v>274.3</v>
      </c>
      <c r="E252" s="2">
        <f>IFERROR(__xludf.DUMMYFUNCTION("""COMPUTED_VALUE"""),276.25)</f>
        <v>276.25</v>
      </c>
      <c r="F252" s="2">
        <f>IFERROR(__xludf.DUMMYFUNCTION("""COMPUTED_VALUE"""),6.05604697E8)</f>
        <v>605604697</v>
      </c>
      <c r="G252" s="3">
        <f t="shared" si="1"/>
        <v>0.00108715347</v>
      </c>
      <c r="H252" s="2">
        <f t="shared" si="2"/>
        <v>1510.470775</v>
      </c>
    </row>
    <row r="253">
      <c r="A253" s="1">
        <f>IFERROR(__xludf.DUMMYFUNCTION("""COMPUTED_VALUE"""),43399.66666666667)</f>
        <v>43399.66667</v>
      </c>
      <c r="B253" s="2">
        <f>IFERROR(__xludf.DUMMYFUNCTION("""COMPUTED_VALUE"""),277.0)</f>
        <v>277</v>
      </c>
      <c r="C253" s="2">
        <f>IFERROR(__xludf.DUMMYFUNCTION("""COMPUTED_VALUE"""),277.36)</f>
        <v>277.36</v>
      </c>
      <c r="D253" s="2">
        <f>IFERROR(__xludf.DUMMYFUNCTION("""COMPUTED_VALUE"""),262.29)</f>
        <v>262.29</v>
      </c>
      <c r="E253" s="2">
        <f>IFERROR(__xludf.DUMMYFUNCTION("""COMPUTED_VALUE"""),265.33)</f>
        <v>265.33</v>
      </c>
      <c r="F253" s="2">
        <f>IFERROR(__xludf.DUMMYFUNCTION("""COMPUTED_VALUE"""),7.46211369E8)</f>
        <v>746211369</v>
      </c>
      <c r="G253" s="3">
        <f t="shared" si="1"/>
        <v>-0.03952941176</v>
      </c>
      <c r="H253" s="2">
        <f t="shared" si="2"/>
        <v>1450.762754</v>
      </c>
    </row>
    <row r="254">
      <c r="A254" s="1">
        <f>IFERROR(__xludf.DUMMYFUNCTION("""COMPUTED_VALUE"""),43406.66666666667)</f>
        <v>43406.66667</v>
      </c>
      <c r="B254" s="2">
        <f>IFERROR(__xludf.DUMMYFUNCTION("""COMPUTED_VALUE"""),268.8)</f>
        <v>268.8</v>
      </c>
      <c r="C254" s="2">
        <f>IFERROR(__xludf.DUMMYFUNCTION("""COMPUTED_VALUE"""),275.23)</f>
        <v>275.23</v>
      </c>
      <c r="D254" s="2">
        <f>IFERROR(__xludf.DUMMYFUNCTION("""COMPUTED_VALUE"""),259.85)</f>
        <v>259.85</v>
      </c>
      <c r="E254" s="2">
        <f>IFERROR(__xludf.DUMMYFUNCTION("""COMPUTED_VALUE"""),271.89)</f>
        <v>271.89</v>
      </c>
      <c r="F254" s="2">
        <f>IFERROR(__xludf.DUMMYFUNCTION("""COMPUTED_VALUE"""),6.68290565E8)</f>
        <v>668290565</v>
      </c>
      <c r="G254" s="3">
        <f t="shared" si="1"/>
        <v>0.02472392869</v>
      </c>
      <c r="H254" s="2">
        <f t="shared" si="2"/>
        <v>1486.631308</v>
      </c>
    </row>
    <row r="255">
      <c r="A255" s="1">
        <f>IFERROR(__xludf.DUMMYFUNCTION("""COMPUTED_VALUE"""),43413.66666666667)</f>
        <v>43413.66667</v>
      </c>
      <c r="B255" s="2">
        <f>IFERROR(__xludf.DUMMYFUNCTION("""COMPUTED_VALUE"""),272.44)</f>
        <v>272.44</v>
      </c>
      <c r="C255" s="2">
        <f>IFERROR(__xludf.DUMMYFUNCTION("""COMPUTED_VALUE"""),281.22)</f>
        <v>281.22</v>
      </c>
      <c r="D255" s="2">
        <f>IFERROR(__xludf.DUMMYFUNCTION("""COMPUTED_VALUE"""),271.35)</f>
        <v>271.35</v>
      </c>
      <c r="E255" s="2">
        <f>IFERROR(__xludf.DUMMYFUNCTION("""COMPUTED_VALUE"""),277.76)</f>
        <v>277.76</v>
      </c>
      <c r="F255" s="2">
        <f>IFERROR(__xludf.DUMMYFUNCTION("""COMPUTED_VALUE"""),3.92857922E8)</f>
        <v>392857922</v>
      </c>
      <c r="G255" s="3">
        <f t="shared" si="1"/>
        <v>0.02158961345</v>
      </c>
      <c r="H255" s="2">
        <f t="shared" si="2"/>
        <v>1518.727104</v>
      </c>
    </row>
    <row r="256">
      <c r="A256" s="1">
        <f>IFERROR(__xludf.DUMMYFUNCTION("""COMPUTED_VALUE"""),43420.66666666667)</f>
        <v>43420.66667</v>
      </c>
      <c r="B256" s="2">
        <f>IFERROR(__xludf.DUMMYFUNCTION("""COMPUTED_VALUE"""),277.19)</f>
        <v>277.19</v>
      </c>
      <c r="C256" s="2">
        <f>IFERROR(__xludf.DUMMYFUNCTION("""COMPUTED_VALUE"""),277.46)</f>
        <v>277.46</v>
      </c>
      <c r="D256" s="2">
        <f>IFERROR(__xludf.DUMMYFUNCTION("""COMPUTED_VALUE"""),267.01)</f>
        <v>267.01</v>
      </c>
      <c r="E256" s="2">
        <f>IFERROR(__xludf.DUMMYFUNCTION("""COMPUTED_VALUE"""),273.73)</f>
        <v>273.73</v>
      </c>
      <c r="F256" s="2">
        <f>IFERROR(__xludf.DUMMYFUNCTION("""COMPUTED_VALUE"""),5.84955592E8)</f>
        <v>584955592</v>
      </c>
      <c r="G256" s="3">
        <f t="shared" si="1"/>
        <v>-0.01450892857</v>
      </c>
      <c r="H256" s="2">
        <f t="shared" si="2"/>
        <v>1496.692001</v>
      </c>
    </row>
    <row r="257">
      <c r="A257" s="1">
        <f>IFERROR(__xludf.DUMMYFUNCTION("""COMPUTED_VALUE"""),43427.54166666667)</f>
        <v>43427.54167</v>
      </c>
      <c r="B257" s="2">
        <f>IFERROR(__xludf.DUMMYFUNCTION("""COMPUTED_VALUE"""),273.05)</f>
        <v>273.05</v>
      </c>
      <c r="C257" s="2">
        <f>IFERROR(__xludf.DUMMYFUNCTION("""COMPUTED_VALUE"""),273.38)</f>
        <v>273.38</v>
      </c>
      <c r="D257" s="2">
        <f>IFERROR(__xludf.DUMMYFUNCTION("""COMPUTED_VALUE"""),263.07)</f>
        <v>263.07</v>
      </c>
      <c r="E257" s="2">
        <f>IFERROR(__xludf.DUMMYFUNCTION("""COMPUTED_VALUE"""),263.25)</f>
        <v>263.25</v>
      </c>
      <c r="F257" s="2">
        <f>IFERROR(__xludf.DUMMYFUNCTION("""COMPUTED_VALUE"""),3.57454638E8)</f>
        <v>357454638</v>
      </c>
      <c r="G257" s="3">
        <f t="shared" si="1"/>
        <v>-0.03828590217</v>
      </c>
      <c r="H257" s="2">
        <f t="shared" si="2"/>
        <v>1439.389797</v>
      </c>
    </row>
    <row r="258">
      <c r="A258" s="1">
        <f>IFERROR(__xludf.DUMMYFUNCTION("""COMPUTED_VALUE"""),43434.66666666667)</f>
        <v>43434.66667</v>
      </c>
      <c r="B258" s="2">
        <f>IFERROR(__xludf.DUMMYFUNCTION("""COMPUTED_VALUE"""),265.78)</f>
        <v>265.78</v>
      </c>
      <c r="C258" s="2">
        <f>IFERROR(__xludf.DUMMYFUNCTION("""COMPUTED_VALUE"""),276.28)</f>
        <v>276.28</v>
      </c>
      <c r="D258" s="2">
        <f>IFERROR(__xludf.DUMMYFUNCTION("""COMPUTED_VALUE"""),265.34)</f>
        <v>265.34</v>
      </c>
      <c r="E258" s="2">
        <f>IFERROR(__xludf.DUMMYFUNCTION("""COMPUTED_VALUE"""),275.65)</f>
        <v>275.65</v>
      </c>
      <c r="F258" s="2">
        <f>IFERROR(__xludf.DUMMYFUNCTION("""COMPUTED_VALUE"""),4.63664046E8)</f>
        <v>463664046</v>
      </c>
      <c r="G258" s="3">
        <f t="shared" si="1"/>
        <v>0.04710351377</v>
      </c>
      <c r="H258" s="2">
        <f t="shared" si="2"/>
        <v>1507.190114</v>
      </c>
    </row>
    <row r="259">
      <c r="A259" s="1">
        <f>IFERROR(__xludf.DUMMYFUNCTION("""COMPUTED_VALUE"""),43441.66666666667)</f>
        <v>43441.66667</v>
      </c>
      <c r="B259" s="2">
        <f>IFERROR(__xludf.DUMMYFUNCTION("""COMPUTED_VALUE"""),280.28)</f>
        <v>280.28</v>
      </c>
      <c r="C259" s="2">
        <f>IFERROR(__xludf.DUMMYFUNCTION("""COMPUTED_VALUE"""),280.4)</f>
        <v>280.4</v>
      </c>
      <c r="D259" s="2">
        <f>IFERROR(__xludf.DUMMYFUNCTION("""COMPUTED_VALUE"""),262.44)</f>
        <v>262.44</v>
      </c>
      <c r="E259" s="2">
        <f>IFERROR(__xludf.DUMMYFUNCTION("""COMPUTED_VALUE"""),263.57)</f>
        <v>263.57</v>
      </c>
      <c r="F259" s="2">
        <f>IFERROR(__xludf.DUMMYFUNCTION("""COMPUTED_VALUE"""),6.46208066E8)</f>
        <v>646208066</v>
      </c>
      <c r="G259" s="3">
        <f t="shared" si="1"/>
        <v>-0.04382368946</v>
      </c>
      <c r="H259" s="2">
        <f t="shared" si="2"/>
        <v>1441.139483</v>
      </c>
    </row>
    <row r="260">
      <c r="A260" s="1">
        <f>IFERROR(__xludf.DUMMYFUNCTION("""COMPUTED_VALUE"""),43448.66666666667)</f>
        <v>43448.66667</v>
      </c>
      <c r="B260" s="2">
        <f>IFERROR(__xludf.DUMMYFUNCTION("""COMPUTED_VALUE"""),263.37)</f>
        <v>263.37</v>
      </c>
      <c r="C260" s="2">
        <f>IFERROR(__xludf.DUMMYFUNCTION("""COMPUTED_VALUE"""),269.0)</f>
        <v>269</v>
      </c>
      <c r="D260" s="2">
        <f>IFERROR(__xludf.DUMMYFUNCTION("""COMPUTED_VALUE"""),258.62)</f>
        <v>258.62</v>
      </c>
      <c r="E260" s="2">
        <f>IFERROR(__xludf.DUMMYFUNCTION("""COMPUTED_VALUE"""),260.47)</f>
        <v>260.47</v>
      </c>
      <c r="F260" s="2">
        <f>IFERROR(__xludf.DUMMYFUNCTION("""COMPUTED_VALUE"""),5.8455081E8)</f>
        <v>584550810</v>
      </c>
      <c r="G260" s="3">
        <f t="shared" si="1"/>
        <v>-0.01176158136</v>
      </c>
      <c r="H260" s="2">
        <f t="shared" si="2"/>
        <v>1424.189403</v>
      </c>
    </row>
    <row r="261">
      <c r="A261" s="1">
        <f>IFERROR(__xludf.DUMMYFUNCTION("""COMPUTED_VALUE"""),43455.66666666667)</f>
        <v>43455.66667</v>
      </c>
      <c r="B261" s="2">
        <f>IFERROR(__xludf.DUMMYFUNCTION("""COMPUTED_VALUE"""),259.4)</f>
        <v>259.4</v>
      </c>
      <c r="C261" s="2">
        <f>IFERROR(__xludf.DUMMYFUNCTION("""COMPUTED_VALUE"""),260.65)</f>
        <v>260.65</v>
      </c>
      <c r="D261" s="2">
        <f>IFERROR(__xludf.DUMMYFUNCTION("""COMPUTED_VALUE"""),239.98)</f>
        <v>239.98</v>
      </c>
      <c r="E261" s="2">
        <f>IFERROR(__xludf.DUMMYFUNCTION("""COMPUTED_VALUE"""),240.7)</f>
        <v>240.7</v>
      </c>
      <c r="F261" s="2">
        <f>IFERROR(__xludf.DUMMYFUNCTION("""COMPUTED_VALUE"""),1.022399124E9)</f>
        <v>1022399124</v>
      </c>
      <c r="G261" s="3">
        <f t="shared" si="1"/>
        <v>-0.07590125542</v>
      </c>
      <c r="H261" s="2">
        <f t="shared" si="2"/>
        <v>1316.09164</v>
      </c>
    </row>
    <row r="262">
      <c r="A262" s="1">
        <f>IFERROR(__xludf.DUMMYFUNCTION("""COMPUTED_VALUE"""),43462.66666666667)</f>
        <v>43462.66667</v>
      </c>
      <c r="B262" s="2">
        <f>IFERROR(__xludf.DUMMYFUNCTION("""COMPUTED_VALUE"""),239.04)</f>
        <v>239.04</v>
      </c>
      <c r="C262" s="2">
        <f>IFERROR(__xludf.DUMMYFUNCTION("""COMPUTED_VALUE"""),251.4)</f>
        <v>251.4</v>
      </c>
      <c r="D262" s="2">
        <f>IFERROR(__xludf.DUMMYFUNCTION("""COMPUTED_VALUE"""),233.76)</f>
        <v>233.76</v>
      </c>
      <c r="E262" s="2">
        <f>IFERROR(__xludf.DUMMYFUNCTION("""COMPUTED_VALUE"""),247.75)</f>
        <v>247.75</v>
      </c>
      <c r="F262" s="2">
        <f>IFERROR(__xludf.DUMMYFUNCTION("""COMPUTED_VALUE"""),7.05164479E8)</f>
        <v>705164479</v>
      </c>
      <c r="G262" s="3">
        <f t="shared" si="1"/>
        <v>0.02928957208</v>
      </c>
      <c r="H262" s="2">
        <f t="shared" si="2"/>
        <v>1354.639401</v>
      </c>
    </row>
    <row r="263">
      <c r="A263" s="1">
        <f>IFERROR(__xludf.DUMMYFUNCTION("""COMPUTED_VALUE"""),43469.66666666667)</f>
        <v>43469.66667</v>
      </c>
      <c r="B263" s="2">
        <f>IFERROR(__xludf.DUMMYFUNCTION("""COMPUTED_VALUE"""),249.56)</f>
        <v>249.56</v>
      </c>
      <c r="C263" s="2">
        <f>IFERROR(__xludf.DUMMYFUNCTION("""COMPUTED_VALUE"""),253.11)</f>
        <v>253.11</v>
      </c>
      <c r="D263" s="2">
        <f>IFERROR(__xludf.DUMMYFUNCTION("""COMPUTED_VALUE"""),243.67)</f>
        <v>243.67</v>
      </c>
      <c r="E263" s="2">
        <f>IFERROR(__xludf.DUMMYFUNCTION("""COMPUTED_VALUE"""),252.39)</f>
        <v>252.39</v>
      </c>
      <c r="F263" s="2">
        <f>IFERROR(__xludf.DUMMYFUNCTION("""COMPUTED_VALUE"""),5.57994095E8)</f>
        <v>557994095</v>
      </c>
      <c r="G263" s="3">
        <f t="shared" si="1"/>
        <v>0.01872855701</v>
      </c>
      <c r="H263" s="2">
        <f t="shared" si="2"/>
        <v>1380.009842</v>
      </c>
    </row>
    <row r="264">
      <c r="A264" s="1">
        <f>IFERROR(__xludf.DUMMYFUNCTION("""COMPUTED_VALUE"""),43476.66666666667)</f>
        <v>43476.66667</v>
      </c>
      <c r="B264" s="2">
        <f>IFERROR(__xludf.DUMMYFUNCTION("""COMPUTED_VALUE"""),252.69)</f>
        <v>252.69</v>
      </c>
      <c r="C264" s="2">
        <f>IFERROR(__xludf.DUMMYFUNCTION("""COMPUTED_VALUE"""),259.16)</f>
        <v>259.16</v>
      </c>
      <c r="D264" s="2">
        <f>IFERROR(__xludf.DUMMYFUNCTION("""COMPUTED_VALUE"""),251.69)</f>
        <v>251.69</v>
      </c>
      <c r="E264" s="2">
        <f>IFERROR(__xludf.DUMMYFUNCTION("""COMPUTED_VALUE"""),258.98)</f>
        <v>258.98</v>
      </c>
      <c r="F264" s="2">
        <f>IFERROR(__xludf.DUMMYFUNCTION("""COMPUTED_VALUE"""),4.71340274E8)</f>
        <v>471340274</v>
      </c>
      <c r="G264" s="3">
        <f t="shared" si="1"/>
        <v>0.02611038472</v>
      </c>
      <c r="H264" s="2">
        <f t="shared" si="2"/>
        <v>1416.04243</v>
      </c>
    </row>
    <row r="265">
      <c r="A265" s="1">
        <f>IFERROR(__xludf.DUMMYFUNCTION("""COMPUTED_VALUE"""),43483.66666666667)</f>
        <v>43483.66667</v>
      </c>
      <c r="B265" s="2">
        <f>IFERROR(__xludf.DUMMYFUNCTION("""COMPUTED_VALUE"""),256.86)</f>
        <v>256.86</v>
      </c>
      <c r="C265" s="2">
        <f>IFERROR(__xludf.DUMMYFUNCTION("""COMPUTED_VALUE"""),266.98)</f>
        <v>266.98</v>
      </c>
      <c r="D265" s="2">
        <f>IFERROR(__xludf.DUMMYFUNCTION("""COMPUTED_VALUE"""),256.41)</f>
        <v>256.41</v>
      </c>
      <c r="E265" s="2">
        <f>IFERROR(__xludf.DUMMYFUNCTION("""COMPUTED_VALUE"""),266.46)</f>
        <v>266.46</v>
      </c>
      <c r="F265" s="2">
        <f>IFERROR(__xludf.DUMMYFUNCTION("""COMPUTED_VALUE"""),4.57771946E8)</f>
        <v>457771946</v>
      </c>
      <c r="G265" s="3">
        <f t="shared" si="1"/>
        <v>0.02888253919</v>
      </c>
      <c r="H265" s="2">
        <f t="shared" si="2"/>
        <v>1456.941331</v>
      </c>
    </row>
    <row r="266">
      <c r="A266" s="1">
        <f>IFERROR(__xludf.DUMMYFUNCTION("""COMPUTED_VALUE"""),43490.66666666667)</f>
        <v>43490.66667</v>
      </c>
      <c r="B266" s="2">
        <f>IFERROR(__xludf.DUMMYFUNCTION("""COMPUTED_VALUE"""),264.82)</f>
        <v>264.82</v>
      </c>
      <c r="C266" s="2">
        <f>IFERROR(__xludf.DUMMYFUNCTION("""COMPUTED_VALUE"""),266.7)</f>
        <v>266.7</v>
      </c>
      <c r="D266" s="2">
        <f>IFERROR(__xludf.DUMMYFUNCTION("""COMPUTED_VALUE"""),260.66)</f>
        <v>260.66</v>
      </c>
      <c r="E266" s="2">
        <f>IFERROR(__xludf.DUMMYFUNCTION("""COMPUTED_VALUE"""),265.78)</f>
        <v>265.78</v>
      </c>
      <c r="F266" s="2">
        <f>IFERROR(__xludf.DUMMYFUNCTION("""COMPUTED_VALUE"""),3.57648967E8)</f>
        <v>357648967</v>
      </c>
      <c r="G266" s="3">
        <f t="shared" si="1"/>
        <v>-0.002551977783</v>
      </c>
      <c r="H266" s="2">
        <f t="shared" si="2"/>
        <v>1453.223249</v>
      </c>
    </row>
    <row r="267">
      <c r="A267" s="1">
        <f>IFERROR(__xludf.DUMMYFUNCTION("""COMPUTED_VALUE"""),43497.66666666667)</f>
        <v>43497.66667</v>
      </c>
      <c r="B267" s="2">
        <f>IFERROR(__xludf.DUMMYFUNCTION("""COMPUTED_VALUE"""),263.39)</f>
        <v>263.39</v>
      </c>
      <c r="C267" s="2">
        <f>IFERROR(__xludf.DUMMYFUNCTION("""COMPUTED_VALUE"""),271.2)</f>
        <v>271.2</v>
      </c>
      <c r="D267" s="2">
        <f>IFERROR(__xludf.DUMMYFUNCTION("""COMPUTED_VALUE"""),261.79)</f>
        <v>261.79</v>
      </c>
      <c r="E267" s="2">
        <f>IFERROR(__xludf.DUMMYFUNCTION("""COMPUTED_VALUE"""),270.06)</f>
        <v>270.06</v>
      </c>
      <c r="F267" s="2">
        <f>IFERROR(__xludf.DUMMYFUNCTION("""COMPUTED_VALUE"""),4.34018257E8)</f>
        <v>434018257</v>
      </c>
      <c r="G267" s="3">
        <f t="shared" si="1"/>
        <v>0.01610354428</v>
      </c>
      <c r="H267" s="2">
        <f t="shared" si="2"/>
        <v>1476.625294</v>
      </c>
    </row>
    <row r="268">
      <c r="A268" s="1">
        <f>IFERROR(__xludf.DUMMYFUNCTION("""COMPUTED_VALUE"""),43504.66666666667)</f>
        <v>43504.66667</v>
      </c>
      <c r="B268" s="2">
        <f>IFERROR(__xludf.DUMMYFUNCTION("""COMPUTED_VALUE"""),270.11)</f>
        <v>270.11</v>
      </c>
      <c r="C268" s="2">
        <f>IFERROR(__xludf.DUMMYFUNCTION("""COMPUTED_VALUE"""),273.44)</f>
        <v>273.44</v>
      </c>
      <c r="D268" s="2">
        <f>IFERROR(__xludf.DUMMYFUNCTION("""COMPUTED_VALUE"""),267.83)</f>
        <v>267.83</v>
      </c>
      <c r="E268" s="2">
        <f>IFERROR(__xludf.DUMMYFUNCTION("""COMPUTED_VALUE"""),270.47)</f>
        <v>270.47</v>
      </c>
      <c r="F268" s="2">
        <f>IFERROR(__xludf.DUMMYFUNCTION("""COMPUTED_VALUE"""),3.69916231E8)</f>
        <v>369916231</v>
      </c>
      <c r="G268" s="3">
        <f t="shared" si="1"/>
        <v>0.001518181145</v>
      </c>
      <c r="H268" s="2">
        <f t="shared" si="2"/>
        <v>1478.867079</v>
      </c>
    </row>
    <row r="269">
      <c r="A269" s="1">
        <f>IFERROR(__xludf.DUMMYFUNCTION("""COMPUTED_VALUE"""),43511.66666666667)</f>
        <v>43511.66667</v>
      </c>
      <c r="B269" s="2">
        <f>IFERROR(__xludf.DUMMYFUNCTION("""COMPUTED_VALUE"""),271.2)</f>
        <v>271.2</v>
      </c>
      <c r="C269" s="2">
        <f>IFERROR(__xludf.DUMMYFUNCTION("""COMPUTED_VALUE"""),277.41)</f>
        <v>277.41</v>
      </c>
      <c r="D269" s="2">
        <f>IFERROR(__xludf.DUMMYFUNCTION("""COMPUTED_VALUE"""),270.03)</f>
        <v>270.03</v>
      </c>
      <c r="E269" s="2">
        <f>IFERROR(__xludf.DUMMYFUNCTION("""COMPUTED_VALUE"""),277.37)</f>
        <v>277.37</v>
      </c>
      <c r="F269" s="2">
        <f>IFERROR(__xludf.DUMMYFUNCTION("""COMPUTED_VALUE"""),3.85891903E8)</f>
        <v>385891903</v>
      </c>
      <c r="G269" s="3">
        <f t="shared" si="1"/>
        <v>0.02551114726</v>
      </c>
      <c r="H269" s="2">
        <f t="shared" si="2"/>
        <v>1516.594674</v>
      </c>
    </row>
    <row r="270">
      <c r="A270" s="1">
        <f>IFERROR(__xludf.DUMMYFUNCTION("""COMPUTED_VALUE"""),43518.66666666667)</f>
        <v>43518.66667</v>
      </c>
      <c r="B270" s="2">
        <f>IFERROR(__xludf.DUMMYFUNCTION("""COMPUTED_VALUE"""),276.48)</f>
        <v>276.48</v>
      </c>
      <c r="C270" s="2">
        <f>IFERROR(__xludf.DUMMYFUNCTION("""COMPUTED_VALUE"""),279.36)</f>
        <v>279.36</v>
      </c>
      <c r="D270" s="2">
        <f>IFERROR(__xludf.DUMMYFUNCTION("""COMPUTED_VALUE"""),276.35)</f>
        <v>276.35</v>
      </c>
      <c r="E270" s="2">
        <f>IFERROR(__xludf.DUMMYFUNCTION("""COMPUTED_VALUE"""),279.14)</f>
        <v>279.14</v>
      </c>
      <c r="F270" s="2">
        <f>IFERROR(__xludf.DUMMYFUNCTION("""COMPUTED_VALUE"""),2.78060914E8)</f>
        <v>278060914</v>
      </c>
      <c r="G270" s="3">
        <f t="shared" si="1"/>
        <v>0.006381367848</v>
      </c>
      <c r="H270" s="2">
        <f t="shared" si="2"/>
        <v>1526.272623</v>
      </c>
    </row>
    <row r="271">
      <c r="A271" s="1">
        <f>IFERROR(__xludf.DUMMYFUNCTION("""COMPUTED_VALUE"""),43525.66666666667)</f>
        <v>43525.66667</v>
      </c>
      <c r="B271" s="2">
        <f>IFERROR(__xludf.DUMMYFUNCTION("""COMPUTED_VALUE"""),280.73)</f>
        <v>280.73</v>
      </c>
      <c r="C271" s="2">
        <f>IFERROR(__xludf.DUMMYFUNCTION("""COMPUTED_VALUE"""),281.31)</f>
        <v>281.31</v>
      </c>
      <c r="D271" s="2">
        <f>IFERROR(__xludf.DUMMYFUNCTION("""COMPUTED_VALUE"""),277.48)</f>
        <v>277.48</v>
      </c>
      <c r="E271" s="2">
        <f>IFERROR(__xludf.DUMMYFUNCTION("""COMPUTED_VALUE"""),280.42)</f>
        <v>280.42</v>
      </c>
      <c r="F271" s="2">
        <f>IFERROR(__xludf.DUMMYFUNCTION("""COMPUTED_VALUE"""),3.30945211E8)</f>
        <v>330945211</v>
      </c>
      <c r="G271" s="3">
        <f t="shared" si="1"/>
        <v>0.004585512646</v>
      </c>
      <c r="H271" s="2">
        <f t="shared" si="2"/>
        <v>1533.271365</v>
      </c>
    </row>
    <row r="272">
      <c r="A272" s="1">
        <f>IFERROR(__xludf.DUMMYFUNCTION("""COMPUTED_VALUE"""),43532.66666666667)</f>
        <v>43532.66667</v>
      </c>
      <c r="B272" s="2">
        <f>IFERROR(__xludf.DUMMYFUNCTION("""COMPUTED_VALUE"""),281.6)</f>
        <v>281.6</v>
      </c>
      <c r="C272" s="2">
        <f>IFERROR(__xludf.DUMMYFUNCTION("""COMPUTED_VALUE"""),281.87)</f>
        <v>281.87</v>
      </c>
      <c r="D272" s="2">
        <f>IFERROR(__xludf.DUMMYFUNCTION("""COMPUTED_VALUE"""),272.42)</f>
        <v>272.42</v>
      </c>
      <c r="E272" s="2">
        <f>IFERROR(__xludf.DUMMYFUNCTION("""COMPUTED_VALUE"""),274.46)</f>
        <v>274.46</v>
      </c>
      <c r="F272" s="2">
        <f>IFERROR(__xludf.DUMMYFUNCTION("""COMPUTED_VALUE"""),4.21329855E8)</f>
        <v>421329855</v>
      </c>
      <c r="G272" s="3">
        <f t="shared" si="1"/>
        <v>-0.02125383354</v>
      </c>
      <c r="H272" s="2">
        <f t="shared" si="2"/>
        <v>1500.683471</v>
      </c>
    </row>
    <row r="273">
      <c r="A273" s="1">
        <f>IFERROR(__xludf.DUMMYFUNCTION("""COMPUTED_VALUE"""),43539.66666666667)</f>
        <v>43539.66667</v>
      </c>
      <c r="B273" s="2">
        <f>IFERROR(__xludf.DUMMYFUNCTION("""COMPUTED_VALUE"""),275.26)</f>
        <v>275.26</v>
      </c>
      <c r="C273" s="2">
        <f>IFERROR(__xludf.DUMMYFUNCTION("""COMPUTED_VALUE"""),282.38)</f>
        <v>282.38</v>
      </c>
      <c r="D273" s="2">
        <f>IFERROR(__xludf.DUMMYFUNCTION("""COMPUTED_VALUE"""),275.23)</f>
        <v>275.23</v>
      </c>
      <c r="E273" s="2">
        <f>IFERROR(__xludf.DUMMYFUNCTION("""COMPUTED_VALUE"""),281.31)</f>
        <v>281.31</v>
      </c>
      <c r="F273" s="2">
        <f>IFERROR(__xludf.DUMMYFUNCTION("""COMPUTED_VALUE"""),3.74232925E8)</f>
        <v>374232925</v>
      </c>
      <c r="G273" s="3">
        <f t="shared" si="1"/>
        <v>0.02495809954</v>
      </c>
      <c r="H273" s="2">
        <f t="shared" si="2"/>
        <v>1538.137678</v>
      </c>
    </row>
    <row r="274">
      <c r="A274" s="1">
        <f>IFERROR(__xludf.DUMMYFUNCTION("""COMPUTED_VALUE"""),43546.66666666667)</f>
        <v>43546.66667</v>
      </c>
      <c r="B274" s="2">
        <f>IFERROR(__xludf.DUMMYFUNCTION("""COMPUTED_VALUE"""),281.55)</f>
        <v>281.55</v>
      </c>
      <c r="C274" s="2">
        <f>IFERROR(__xludf.DUMMYFUNCTION("""COMPUTED_VALUE"""),285.18)</f>
        <v>285.18</v>
      </c>
      <c r="D274" s="2">
        <f>IFERROR(__xludf.DUMMYFUNCTION("""COMPUTED_VALUE"""),279.18)</f>
        <v>279.18</v>
      </c>
      <c r="E274" s="2">
        <f>IFERROR(__xludf.DUMMYFUNCTION("""COMPUTED_VALUE"""),279.25)</f>
        <v>279.25</v>
      </c>
      <c r="F274" s="2">
        <f>IFERROR(__xludf.DUMMYFUNCTION("""COMPUTED_VALUE"""),4.39286798E8)</f>
        <v>439286798</v>
      </c>
      <c r="G274" s="3">
        <f t="shared" si="1"/>
        <v>-0.00732288223</v>
      </c>
      <c r="H274" s="2">
        <f t="shared" si="2"/>
        <v>1526.874077</v>
      </c>
    </row>
    <row r="275">
      <c r="A275" s="1">
        <f>IFERROR(__xludf.DUMMYFUNCTION("""COMPUTED_VALUE"""),43553.66666666667)</f>
        <v>43553.66667</v>
      </c>
      <c r="B275" s="2">
        <f>IFERROR(__xludf.DUMMYFUNCTION("""COMPUTED_VALUE"""),278.87)</f>
        <v>278.87</v>
      </c>
      <c r="C275" s="2">
        <f>IFERROR(__xludf.DUMMYFUNCTION("""COMPUTED_VALUE"""),282.84)</f>
        <v>282.84</v>
      </c>
      <c r="D275" s="2">
        <f>IFERROR(__xludf.DUMMYFUNCTION("""COMPUTED_VALUE"""),277.64)</f>
        <v>277.64</v>
      </c>
      <c r="E275" s="2">
        <f>IFERROR(__xludf.DUMMYFUNCTION("""COMPUTED_VALUE"""),282.48)</f>
        <v>282.48</v>
      </c>
      <c r="F275" s="2">
        <f>IFERROR(__xludf.DUMMYFUNCTION("""COMPUTED_VALUE"""),3.6435119E8)</f>
        <v>364351190</v>
      </c>
      <c r="G275" s="3">
        <f t="shared" si="1"/>
        <v>0.01156669651</v>
      </c>
      <c r="H275" s="2">
        <f t="shared" si="2"/>
        <v>1544.534966</v>
      </c>
    </row>
    <row r="276">
      <c r="A276" s="1">
        <f>IFERROR(__xludf.DUMMYFUNCTION("""COMPUTED_VALUE"""),43560.66666666667)</f>
        <v>43560.66667</v>
      </c>
      <c r="B276" s="2">
        <f>IFERROR(__xludf.DUMMYFUNCTION("""COMPUTED_VALUE"""),284.7)</f>
        <v>284.7</v>
      </c>
      <c r="C276" s="2">
        <f>IFERROR(__xludf.DUMMYFUNCTION("""COMPUTED_VALUE"""),288.63)</f>
        <v>288.63</v>
      </c>
      <c r="D276" s="2">
        <f>IFERROR(__xludf.DUMMYFUNCTION("""COMPUTED_VALUE"""),284.4)</f>
        <v>284.4</v>
      </c>
      <c r="E276" s="2">
        <f>IFERROR(__xludf.DUMMYFUNCTION("""COMPUTED_VALUE"""),288.57)</f>
        <v>288.57</v>
      </c>
      <c r="F276" s="2">
        <f>IFERROR(__xludf.DUMMYFUNCTION("""COMPUTED_VALUE"""),2.93550732E8)</f>
        <v>293550732</v>
      </c>
      <c r="G276" s="3">
        <f t="shared" si="1"/>
        <v>0.02155904843</v>
      </c>
      <c r="H276" s="2">
        <f t="shared" si="2"/>
        <v>1577.833671</v>
      </c>
    </row>
    <row r="277">
      <c r="A277" s="1">
        <f>IFERROR(__xludf.DUMMYFUNCTION("""COMPUTED_VALUE"""),43567.66666666667)</f>
        <v>43567.66667</v>
      </c>
      <c r="B277" s="2">
        <f>IFERROR(__xludf.DUMMYFUNCTION("""COMPUTED_VALUE"""),288.1)</f>
        <v>288.1</v>
      </c>
      <c r="C277" s="2">
        <f>IFERROR(__xludf.DUMMYFUNCTION("""COMPUTED_VALUE"""),290.47)</f>
        <v>290.47</v>
      </c>
      <c r="D277" s="2">
        <f>IFERROR(__xludf.DUMMYFUNCTION("""COMPUTED_VALUE"""),286.7)</f>
        <v>286.7</v>
      </c>
      <c r="E277" s="2">
        <f>IFERROR(__xludf.DUMMYFUNCTION("""COMPUTED_VALUE"""),290.16)</f>
        <v>290.16</v>
      </c>
      <c r="F277" s="2">
        <f>IFERROR(__xludf.DUMMYFUNCTION("""COMPUTED_VALUE"""),2.97131032E8)</f>
        <v>297131032</v>
      </c>
      <c r="G277" s="3">
        <f t="shared" si="1"/>
        <v>0.005509928267</v>
      </c>
      <c r="H277" s="2">
        <f t="shared" si="2"/>
        <v>1586.527421</v>
      </c>
    </row>
    <row r="278">
      <c r="A278" s="1">
        <f>IFERROR(__xludf.DUMMYFUNCTION("""COMPUTED_VALUE"""),43573.66666666667)</f>
        <v>43573.66667</v>
      </c>
      <c r="B278" s="2">
        <f>IFERROR(__xludf.DUMMYFUNCTION("""COMPUTED_VALUE"""),290.24)</f>
        <v>290.24</v>
      </c>
      <c r="C278" s="2">
        <f>IFERROR(__xludf.DUMMYFUNCTION("""COMPUTED_VALUE"""),291.43)</f>
        <v>291.43</v>
      </c>
      <c r="D278" s="2">
        <f>IFERROR(__xludf.DUMMYFUNCTION("""COMPUTED_VALUE"""),288.66)</f>
        <v>288.66</v>
      </c>
      <c r="E278" s="2">
        <f>IFERROR(__xludf.DUMMYFUNCTION("""COMPUTED_VALUE"""),290.02)</f>
        <v>290.02</v>
      </c>
      <c r="F278" s="2">
        <f>IFERROR(__xludf.DUMMYFUNCTION("""COMPUTED_VALUE"""),2.2872669E8)</f>
        <v>228726690</v>
      </c>
      <c r="G278" s="3">
        <f t="shared" si="1"/>
        <v>-0.000482492418</v>
      </c>
      <c r="H278" s="2">
        <f t="shared" si="2"/>
        <v>1585.761933</v>
      </c>
    </row>
    <row r="279">
      <c r="A279" s="1">
        <f>IFERROR(__xludf.DUMMYFUNCTION("""COMPUTED_VALUE"""),43581.66666666667)</f>
        <v>43581.66667</v>
      </c>
      <c r="B279" s="2">
        <f>IFERROR(__xludf.DUMMYFUNCTION("""COMPUTED_VALUE"""),289.17)</f>
        <v>289.17</v>
      </c>
      <c r="C279" s="2">
        <f>IFERROR(__xludf.DUMMYFUNCTION("""COMPUTED_VALUE"""),293.49)</f>
        <v>293.49</v>
      </c>
      <c r="D279" s="2">
        <f>IFERROR(__xludf.DUMMYFUNCTION("""COMPUTED_VALUE"""),289.07)</f>
        <v>289.07</v>
      </c>
      <c r="E279" s="2">
        <f>IFERROR(__xludf.DUMMYFUNCTION("""COMPUTED_VALUE"""),293.41)</f>
        <v>293.41</v>
      </c>
      <c r="F279" s="2">
        <f>IFERROR(__xludf.DUMMYFUNCTION("""COMPUTED_VALUE"""),2.51486972E8)</f>
        <v>251486972</v>
      </c>
      <c r="G279" s="3">
        <f t="shared" si="1"/>
        <v>0.01168884904</v>
      </c>
      <c r="H279" s="2">
        <f t="shared" si="2"/>
        <v>1604.297665</v>
      </c>
    </row>
    <row r="280">
      <c r="A280" s="1">
        <f>IFERROR(__xludf.DUMMYFUNCTION("""COMPUTED_VALUE"""),43588.66666666667)</f>
        <v>43588.66667</v>
      </c>
      <c r="B280" s="2">
        <f>IFERROR(__xludf.DUMMYFUNCTION("""COMPUTED_VALUE"""),293.51)</f>
        <v>293.51</v>
      </c>
      <c r="C280" s="2">
        <f>IFERROR(__xludf.DUMMYFUNCTION("""COMPUTED_VALUE"""),294.95)</f>
        <v>294.95</v>
      </c>
      <c r="D280" s="2">
        <f>IFERROR(__xludf.DUMMYFUNCTION("""COMPUTED_VALUE"""),289.52)</f>
        <v>289.52</v>
      </c>
      <c r="E280" s="2">
        <f>IFERROR(__xludf.DUMMYFUNCTION("""COMPUTED_VALUE"""),294.03)</f>
        <v>294.03</v>
      </c>
      <c r="F280" s="2">
        <f>IFERROR(__xludf.DUMMYFUNCTION("""COMPUTED_VALUE"""),3.31555173E8)</f>
        <v>331555173</v>
      </c>
      <c r="G280" s="3">
        <f t="shared" si="1"/>
        <v>0.00211308408</v>
      </c>
      <c r="H280" s="2">
        <f t="shared" si="2"/>
        <v>1607.687681</v>
      </c>
    </row>
    <row r="281">
      <c r="A281" s="1">
        <f>IFERROR(__xludf.DUMMYFUNCTION("""COMPUTED_VALUE"""),43595.66666666667)</f>
        <v>43595.66667</v>
      </c>
      <c r="B281" s="2">
        <f>IFERROR(__xludf.DUMMYFUNCTION("""COMPUTED_VALUE"""),289.25)</f>
        <v>289.25</v>
      </c>
      <c r="C281" s="2">
        <f>IFERROR(__xludf.DUMMYFUNCTION("""COMPUTED_VALUE"""),293.31)</f>
        <v>293.31</v>
      </c>
      <c r="D281" s="2">
        <f>IFERROR(__xludf.DUMMYFUNCTION("""COMPUTED_VALUE"""),282.3)</f>
        <v>282.3</v>
      </c>
      <c r="E281" s="2">
        <f>IFERROR(__xludf.DUMMYFUNCTION("""COMPUTED_VALUE"""),288.1)</f>
        <v>288.1</v>
      </c>
      <c r="F281" s="2">
        <f>IFERROR(__xludf.DUMMYFUNCTION("""COMPUTED_VALUE"""),5.59396661E8)</f>
        <v>559396661</v>
      </c>
      <c r="G281" s="3">
        <f t="shared" si="1"/>
        <v>-0.02016801007</v>
      </c>
      <c r="H281" s="2">
        <f t="shared" si="2"/>
        <v>1575.26382</v>
      </c>
    </row>
    <row r="282">
      <c r="A282" s="1">
        <f>IFERROR(__xludf.DUMMYFUNCTION("""COMPUTED_VALUE"""),43602.66666666667)</f>
        <v>43602.66667</v>
      </c>
      <c r="B282" s="2">
        <f>IFERROR(__xludf.DUMMYFUNCTION("""COMPUTED_VALUE"""),282.42)</f>
        <v>282.42</v>
      </c>
      <c r="C282" s="2">
        <f>IFERROR(__xludf.DUMMYFUNCTION("""COMPUTED_VALUE"""),289.21)</f>
        <v>289.21</v>
      </c>
      <c r="D282" s="2">
        <f>IFERROR(__xludf.DUMMYFUNCTION("""COMPUTED_VALUE"""),279.93)</f>
        <v>279.93</v>
      </c>
      <c r="E282" s="2">
        <f>IFERROR(__xludf.DUMMYFUNCTION("""COMPUTED_VALUE"""),285.84)</f>
        <v>285.84</v>
      </c>
      <c r="F282" s="2">
        <f>IFERROR(__xludf.DUMMYFUNCTION("""COMPUTED_VALUE"""),4.55352831E8)</f>
        <v>455352831</v>
      </c>
      <c r="G282" s="3">
        <f t="shared" si="1"/>
        <v>-0.007844498438</v>
      </c>
      <c r="H282" s="2">
        <f t="shared" si="2"/>
        <v>1562.906665</v>
      </c>
    </row>
    <row r="283">
      <c r="A283" s="1">
        <f>IFERROR(__xludf.DUMMYFUNCTION("""COMPUTED_VALUE"""),43609.66666666667)</f>
        <v>43609.66667</v>
      </c>
      <c r="B283" s="2">
        <f>IFERROR(__xludf.DUMMYFUNCTION("""COMPUTED_VALUE"""),284.06)</f>
        <v>284.06</v>
      </c>
      <c r="C283" s="2">
        <f>IFERROR(__xludf.DUMMYFUNCTION("""COMPUTED_VALUE"""),286.93)</f>
        <v>286.93</v>
      </c>
      <c r="D283" s="2">
        <f>IFERROR(__xludf.DUMMYFUNCTION("""COMPUTED_VALUE"""),280.57)</f>
        <v>280.57</v>
      </c>
      <c r="E283" s="2">
        <f>IFERROR(__xludf.DUMMYFUNCTION("""COMPUTED_VALUE"""),282.78)</f>
        <v>282.78</v>
      </c>
      <c r="F283" s="2">
        <f>IFERROR(__xludf.DUMMYFUNCTION("""COMPUTED_VALUE"""),3.13209109E8)</f>
        <v>313209109</v>
      </c>
      <c r="G283" s="3">
        <f t="shared" si="1"/>
        <v>-0.01070528967</v>
      </c>
      <c r="H283" s="2">
        <f t="shared" si="2"/>
        <v>1546.175297</v>
      </c>
    </row>
    <row r="284">
      <c r="A284" s="1">
        <f>IFERROR(__xludf.DUMMYFUNCTION("""COMPUTED_VALUE"""),43616.66666666667)</f>
        <v>43616.66667</v>
      </c>
      <c r="B284" s="2">
        <f>IFERROR(__xludf.DUMMYFUNCTION("""COMPUTED_VALUE"""),283.09)</f>
        <v>283.09</v>
      </c>
      <c r="C284" s="2">
        <f>IFERROR(__xludf.DUMMYFUNCTION("""COMPUTED_VALUE"""),284.15)</f>
        <v>284.15</v>
      </c>
      <c r="D284" s="2">
        <f>IFERROR(__xludf.DUMMYFUNCTION("""COMPUTED_VALUE"""),275.24)</f>
        <v>275.24</v>
      </c>
      <c r="E284" s="2">
        <f>IFERROR(__xludf.DUMMYFUNCTION("""COMPUTED_VALUE"""),275.27)</f>
        <v>275.27</v>
      </c>
      <c r="F284" s="2">
        <f>IFERROR(__xludf.DUMMYFUNCTION("""COMPUTED_VALUE"""),3.24388845E8)</f>
        <v>324388845</v>
      </c>
      <c r="G284" s="3">
        <f t="shared" si="1"/>
        <v>-0.02655774807</v>
      </c>
      <c r="H284" s="2">
        <f t="shared" si="2"/>
        <v>1505.112363</v>
      </c>
    </row>
    <row r="285">
      <c r="A285" s="1">
        <f>IFERROR(__xludf.DUMMYFUNCTION("""COMPUTED_VALUE"""),43623.66666666667)</f>
        <v>43623.66667</v>
      </c>
      <c r="B285" s="2">
        <f>IFERROR(__xludf.DUMMYFUNCTION("""COMPUTED_VALUE"""),275.31)</f>
        <v>275.31</v>
      </c>
      <c r="C285" s="2">
        <f>IFERROR(__xludf.DUMMYFUNCTION("""COMPUTED_VALUE"""),288.85)</f>
        <v>288.85</v>
      </c>
      <c r="D285" s="2">
        <f>IFERROR(__xludf.DUMMYFUNCTION("""COMPUTED_VALUE"""),273.09)</f>
        <v>273.09</v>
      </c>
      <c r="E285" s="2">
        <f>IFERROR(__xludf.DUMMYFUNCTION("""COMPUTED_VALUE"""),287.65)</f>
        <v>287.65</v>
      </c>
      <c r="F285" s="2">
        <f>IFERROR(__xludf.DUMMYFUNCTION("""COMPUTED_VALUE"""),3.88532138E8)</f>
        <v>388532138</v>
      </c>
      <c r="G285" s="3">
        <f t="shared" si="1"/>
        <v>0.0449740255</v>
      </c>
      <c r="H285" s="2">
        <f t="shared" si="2"/>
        <v>1572.803324</v>
      </c>
    </row>
    <row r="286">
      <c r="A286" s="1">
        <f>IFERROR(__xludf.DUMMYFUNCTION("""COMPUTED_VALUE"""),43630.66666666667)</f>
        <v>43630.66667</v>
      </c>
      <c r="B286" s="2">
        <f>IFERROR(__xludf.DUMMYFUNCTION("""COMPUTED_VALUE"""),289.37)</f>
        <v>289.37</v>
      </c>
      <c r="C286" s="2">
        <f>IFERROR(__xludf.DUMMYFUNCTION("""COMPUTED_VALUE"""),291.4)</f>
        <v>291.4</v>
      </c>
      <c r="D286" s="2">
        <f>IFERROR(__xludf.DUMMYFUNCTION("""COMPUTED_VALUE"""),287.82)</f>
        <v>287.82</v>
      </c>
      <c r="E286" s="2">
        <f>IFERROR(__xludf.DUMMYFUNCTION("""COMPUTED_VALUE"""),289.26)</f>
        <v>289.26</v>
      </c>
      <c r="F286" s="2">
        <f>IFERROR(__xludf.DUMMYFUNCTION("""COMPUTED_VALUE"""),2.67806562E8)</f>
        <v>267806562</v>
      </c>
      <c r="G286" s="3">
        <f t="shared" si="1"/>
        <v>0.005597079784</v>
      </c>
      <c r="H286" s="2">
        <f t="shared" si="2"/>
        <v>1581.60643</v>
      </c>
    </row>
    <row r="287">
      <c r="A287" s="1">
        <f>IFERROR(__xludf.DUMMYFUNCTION("""COMPUTED_VALUE"""),43637.66666666667)</f>
        <v>43637.66667</v>
      </c>
      <c r="B287" s="2">
        <f>IFERROR(__xludf.DUMMYFUNCTION("""COMPUTED_VALUE"""),289.52)</f>
        <v>289.52</v>
      </c>
      <c r="C287" s="2">
        <f>IFERROR(__xludf.DUMMYFUNCTION("""COMPUTED_VALUE"""),296.31)</f>
        <v>296.31</v>
      </c>
      <c r="D287" s="2">
        <f>IFERROR(__xludf.DUMMYFUNCTION("""COMPUTED_VALUE"""),289.18)</f>
        <v>289.18</v>
      </c>
      <c r="E287" s="2">
        <f>IFERROR(__xludf.DUMMYFUNCTION("""COMPUTED_VALUE"""),294.0)</f>
        <v>294</v>
      </c>
      <c r="F287" s="2">
        <f>IFERROR(__xludf.DUMMYFUNCTION("""COMPUTED_VALUE"""),4.03194392E8)</f>
        <v>403194392</v>
      </c>
      <c r="G287" s="3">
        <f t="shared" si="1"/>
        <v>0.01638664178</v>
      </c>
      <c r="H287" s="2">
        <f t="shared" si="2"/>
        <v>1607.523648</v>
      </c>
    </row>
    <row r="288">
      <c r="A288" s="1">
        <f>IFERROR(__xludf.DUMMYFUNCTION("""COMPUTED_VALUE"""),43644.66666666667)</f>
        <v>43644.66667</v>
      </c>
      <c r="B288" s="2">
        <f>IFERROR(__xludf.DUMMYFUNCTION("""COMPUTED_VALUE"""),294.23)</f>
        <v>294.23</v>
      </c>
      <c r="C288" s="2">
        <f>IFERROR(__xludf.DUMMYFUNCTION("""COMPUTED_VALUE"""),294.58)</f>
        <v>294.58</v>
      </c>
      <c r="D288" s="2">
        <f>IFERROR(__xludf.DUMMYFUNCTION("""COMPUTED_VALUE"""),290.35)</f>
        <v>290.35</v>
      </c>
      <c r="E288" s="2">
        <f>IFERROR(__xludf.DUMMYFUNCTION("""COMPUTED_VALUE"""),293.0)</f>
        <v>293</v>
      </c>
      <c r="F288" s="2">
        <f>IFERROR(__xludf.DUMMYFUNCTION("""COMPUTED_VALUE"""),2.80902456E8)</f>
        <v>280902456</v>
      </c>
      <c r="G288" s="3">
        <f t="shared" si="1"/>
        <v>-0.003401360544</v>
      </c>
      <c r="H288" s="2">
        <f t="shared" si="2"/>
        <v>1602.055881</v>
      </c>
    </row>
    <row r="289">
      <c r="A289" s="1">
        <f>IFERROR(__xludf.DUMMYFUNCTION("""COMPUTED_VALUE"""),43651.66666666667)</f>
        <v>43651.66667</v>
      </c>
      <c r="B289" s="2">
        <f>IFERROR(__xludf.DUMMYFUNCTION("""COMPUTED_VALUE"""),296.68)</f>
        <v>296.68</v>
      </c>
      <c r="C289" s="2">
        <f>IFERROR(__xludf.DUMMYFUNCTION("""COMPUTED_VALUE"""),298.82)</f>
        <v>298.82</v>
      </c>
      <c r="D289" s="2">
        <f>IFERROR(__xludf.DUMMYFUNCTION("""COMPUTED_VALUE"""),294.33)</f>
        <v>294.33</v>
      </c>
      <c r="E289" s="2">
        <f>IFERROR(__xludf.DUMMYFUNCTION("""COMPUTED_VALUE"""),298.46)</f>
        <v>298.46</v>
      </c>
      <c r="F289" s="2">
        <f>IFERROR(__xludf.DUMMYFUNCTION("""COMPUTED_VALUE"""),2.3318824E8)</f>
        <v>233188240</v>
      </c>
      <c r="G289" s="3">
        <f t="shared" si="1"/>
        <v>0.01863481229</v>
      </c>
      <c r="H289" s="2">
        <f t="shared" si="2"/>
        <v>1631.909891</v>
      </c>
    </row>
    <row r="290">
      <c r="A290" s="1">
        <f>IFERROR(__xludf.DUMMYFUNCTION("""COMPUTED_VALUE"""),43658.66666666667)</f>
        <v>43658.66667</v>
      </c>
      <c r="B290" s="2">
        <f>IFERROR(__xludf.DUMMYFUNCTION("""COMPUTED_VALUE"""),297.01)</f>
        <v>297.01</v>
      </c>
      <c r="C290" s="2">
        <f>IFERROR(__xludf.DUMMYFUNCTION("""COMPUTED_VALUE"""),300.73)</f>
        <v>300.73</v>
      </c>
      <c r="D290" s="2">
        <f>IFERROR(__xludf.DUMMYFUNCTION("""COMPUTED_VALUE"""),295.48)</f>
        <v>295.48</v>
      </c>
      <c r="E290" s="2">
        <f>IFERROR(__xludf.DUMMYFUNCTION("""COMPUTED_VALUE"""),300.65)</f>
        <v>300.65</v>
      </c>
      <c r="F290" s="2">
        <f>IFERROR(__xludf.DUMMYFUNCTION("""COMPUTED_VALUE"""),2.367825E8)</f>
        <v>236782500</v>
      </c>
      <c r="G290" s="3">
        <f t="shared" si="1"/>
        <v>0.007337666689</v>
      </c>
      <c r="H290" s="2">
        <f t="shared" si="2"/>
        <v>1643.884302</v>
      </c>
    </row>
    <row r="291">
      <c r="A291" s="1">
        <f>IFERROR(__xludf.DUMMYFUNCTION("""COMPUTED_VALUE"""),43665.66666666667)</f>
        <v>43665.66667</v>
      </c>
      <c r="B291" s="2">
        <f>IFERROR(__xludf.DUMMYFUNCTION("""COMPUTED_VALUE"""),301.13)</f>
        <v>301.13</v>
      </c>
      <c r="C291" s="2">
        <f>IFERROR(__xludf.DUMMYFUNCTION("""COMPUTED_VALUE"""),301.13)</f>
        <v>301.13</v>
      </c>
      <c r="D291" s="2">
        <f>IFERROR(__xludf.DUMMYFUNCTION("""COMPUTED_VALUE"""),296.7)</f>
        <v>296.7</v>
      </c>
      <c r="E291" s="2">
        <f>IFERROR(__xludf.DUMMYFUNCTION("""COMPUTED_VALUE"""),297.17)</f>
        <v>297.17</v>
      </c>
      <c r="F291" s="2">
        <f>IFERROR(__xludf.DUMMYFUNCTION("""COMPUTED_VALUE"""),2.41363593E8)</f>
        <v>241363593</v>
      </c>
      <c r="G291" s="3">
        <f t="shared" si="1"/>
        <v>-0.011574921</v>
      </c>
      <c r="H291" s="2">
        <f t="shared" si="2"/>
        <v>1624.856471</v>
      </c>
    </row>
    <row r="292">
      <c r="A292" s="1">
        <f>IFERROR(__xludf.DUMMYFUNCTION("""COMPUTED_VALUE"""),43672.66666666667)</f>
        <v>43672.66667</v>
      </c>
      <c r="B292" s="2">
        <f>IFERROR(__xludf.DUMMYFUNCTION("""COMPUTED_VALUE"""),297.61)</f>
        <v>297.61</v>
      </c>
      <c r="C292" s="2">
        <f>IFERROR(__xludf.DUMMYFUNCTION("""COMPUTED_VALUE"""),302.23)</f>
        <v>302.23</v>
      </c>
      <c r="D292" s="2">
        <f>IFERROR(__xludf.DUMMYFUNCTION("""COMPUTED_VALUE"""),297.04)</f>
        <v>297.04</v>
      </c>
      <c r="E292" s="2">
        <f>IFERROR(__xludf.DUMMYFUNCTION("""COMPUTED_VALUE"""),302.01)</f>
        <v>302.01</v>
      </c>
      <c r="F292" s="2">
        <f>IFERROR(__xludf.DUMMYFUNCTION("""COMPUTED_VALUE"""),2.36036778E8)</f>
        <v>236036778</v>
      </c>
      <c r="G292" s="3">
        <f t="shared" si="1"/>
        <v>0.01628697379</v>
      </c>
      <c r="H292" s="2">
        <f t="shared" si="2"/>
        <v>1651.320466</v>
      </c>
    </row>
    <row r="293">
      <c r="A293" s="1">
        <f>IFERROR(__xludf.DUMMYFUNCTION("""COMPUTED_VALUE"""),43679.66666666667)</f>
        <v>43679.66667</v>
      </c>
      <c r="B293" s="2">
        <f>IFERROR(__xludf.DUMMYFUNCTION("""COMPUTED_VALUE"""),301.88)</f>
        <v>301.88</v>
      </c>
      <c r="C293" s="2">
        <f>IFERROR(__xludf.DUMMYFUNCTION("""COMPUTED_VALUE"""),301.93)</f>
        <v>301.93</v>
      </c>
      <c r="D293" s="2">
        <f>IFERROR(__xludf.DUMMYFUNCTION("""COMPUTED_VALUE"""),290.9)</f>
        <v>290.9</v>
      </c>
      <c r="E293" s="2">
        <f>IFERROR(__xludf.DUMMYFUNCTION("""COMPUTED_VALUE"""),292.62)</f>
        <v>292.62</v>
      </c>
      <c r="F293" s="2">
        <f>IFERROR(__xludf.DUMMYFUNCTION("""COMPUTED_VALUE"""),4.4761694E8)</f>
        <v>447616940</v>
      </c>
      <c r="G293" s="3">
        <f t="shared" si="1"/>
        <v>-0.03109168571</v>
      </c>
      <c r="H293" s="2">
        <f t="shared" si="2"/>
        <v>1599.978129</v>
      </c>
    </row>
    <row r="294">
      <c r="A294" s="1">
        <f>IFERROR(__xludf.DUMMYFUNCTION("""COMPUTED_VALUE"""),43686.66666666667)</f>
        <v>43686.66667</v>
      </c>
      <c r="B294" s="2">
        <f>IFERROR(__xludf.DUMMYFUNCTION("""COMPUTED_VALUE"""),288.09)</f>
        <v>288.09</v>
      </c>
      <c r="C294" s="2">
        <f>IFERROR(__xludf.DUMMYFUNCTION("""COMPUTED_VALUE"""),293.62)</f>
        <v>293.62</v>
      </c>
      <c r="D294" s="2">
        <f>IFERROR(__xludf.DUMMYFUNCTION("""COMPUTED_VALUE"""),281.72)</f>
        <v>281.72</v>
      </c>
      <c r="E294" s="2">
        <f>IFERROR(__xludf.DUMMYFUNCTION("""COMPUTED_VALUE"""),291.62)</f>
        <v>291.62</v>
      </c>
      <c r="F294" s="2">
        <f>IFERROR(__xludf.DUMMYFUNCTION("""COMPUTED_VALUE"""),6.21473258E8)</f>
        <v>621473258</v>
      </c>
      <c r="G294" s="3">
        <f t="shared" si="1"/>
        <v>-0.003417401408</v>
      </c>
      <c r="H294" s="2">
        <f t="shared" si="2"/>
        <v>1594.510361</v>
      </c>
    </row>
    <row r="295">
      <c r="A295" s="1">
        <f>IFERROR(__xludf.DUMMYFUNCTION("""COMPUTED_VALUE"""),43693.66666666667)</f>
        <v>43693.66667</v>
      </c>
      <c r="B295" s="2">
        <f>IFERROR(__xludf.DUMMYFUNCTION("""COMPUTED_VALUE"""),289.96)</f>
        <v>289.96</v>
      </c>
      <c r="C295" s="2">
        <f>IFERROR(__xludf.DUMMYFUNCTION("""COMPUTED_VALUE"""),294.15)</f>
        <v>294.15</v>
      </c>
      <c r="D295" s="2">
        <f>IFERROR(__xludf.DUMMYFUNCTION("""COMPUTED_VALUE"""),282.39)</f>
        <v>282.39</v>
      </c>
      <c r="E295" s="2">
        <f>IFERROR(__xludf.DUMMYFUNCTION("""COMPUTED_VALUE"""),288.85)</f>
        <v>288.85</v>
      </c>
      <c r="F295" s="2">
        <f>IFERROR(__xludf.DUMMYFUNCTION("""COMPUTED_VALUE"""),4.83697788E8)</f>
        <v>483697788</v>
      </c>
      <c r="G295" s="3">
        <f t="shared" si="1"/>
        <v>-0.009498662643</v>
      </c>
      <c r="H295" s="2">
        <f t="shared" si="2"/>
        <v>1579.364645</v>
      </c>
    </row>
    <row r="296">
      <c r="A296" s="1">
        <f>IFERROR(__xludf.DUMMYFUNCTION("""COMPUTED_VALUE"""),43700.66666666667)</f>
        <v>43700.66667</v>
      </c>
      <c r="B296" s="2">
        <f>IFERROR(__xludf.DUMMYFUNCTION("""COMPUTED_VALUE"""),292.19)</f>
        <v>292.19</v>
      </c>
      <c r="C296" s="2">
        <f>IFERROR(__xludf.DUMMYFUNCTION("""COMPUTED_VALUE"""),293.93)</f>
        <v>293.93</v>
      </c>
      <c r="D296" s="2">
        <f>IFERROR(__xludf.DUMMYFUNCTION("""COMPUTED_VALUE"""),283.47)</f>
        <v>283.47</v>
      </c>
      <c r="E296" s="2">
        <f>IFERROR(__xludf.DUMMYFUNCTION("""COMPUTED_VALUE"""),284.85)</f>
        <v>284.85</v>
      </c>
      <c r="F296" s="2">
        <f>IFERROR(__xludf.DUMMYFUNCTION("""COMPUTED_VALUE"""),3.56073778E8)</f>
        <v>356073778</v>
      </c>
      <c r="G296" s="3">
        <f t="shared" si="1"/>
        <v>-0.013848018</v>
      </c>
      <c r="H296" s="2">
        <f t="shared" si="2"/>
        <v>1557.493575</v>
      </c>
    </row>
    <row r="297">
      <c r="A297" s="1">
        <f>IFERROR(__xludf.DUMMYFUNCTION("""COMPUTED_VALUE"""),43707.66666666667)</f>
        <v>43707.66667</v>
      </c>
      <c r="B297" s="2">
        <f>IFERROR(__xludf.DUMMYFUNCTION("""COMPUTED_VALUE"""),287.27)</f>
        <v>287.27</v>
      </c>
      <c r="C297" s="2">
        <f>IFERROR(__xludf.DUMMYFUNCTION("""COMPUTED_VALUE"""),294.24)</f>
        <v>294.24</v>
      </c>
      <c r="D297" s="2">
        <f>IFERROR(__xludf.DUMMYFUNCTION("""COMPUTED_VALUE"""),285.25)</f>
        <v>285.25</v>
      </c>
      <c r="E297" s="2">
        <f>IFERROR(__xludf.DUMMYFUNCTION("""COMPUTED_VALUE"""),292.45)</f>
        <v>292.45</v>
      </c>
      <c r="F297" s="2">
        <f>IFERROR(__xludf.DUMMYFUNCTION("""COMPUTED_VALUE"""),3.21696613E8)</f>
        <v>321696613</v>
      </c>
      <c r="G297" s="3">
        <f t="shared" si="1"/>
        <v>0.02668070915</v>
      </c>
      <c r="H297" s="2">
        <f t="shared" si="2"/>
        <v>1599.048608</v>
      </c>
    </row>
    <row r="298">
      <c r="A298" s="1">
        <f>IFERROR(__xludf.DUMMYFUNCTION("""COMPUTED_VALUE"""),43714.66666666667)</f>
        <v>43714.66667</v>
      </c>
      <c r="B298" s="2">
        <f>IFERROR(__xludf.DUMMYFUNCTION("""COMPUTED_VALUE"""),290.57)</f>
        <v>290.57</v>
      </c>
      <c r="C298" s="2">
        <f>IFERROR(__xludf.DUMMYFUNCTION("""COMPUTED_VALUE"""),298.83)</f>
        <v>298.83</v>
      </c>
      <c r="D298" s="2">
        <f>IFERROR(__xludf.DUMMYFUNCTION("""COMPUTED_VALUE"""),289.27)</f>
        <v>289.27</v>
      </c>
      <c r="E298" s="2">
        <f>IFERROR(__xludf.DUMMYFUNCTION("""COMPUTED_VALUE"""),298.05)</f>
        <v>298.05</v>
      </c>
      <c r="F298" s="2">
        <f>IFERROR(__xludf.DUMMYFUNCTION("""COMPUTED_VALUE"""),2.49176901E8)</f>
        <v>249176901</v>
      </c>
      <c r="G298" s="3">
        <f t="shared" si="1"/>
        <v>0.01914857241</v>
      </c>
      <c r="H298" s="2">
        <f t="shared" si="2"/>
        <v>1629.668107</v>
      </c>
    </row>
    <row r="299">
      <c r="A299" s="1">
        <f>IFERROR(__xludf.DUMMYFUNCTION("""COMPUTED_VALUE"""),43721.66666666667)</f>
        <v>43721.66667</v>
      </c>
      <c r="B299" s="2">
        <f>IFERROR(__xludf.DUMMYFUNCTION("""COMPUTED_VALUE"""),299.14)</f>
        <v>299.14</v>
      </c>
      <c r="C299" s="2">
        <f>IFERROR(__xludf.DUMMYFUNCTION("""COMPUTED_VALUE"""),302.46)</f>
        <v>302.46</v>
      </c>
      <c r="D299" s="2">
        <f>IFERROR(__xludf.DUMMYFUNCTION("""COMPUTED_VALUE"""),295.97)</f>
        <v>295.97</v>
      </c>
      <c r="E299" s="2">
        <f>IFERROR(__xludf.DUMMYFUNCTION("""COMPUTED_VALUE"""),301.09)</f>
        <v>301.09</v>
      </c>
      <c r="F299" s="2">
        <f>IFERROR(__xludf.DUMMYFUNCTION("""COMPUTED_VALUE"""),3.1304204E8)</f>
        <v>313042040</v>
      </c>
      <c r="G299" s="3">
        <f t="shared" si="1"/>
        <v>0.01019963093</v>
      </c>
      <c r="H299" s="2">
        <f t="shared" si="2"/>
        <v>1646.29012</v>
      </c>
    </row>
    <row r="300">
      <c r="A300" s="1">
        <f>IFERROR(__xludf.DUMMYFUNCTION("""COMPUTED_VALUE"""),43728.66666666667)</f>
        <v>43728.66667</v>
      </c>
      <c r="B300" s="2">
        <f>IFERROR(__xludf.DUMMYFUNCTION("""COMPUTED_VALUE"""),299.84)</f>
        <v>299.84</v>
      </c>
      <c r="C300" s="2">
        <f>IFERROR(__xludf.DUMMYFUNCTION("""COMPUTED_VALUE"""),302.63)</f>
        <v>302.63</v>
      </c>
      <c r="D300" s="2">
        <f>IFERROR(__xludf.DUMMYFUNCTION("""COMPUTED_VALUE"""),297.41)</f>
        <v>297.41</v>
      </c>
      <c r="E300" s="2">
        <f>IFERROR(__xludf.DUMMYFUNCTION("""COMPUTED_VALUE"""),298.28)</f>
        <v>298.28</v>
      </c>
      <c r="F300" s="2">
        <f>IFERROR(__xludf.DUMMYFUNCTION("""COMPUTED_VALUE"""),3.50842887E8)</f>
        <v>350842887</v>
      </c>
      <c r="G300" s="3">
        <f t="shared" si="1"/>
        <v>-0.009332757647</v>
      </c>
      <c r="H300" s="2">
        <f t="shared" si="2"/>
        <v>1630.925693</v>
      </c>
    </row>
    <row r="301">
      <c r="A301" s="1">
        <f>IFERROR(__xludf.DUMMYFUNCTION("""COMPUTED_VALUE"""),43735.66666666667)</f>
        <v>43735.66667</v>
      </c>
      <c r="B301" s="2">
        <f>IFERROR(__xludf.DUMMYFUNCTION("""COMPUTED_VALUE"""),297.55)</f>
        <v>297.55</v>
      </c>
      <c r="C301" s="2">
        <f>IFERROR(__xludf.DUMMYFUNCTION("""COMPUTED_VALUE"""),299.84)</f>
        <v>299.84</v>
      </c>
      <c r="D301" s="2">
        <f>IFERROR(__xludf.DUMMYFUNCTION("""COMPUTED_VALUE"""),293.69)</f>
        <v>293.69</v>
      </c>
      <c r="E301" s="2">
        <f>IFERROR(__xludf.DUMMYFUNCTION("""COMPUTED_VALUE"""),295.4)</f>
        <v>295.4</v>
      </c>
      <c r="F301" s="2">
        <f>IFERROR(__xludf.DUMMYFUNCTION("""COMPUTED_VALUE"""),3.61846437E8)</f>
        <v>361846437</v>
      </c>
      <c r="G301" s="3">
        <f t="shared" si="1"/>
        <v>-0.009655357382</v>
      </c>
      <c r="H301" s="2">
        <f t="shared" si="2"/>
        <v>1615.178523</v>
      </c>
    </row>
    <row r="302">
      <c r="A302" s="1">
        <f>IFERROR(__xludf.DUMMYFUNCTION("""COMPUTED_VALUE"""),43742.66666666667)</f>
        <v>43742.66667</v>
      </c>
      <c r="B302" s="2">
        <f>IFERROR(__xludf.DUMMYFUNCTION("""COMPUTED_VALUE"""),295.97)</f>
        <v>295.97</v>
      </c>
      <c r="C302" s="2">
        <f>IFERROR(__xludf.DUMMYFUNCTION("""COMPUTED_VALUE"""),298.46)</f>
        <v>298.46</v>
      </c>
      <c r="D302" s="2">
        <f>IFERROR(__xludf.DUMMYFUNCTION("""COMPUTED_VALUE"""),284.82)</f>
        <v>284.82</v>
      </c>
      <c r="E302" s="2">
        <f>IFERROR(__xludf.DUMMYFUNCTION("""COMPUTED_VALUE"""),294.35)</f>
        <v>294.35</v>
      </c>
      <c r="F302" s="2">
        <f>IFERROR(__xludf.DUMMYFUNCTION("""COMPUTED_VALUE"""),4.19594635E8)</f>
        <v>419594635</v>
      </c>
      <c r="G302" s="3">
        <f t="shared" si="1"/>
        <v>-0.00355450237</v>
      </c>
      <c r="H302" s="2">
        <f t="shared" si="2"/>
        <v>1609.437367</v>
      </c>
    </row>
    <row r="303">
      <c r="A303" s="1">
        <f>IFERROR(__xludf.DUMMYFUNCTION("""COMPUTED_VALUE"""),43749.66666666667)</f>
        <v>43749.66667</v>
      </c>
      <c r="B303" s="2">
        <f>IFERROR(__xludf.DUMMYFUNCTION("""COMPUTED_VALUE"""),293.47)</f>
        <v>293.47</v>
      </c>
      <c r="C303" s="2">
        <f>IFERROR(__xludf.DUMMYFUNCTION("""COMPUTED_VALUE"""),298.74)</f>
        <v>298.74</v>
      </c>
      <c r="D303" s="2">
        <f>IFERROR(__xludf.DUMMYFUNCTION("""COMPUTED_VALUE"""),288.49)</f>
        <v>288.49</v>
      </c>
      <c r="E303" s="2">
        <f>IFERROR(__xludf.DUMMYFUNCTION("""COMPUTED_VALUE"""),296.28)</f>
        <v>296.28</v>
      </c>
      <c r="F303" s="2">
        <f>IFERROR(__xludf.DUMMYFUNCTION("""COMPUTED_VALUE"""),3.86423911E8)</f>
        <v>386423911</v>
      </c>
      <c r="G303" s="3">
        <f t="shared" si="1"/>
        <v>0.006556820112</v>
      </c>
      <c r="H303" s="2">
        <f t="shared" si="2"/>
        <v>1619.990158</v>
      </c>
    </row>
    <row r="304">
      <c r="A304" s="1">
        <f>IFERROR(__xludf.DUMMYFUNCTION("""COMPUTED_VALUE"""),43756.66666666667)</f>
        <v>43756.66667</v>
      </c>
      <c r="B304" s="2">
        <f>IFERROR(__xludf.DUMMYFUNCTION("""COMPUTED_VALUE"""),295.93)</f>
        <v>295.93</v>
      </c>
      <c r="C304" s="2">
        <f>IFERROR(__xludf.DUMMYFUNCTION("""COMPUTED_VALUE"""),300.24)</f>
        <v>300.24</v>
      </c>
      <c r="D304" s="2">
        <f>IFERROR(__xludf.DUMMYFUNCTION("""COMPUTED_VALUE"""),295.57)</f>
        <v>295.57</v>
      </c>
      <c r="E304" s="2">
        <f>IFERROR(__xludf.DUMMYFUNCTION("""COMPUTED_VALUE"""),297.97)</f>
        <v>297.97</v>
      </c>
      <c r="F304" s="2">
        <f>IFERROR(__xludf.DUMMYFUNCTION("""COMPUTED_VALUE"""),2.50065533E8)</f>
        <v>250065533</v>
      </c>
      <c r="G304" s="3">
        <f t="shared" si="1"/>
        <v>0.005704063724</v>
      </c>
      <c r="H304" s="2">
        <f t="shared" si="2"/>
        <v>1629.230685</v>
      </c>
    </row>
    <row r="305">
      <c r="A305" s="1">
        <f>IFERROR(__xludf.DUMMYFUNCTION("""COMPUTED_VALUE"""),43763.66666666667)</f>
        <v>43763.66667</v>
      </c>
      <c r="B305" s="2">
        <f>IFERROR(__xludf.DUMMYFUNCTION("""COMPUTED_VALUE"""),299.42)</f>
        <v>299.42</v>
      </c>
      <c r="C305" s="2">
        <f>IFERROR(__xludf.DUMMYFUNCTION("""COMPUTED_VALUE"""),302.2)</f>
        <v>302.2</v>
      </c>
      <c r="D305" s="2">
        <f>IFERROR(__xludf.DUMMYFUNCTION("""COMPUTED_VALUE"""),298.5)</f>
        <v>298.5</v>
      </c>
      <c r="E305" s="2">
        <f>IFERROR(__xludf.DUMMYFUNCTION("""COMPUTED_VALUE"""),301.6)</f>
        <v>301.6</v>
      </c>
      <c r="F305" s="2">
        <f>IFERROR(__xludf.DUMMYFUNCTION("""COMPUTED_VALUE"""),2.04641639E8)</f>
        <v>204641639</v>
      </c>
      <c r="G305" s="3">
        <f t="shared" si="1"/>
        <v>0.01218243447</v>
      </c>
      <c r="H305" s="2">
        <f t="shared" si="2"/>
        <v>1649.078681</v>
      </c>
    </row>
    <row r="306">
      <c r="A306" s="1">
        <f>IFERROR(__xludf.DUMMYFUNCTION("""COMPUTED_VALUE"""),43770.66666666667)</f>
        <v>43770.66667</v>
      </c>
      <c r="B306" s="2">
        <f>IFERROR(__xludf.DUMMYFUNCTION("""COMPUTED_VALUE"""),302.94)</f>
        <v>302.94</v>
      </c>
      <c r="C306" s="2">
        <f>IFERROR(__xludf.DUMMYFUNCTION("""COMPUTED_VALUE"""),306.19)</f>
        <v>306.19</v>
      </c>
      <c r="D306" s="2">
        <f>IFERROR(__xludf.DUMMYFUNCTION("""COMPUTED_VALUE"""),301.73)</f>
        <v>301.73</v>
      </c>
      <c r="E306" s="2">
        <f>IFERROR(__xludf.DUMMYFUNCTION("""COMPUTED_VALUE"""),306.14)</f>
        <v>306.14</v>
      </c>
      <c r="F306" s="2">
        <f>IFERROR(__xludf.DUMMYFUNCTION("""COMPUTED_VALUE"""),2.7627112E8)</f>
        <v>276271120</v>
      </c>
      <c r="G306" s="3">
        <f t="shared" si="1"/>
        <v>0.0150530504</v>
      </c>
      <c r="H306" s="2">
        <f t="shared" si="2"/>
        <v>1673.902346</v>
      </c>
    </row>
    <row r="307">
      <c r="A307" s="1">
        <f>IFERROR(__xludf.DUMMYFUNCTION("""COMPUTED_VALUE"""),43777.66666666667)</f>
        <v>43777.66667</v>
      </c>
      <c r="B307" s="2">
        <f>IFERROR(__xludf.DUMMYFUNCTION("""COMPUTED_VALUE"""),307.85)</f>
        <v>307.85</v>
      </c>
      <c r="C307" s="2">
        <f>IFERROR(__xludf.DUMMYFUNCTION("""COMPUTED_VALUE"""),309.65)</f>
        <v>309.65</v>
      </c>
      <c r="D307" s="2">
        <f>IFERROR(__xludf.DUMMYFUNCTION("""COMPUTED_VALUE"""),306.06)</f>
        <v>306.06</v>
      </c>
      <c r="E307" s="2">
        <f>IFERROR(__xludf.DUMMYFUNCTION("""COMPUTED_VALUE"""),308.94)</f>
        <v>308.94</v>
      </c>
      <c r="F307" s="2">
        <f>IFERROR(__xludf.DUMMYFUNCTION("""COMPUTED_VALUE"""),2.53368314E8)</f>
        <v>253368314</v>
      </c>
      <c r="G307" s="3">
        <f t="shared" si="1"/>
        <v>0.009146142288</v>
      </c>
      <c r="H307" s="2">
        <f t="shared" si="2"/>
        <v>1689.212095</v>
      </c>
    </row>
    <row r="308">
      <c r="A308" s="1">
        <f>IFERROR(__xludf.DUMMYFUNCTION("""COMPUTED_VALUE"""),43784.66666666667)</f>
        <v>43784.66667</v>
      </c>
      <c r="B308" s="2">
        <f>IFERROR(__xludf.DUMMYFUNCTION("""COMPUTED_VALUE"""),307.42)</f>
        <v>307.42</v>
      </c>
      <c r="C308" s="2">
        <f>IFERROR(__xludf.DUMMYFUNCTION("""COMPUTED_VALUE"""),311.84)</f>
        <v>311.84</v>
      </c>
      <c r="D308" s="2">
        <f>IFERROR(__xludf.DUMMYFUNCTION("""COMPUTED_VALUE"""),307.27)</f>
        <v>307.27</v>
      </c>
      <c r="E308" s="2">
        <f>IFERROR(__xludf.DUMMYFUNCTION("""COMPUTED_VALUE"""),311.79)</f>
        <v>311.79</v>
      </c>
      <c r="F308" s="2">
        <f>IFERROR(__xludf.DUMMYFUNCTION("""COMPUTED_VALUE"""),2.51586617E8)</f>
        <v>251586617</v>
      </c>
      <c r="G308" s="3">
        <f t="shared" si="1"/>
        <v>0.009225092251</v>
      </c>
      <c r="H308" s="2">
        <f t="shared" si="2"/>
        <v>1704.795232</v>
      </c>
    </row>
    <row r="309">
      <c r="A309" s="1">
        <f>IFERROR(__xludf.DUMMYFUNCTION("""COMPUTED_VALUE"""),43791.66666666667)</f>
        <v>43791.66667</v>
      </c>
      <c r="B309" s="2">
        <f>IFERROR(__xludf.DUMMYFUNCTION("""COMPUTED_VALUE"""),311.53)</f>
        <v>311.53</v>
      </c>
      <c r="C309" s="2">
        <f>IFERROR(__xludf.DUMMYFUNCTION("""COMPUTED_VALUE"""),312.69)</f>
        <v>312.69</v>
      </c>
      <c r="D309" s="2">
        <f>IFERROR(__xludf.DUMMYFUNCTION("""COMPUTED_VALUE"""),309.06)</f>
        <v>309.06</v>
      </c>
      <c r="E309" s="2">
        <f>IFERROR(__xludf.DUMMYFUNCTION("""COMPUTED_VALUE"""),310.96)</f>
        <v>310.96</v>
      </c>
      <c r="F309" s="2">
        <f>IFERROR(__xludf.DUMMYFUNCTION("""COMPUTED_VALUE"""),2.96466992E8)</f>
        <v>296466992</v>
      </c>
      <c r="G309" s="3">
        <f t="shared" si="1"/>
        <v>-0.002662048173</v>
      </c>
      <c r="H309" s="2">
        <f t="shared" si="2"/>
        <v>1700.256985</v>
      </c>
    </row>
    <row r="310">
      <c r="A310" s="1">
        <f>IFERROR(__xludf.DUMMYFUNCTION("""COMPUTED_VALUE"""),43798.54166666667)</f>
        <v>43798.54167</v>
      </c>
      <c r="B310" s="2">
        <f>IFERROR(__xludf.DUMMYFUNCTION("""COMPUTED_VALUE"""),311.98)</f>
        <v>311.98</v>
      </c>
      <c r="C310" s="2">
        <f>IFERROR(__xludf.DUMMYFUNCTION("""COMPUTED_VALUE"""),315.48)</f>
        <v>315.48</v>
      </c>
      <c r="D310" s="2">
        <f>IFERROR(__xludf.DUMMYFUNCTION("""COMPUTED_VALUE"""),311.98)</f>
        <v>311.98</v>
      </c>
      <c r="E310" s="2">
        <f>IFERROR(__xludf.DUMMYFUNCTION("""COMPUTED_VALUE"""),314.31)</f>
        <v>314.31</v>
      </c>
      <c r="F310" s="2">
        <f>IFERROR(__xludf.DUMMYFUNCTION("""COMPUTED_VALUE"""),1.67876548E8)</f>
        <v>167876548</v>
      </c>
      <c r="G310" s="3">
        <f t="shared" si="1"/>
        <v>0.01077308979</v>
      </c>
      <c r="H310" s="2">
        <f t="shared" si="2"/>
        <v>1718.574006</v>
      </c>
    </row>
    <row r="311">
      <c r="A311" s="1">
        <f>IFERROR(__xludf.DUMMYFUNCTION("""COMPUTED_VALUE"""),43805.66666666667)</f>
        <v>43805.66667</v>
      </c>
      <c r="B311" s="2">
        <f>IFERROR(__xludf.DUMMYFUNCTION("""COMPUTED_VALUE"""),314.59)</f>
        <v>314.59</v>
      </c>
      <c r="C311" s="2">
        <f>IFERROR(__xludf.DUMMYFUNCTION("""COMPUTED_VALUE"""),315.31)</f>
        <v>315.31</v>
      </c>
      <c r="D311" s="2">
        <f>IFERROR(__xludf.DUMMYFUNCTION("""COMPUTED_VALUE"""),307.13)</f>
        <v>307.13</v>
      </c>
      <c r="E311" s="2">
        <f>IFERROR(__xludf.DUMMYFUNCTION("""COMPUTED_VALUE"""),314.87)</f>
        <v>314.87</v>
      </c>
      <c r="F311" s="2">
        <f>IFERROR(__xludf.DUMMYFUNCTION("""COMPUTED_VALUE"""),2.90211574E8)</f>
        <v>290211574</v>
      </c>
      <c r="G311" s="3">
        <f t="shared" si="1"/>
        <v>0.001781680507</v>
      </c>
      <c r="H311" s="2">
        <f t="shared" si="2"/>
        <v>1721.635956</v>
      </c>
    </row>
    <row r="312">
      <c r="A312" s="1">
        <f>IFERROR(__xludf.DUMMYFUNCTION("""COMPUTED_VALUE"""),43812.66666666667)</f>
        <v>43812.66667</v>
      </c>
      <c r="B312" s="2">
        <f>IFERROR(__xludf.DUMMYFUNCTION("""COMPUTED_VALUE"""),314.44)</f>
        <v>314.44</v>
      </c>
      <c r="C312" s="2">
        <f>IFERROR(__xludf.DUMMYFUNCTION("""COMPUTED_VALUE"""),318.67)</f>
        <v>318.67</v>
      </c>
      <c r="D312" s="2">
        <f>IFERROR(__xludf.DUMMYFUNCTION("""COMPUTED_VALUE"""),312.81)</f>
        <v>312.81</v>
      </c>
      <c r="E312" s="2">
        <f>IFERROR(__xludf.DUMMYFUNCTION("""COMPUTED_VALUE"""),317.32)</f>
        <v>317.32</v>
      </c>
      <c r="F312" s="2">
        <f>IFERROR(__xludf.DUMMYFUNCTION("""COMPUTED_VALUE"""),3.19665187E8)</f>
        <v>319665187</v>
      </c>
      <c r="G312" s="3">
        <f t="shared" si="1"/>
        <v>0.00778098898</v>
      </c>
      <c r="H312" s="2">
        <f t="shared" si="2"/>
        <v>1735.031986</v>
      </c>
    </row>
    <row r="313">
      <c r="A313" s="1">
        <f>IFERROR(__xludf.DUMMYFUNCTION("""COMPUTED_VALUE"""),43819.66666666667)</f>
        <v>43819.66667</v>
      </c>
      <c r="B313" s="2">
        <f>IFERROR(__xludf.DUMMYFUNCTION("""COMPUTED_VALUE"""),319.22)</f>
        <v>319.22</v>
      </c>
      <c r="C313" s="2">
        <f>IFERROR(__xludf.DUMMYFUNCTION("""COMPUTED_VALUE"""),321.97)</f>
        <v>321.97</v>
      </c>
      <c r="D313" s="2">
        <f>IFERROR(__xludf.DUMMYFUNCTION("""COMPUTED_VALUE"""),317.25)</f>
        <v>317.25</v>
      </c>
      <c r="E313" s="2">
        <f>IFERROR(__xludf.DUMMYFUNCTION("""COMPUTED_VALUE"""),320.73)</f>
        <v>320.73</v>
      </c>
      <c r="F313" s="2">
        <f>IFERROR(__xludf.DUMMYFUNCTION("""COMPUTED_VALUE"""),4.26894491E8)</f>
        <v>426894491</v>
      </c>
      <c r="G313" s="3">
        <f t="shared" si="1"/>
        <v>0.01074624984</v>
      </c>
      <c r="H313" s="2">
        <f t="shared" si="2"/>
        <v>1753.677074</v>
      </c>
    </row>
    <row r="314">
      <c r="A314" s="1">
        <f>IFERROR(__xludf.DUMMYFUNCTION("""COMPUTED_VALUE"""),43826.66666666667)</f>
        <v>43826.66667</v>
      </c>
      <c r="B314" s="2">
        <f>IFERROR(__xludf.DUMMYFUNCTION("""COMPUTED_VALUE"""),321.59)</f>
        <v>321.59</v>
      </c>
      <c r="C314" s="2">
        <f>IFERROR(__xludf.DUMMYFUNCTION("""COMPUTED_VALUE"""),323.8)</f>
        <v>323.8</v>
      </c>
      <c r="D314" s="2">
        <f>IFERROR(__xludf.DUMMYFUNCTION("""COMPUTED_VALUE"""),320.9)</f>
        <v>320.9</v>
      </c>
      <c r="E314" s="2">
        <f>IFERROR(__xludf.DUMMYFUNCTION("""COMPUTED_VALUE"""),322.86)</f>
        <v>322.86</v>
      </c>
      <c r="F314" s="2">
        <f>IFERROR(__xludf.DUMMYFUNCTION("""COMPUTED_VALUE"""),1.46864656E8)</f>
        <v>146864656</v>
      </c>
      <c r="G314" s="3">
        <f t="shared" si="1"/>
        <v>0.006641099991</v>
      </c>
      <c r="H314" s="2">
        <f t="shared" si="2"/>
        <v>1765.323418</v>
      </c>
    </row>
    <row r="315">
      <c r="A315" s="1">
        <f>IFERROR(__xludf.DUMMYFUNCTION("""COMPUTED_VALUE"""),43833.66666666667)</f>
        <v>43833.66667</v>
      </c>
      <c r="B315" s="2">
        <f>IFERROR(__xludf.DUMMYFUNCTION("""COMPUTED_VALUE"""),322.95)</f>
        <v>322.95</v>
      </c>
      <c r="C315" s="2">
        <f>IFERROR(__xludf.DUMMYFUNCTION("""COMPUTED_VALUE"""),324.89)</f>
        <v>324.89</v>
      </c>
      <c r="D315" s="2">
        <f>IFERROR(__xludf.DUMMYFUNCTION("""COMPUTED_VALUE"""),320.15)</f>
        <v>320.15</v>
      </c>
      <c r="E315" s="2">
        <f>IFERROR(__xludf.DUMMYFUNCTION("""COMPUTED_VALUE"""),322.41)</f>
        <v>322.41</v>
      </c>
      <c r="F315" s="2">
        <f>IFERROR(__xludf.DUMMYFUNCTION("""COMPUTED_VALUE"""),2.43926682E8)</f>
        <v>243926682</v>
      </c>
      <c r="G315" s="3">
        <f t="shared" si="1"/>
        <v>-0.001393792975</v>
      </c>
      <c r="H315" s="2">
        <f t="shared" si="2"/>
        <v>1762.862923</v>
      </c>
    </row>
    <row r="316">
      <c r="A316" s="1">
        <f>IFERROR(__xludf.DUMMYFUNCTION("""COMPUTED_VALUE"""),43840.66666666667)</f>
        <v>43840.66667</v>
      </c>
      <c r="B316" s="2">
        <f>IFERROR(__xludf.DUMMYFUNCTION("""COMPUTED_VALUE"""),320.49)</f>
        <v>320.49</v>
      </c>
      <c r="C316" s="2">
        <f>IFERROR(__xludf.DUMMYFUNCTION("""COMPUTED_VALUE"""),327.46)</f>
        <v>327.46</v>
      </c>
      <c r="D316" s="2">
        <f>IFERROR(__xludf.DUMMYFUNCTION("""COMPUTED_VALUE"""),320.36)</f>
        <v>320.36</v>
      </c>
      <c r="E316" s="2">
        <f>IFERROR(__xludf.DUMMYFUNCTION("""COMPUTED_VALUE"""),325.71)</f>
        <v>325.71</v>
      </c>
      <c r="F316" s="2">
        <f>IFERROR(__xludf.DUMMYFUNCTION("""COMPUTED_VALUE"""),2.68677902E8)</f>
        <v>268677902</v>
      </c>
      <c r="G316" s="3">
        <f t="shared" si="1"/>
        <v>0.01023541453</v>
      </c>
      <c r="H316" s="2">
        <f t="shared" si="2"/>
        <v>1780.906556</v>
      </c>
    </row>
    <row r="317">
      <c r="A317" s="1">
        <f>IFERROR(__xludf.DUMMYFUNCTION("""COMPUTED_VALUE"""),43847.66666666667)</f>
        <v>43847.66667</v>
      </c>
      <c r="B317" s="2">
        <f>IFERROR(__xludf.DUMMYFUNCTION("""COMPUTED_VALUE"""),326.39)</f>
        <v>326.39</v>
      </c>
      <c r="C317" s="2">
        <f>IFERROR(__xludf.DUMMYFUNCTION("""COMPUTED_VALUE"""),332.18)</f>
        <v>332.18</v>
      </c>
      <c r="D317" s="2">
        <f>IFERROR(__xludf.DUMMYFUNCTION("""COMPUTED_VALUE"""),325.92)</f>
        <v>325.92</v>
      </c>
      <c r="E317" s="2">
        <f>IFERROR(__xludf.DUMMYFUNCTION("""COMPUTED_VALUE"""),331.95)</f>
        <v>331.95</v>
      </c>
      <c r="F317" s="2">
        <f>IFERROR(__xludf.DUMMYFUNCTION("""COMPUTED_VALUE"""),3.32251337E8)</f>
        <v>332251337</v>
      </c>
      <c r="G317" s="3">
        <f t="shared" si="1"/>
        <v>0.01915814682</v>
      </c>
      <c r="H317" s="2">
        <f t="shared" si="2"/>
        <v>1815.025425</v>
      </c>
    </row>
    <row r="318">
      <c r="A318" s="1">
        <f>IFERROR(__xludf.DUMMYFUNCTION("""COMPUTED_VALUE"""),43854.66666666667)</f>
        <v>43854.66667</v>
      </c>
      <c r="B318" s="2">
        <f>IFERROR(__xludf.DUMMYFUNCTION("""COMPUTED_VALUE"""),330.9)</f>
        <v>330.9</v>
      </c>
      <c r="C318" s="2">
        <f>IFERROR(__xludf.DUMMYFUNCTION("""COMPUTED_VALUE"""),332.95)</f>
        <v>332.95</v>
      </c>
      <c r="D318" s="2">
        <f>IFERROR(__xludf.DUMMYFUNCTION("""COMPUTED_VALUE"""),327.36)</f>
        <v>327.36</v>
      </c>
      <c r="E318" s="2">
        <f>IFERROR(__xludf.DUMMYFUNCTION("""COMPUTED_VALUE"""),328.77)</f>
        <v>328.77</v>
      </c>
      <c r="F318" s="2">
        <f>IFERROR(__xludf.DUMMYFUNCTION("""COMPUTED_VALUE"""),2.6619875E8)</f>
        <v>266198750</v>
      </c>
      <c r="G318" s="3">
        <f t="shared" si="1"/>
        <v>-0.009579755987</v>
      </c>
      <c r="H318" s="2">
        <f t="shared" si="2"/>
        <v>1797.637924</v>
      </c>
    </row>
    <row r="319">
      <c r="A319" s="1">
        <f>IFERROR(__xludf.DUMMYFUNCTION("""COMPUTED_VALUE"""),43861.66666666667)</f>
        <v>43861.66667</v>
      </c>
      <c r="B319" s="2">
        <f>IFERROR(__xludf.DUMMYFUNCTION("""COMPUTED_VALUE"""),323.03)</f>
        <v>323.03</v>
      </c>
      <c r="C319" s="2">
        <f>IFERROR(__xludf.DUMMYFUNCTION("""COMPUTED_VALUE"""),328.63)</f>
        <v>328.63</v>
      </c>
      <c r="D319" s="2">
        <f>IFERROR(__xludf.DUMMYFUNCTION("""COMPUTED_VALUE"""),320.73)</f>
        <v>320.73</v>
      </c>
      <c r="E319" s="2">
        <f>IFERROR(__xludf.DUMMYFUNCTION("""COMPUTED_VALUE"""),321.73)</f>
        <v>321.73</v>
      </c>
      <c r="F319" s="2">
        <f>IFERROR(__xludf.DUMMYFUNCTION("""COMPUTED_VALUE"""),3.91274725E8)</f>
        <v>391274725</v>
      </c>
      <c r="G319" s="3">
        <f t="shared" si="1"/>
        <v>-0.02141314597</v>
      </c>
      <c r="H319" s="2">
        <f t="shared" si="2"/>
        <v>1759.144841</v>
      </c>
    </row>
    <row r="320">
      <c r="A320" s="1">
        <f>IFERROR(__xludf.DUMMYFUNCTION("""COMPUTED_VALUE"""),43868.66666666667)</f>
        <v>43868.66667</v>
      </c>
      <c r="B320" s="2">
        <f>IFERROR(__xludf.DUMMYFUNCTION("""COMPUTED_VALUE"""),323.35)</f>
        <v>323.35</v>
      </c>
      <c r="C320" s="2">
        <f>IFERROR(__xludf.DUMMYFUNCTION("""COMPUTED_VALUE"""),334.19)</f>
        <v>334.19</v>
      </c>
      <c r="D320" s="2">
        <f>IFERROR(__xludf.DUMMYFUNCTION("""COMPUTED_VALUE"""),323.22)</f>
        <v>323.22</v>
      </c>
      <c r="E320" s="2">
        <f>IFERROR(__xludf.DUMMYFUNCTION("""COMPUTED_VALUE"""),332.2)</f>
        <v>332.2</v>
      </c>
      <c r="F320" s="2">
        <f>IFERROR(__xludf.DUMMYFUNCTION("""COMPUTED_VALUE"""),3.1226576E8)</f>
        <v>312265760</v>
      </c>
      <c r="G320" s="3">
        <f t="shared" si="1"/>
        <v>0.0325428154</v>
      </c>
      <c r="H320" s="2">
        <f t="shared" si="2"/>
        <v>1816.392367</v>
      </c>
    </row>
    <row r="321">
      <c r="A321" s="1">
        <f>IFERROR(__xludf.DUMMYFUNCTION("""COMPUTED_VALUE"""),43875.66666666667)</f>
        <v>43875.66667</v>
      </c>
      <c r="B321" s="2">
        <f>IFERROR(__xludf.DUMMYFUNCTION("""COMPUTED_VALUE"""),331.23)</f>
        <v>331.23</v>
      </c>
      <c r="C321" s="2">
        <f>IFERROR(__xludf.DUMMYFUNCTION("""COMPUTED_VALUE"""),338.12)</f>
        <v>338.12</v>
      </c>
      <c r="D321" s="2">
        <f>IFERROR(__xludf.DUMMYFUNCTION("""COMPUTED_VALUE"""),331.19)</f>
        <v>331.19</v>
      </c>
      <c r="E321" s="2">
        <f>IFERROR(__xludf.DUMMYFUNCTION("""COMPUTED_VALUE"""),337.6)</f>
        <v>337.6</v>
      </c>
      <c r="F321" s="2">
        <f>IFERROR(__xludf.DUMMYFUNCTION("""COMPUTED_VALUE"""),2.60011333E8)</f>
        <v>260011333</v>
      </c>
      <c r="G321" s="3">
        <f t="shared" si="1"/>
        <v>0.01625526791</v>
      </c>
      <c r="H321" s="2">
        <f t="shared" si="2"/>
        <v>1845.918312</v>
      </c>
    </row>
    <row r="322">
      <c r="A322" s="1">
        <f>IFERROR(__xludf.DUMMYFUNCTION("""COMPUTED_VALUE"""),43882.66666666667)</f>
        <v>43882.66667</v>
      </c>
      <c r="B322" s="2">
        <f>IFERROR(__xludf.DUMMYFUNCTION("""COMPUTED_VALUE"""),336.51)</f>
        <v>336.51</v>
      </c>
      <c r="C322" s="2">
        <f>IFERROR(__xludf.DUMMYFUNCTION("""COMPUTED_VALUE"""),339.08)</f>
        <v>339.08</v>
      </c>
      <c r="D322" s="2">
        <f>IFERROR(__xludf.DUMMYFUNCTION("""COMPUTED_VALUE"""),332.58)</f>
        <v>332.58</v>
      </c>
      <c r="E322" s="2">
        <f>IFERROR(__xludf.DUMMYFUNCTION("""COMPUTED_VALUE"""),333.48)</f>
        <v>333.48</v>
      </c>
      <c r="F322" s="2">
        <f>IFERROR(__xludf.DUMMYFUNCTION("""COMPUTED_VALUE"""),2.94108788E8)</f>
        <v>294108788</v>
      </c>
      <c r="G322" s="3">
        <f t="shared" si="1"/>
        <v>-0.01220379147</v>
      </c>
      <c r="H322" s="2">
        <f t="shared" si="2"/>
        <v>1823.391109</v>
      </c>
    </row>
    <row r="323">
      <c r="A323" s="1">
        <f>IFERROR(__xludf.DUMMYFUNCTION("""COMPUTED_VALUE"""),43889.66666666667)</f>
        <v>43889.66667</v>
      </c>
      <c r="B323" s="2">
        <f>IFERROR(__xludf.DUMMYFUNCTION("""COMPUTED_VALUE"""),323.14)</f>
        <v>323.14</v>
      </c>
      <c r="C323" s="2">
        <f>IFERROR(__xludf.DUMMYFUNCTION("""COMPUTED_VALUE"""),333.56)</f>
        <v>333.56</v>
      </c>
      <c r="D323" s="2">
        <f>IFERROR(__xludf.DUMMYFUNCTION("""COMPUTED_VALUE"""),285.54)</f>
        <v>285.54</v>
      </c>
      <c r="E323" s="2">
        <f>IFERROR(__xludf.DUMMYFUNCTION("""COMPUTED_VALUE"""),296.26)</f>
        <v>296.26</v>
      </c>
      <c r="F323" s="2">
        <f>IFERROR(__xludf.DUMMYFUNCTION("""COMPUTED_VALUE"""),1.244892875E9)</f>
        <v>1244892875</v>
      </c>
      <c r="G323" s="3">
        <f t="shared" si="1"/>
        <v>-0.1116108912</v>
      </c>
      <c r="H323" s="2">
        <f t="shared" si="2"/>
        <v>1619.880803</v>
      </c>
    </row>
    <row r="324">
      <c r="A324" s="1">
        <f>IFERROR(__xludf.DUMMYFUNCTION("""COMPUTED_VALUE"""),43896.66666666667)</f>
        <v>43896.66667</v>
      </c>
      <c r="B324" s="2">
        <f>IFERROR(__xludf.DUMMYFUNCTION("""COMPUTED_VALUE"""),298.21)</f>
        <v>298.21</v>
      </c>
      <c r="C324" s="2">
        <f>IFERROR(__xludf.DUMMYFUNCTION("""COMPUTED_VALUE"""),313.84)</f>
        <v>313.84</v>
      </c>
      <c r="D324" s="2">
        <f>IFERROR(__xludf.DUMMYFUNCTION("""COMPUTED_VALUE"""),290.23)</f>
        <v>290.23</v>
      </c>
      <c r="E324" s="2">
        <f>IFERROR(__xludf.DUMMYFUNCTION("""COMPUTED_VALUE"""),297.46)</f>
        <v>297.46</v>
      </c>
      <c r="F324" s="2">
        <f>IFERROR(__xludf.DUMMYFUNCTION("""COMPUTED_VALUE"""),1.130490199E9)</f>
        <v>1130490199</v>
      </c>
      <c r="G324" s="3">
        <f t="shared" si="1"/>
        <v>0.004050496186</v>
      </c>
      <c r="H324" s="2">
        <f t="shared" si="2"/>
        <v>1626.442124</v>
      </c>
    </row>
    <row r="325">
      <c r="A325" s="1">
        <f>IFERROR(__xludf.DUMMYFUNCTION("""COMPUTED_VALUE"""),43903.66666666667)</f>
        <v>43903.66667</v>
      </c>
      <c r="B325" s="2">
        <f>IFERROR(__xludf.DUMMYFUNCTION("""COMPUTED_VALUE"""),275.3)</f>
        <v>275.3</v>
      </c>
      <c r="C325" s="2">
        <f>IFERROR(__xludf.DUMMYFUNCTION("""COMPUTED_VALUE"""),288.52)</f>
        <v>288.52</v>
      </c>
      <c r="D325" s="2">
        <f>IFERROR(__xludf.DUMMYFUNCTION("""COMPUTED_VALUE"""),247.68)</f>
        <v>247.68</v>
      </c>
      <c r="E325" s="2">
        <f>IFERROR(__xludf.DUMMYFUNCTION("""COMPUTED_VALUE"""),269.32)</f>
        <v>269.32</v>
      </c>
      <c r="F325" s="2">
        <f>IFERROR(__xludf.DUMMYFUNCTION("""COMPUTED_VALUE"""),1.564064739E9)</f>
        <v>1564064739</v>
      </c>
      <c r="G325" s="3">
        <f t="shared" si="1"/>
        <v>-0.09460095475</v>
      </c>
      <c r="H325" s="2">
        <f t="shared" si="2"/>
        <v>1472.579146</v>
      </c>
    </row>
    <row r="326">
      <c r="A326" s="1">
        <f>IFERROR(__xludf.DUMMYFUNCTION("""COMPUTED_VALUE"""),43910.66666666667)</f>
        <v>43910.66667</v>
      </c>
      <c r="B326" s="2">
        <f>IFERROR(__xludf.DUMMYFUNCTION("""COMPUTED_VALUE"""),241.18)</f>
        <v>241.18</v>
      </c>
      <c r="C326" s="2">
        <f>IFERROR(__xludf.DUMMYFUNCTION("""COMPUTED_VALUE"""),256.9)</f>
        <v>256.9</v>
      </c>
      <c r="D326" s="2">
        <f>IFERROR(__xludf.DUMMYFUNCTION("""COMPUTED_VALUE"""),228.02)</f>
        <v>228.02</v>
      </c>
      <c r="E326" s="2">
        <f>IFERROR(__xludf.DUMMYFUNCTION("""COMPUTED_VALUE"""),228.8)</f>
        <v>228.8</v>
      </c>
      <c r="F326" s="2">
        <f>IFERROR(__xludf.DUMMYFUNCTION("""COMPUTED_VALUE"""),1.52338846E9)</f>
        <v>1523388460</v>
      </c>
      <c r="G326" s="3">
        <f t="shared" si="1"/>
        <v>-0.1504529927</v>
      </c>
      <c r="H326" s="2">
        <f t="shared" si="2"/>
        <v>1251.025206</v>
      </c>
    </row>
    <row r="327">
      <c r="A327" s="1">
        <f>IFERROR(__xludf.DUMMYFUNCTION("""COMPUTED_VALUE"""),43917.66666666667)</f>
        <v>43917.66667</v>
      </c>
      <c r="B327" s="2">
        <f>IFERROR(__xludf.DUMMYFUNCTION("""COMPUTED_VALUE"""),228.19)</f>
        <v>228.19</v>
      </c>
      <c r="C327" s="2">
        <f>IFERROR(__xludf.DUMMYFUNCTION("""COMPUTED_VALUE"""),262.8)</f>
        <v>262.8</v>
      </c>
      <c r="D327" s="2">
        <f>IFERROR(__xludf.DUMMYFUNCTION("""COMPUTED_VALUE"""),218.26)</f>
        <v>218.26</v>
      </c>
      <c r="E327" s="2">
        <f>IFERROR(__xludf.DUMMYFUNCTION("""COMPUTED_VALUE"""),253.42)</f>
        <v>253.42</v>
      </c>
      <c r="F327" s="2">
        <f>IFERROR(__xludf.DUMMYFUNCTION("""COMPUTED_VALUE"""),1.342923932E9)</f>
        <v>1342923932</v>
      </c>
      <c r="G327" s="3">
        <f t="shared" si="1"/>
        <v>0.1076048951</v>
      </c>
      <c r="H327" s="2">
        <f t="shared" si="2"/>
        <v>1385.641643</v>
      </c>
    </row>
    <row r="328">
      <c r="A328" s="1">
        <f>IFERROR(__xludf.DUMMYFUNCTION("""COMPUTED_VALUE"""),43924.66666666667)</f>
        <v>43924.66667</v>
      </c>
      <c r="B328" s="2">
        <f>IFERROR(__xludf.DUMMYFUNCTION("""COMPUTED_VALUE"""),255.7)</f>
        <v>255.7</v>
      </c>
      <c r="C328" s="2">
        <f>IFERROR(__xludf.DUMMYFUNCTION("""COMPUTED_VALUE"""),263.33)</f>
        <v>263.33</v>
      </c>
      <c r="D328" s="2">
        <f>IFERROR(__xludf.DUMMYFUNCTION("""COMPUTED_VALUE"""),243.9)</f>
        <v>243.9</v>
      </c>
      <c r="E328" s="2">
        <f>IFERROR(__xludf.DUMMYFUNCTION("""COMPUTED_VALUE"""),248.19)</f>
        <v>248.19</v>
      </c>
      <c r="F328" s="2">
        <f>IFERROR(__xludf.DUMMYFUNCTION("""COMPUTED_VALUE"""),8.6861915E8)</f>
        <v>868619150</v>
      </c>
      <c r="G328" s="3">
        <f t="shared" si="1"/>
        <v>-0.02063767658</v>
      </c>
      <c r="H328" s="2">
        <f t="shared" si="2"/>
        <v>1357.045218</v>
      </c>
    </row>
    <row r="329">
      <c r="A329" s="1">
        <f>IFERROR(__xludf.DUMMYFUNCTION("""COMPUTED_VALUE"""),43930.66666666667)</f>
        <v>43930.66667</v>
      </c>
      <c r="B329" s="2">
        <f>IFERROR(__xludf.DUMMYFUNCTION("""COMPUTED_VALUE"""),257.84)</f>
        <v>257.84</v>
      </c>
      <c r="C329" s="2">
        <f>IFERROR(__xludf.DUMMYFUNCTION("""COMPUTED_VALUE"""),281.2)</f>
        <v>281.2</v>
      </c>
      <c r="D329" s="2">
        <f>IFERROR(__xludf.DUMMYFUNCTION("""COMPUTED_VALUE"""),248.17)</f>
        <v>248.17</v>
      </c>
      <c r="E329" s="2">
        <f>IFERROR(__xludf.DUMMYFUNCTION("""COMPUTED_VALUE"""),278.2)</f>
        <v>278.2</v>
      </c>
      <c r="F329" s="2">
        <f>IFERROR(__xludf.DUMMYFUNCTION("""COMPUTED_VALUE"""),7.33545619E8)</f>
        <v>733545619</v>
      </c>
      <c r="G329" s="3">
        <f t="shared" si="1"/>
        <v>0.1209154277</v>
      </c>
      <c r="H329" s="2">
        <f t="shared" si="2"/>
        <v>1521.132921</v>
      </c>
    </row>
    <row r="330">
      <c r="A330" s="1">
        <f>IFERROR(__xludf.DUMMYFUNCTION("""COMPUTED_VALUE"""),43938.66666666667)</f>
        <v>43938.66667</v>
      </c>
      <c r="B330" s="2">
        <f>IFERROR(__xludf.DUMMYFUNCTION("""COMPUTED_VALUE"""),277.14)</f>
        <v>277.14</v>
      </c>
      <c r="C330" s="2">
        <f>IFERROR(__xludf.DUMMYFUNCTION("""COMPUTED_VALUE"""),287.3)</f>
        <v>287.3</v>
      </c>
      <c r="D330" s="2">
        <f>IFERROR(__xludf.DUMMYFUNCTION("""COMPUTED_VALUE"""),271.41)</f>
        <v>271.41</v>
      </c>
      <c r="E330" s="2">
        <f>IFERROR(__xludf.DUMMYFUNCTION("""COMPUTED_VALUE"""),286.64)</f>
        <v>286.64</v>
      </c>
      <c r="F330" s="2">
        <f>IFERROR(__xludf.DUMMYFUNCTION("""COMPUTED_VALUE"""),6.49240518E8)</f>
        <v>649240518</v>
      </c>
      <c r="G330" s="3">
        <f t="shared" si="1"/>
        <v>0.03033788641</v>
      </c>
      <c r="H330" s="2">
        <f t="shared" si="2"/>
        <v>1567.280879</v>
      </c>
    </row>
    <row r="331">
      <c r="A331" s="1">
        <f>IFERROR(__xludf.DUMMYFUNCTION("""COMPUTED_VALUE"""),43945.66666666667)</f>
        <v>43945.66667</v>
      </c>
      <c r="B331" s="2">
        <f>IFERROR(__xludf.DUMMYFUNCTION("""COMPUTED_VALUE"""),282.61)</f>
        <v>282.61</v>
      </c>
      <c r="C331" s="2">
        <f>IFERROR(__xludf.DUMMYFUNCTION("""COMPUTED_VALUE"""),286.79)</f>
        <v>286.79</v>
      </c>
      <c r="D331" s="2">
        <f>IFERROR(__xludf.DUMMYFUNCTION("""COMPUTED_VALUE"""),272.02)</f>
        <v>272.02</v>
      </c>
      <c r="E331" s="2">
        <f>IFERROR(__xludf.DUMMYFUNCTION("""COMPUTED_VALUE"""),282.97)</f>
        <v>282.97</v>
      </c>
      <c r="F331" s="2">
        <f>IFERROR(__xludf.DUMMYFUNCTION("""COMPUTED_VALUE"""),5.09895213E8)</f>
        <v>509895213</v>
      </c>
      <c r="G331" s="3">
        <f t="shared" si="1"/>
        <v>-0.01280351661</v>
      </c>
      <c r="H331" s="2">
        <f t="shared" si="2"/>
        <v>1547.214172</v>
      </c>
    </row>
    <row r="332">
      <c r="A332" s="1">
        <f>IFERROR(__xludf.DUMMYFUNCTION("""COMPUTED_VALUE"""),43952.66666666667)</f>
        <v>43952.66667</v>
      </c>
      <c r="B332" s="2">
        <f>IFERROR(__xludf.DUMMYFUNCTION("""COMPUTED_VALUE"""),285.12)</f>
        <v>285.12</v>
      </c>
      <c r="C332" s="2">
        <f>IFERROR(__xludf.DUMMYFUNCTION("""COMPUTED_VALUE"""),294.88)</f>
        <v>294.88</v>
      </c>
      <c r="D332" s="2">
        <f>IFERROR(__xludf.DUMMYFUNCTION("""COMPUTED_VALUE"""),281.52)</f>
        <v>281.52</v>
      </c>
      <c r="E332" s="2">
        <f>IFERROR(__xludf.DUMMYFUNCTION("""COMPUTED_VALUE"""),282.79)</f>
        <v>282.79</v>
      </c>
      <c r="F332" s="2">
        <f>IFERROR(__xludf.DUMMYFUNCTION("""COMPUTED_VALUE"""),5.49993901E8)</f>
        <v>549993901</v>
      </c>
      <c r="G332" s="3">
        <f t="shared" si="1"/>
        <v>-0.000636109835</v>
      </c>
      <c r="H332" s="2">
        <f t="shared" si="2"/>
        <v>1546.229974</v>
      </c>
    </row>
    <row r="333">
      <c r="A333" s="1">
        <f>IFERROR(__xludf.DUMMYFUNCTION("""COMPUTED_VALUE"""),43959.66666666667)</f>
        <v>43959.66667</v>
      </c>
      <c r="B333" s="2">
        <f>IFERROR(__xludf.DUMMYFUNCTION("""COMPUTED_VALUE"""),280.74)</f>
        <v>280.74</v>
      </c>
      <c r="C333" s="2">
        <f>IFERROR(__xludf.DUMMYFUNCTION("""COMPUTED_VALUE"""),292.95)</f>
        <v>292.95</v>
      </c>
      <c r="D333" s="2">
        <f>IFERROR(__xludf.DUMMYFUNCTION("""COMPUTED_VALUE"""),279.13)</f>
        <v>279.13</v>
      </c>
      <c r="E333" s="2">
        <f>IFERROR(__xludf.DUMMYFUNCTION("""COMPUTED_VALUE"""),292.44)</f>
        <v>292.44</v>
      </c>
      <c r="F333" s="2">
        <f>IFERROR(__xludf.DUMMYFUNCTION("""COMPUTED_VALUE"""),3.85948319E8)</f>
        <v>385948319</v>
      </c>
      <c r="G333" s="3">
        <f t="shared" si="1"/>
        <v>0.03412426182</v>
      </c>
      <c r="H333" s="2">
        <f t="shared" si="2"/>
        <v>1598.993931</v>
      </c>
    </row>
    <row r="334">
      <c r="A334" s="1">
        <f>IFERROR(__xludf.DUMMYFUNCTION("""COMPUTED_VALUE"""),43966.66666666667)</f>
        <v>43966.66667</v>
      </c>
      <c r="B334" s="2">
        <f>IFERROR(__xludf.DUMMYFUNCTION("""COMPUTED_VALUE"""),290.34)</f>
        <v>290.34</v>
      </c>
      <c r="C334" s="2">
        <f>IFERROR(__xludf.DUMMYFUNCTION("""COMPUTED_VALUE"""),294.24)</f>
        <v>294.24</v>
      </c>
      <c r="D334" s="2">
        <f>IFERROR(__xludf.DUMMYFUNCTION("""COMPUTED_VALUE"""),272.99)</f>
        <v>272.99</v>
      </c>
      <c r="E334" s="2">
        <f>IFERROR(__xludf.DUMMYFUNCTION("""COMPUTED_VALUE"""),286.28)</f>
        <v>286.28</v>
      </c>
      <c r="F334" s="2">
        <f>IFERROR(__xludf.DUMMYFUNCTION("""COMPUTED_VALUE"""),5.53230282E8)</f>
        <v>553230282</v>
      </c>
      <c r="G334" s="3">
        <f t="shared" si="1"/>
        <v>-0.02106414991</v>
      </c>
      <c r="H334" s="2">
        <f t="shared" si="2"/>
        <v>1565.312483</v>
      </c>
    </row>
    <row r="335">
      <c r="A335" s="1">
        <f>IFERROR(__xludf.DUMMYFUNCTION("""COMPUTED_VALUE"""),43973.66666666667)</f>
        <v>43973.66667</v>
      </c>
      <c r="B335" s="2">
        <f>IFERROR(__xludf.DUMMYFUNCTION("""COMPUTED_VALUE"""),293.05)</f>
        <v>293.05</v>
      </c>
      <c r="C335" s="2">
        <f>IFERROR(__xludf.DUMMYFUNCTION("""COMPUTED_VALUE"""),297.87)</f>
        <v>297.87</v>
      </c>
      <c r="D335" s="2">
        <f>IFERROR(__xludf.DUMMYFUNCTION("""COMPUTED_VALUE"""),291.95)</f>
        <v>291.95</v>
      </c>
      <c r="E335" s="2">
        <f>IFERROR(__xludf.DUMMYFUNCTION("""COMPUTED_VALUE"""),295.44)</f>
        <v>295.44</v>
      </c>
      <c r="F335" s="2">
        <f>IFERROR(__xludf.DUMMYFUNCTION("""COMPUTED_VALUE"""),4.43623361E8)</f>
        <v>443623361</v>
      </c>
      <c r="G335" s="3">
        <f t="shared" si="1"/>
        <v>0.03199664664</v>
      </c>
      <c r="H335" s="2">
        <f t="shared" si="2"/>
        <v>1615.397233</v>
      </c>
    </row>
    <row r="336">
      <c r="A336" s="1">
        <f>IFERROR(__xludf.DUMMYFUNCTION("""COMPUTED_VALUE"""),43980.66666666667)</f>
        <v>43980.66667</v>
      </c>
      <c r="B336" s="2">
        <f>IFERROR(__xludf.DUMMYFUNCTION("""COMPUTED_VALUE"""),301.93)</f>
        <v>301.93</v>
      </c>
      <c r="C336" s="2">
        <f>IFERROR(__xludf.DUMMYFUNCTION("""COMPUTED_VALUE"""),306.84)</f>
        <v>306.84</v>
      </c>
      <c r="D336" s="2">
        <f>IFERROR(__xludf.DUMMYFUNCTION("""COMPUTED_VALUE"""),295.46)</f>
        <v>295.46</v>
      </c>
      <c r="E336" s="2">
        <f>IFERROR(__xludf.DUMMYFUNCTION("""COMPUTED_VALUE"""),304.32)</f>
        <v>304.32</v>
      </c>
      <c r="F336" s="2">
        <f>IFERROR(__xludf.DUMMYFUNCTION("""COMPUTED_VALUE"""),4.038024E8)</f>
        <v>403802400</v>
      </c>
      <c r="G336" s="3">
        <f t="shared" si="1"/>
        <v>0.03005686434</v>
      </c>
      <c r="H336" s="2">
        <f t="shared" si="2"/>
        <v>1663.951009</v>
      </c>
    </row>
    <row r="337">
      <c r="A337" s="1">
        <f>IFERROR(__xludf.DUMMYFUNCTION("""COMPUTED_VALUE"""),43987.66666666667)</f>
        <v>43987.66667</v>
      </c>
      <c r="B337" s="2">
        <f>IFERROR(__xludf.DUMMYFUNCTION("""COMPUTED_VALUE"""),303.62)</f>
        <v>303.62</v>
      </c>
      <c r="C337" s="2">
        <f>IFERROR(__xludf.DUMMYFUNCTION("""COMPUTED_VALUE"""),321.27)</f>
        <v>321.27</v>
      </c>
      <c r="D337" s="2">
        <f>IFERROR(__xludf.DUMMYFUNCTION("""COMPUTED_VALUE"""),303.06)</f>
        <v>303.06</v>
      </c>
      <c r="E337" s="2">
        <f>IFERROR(__xludf.DUMMYFUNCTION("""COMPUTED_VALUE"""),319.34)</f>
        <v>319.34</v>
      </c>
      <c r="F337" s="2">
        <f>IFERROR(__xludf.DUMMYFUNCTION("""COMPUTED_VALUE"""),4.49933609E8)</f>
        <v>449933609</v>
      </c>
      <c r="G337" s="3">
        <f t="shared" si="1"/>
        <v>0.04935594111</v>
      </c>
      <c r="H337" s="2">
        <f t="shared" si="2"/>
        <v>1746.076877</v>
      </c>
    </row>
    <row r="338">
      <c r="A338" s="1">
        <f>IFERROR(__xludf.DUMMYFUNCTION("""COMPUTED_VALUE"""),43994.66666666667)</f>
        <v>43994.66667</v>
      </c>
      <c r="B338" s="2">
        <f>IFERROR(__xludf.DUMMYFUNCTION("""COMPUTED_VALUE"""),320.22)</f>
        <v>320.22</v>
      </c>
      <c r="C338" s="2">
        <f>IFERROR(__xludf.DUMMYFUNCTION("""COMPUTED_VALUE"""),323.41)</f>
        <v>323.41</v>
      </c>
      <c r="D338" s="2">
        <f>IFERROR(__xludf.DUMMYFUNCTION("""COMPUTED_VALUE"""),298.6)</f>
        <v>298.6</v>
      </c>
      <c r="E338" s="2">
        <f>IFERROR(__xludf.DUMMYFUNCTION("""COMPUTED_VALUE"""),304.21)</f>
        <v>304.21</v>
      </c>
      <c r="F338" s="2">
        <f>IFERROR(__xludf.DUMMYFUNCTION("""COMPUTED_VALUE"""),6.5004365E8)</f>
        <v>650043650</v>
      </c>
      <c r="G338" s="3">
        <f t="shared" si="1"/>
        <v>-0.04737896912</v>
      </c>
      <c r="H338" s="2">
        <f t="shared" si="2"/>
        <v>1663.349554</v>
      </c>
    </row>
    <row r="339">
      <c r="A339" s="1">
        <f>IFERROR(__xludf.DUMMYFUNCTION("""COMPUTED_VALUE"""),44001.66666666667)</f>
        <v>44001.66667</v>
      </c>
      <c r="B339" s="2">
        <f>IFERROR(__xludf.DUMMYFUNCTION("""COMPUTED_VALUE"""),298.02)</f>
        <v>298.02</v>
      </c>
      <c r="C339" s="2">
        <f>IFERROR(__xludf.DUMMYFUNCTION("""COMPUTED_VALUE"""),315.64)</f>
        <v>315.64</v>
      </c>
      <c r="D339" s="2">
        <f>IFERROR(__xludf.DUMMYFUNCTION("""COMPUTED_VALUE"""),296.74)</f>
        <v>296.74</v>
      </c>
      <c r="E339" s="2">
        <f>IFERROR(__xludf.DUMMYFUNCTION("""COMPUTED_VALUE"""),308.64)</f>
        <v>308.64</v>
      </c>
      <c r="F339" s="2">
        <f>IFERROR(__xludf.DUMMYFUNCTION("""COMPUTED_VALUE"""),5.73187452E8)</f>
        <v>573187452</v>
      </c>
      <c r="G339" s="3">
        <f t="shared" si="1"/>
        <v>0.01456230893</v>
      </c>
      <c r="H339" s="2">
        <f t="shared" si="2"/>
        <v>1687.571764</v>
      </c>
    </row>
    <row r="340">
      <c r="A340" s="1">
        <f>IFERROR(__xludf.DUMMYFUNCTION("""COMPUTED_VALUE"""),44008.66666666667)</f>
        <v>44008.66667</v>
      </c>
      <c r="B340" s="2">
        <f>IFERROR(__xludf.DUMMYFUNCTION("""COMPUTED_VALUE"""),307.99)</f>
        <v>307.99</v>
      </c>
      <c r="C340" s="2">
        <f>IFERROR(__xludf.DUMMYFUNCTION("""COMPUTED_VALUE"""),314.5)</f>
        <v>314.5</v>
      </c>
      <c r="D340" s="2">
        <f>IFERROR(__xludf.DUMMYFUNCTION("""COMPUTED_VALUE"""),299.42)</f>
        <v>299.42</v>
      </c>
      <c r="E340" s="2">
        <f>IFERROR(__xludf.DUMMYFUNCTION("""COMPUTED_VALUE"""),300.05)</f>
        <v>300.05</v>
      </c>
      <c r="F340" s="2">
        <f>IFERROR(__xludf.DUMMYFUNCTION("""COMPUTED_VALUE"""),4.93363112E8)</f>
        <v>493363112</v>
      </c>
      <c r="G340" s="3">
        <f t="shared" si="1"/>
        <v>-0.02783177812</v>
      </c>
      <c r="H340" s="2">
        <f t="shared" si="2"/>
        <v>1640.603642</v>
      </c>
    </row>
    <row r="341">
      <c r="A341" s="1">
        <f>IFERROR(__xludf.DUMMYFUNCTION("""COMPUTED_VALUE"""),44014.66666666667)</f>
        <v>44014.66667</v>
      </c>
      <c r="B341" s="2">
        <f>IFERROR(__xludf.DUMMYFUNCTION("""COMPUTED_VALUE"""),301.41)</f>
        <v>301.41</v>
      </c>
      <c r="C341" s="2">
        <f>IFERROR(__xludf.DUMMYFUNCTION("""COMPUTED_VALUE"""),315.7)</f>
        <v>315.7</v>
      </c>
      <c r="D341" s="2">
        <f>IFERROR(__xludf.DUMMYFUNCTION("""COMPUTED_VALUE"""),298.93)</f>
        <v>298.93</v>
      </c>
      <c r="E341" s="2">
        <f>IFERROR(__xludf.DUMMYFUNCTION("""COMPUTED_VALUE"""),312.23)</f>
        <v>312.23</v>
      </c>
      <c r="F341" s="2">
        <f>IFERROR(__xludf.DUMMYFUNCTION("""COMPUTED_VALUE"""),3.34908791E8)</f>
        <v>334908791</v>
      </c>
      <c r="G341" s="3">
        <f t="shared" si="1"/>
        <v>0.04059323446</v>
      </c>
      <c r="H341" s="2">
        <f t="shared" si="2"/>
        <v>1707.20105</v>
      </c>
    </row>
    <row r="342">
      <c r="A342" s="1">
        <f>IFERROR(__xludf.DUMMYFUNCTION("""COMPUTED_VALUE"""),44022.66666666667)</f>
        <v>44022.66667</v>
      </c>
      <c r="B342" s="2">
        <f>IFERROR(__xludf.DUMMYFUNCTION("""COMPUTED_VALUE"""),316.37)</f>
        <v>316.37</v>
      </c>
      <c r="C342" s="2">
        <f>IFERROR(__xludf.DUMMYFUNCTION("""COMPUTED_VALUE"""),317.88)</f>
        <v>317.88</v>
      </c>
      <c r="D342" s="2">
        <f>IFERROR(__xludf.DUMMYFUNCTION("""COMPUTED_VALUE"""),310.68)</f>
        <v>310.68</v>
      </c>
      <c r="E342" s="2">
        <f>IFERROR(__xludf.DUMMYFUNCTION("""COMPUTED_VALUE"""),317.59)</f>
        <v>317.59</v>
      </c>
      <c r="F342" s="2">
        <f>IFERROR(__xludf.DUMMYFUNCTION("""COMPUTED_VALUE"""),3.4016691E8)</f>
        <v>340166910</v>
      </c>
      <c r="G342" s="3">
        <f t="shared" si="1"/>
        <v>0.01716683214</v>
      </c>
      <c r="H342" s="2">
        <f t="shared" si="2"/>
        <v>1736.508284</v>
      </c>
    </row>
    <row r="343">
      <c r="A343" s="1">
        <f>IFERROR(__xludf.DUMMYFUNCTION("""COMPUTED_VALUE"""),44029.66666666667)</f>
        <v>44029.66667</v>
      </c>
      <c r="B343" s="2">
        <f>IFERROR(__xludf.DUMMYFUNCTION("""COMPUTED_VALUE"""),320.13)</f>
        <v>320.13</v>
      </c>
      <c r="C343" s="2">
        <f>IFERROR(__xludf.DUMMYFUNCTION("""COMPUTED_VALUE"""),323.04)</f>
        <v>323.04</v>
      </c>
      <c r="D343" s="2">
        <f>IFERROR(__xludf.DUMMYFUNCTION("""COMPUTED_VALUE"""),312.0)</f>
        <v>312</v>
      </c>
      <c r="E343" s="2">
        <f>IFERROR(__xludf.DUMMYFUNCTION("""COMPUTED_VALUE"""),321.72)</f>
        <v>321.72</v>
      </c>
      <c r="F343" s="2">
        <f>IFERROR(__xludf.DUMMYFUNCTION("""COMPUTED_VALUE"""),4.0124839E8)</f>
        <v>401248390</v>
      </c>
      <c r="G343" s="3">
        <f t="shared" si="1"/>
        <v>0.01300418779</v>
      </c>
      <c r="H343" s="2">
        <f t="shared" si="2"/>
        <v>1759.090163</v>
      </c>
    </row>
    <row r="344">
      <c r="A344" s="1">
        <f>IFERROR(__xludf.DUMMYFUNCTION("""COMPUTED_VALUE"""),44036.66666666667)</f>
        <v>44036.66667</v>
      </c>
      <c r="B344" s="2">
        <f>IFERROR(__xludf.DUMMYFUNCTION("""COMPUTED_VALUE"""),321.43)</f>
        <v>321.43</v>
      </c>
      <c r="C344" s="2">
        <f>IFERROR(__xludf.DUMMYFUNCTION("""COMPUTED_VALUE"""),327.23)</f>
        <v>327.23</v>
      </c>
      <c r="D344" s="2">
        <f>IFERROR(__xludf.DUMMYFUNCTION("""COMPUTED_VALUE"""),319.25)</f>
        <v>319.25</v>
      </c>
      <c r="E344" s="2">
        <f>IFERROR(__xludf.DUMMYFUNCTION("""COMPUTED_VALUE"""),320.88)</f>
        <v>320.88</v>
      </c>
      <c r="F344" s="2">
        <f>IFERROR(__xludf.DUMMYFUNCTION("""COMPUTED_VALUE"""),3.21105317E8)</f>
        <v>321105317</v>
      </c>
      <c r="G344" s="3">
        <f t="shared" si="1"/>
        <v>-0.002610966057</v>
      </c>
      <c r="H344" s="2">
        <f t="shared" si="2"/>
        <v>1754.497239</v>
      </c>
    </row>
    <row r="345">
      <c r="A345" s="1">
        <f>IFERROR(__xludf.DUMMYFUNCTION("""COMPUTED_VALUE"""),44043.66666666667)</f>
        <v>44043.66667</v>
      </c>
      <c r="B345" s="2">
        <f>IFERROR(__xludf.DUMMYFUNCTION("""COMPUTED_VALUE"""),321.63)</f>
        <v>321.63</v>
      </c>
      <c r="C345" s="2">
        <f>IFERROR(__xludf.DUMMYFUNCTION("""COMPUTED_VALUE"""),326.63)</f>
        <v>326.63</v>
      </c>
      <c r="D345" s="2">
        <f>IFERROR(__xludf.DUMMYFUNCTION("""COMPUTED_VALUE"""),319.64)</f>
        <v>319.64</v>
      </c>
      <c r="E345" s="2">
        <f>IFERROR(__xludf.DUMMYFUNCTION("""COMPUTED_VALUE"""),326.52)</f>
        <v>326.52</v>
      </c>
      <c r="F345" s="2">
        <f>IFERROR(__xludf.DUMMYFUNCTION("""COMPUTED_VALUE"""),3.01314577E8)</f>
        <v>301314577</v>
      </c>
      <c r="G345" s="3">
        <f t="shared" si="1"/>
        <v>0.01757666417</v>
      </c>
      <c r="H345" s="2">
        <f t="shared" si="2"/>
        <v>1785.335448</v>
      </c>
    </row>
    <row r="346">
      <c r="A346" s="1">
        <f>IFERROR(__xludf.DUMMYFUNCTION("""COMPUTED_VALUE"""),44050.66666666667)</f>
        <v>44050.66667</v>
      </c>
      <c r="B346" s="2">
        <f>IFERROR(__xludf.DUMMYFUNCTION("""COMPUTED_VALUE"""),328.32)</f>
        <v>328.32</v>
      </c>
      <c r="C346" s="2">
        <f>IFERROR(__xludf.DUMMYFUNCTION("""COMPUTED_VALUE"""),334.88)</f>
        <v>334.88</v>
      </c>
      <c r="D346" s="2">
        <f>IFERROR(__xludf.DUMMYFUNCTION("""COMPUTED_VALUE"""),327.73)</f>
        <v>327.73</v>
      </c>
      <c r="E346" s="2">
        <f>IFERROR(__xludf.DUMMYFUNCTION("""COMPUTED_VALUE"""),334.57)</f>
        <v>334.57</v>
      </c>
      <c r="F346" s="2">
        <f>IFERROR(__xludf.DUMMYFUNCTION("""COMPUTED_VALUE"""),2.38849912E8)</f>
        <v>238849912</v>
      </c>
      <c r="G346" s="3">
        <f t="shared" si="1"/>
        <v>0.02465392625</v>
      </c>
      <c r="H346" s="2">
        <f t="shared" si="2"/>
        <v>1829.350976</v>
      </c>
    </row>
    <row r="347">
      <c r="A347" s="1">
        <f>IFERROR(__xludf.DUMMYFUNCTION("""COMPUTED_VALUE"""),44057.66666666667)</f>
        <v>44057.66667</v>
      </c>
      <c r="B347" s="2">
        <f>IFERROR(__xludf.DUMMYFUNCTION("""COMPUTED_VALUE"""),335.06)</f>
        <v>335.06</v>
      </c>
      <c r="C347" s="2">
        <f>IFERROR(__xludf.DUMMYFUNCTION("""COMPUTED_VALUE"""),338.28)</f>
        <v>338.28</v>
      </c>
      <c r="D347" s="2">
        <f>IFERROR(__xludf.DUMMYFUNCTION("""COMPUTED_VALUE"""),332.01)</f>
        <v>332.01</v>
      </c>
      <c r="E347" s="2">
        <f>IFERROR(__xludf.DUMMYFUNCTION("""COMPUTED_VALUE"""),336.84)</f>
        <v>336.84</v>
      </c>
      <c r="F347" s="2">
        <f>IFERROR(__xludf.DUMMYFUNCTION("""COMPUTED_VALUE"""),2.5678584E8)</f>
        <v>256785840</v>
      </c>
      <c r="G347" s="3">
        <f t="shared" si="1"/>
        <v>0.006784828287</v>
      </c>
      <c r="H347" s="2">
        <f t="shared" si="2"/>
        <v>1841.762808</v>
      </c>
    </row>
    <row r="348">
      <c r="A348" s="1">
        <f>IFERROR(__xludf.DUMMYFUNCTION("""COMPUTED_VALUE"""),44064.66666666667)</f>
        <v>44064.66667</v>
      </c>
      <c r="B348" s="2">
        <f>IFERROR(__xludf.DUMMYFUNCTION("""COMPUTED_VALUE"""),337.94)</f>
        <v>337.94</v>
      </c>
      <c r="C348" s="2">
        <f>IFERROR(__xludf.DUMMYFUNCTION("""COMPUTED_VALUE"""),339.72)</f>
        <v>339.72</v>
      </c>
      <c r="D348" s="2">
        <f>IFERROR(__xludf.DUMMYFUNCTION("""COMPUTED_VALUE"""),335.22)</f>
        <v>335.22</v>
      </c>
      <c r="E348" s="2">
        <f>IFERROR(__xludf.DUMMYFUNCTION("""COMPUTED_VALUE"""),339.48)</f>
        <v>339.48</v>
      </c>
      <c r="F348" s="2">
        <f>IFERROR(__xludf.DUMMYFUNCTION("""COMPUTED_VALUE"""),2.3958358E8)</f>
        <v>239583580</v>
      </c>
      <c r="G348" s="3">
        <f t="shared" si="1"/>
        <v>0.007837548985</v>
      </c>
      <c r="H348" s="2">
        <f t="shared" si="2"/>
        <v>1856.197714</v>
      </c>
    </row>
    <row r="349">
      <c r="A349" s="1">
        <f>IFERROR(__xludf.DUMMYFUNCTION("""COMPUTED_VALUE"""),44071.66666666667)</f>
        <v>44071.66667</v>
      </c>
      <c r="B349" s="2">
        <f>IFERROR(__xludf.DUMMYFUNCTION("""COMPUTED_VALUE"""),342.12)</f>
        <v>342.12</v>
      </c>
      <c r="C349" s="2">
        <f>IFERROR(__xludf.DUMMYFUNCTION("""COMPUTED_VALUE"""),350.72)</f>
        <v>350.72</v>
      </c>
      <c r="D349" s="2">
        <f>IFERROR(__xludf.DUMMYFUNCTION("""COMPUTED_VALUE"""),339.45)</f>
        <v>339.45</v>
      </c>
      <c r="E349" s="2">
        <f>IFERROR(__xludf.DUMMYFUNCTION("""COMPUTED_VALUE"""),350.58)</f>
        <v>350.58</v>
      </c>
      <c r="F349" s="2">
        <f>IFERROR(__xludf.DUMMYFUNCTION("""COMPUTED_VALUE"""),2.44465362E8)</f>
        <v>244465362</v>
      </c>
      <c r="G349" s="3">
        <f t="shared" si="1"/>
        <v>0.0326970661</v>
      </c>
      <c r="H349" s="2">
        <f t="shared" si="2"/>
        <v>1916.889934</v>
      </c>
    </row>
    <row r="350">
      <c r="A350" s="1">
        <f>IFERROR(__xludf.DUMMYFUNCTION("""COMPUTED_VALUE"""),44078.66666666667)</f>
        <v>44078.66667</v>
      </c>
      <c r="B350" s="2">
        <f>IFERROR(__xludf.DUMMYFUNCTION("""COMPUTED_VALUE"""),350.35)</f>
        <v>350.35</v>
      </c>
      <c r="C350" s="2">
        <f>IFERROR(__xludf.DUMMYFUNCTION("""COMPUTED_VALUE"""),358.75)</f>
        <v>358.75</v>
      </c>
      <c r="D350" s="2">
        <f>IFERROR(__xludf.DUMMYFUNCTION("""COMPUTED_VALUE"""),334.87)</f>
        <v>334.87</v>
      </c>
      <c r="E350" s="2">
        <f>IFERROR(__xludf.DUMMYFUNCTION("""COMPUTED_VALUE"""),342.57)</f>
        <v>342.57</v>
      </c>
      <c r="F350" s="2">
        <f>IFERROR(__xludf.DUMMYFUNCTION("""COMPUTED_VALUE"""),4.77805953E8)</f>
        <v>477805953</v>
      </c>
      <c r="G350" s="3">
        <f t="shared" si="1"/>
        <v>-0.02284785213</v>
      </c>
      <c r="H350" s="2">
        <f t="shared" si="2"/>
        <v>1873.093116</v>
      </c>
    </row>
    <row r="351">
      <c r="A351" s="1">
        <f>IFERROR(__xludf.DUMMYFUNCTION("""COMPUTED_VALUE"""),44085.66666666667)</f>
        <v>44085.66667</v>
      </c>
      <c r="B351" s="2">
        <f>IFERROR(__xludf.DUMMYFUNCTION("""COMPUTED_VALUE"""),336.71)</f>
        <v>336.71</v>
      </c>
      <c r="C351" s="2">
        <f>IFERROR(__xludf.DUMMYFUNCTION("""COMPUTED_VALUE"""),342.64)</f>
        <v>342.64</v>
      </c>
      <c r="D351" s="2">
        <f>IFERROR(__xludf.DUMMYFUNCTION("""COMPUTED_VALUE"""),331.0)</f>
        <v>331</v>
      </c>
      <c r="E351" s="2">
        <f>IFERROR(__xludf.DUMMYFUNCTION("""COMPUTED_VALUE"""),334.06)</f>
        <v>334.06</v>
      </c>
      <c r="F351" s="2">
        <f>IFERROR(__xludf.DUMMYFUNCTION("""COMPUTED_VALUE"""),3.81177354E8)</f>
        <v>381177354</v>
      </c>
      <c r="G351" s="3">
        <f t="shared" si="1"/>
        <v>-0.02484163821</v>
      </c>
      <c r="H351" s="2">
        <f t="shared" si="2"/>
        <v>1826.562415</v>
      </c>
    </row>
    <row r="352">
      <c r="A352" s="1">
        <f>IFERROR(__xludf.DUMMYFUNCTION("""COMPUTED_VALUE"""),44092.66666666667)</f>
        <v>44092.66667</v>
      </c>
      <c r="B352" s="2">
        <f>IFERROR(__xludf.DUMMYFUNCTION("""COMPUTED_VALUE"""),337.49)</f>
        <v>337.49</v>
      </c>
      <c r="C352" s="2">
        <f>IFERROR(__xludf.DUMMYFUNCTION("""COMPUTED_VALUE"""),343.06)</f>
        <v>343.06</v>
      </c>
      <c r="D352" s="2">
        <f>IFERROR(__xludf.DUMMYFUNCTION("""COMPUTED_VALUE"""),327.97)</f>
        <v>327.97</v>
      </c>
      <c r="E352" s="2">
        <f>IFERROR(__xludf.DUMMYFUNCTION("""COMPUTED_VALUE"""),330.65)</f>
        <v>330.65</v>
      </c>
      <c r="F352" s="2">
        <f>IFERROR(__xludf.DUMMYFUNCTION("""COMPUTED_VALUE"""),3.98139085E8)</f>
        <v>398139085</v>
      </c>
      <c r="G352" s="3">
        <f t="shared" si="1"/>
        <v>-0.01020774711</v>
      </c>
      <c r="H352" s="2">
        <f t="shared" si="2"/>
        <v>1807.917327</v>
      </c>
    </row>
    <row r="353">
      <c r="A353" s="1">
        <f>IFERROR(__xludf.DUMMYFUNCTION("""COMPUTED_VALUE"""),44099.66666666667)</f>
        <v>44099.66667</v>
      </c>
      <c r="B353" s="2">
        <f>IFERROR(__xludf.DUMMYFUNCTION("""COMPUTED_VALUE"""),325.7)</f>
        <v>325.7</v>
      </c>
      <c r="C353" s="2">
        <f>IFERROR(__xludf.DUMMYFUNCTION("""COMPUTED_VALUE"""),331.2)</f>
        <v>331.2</v>
      </c>
      <c r="D353" s="2">
        <f>IFERROR(__xludf.DUMMYFUNCTION("""COMPUTED_VALUE"""),319.8)</f>
        <v>319.8</v>
      </c>
      <c r="E353" s="2">
        <f>IFERROR(__xludf.DUMMYFUNCTION("""COMPUTED_VALUE"""),328.73)</f>
        <v>328.73</v>
      </c>
      <c r="F353" s="2">
        <f>IFERROR(__xludf.DUMMYFUNCTION("""COMPUTED_VALUE"""),4.03925934E8)</f>
        <v>403925934</v>
      </c>
      <c r="G353" s="3">
        <f t="shared" si="1"/>
        <v>-0.005806744292</v>
      </c>
      <c r="H353" s="2">
        <f t="shared" si="2"/>
        <v>1797.419214</v>
      </c>
    </row>
    <row r="354">
      <c r="A354" s="1">
        <f>IFERROR(__xludf.DUMMYFUNCTION("""COMPUTED_VALUE"""),44106.66666666667)</f>
        <v>44106.66667</v>
      </c>
      <c r="B354" s="2">
        <f>IFERROR(__xludf.DUMMYFUNCTION("""COMPUTED_VALUE"""),333.22)</f>
        <v>333.22</v>
      </c>
      <c r="C354" s="2">
        <f>IFERROR(__xludf.DUMMYFUNCTION("""COMPUTED_VALUE"""),338.74)</f>
        <v>338.74</v>
      </c>
      <c r="D354" s="2">
        <f>IFERROR(__xludf.DUMMYFUNCTION("""COMPUTED_VALUE"""),331.19)</f>
        <v>331.19</v>
      </c>
      <c r="E354" s="2">
        <f>IFERROR(__xludf.DUMMYFUNCTION("""COMPUTED_VALUE"""),333.84)</f>
        <v>333.84</v>
      </c>
      <c r="F354" s="2">
        <f>IFERROR(__xludf.DUMMYFUNCTION("""COMPUTED_VALUE"""),3.98327201E8)</f>
        <v>398327201</v>
      </c>
      <c r="G354" s="3">
        <f t="shared" si="1"/>
        <v>0.01554467192</v>
      </c>
      <c r="H354" s="2">
        <f t="shared" si="2"/>
        <v>1825.359506</v>
      </c>
    </row>
    <row r="355">
      <c r="A355" s="1">
        <f>IFERROR(__xludf.DUMMYFUNCTION("""COMPUTED_VALUE"""),44113.66666666667)</f>
        <v>44113.66667</v>
      </c>
      <c r="B355" s="2">
        <f>IFERROR(__xludf.DUMMYFUNCTION("""COMPUTED_VALUE"""),336.06)</f>
        <v>336.06</v>
      </c>
      <c r="C355" s="2">
        <f>IFERROR(__xludf.DUMMYFUNCTION("""COMPUTED_VALUE"""),347.35)</f>
        <v>347.35</v>
      </c>
      <c r="D355" s="2">
        <f>IFERROR(__xludf.DUMMYFUNCTION("""COMPUTED_VALUE"""),334.38)</f>
        <v>334.38</v>
      </c>
      <c r="E355" s="2">
        <f>IFERROR(__xludf.DUMMYFUNCTION("""COMPUTED_VALUE"""),346.85)</f>
        <v>346.85</v>
      </c>
      <c r="F355" s="2">
        <f>IFERROR(__xludf.DUMMYFUNCTION("""COMPUTED_VALUE"""),2.9761267E8)</f>
        <v>297612670</v>
      </c>
      <c r="G355" s="3">
        <f t="shared" si="1"/>
        <v>0.03897076444</v>
      </c>
      <c r="H355" s="2">
        <f t="shared" si="2"/>
        <v>1896.495161</v>
      </c>
    </row>
    <row r="356">
      <c r="A356" s="1">
        <f>IFERROR(__xludf.DUMMYFUNCTION("""COMPUTED_VALUE"""),44120.66666666667)</f>
        <v>44120.66667</v>
      </c>
      <c r="B356" s="2">
        <f>IFERROR(__xludf.DUMMYFUNCTION("""COMPUTED_VALUE"""),349.59)</f>
        <v>349.59</v>
      </c>
      <c r="C356" s="2">
        <f>IFERROR(__xludf.DUMMYFUNCTION("""COMPUTED_VALUE"""),354.02)</f>
        <v>354.02</v>
      </c>
      <c r="D356" s="2">
        <f>IFERROR(__xludf.DUMMYFUNCTION("""COMPUTED_VALUE"""),343.13)</f>
        <v>343.13</v>
      </c>
      <c r="E356" s="2">
        <f>IFERROR(__xludf.DUMMYFUNCTION("""COMPUTED_VALUE"""),347.29)</f>
        <v>347.29</v>
      </c>
      <c r="F356" s="2">
        <f>IFERROR(__xludf.DUMMYFUNCTION("""COMPUTED_VALUE"""),3.61462322E8)</f>
        <v>361462322</v>
      </c>
      <c r="G356" s="3">
        <f t="shared" si="1"/>
        <v>0.001268559896</v>
      </c>
      <c r="H356" s="2">
        <f t="shared" si="2"/>
        <v>1898.900979</v>
      </c>
    </row>
    <row r="357">
      <c r="A357" s="1">
        <f>IFERROR(__xludf.DUMMYFUNCTION("""COMPUTED_VALUE"""),44127.66666666667)</f>
        <v>44127.66667</v>
      </c>
      <c r="B357" s="2">
        <f>IFERROR(__xludf.DUMMYFUNCTION("""COMPUTED_VALUE"""),348.65)</f>
        <v>348.65</v>
      </c>
      <c r="C357" s="2">
        <f>IFERROR(__xludf.DUMMYFUNCTION("""COMPUTED_VALUE"""),349.33)</f>
        <v>349.33</v>
      </c>
      <c r="D357" s="2">
        <f>IFERROR(__xludf.DUMMYFUNCTION("""COMPUTED_VALUE"""),340.65)</f>
        <v>340.65</v>
      </c>
      <c r="E357" s="2">
        <f>IFERROR(__xludf.DUMMYFUNCTION("""COMPUTED_VALUE"""),345.78)</f>
        <v>345.78</v>
      </c>
      <c r="F357" s="2">
        <f>IFERROR(__xludf.DUMMYFUNCTION("""COMPUTED_VALUE"""),2.96595696E8)</f>
        <v>296595696</v>
      </c>
      <c r="G357" s="3">
        <f t="shared" si="1"/>
        <v>-0.00434795128</v>
      </c>
      <c r="H357" s="2">
        <f t="shared" si="2"/>
        <v>1890.64465</v>
      </c>
    </row>
    <row r="358">
      <c r="A358" s="1">
        <f>IFERROR(__xludf.DUMMYFUNCTION("""COMPUTED_VALUE"""),44134.66666666667)</f>
        <v>44134.66667</v>
      </c>
      <c r="B358" s="2">
        <f>IFERROR(__xludf.DUMMYFUNCTION("""COMPUTED_VALUE"""),342.13)</f>
        <v>342.13</v>
      </c>
      <c r="C358" s="2">
        <f>IFERROR(__xludf.DUMMYFUNCTION("""COMPUTED_VALUE"""),342.98)</f>
        <v>342.98</v>
      </c>
      <c r="D358" s="2">
        <f>IFERROR(__xludf.DUMMYFUNCTION("""COMPUTED_VALUE"""),322.6)</f>
        <v>322.6</v>
      </c>
      <c r="E358" s="2">
        <f>IFERROR(__xludf.DUMMYFUNCTION("""COMPUTED_VALUE"""),326.54)</f>
        <v>326.54</v>
      </c>
      <c r="F358" s="2">
        <f>IFERROR(__xludf.DUMMYFUNCTION("""COMPUTED_VALUE"""),4.95607791E8)</f>
        <v>495607791</v>
      </c>
      <c r="G358" s="3">
        <f t="shared" si="1"/>
        <v>-0.05564231592</v>
      </c>
      <c r="H358" s="2">
        <f t="shared" si="2"/>
        <v>1785.444803</v>
      </c>
    </row>
    <row r="359">
      <c r="A359" s="1">
        <f>IFERROR(__xludf.DUMMYFUNCTION("""COMPUTED_VALUE"""),44141.66666666667)</f>
        <v>44141.66667</v>
      </c>
      <c r="B359" s="2">
        <f>IFERROR(__xludf.DUMMYFUNCTION("""COMPUTED_VALUE"""),330.2)</f>
        <v>330.2</v>
      </c>
      <c r="C359" s="2">
        <f>IFERROR(__xludf.DUMMYFUNCTION("""COMPUTED_VALUE"""),352.19)</f>
        <v>352.19</v>
      </c>
      <c r="D359" s="2">
        <f>IFERROR(__xludf.DUMMYFUNCTION("""COMPUTED_VALUE"""),327.24)</f>
        <v>327.24</v>
      </c>
      <c r="E359" s="2">
        <f>IFERROR(__xludf.DUMMYFUNCTION("""COMPUTED_VALUE"""),350.16)</f>
        <v>350.16</v>
      </c>
      <c r="F359" s="2">
        <f>IFERROR(__xludf.DUMMYFUNCTION("""COMPUTED_VALUE"""),4.63334913E8)</f>
        <v>463334913</v>
      </c>
      <c r="G359" s="3">
        <f t="shared" si="1"/>
        <v>0.07233417039</v>
      </c>
      <c r="H359" s="2">
        <f t="shared" si="2"/>
        <v>1914.593471</v>
      </c>
    </row>
    <row r="360">
      <c r="A360" s="1">
        <f>IFERROR(__xludf.DUMMYFUNCTION("""COMPUTED_VALUE"""),44148.66666666667)</f>
        <v>44148.66667</v>
      </c>
      <c r="B360" s="2">
        <f>IFERROR(__xludf.DUMMYFUNCTION("""COMPUTED_VALUE"""),363.97)</f>
        <v>363.97</v>
      </c>
      <c r="C360" s="2">
        <f>IFERROR(__xludf.DUMMYFUNCTION("""COMPUTED_VALUE"""),364.38)</f>
        <v>364.38</v>
      </c>
      <c r="D360" s="2">
        <f>IFERROR(__xludf.DUMMYFUNCTION("""COMPUTED_VALUE"""),350.51)</f>
        <v>350.51</v>
      </c>
      <c r="E360" s="2">
        <f>IFERROR(__xludf.DUMMYFUNCTION("""COMPUTED_VALUE"""),358.1)</f>
        <v>358.1</v>
      </c>
      <c r="F360" s="2">
        <f>IFERROR(__xludf.DUMMYFUNCTION("""COMPUTED_VALUE"""),4.47583265E8)</f>
        <v>447583265</v>
      </c>
      <c r="G360" s="3">
        <f t="shared" si="1"/>
        <v>0.02267534841</v>
      </c>
      <c r="H360" s="2">
        <f t="shared" si="2"/>
        <v>1958.007546</v>
      </c>
    </row>
    <row r="361">
      <c r="A361" s="1">
        <f>IFERROR(__xludf.DUMMYFUNCTION("""COMPUTED_VALUE"""),44155.66666666667)</f>
        <v>44155.66667</v>
      </c>
      <c r="B361" s="2">
        <f>IFERROR(__xludf.DUMMYFUNCTION("""COMPUTED_VALUE"""),360.98)</f>
        <v>360.98</v>
      </c>
      <c r="C361" s="2">
        <f>IFERROR(__xludf.DUMMYFUNCTION("""COMPUTED_VALUE"""),362.78)</f>
        <v>362.78</v>
      </c>
      <c r="D361" s="2">
        <f>IFERROR(__xludf.DUMMYFUNCTION("""COMPUTED_VALUE"""),354.15)</f>
        <v>354.15</v>
      </c>
      <c r="E361" s="2">
        <f>IFERROR(__xludf.DUMMYFUNCTION("""COMPUTED_VALUE"""),355.33)</f>
        <v>355.33</v>
      </c>
      <c r="F361" s="2">
        <f>IFERROR(__xludf.DUMMYFUNCTION("""COMPUTED_VALUE"""),3.41596283E8)</f>
        <v>341596283</v>
      </c>
      <c r="G361" s="3">
        <f t="shared" si="1"/>
        <v>-0.007735269478</v>
      </c>
      <c r="H361" s="2">
        <f t="shared" si="2"/>
        <v>1942.86183</v>
      </c>
    </row>
    <row r="362">
      <c r="A362" s="1">
        <f>IFERROR(__xludf.DUMMYFUNCTION("""COMPUTED_VALUE"""),44162.54166666667)</f>
        <v>44162.54167</v>
      </c>
      <c r="B362" s="2">
        <f>IFERROR(__xludf.DUMMYFUNCTION("""COMPUTED_VALUE"""),357.28)</f>
        <v>357.28</v>
      </c>
      <c r="C362" s="2">
        <f>IFERROR(__xludf.DUMMYFUNCTION("""COMPUTED_VALUE"""),364.18)</f>
        <v>364.18</v>
      </c>
      <c r="D362" s="2">
        <f>IFERROR(__xludf.DUMMYFUNCTION("""COMPUTED_VALUE"""),354.87)</f>
        <v>354.87</v>
      </c>
      <c r="E362" s="2">
        <f>IFERROR(__xludf.DUMMYFUNCTION("""COMPUTED_VALUE"""),363.67)</f>
        <v>363.67</v>
      </c>
      <c r="F362" s="2">
        <f>IFERROR(__xludf.DUMMYFUNCTION("""COMPUTED_VALUE"""),1.99491447E8)</f>
        <v>199491447</v>
      </c>
      <c r="G362" s="3">
        <f t="shared" si="1"/>
        <v>0.0234711395</v>
      </c>
      <c r="H362" s="2">
        <f t="shared" si="2"/>
        <v>1988.463011</v>
      </c>
    </row>
    <row r="363">
      <c r="A363" s="1">
        <f>IFERROR(__xludf.DUMMYFUNCTION("""COMPUTED_VALUE"""),44169.66666666667)</f>
        <v>44169.66667</v>
      </c>
      <c r="B363" s="2">
        <f>IFERROR(__xludf.DUMMYFUNCTION("""COMPUTED_VALUE"""),362.83)</f>
        <v>362.83</v>
      </c>
      <c r="C363" s="2">
        <f>IFERROR(__xludf.DUMMYFUNCTION("""COMPUTED_VALUE"""),369.85)</f>
        <v>369.85</v>
      </c>
      <c r="D363" s="2">
        <f>IFERROR(__xludf.DUMMYFUNCTION("""COMPUTED_VALUE"""),359.17)</f>
        <v>359.17</v>
      </c>
      <c r="E363" s="2">
        <f>IFERROR(__xludf.DUMMYFUNCTION("""COMPUTED_VALUE"""),369.85)</f>
        <v>369.85</v>
      </c>
      <c r="F363" s="2">
        <f>IFERROR(__xludf.DUMMYFUNCTION("""COMPUTED_VALUE"""),3.17936535E8)</f>
        <v>317936535</v>
      </c>
      <c r="G363" s="3">
        <f t="shared" si="1"/>
        <v>0.01699342811</v>
      </c>
      <c r="H363" s="2">
        <f t="shared" si="2"/>
        <v>2022.253814</v>
      </c>
    </row>
    <row r="364">
      <c r="A364" s="1">
        <f>IFERROR(__xludf.DUMMYFUNCTION("""COMPUTED_VALUE"""),44176.66666666667)</f>
        <v>44176.66667</v>
      </c>
      <c r="B364" s="2">
        <f>IFERROR(__xludf.DUMMYFUNCTION("""COMPUTED_VALUE"""),369.02)</f>
        <v>369.02</v>
      </c>
      <c r="C364" s="2">
        <f>IFERROR(__xludf.DUMMYFUNCTION("""COMPUTED_VALUE"""),371.05)</f>
        <v>371.05</v>
      </c>
      <c r="D364" s="2">
        <f>IFERROR(__xludf.DUMMYFUNCTION("""COMPUTED_VALUE"""),363.26)</f>
        <v>363.26</v>
      </c>
      <c r="E364" s="2">
        <f>IFERROR(__xludf.DUMMYFUNCTION("""COMPUTED_VALUE"""),366.3)</f>
        <v>366.3</v>
      </c>
      <c r="F364" s="2">
        <f>IFERROR(__xludf.DUMMYFUNCTION("""COMPUTED_VALUE"""),2.80935407E8)</f>
        <v>280935407</v>
      </c>
      <c r="G364" s="3">
        <f t="shared" si="1"/>
        <v>-0.009598485873</v>
      </c>
      <c r="H364" s="2">
        <f t="shared" si="2"/>
        <v>2002.843239</v>
      </c>
    </row>
    <row r="365">
      <c r="A365" s="1">
        <f>IFERROR(__xludf.DUMMYFUNCTION("""COMPUTED_VALUE"""),44183.66666666667)</f>
        <v>44183.66667</v>
      </c>
      <c r="B365" s="2">
        <f>IFERROR(__xludf.DUMMYFUNCTION("""COMPUTED_VALUE"""),368.64)</f>
        <v>368.64</v>
      </c>
      <c r="C365" s="2">
        <f>IFERROR(__xludf.DUMMYFUNCTION("""COMPUTED_VALUE"""),372.46)</f>
        <v>372.46</v>
      </c>
      <c r="D365" s="2">
        <f>IFERROR(__xludf.DUMMYFUNCTION("""COMPUTED_VALUE"""),364.47)</f>
        <v>364.47</v>
      </c>
      <c r="E365" s="2">
        <f>IFERROR(__xludf.DUMMYFUNCTION("""COMPUTED_VALUE"""),369.18)</f>
        <v>369.18</v>
      </c>
      <c r="F365" s="2">
        <f>IFERROR(__xludf.DUMMYFUNCTION("""COMPUTED_VALUE"""),3.9236959E8)</f>
        <v>392369590</v>
      </c>
      <c r="G365" s="3">
        <f t="shared" si="1"/>
        <v>0.007862407862</v>
      </c>
      <c r="H365" s="2">
        <f t="shared" si="2"/>
        <v>2018.59041</v>
      </c>
    </row>
    <row r="366">
      <c r="A366" s="1">
        <f>IFERROR(__xludf.DUMMYFUNCTION("""COMPUTED_VALUE"""),44189.54166666667)</f>
        <v>44189.54167</v>
      </c>
      <c r="B366" s="2">
        <f>IFERROR(__xludf.DUMMYFUNCTION("""COMPUTED_VALUE"""),364.97)</f>
        <v>364.97</v>
      </c>
      <c r="C366" s="2">
        <f>IFERROR(__xludf.DUMMYFUNCTION("""COMPUTED_VALUE"""),378.46)</f>
        <v>378.46</v>
      </c>
      <c r="D366" s="2">
        <f>IFERROR(__xludf.DUMMYFUNCTION("""COMPUTED_VALUE"""),362.03)</f>
        <v>362.03</v>
      </c>
      <c r="E366" s="2">
        <f>IFERROR(__xludf.DUMMYFUNCTION("""COMPUTED_VALUE"""),369.0)</f>
        <v>369</v>
      </c>
      <c r="F366" s="2">
        <f>IFERROR(__xludf.DUMMYFUNCTION("""COMPUTED_VALUE"""),2.17434462E8)</f>
        <v>217434462</v>
      </c>
      <c r="G366" s="3">
        <f t="shared" si="1"/>
        <v>-0.0004875670405</v>
      </c>
      <c r="H366" s="2">
        <f t="shared" si="2"/>
        <v>2017.606211</v>
      </c>
    </row>
    <row r="367">
      <c r="A367" s="1">
        <f>IFERROR(__xludf.DUMMYFUNCTION("""COMPUTED_VALUE"""),44196.66666666667)</f>
        <v>44196.66667</v>
      </c>
      <c r="B367" s="2">
        <f>IFERROR(__xludf.DUMMYFUNCTION("""COMPUTED_VALUE"""),371.74)</f>
        <v>371.74</v>
      </c>
      <c r="C367" s="2">
        <f>IFERROR(__xludf.DUMMYFUNCTION("""COMPUTED_VALUE"""),374.66)</f>
        <v>374.66</v>
      </c>
      <c r="D367" s="2">
        <f>IFERROR(__xludf.DUMMYFUNCTION("""COMPUTED_VALUE"""),370.83)</f>
        <v>370.83</v>
      </c>
      <c r="E367" s="2">
        <f>IFERROR(__xludf.DUMMYFUNCTION("""COMPUTED_VALUE"""),373.88)</f>
        <v>373.88</v>
      </c>
      <c r="F367" s="2">
        <f>IFERROR(__xludf.DUMMYFUNCTION("""COMPUTED_VALUE"""),2.20656814E8)</f>
        <v>220656814</v>
      </c>
      <c r="G367" s="3">
        <f t="shared" si="1"/>
        <v>0.01322493225</v>
      </c>
      <c r="H367" s="2">
        <f t="shared" si="2"/>
        <v>2044.288917</v>
      </c>
    </row>
    <row r="368">
      <c r="A368" s="1"/>
      <c r="G368" s="3"/>
    </row>
    <row r="369">
      <c r="A369" s="1"/>
      <c r="G369" s="3"/>
    </row>
    <row r="370">
      <c r="A370" s="1"/>
      <c r="G370" s="3"/>
    </row>
    <row r="371">
      <c r="A371" s="1"/>
      <c r="G371" s="3"/>
    </row>
    <row r="372">
      <c r="A372" s="1"/>
      <c r="G372" s="3"/>
    </row>
    <row r="373">
      <c r="A373" s="1"/>
      <c r="G373" s="3"/>
    </row>
    <row r="374">
      <c r="A374" s="1"/>
      <c r="G374" s="3"/>
    </row>
    <row r="375">
      <c r="A375" s="1"/>
      <c r="G375" s="3"/>
    </row>
    <row r="376">
      <c r="A376" s="1"/>
      <c r="G376" s="3"/>
    </row>
    <row r="377">
      <c r="A377" s="1"/>
      <c r="G377" s="3"/>
    </row>
    <row r="378">
      <c r="A378" s="1"/>
      <c r="G378" s="3"/>
    </row>
    <row r="379">
      <c r="A379" s="1"/>
      <c r="G379" s="3"/>
    </row>
    <row r="380">
      <c r="A380" s="1"/>
      <c r="G380" s="3"/>
    </row>
    <row r="381">
      <c r="A381" s="1"/>
      <c r="G381" s="3"/>
    </row>
    <row r="382">
      <c r="A382" s="1"/>
      <c r="G382" s="3"/>
    </row>
    <row r="383">
      <c r="A383" s="1"/>
      <c r="G383" s="3"/>
    </row>
    <row r="384">
      <c r="A384" s="1"/>
      <c r="G384" s="3"/>
    </row>
    <row r="385">
      <c r="A385" s="1"/>
      <c r="G385" s="3"/>
    </row>
    <row r="386">
      <c r="A386" s="1"/>
      <c r="G386" s="3"/>
    </row>
    <row r="387">
      <c r="A387" s="1"/>
      <c r="G387" s="3"/>
    </row>
    <row r="388">
      <c r="A388" s="1"/>
      <c r="G388" s="3"/>
    </row>
    <row r="389">
      <c r="A389" s="1"/>
      <c r="G389" s="3"/>
    </row>
    <row r="390">
      <c r="A390" s="1"/>
      <c r="G390" s="3"/>
    </row>
    <row r="391">
      <c r="A391" s="1"/>
      <c r="G391" s="3"/>
    </row>
    <row r="392">
      <c r="A392" s="1"/>
      <c r="G392" s="3"/>
    </row>
    <row r="393">
      <c r="A393" s="1"/>
      <c r="G393" s="3"/>
    </row>
    <row r="394">
      <c r="A394" s="1"/>
      <c r="G394" s="3"/>
    </row>
    <row r="395">
      <c r="A395" s="1"/>
      <c r="G395" s="3"/>
    </row>
    <row r="396">
      <c r="A396" s="1"/>
      <c r="G396" s="3"/>
    </row>
    <row r="397">
      <c r="A397" s="1"/>
      <c r="G397" s="3"/>
    </row>
    <row r="398">
      <c r="A398" s="1"/>
      <c r="G398" s="3"/>
    </row>
    <row r="399">
      <c r="A399" s="1"/>
      <c r="G399" s="3"/>
    </row>
    <row r="400">
      <c r="A400" s="1"/>
      <c r="G400" s="3"/>
    </row>
    <row r="401">
      <c r="A401" s="1"/>
      <c r="G401" s="3"/>
    </row>
    <row r="402">
      <c r="A402" s="1"/>
      <c r="G402" s="3"/>
    </row>
    <row r="403">
      <c r="A403" s="1"/>
      <c r="G403" s="3"/>
    </row>
    <row r="404">
      <c r="A404" s="1"/>
      <c r="G404" s="3"/>
    </row>
    <row r="405">
      <c r="A405" s="1"/>
      <c r="G405" s="3"/>
    </row>
    <row r="406">
      <c r="A406" s="1"/>
      <c r="G406" s="3"/>
    </row>
    <row r="407">
      <c r="A407" s="1"/>
      <c r="G407" s="3"/>
    </row>
    <row r="408">
      <c r="A408" s="1"/>
      <c r="G408" s="3"/>
    </row>
    <row r="409">
      <c r="A409" s="1"/>
      <c r="G409" s="3"/>
    </row>
    <row r="410">
      <c r="A410" s="1"/>
      <c r="G410" s="3"/>
    </row>
    <row r="411">
      <c r="A411" s="1"/>
      <c r="G411" s="3"/>
    </row>
    <row r="412">
      <c r="A412" s="1"/>
      <c r="G412" s="3"/>
    </row>
    <row r="413">
      <c r="A413" s="1"/>
      <c r="G413" s="3"/>
    </row>
    <row r="414">
      <c r="A414" s="1"/>
      <c r="G414" s="3"/>
    </row>
    <row r="415">
      <c r="A415" s="1"/>
      <c r="G415" s="3"/>
    </row>
    <row r="416">
      <c r="A416" s="1"/>
      <c r="G416" s="3"/>
    </row>
    <row r="417">
      <c r="A417" s="1"/>
      <c r="G417" s="3"/>
    </row>
    <row r="418">
      <c r="A418" s="1"/>
      <c r="G418" s="3"/>
    </row>
    <row r="419">
      <c r="A419" s="1"/>
      <c r="G419" s="3"/>
    </row>
    <row r="420">
      <c r="A420" s="1"/>
      <c r="G420" s="3"/>
    </row>
    <row r="421">
      <c r="A421" s="1"/>
      <c r="G421" s="3"/>
    </row>
    <row r="422">
      <c r="A422" s="1"/>
      <c r="G422" s="3"/>
    </row>
    <row r="423">
      <c r="A423" s="1"/>
      <c r="G423" s="3"/>
    </row>
    <row r="424">
      <c r="A424" s="1"/>
      <c r="G424" s="3"/>
    </row>
    <row r="425">
      <c r="A425" s="1"/>
      <c r="G425" s="3"/>
    </row>
    <row r="426">
      <c r="A426" s="1"/>
      <c r="G426" s="3"/>
    </row>
    <row r="427">
      <c r="A427" s="1"/>
      <c r="G427" s="3"/>
    </row>
    <row r="428">
      <c r="A428" s="1"/>
      <c r="G428" s="3"/>
    </row>
    <row r="429">
      <c r="A429" s="1"/>
      <c r="G429" s="3"/>
    </row>
    <row r="430">
      <c r="A430" s="1"/>
      <c r="G430" s="3"/>
    </row>
    <row r="431">
      <c r="A431" s="1"/>
      <c r="G431" s="3"/>
    </row>
    <row r="432">
      <c r="A432" s="1"/>
      <c r="G432" s="3"/>
    </row>
    <row r="433">
      <c r="A433" s="1"/>
      <c r="G433" s="3"/>
    </row>
    <row r="434">
      <c r="A434" s="1"/>
      <c r="G434" s="3"/>
    </row>
    <row r="435">
      <c r="A435" s="1"/>
      <c r="G435" s="3"/>
    </row>
    <row r="436">
      <c r="A436" s="1"/>
      <c r="G436" s="3"/>
    </row>
    <row r="437">
      <c r="A437" s="1"/>
      <c r="G437" s="3"/>
    </row>
    <row r="438">
      <c r="A438" s="1"/>
      <c r="G438" s="3"/>
    </row>
    <row r="439">
      <c r="A439" s="1"/>
      <c r="G439" s="3"/>
    </row>
    <row r="440">
      <c r="A440" s="1"/>
      <c r="G440" s="3"/>
    </row>
    <row r="441">
      <c r="A441" s="1"/>
      <c r="G441" s="3"/>
    </row>
    <row r="442">
      <c r="A442" s="1"/>
      <c r="G442" s="3"/>
    </row>
    <row r="443">
      <c r="A443" s="1"/>
      <c r="G443" s="3"/>
    </row>
    <row r="444">
      <c r="A444" s="1"/>
      <c r="G444" s="3"/>
    </row>
    <row r="445">
      <c r="A445" s="1"/>
      <c r="G445" s="3"/>
    </row>
    <row r="446">
      <c r="A446" s="1"/>
      <c r="G446" s="3"/>
    </row>
    <row r="447">
      <c r="A447" s="1"/>
      <c r="G447" s="3"/>
    </row>
    <row r="448">
      <c r="A448" s="1"/>
      <c r="G448" s="3"/>
    </row>
    <row r="449">
      <c r="A449" s="1"/>
      <c r="G449" s="3"/>
    </row>
    <row r="450">
      <c r="A450" s="1"/>
      <c r="G450" s="3"/>
    </row>
    <row r="451">
      <c r="A451" s="1"/>
      <c r="G451" s="3"/>
    </row>
    <row r="452">
      <c r="A452" s="1"/>
      <c r="G452" s="3"/>
    </row>
    <row r="453">
      <c r="A453" s="1"/>
      <c r="G453" s="3"/>
    </row>
    <row r="454">
      <c r="A454" s="1"/>
      <c r="G454" s="3"/>
    </row>
    <row r="455">
      <c r="A455" s="1"/>
      <c r="G455" s="3"/>
    </row>
    <row r="456">
      <c r="A456" s="1"/>
      <c r="G456" s="3"/>
    </row>
    <row r="457">
      <c r="A457" s="1"/>
      <c r="G457" s="3"/>
    </row>
    <row r="458">
      <c r="A458" s="1"/>
      <c r="G458" s="3"/>
    </row>
    <row r="459">
      <c r="A459" s="1"/>
      <c r="G459" s="3"/>
    </row>
    <row r="460">
      <c r="A460" s="1"/>
      <c r="G460" s="3"/>
    </row>
    <row r="461">
      <c r="A461" s="1"/>
      <c r="G461" s="3"/>
    </row>
    <row r="462">
      <c r="A462" s="1"/>
      <c r="G462" s="3"/>
    </row>
    <row r="463">
      <c r="A463" s="1"/>
      <c r="G463" s="3"/>
    </row>
    <row r="464">
      <c r="A464" s="1"/>
      <c r="G464" s="3"/>
    </row>
    <row r="465">
      <c r="A465" s="1"/>
      <c r="G465" s="3"/>
    </row>
    <row r="466">
      <c r="A466" s="1"/>
      <c r="G466" s="3"/>
    </row>
    <row r="467">
      <c r="A467" s="1"/>
      <c r="G467" s="3"/>
    </row>
    <row r="468">
      <c r="A468" s="1"/>
      <c r="G468" s="3"/>
    </row>
    <row r="469">
      <c r="A469" s="1"/>
      <c r="G469" s="3"/>
    </row>
    <row r="470">
      <c r="A470" s="1"/>
      <c r="G470" s="3"/>
    </row>
    <row r="471">
      <c r="A471" s="1"/>
      <c r="G471" s="3"/>
    </row>
    <row r="472">
      <c r="A472" s="1"/>
      <c r="G472" s="3"/>
    </row>
    <row r="473">
      <c r="A473" s="1"/>
      <c r="G473" s="3"/>
    </row>
    <row r="474">
      <c r="A474" s="1"/>
      <c r="G474" s="3"/>
    </row>
    <row r="475">
      <c r="A475" s="1"/>
      <c r="G475" s="3"/>
    </row>
    <row r="476">
      <c r="A476" s="1"/>
      <c r="G476" s="3"/>
    </row>
    <row r="477">
      <c r="A477" s="1"/>
      <c r="G477" s="3"/>
    </row>
    <row r="478">
      <c r="A478" s="1"/>
      <c r="G478" s="3"/>
    </row>
    <row r="479">
      <c r="A479" s="1"/>
      <c r="G479" s="3"/>
    </row>
    <row r="480">
      <c r="A480" s="1"/>
      <c r="G480" s="3"/>
    </row>
    <row r="481">
      <c r="A481" s="1"/>
      <c r="G481" s="3"/>
    </row>
    <row r="482">
      <c r="A482" s="1"/>
      <c r="G482" s="3"/>
    </row>
    <row r="483">
      <c r="A483" s="1"/>
      <c r="G483" s="3"/>
    </row>
    <row r="484">
      <c r="A484" s="1"/>
      <c r="G484" s="3"/>
    </row>
    <row r="485">
      <c r="A485" s="1"/>
      <c r="G485" s="3"/>
    </row>
    <row r="486">
      <c r="A486" s="1"/>
      <c r="G486" s="3"/>
    </row>
    <row r="487">
      <c r="A487" s="1"/>
      <c r="G487" s="3"/>
    </row>
    <row r="488">
      <c r="A488" s="1"/>
      <c r="G488" s="3"/>
    </row>
    <row r="489">
      <c r="A489" s="1"/>
      <c r="G489" s="3"/>
    </row>
    <row r="490">
      <c r="A490" s="1"/>
      <c r="G490" s="3"/>
    </row>
    <row r="491">
      <c r="A491" s="1"/>
      <c r="G491" s="3"/>
    </row>
    <row r="492">
      <c r="A492" s="1"/>
      <c r="G492" s="3"/>
    </row>
    <row r="493">
      <c r="A493" s="1"/>
      <c r="G493" s="3"/>
    </row>
    <row r="494">
      <c r="A494" s="1"/>
      <c r="G494" s="3"/>
    </row>
    <row r="495">
      <c r="A495" s="1"/>
      <c r="G495" s="3"/>
    </row>
    <row r="496">
      <c r="A496" s="1"/>
      <c r="G496" s="3"/>
    </row>
    <row r="497">
      <c r="A497" s="1"/>
      <c r="G497" s="3"/>
    </row>
    <row r="498">
      <c r="A498" s="1"/>
      <c r="G498" s="3"/>
    </row>
    <row r="499">
      <c r="A499" s="1"/>
      <c r="G499" s="3"/>
    </row>
    <row r="500">
      <c r="A500" s="1"/>
      <c r="G500" s="3"/>
    </row>
    <row r="501">
      <c r="A501" s="1"/>
      <c r="G501" s="3"/>
    </row>
    <row r="502">
      <c r="A502" s="1"/>
      <c r="G502" s="3"/>
    </row>
    <row r="503">
      <c r="A503" s="1"/>
      <c r="G503" s="3"/>
    </row>
    <row r="504">
      <c r="A504" s="1"/>
      <c r="G504" s="3"/>
    </row>
    <row r="505">
      <c r="A505" s="1"/>
      <c r="G505" s="3"/>
    </row>
    <row r="506">
      <c r="A506" s="1"/>
      <c r="G506" s="3"/>
    </row>
    <row r="507">
      <c r="A507" s="1"/>
      <c r="G507" s="3"/>
    </row>
    <row r="508">
      <c r="A508" s="1"/>
      <c r="G508" s="3"/>
    </row>
    <row r="509">
      <c r="A509" s="1"/>
      <c r="G509" s="3"/>
    </row>
    <row r="510">
      <c r="A510" s="1"/>
      <c r="G510" s="3"/>
    </row>
    <row r="511">
      <c r="A511" s="1"/>
      <c r="G511" s="3"/>
    </row>
    <row r="512">
      <c r="A512" s="1"/>
      <c r="G512" s="3"/>
    </row>
    <row r="513">
      <c r="A513" s="1"/>
      <c r="G513" s="3"/>
    </row>
    <row r="514">
      <c r="A514" s="1"/>
      <c r="G514" s="3"/>
    </row>
    <row r="515">
      <c r="A515" s="1"/>
      <c r="G515" s="3"/>
    </row>
    <row r="516">
      <c r="A516" s="1"/>
      <c r="G516" s="3"/>
    </row>
    <row r="517">
      <c r="A517" s="1"/>
      <c r="G517" s="3"/>
    </row>
    <row r="518">
      <c r="A518" s="1"/>
      <c r="G518" s="3"/>
    </row>
    <row r="519">
      <c r="A519" s="1"/>
      <c r="G519" s="3"/>
    </row>
    <row r="520">
      <c r="A520" s="1"/>
      <c r="G520" s="3"/>
    </row>
    <row r="521">
      <c r="A521" s="1"/>
      <c r="G521" s="3"/>
    </row>
    <row r="522">
      <c r="A522" s="1"/>
      <c r="G522" s="3"/>
    </row>
    <row r="523">
      <c r="A523" s="1"/>
      <c r="G523" s="3"/>
    </row>
    <row r="524">
      <c r="A524" s="1"/>
      <c r="G524" s="3"/>
    </row>
    <row r="525">
      <c r="A525" s="1"/>
      <c r="G525" s="3"/>
    </row>
    <row r="526">
      <c r="A526" s="1"/>
      <c r="G526" s="3"/>
    </row>
    <row r="527">
      <c r="A527" s="1"/>
      <c r="G527" s="3"/>
    </row>
    <row r="528">
      <c r="A528" s="1"/>
      <c r="G528" s="3"/>
    </row>
    <row r="529">
      <c r="A529" s="1"/>
      <c r="G529" s="3"/>
    </row>
    <row r="530">
      <c r="A530" s="1"/>
      <c r="G530" s="3"/>
    </row>
    <row r="531">
      <c r="A531" s="1"/>
      <c r="G531" s="3"/>
    </row>
    <row r="532">
      <c r="A532" s="1"/>
      <c r="G532" s="3"/>
    </row>
    <row r="533">
      <c r="A533" s="1"/>
      <c r="G533" s="3"/>
    </row>
    <row r="534">
      <c r="A534" s="1"/>
      <c r="G534" s="3"/>
    </row>
    <row r="535">
      <c r="A535" s="1"/>
      <c r="G535" s="3"/>
    </row>
    <row r="536">
      <c r="A536" s="1"/>
      <c r="G536" s="3"/>
    </row>
    <row r="537">
      <c r="A537" s="1"/>
      <c r="G537" s="3"/>
    </row>
    <row r="538">
      <c r="A538" s="1"/>
      <c r="G538" s="3"/>
    </row>
    <row r="539">
      <c r="A539" s="1"/>
      <c r="G539" s="3"/>
    </row>
    <row r="540">
      <c r="A540" s="1"/>
      <c r="G540" s="3"/>
    </row>
    <row r="541">
      <c r="A541" s="1"/>
      <c r="G541" s="3"/>
    </row>
    <row r="542">
      <c r="A542" s="1"/>
      <c r="G542" s="3"/>
    </row>
    <row r="543">
      <c r="A543" s="1"/>
      <c r="G543" s="3"/>
    </row>
    <row r="544">
      <c r="A544" s="1"/>
      <c r="G544" s="3"/>
    </row>
    <row r="545">
      <c r="A545" s="1"/>
      <c r="G545" s="3"/>
    </row>
    <row r="546">
      <c r="A546" s="1"/>
      <c r="G546" s="3"/>
    </row>
    <row r="547">
      <c r="A547" s="1"/>
      <c r="G547" s="3"/>
    </row>
    <row r="548">
      <c r="A548" s="1"/>
      <c r="G548" s="3"/>
    </row>
    <row r="549">
      <c r="A549" s="1"/>
      <c r="G549" s="3"/>
    </row>
    <row r="550">
      <c r="A550" s="1"/>
      <c r="G550" s="3"/>
    </row>
    <row r="551">
      <c r="A551" s="1"/>
      <c r="G551" s="3"/>
    </row>
    <row r="552">
      <c r="A552" s="1"/>
      <c r="G552" s="3"/>
    </row>
    <row r="553">
      <c r="A553" s="1"/>
      <c r="G553" s="3"/>
    </row>
    <row r="554">
      <c r="A554" s="1"/>
      <c r="G554" s="3"/>
    </row>
    <row r="555">
      <c r="A555" s="1"/>
      <c r="G555" s="3"/>
    </row>
    <row r="556">
      <c r="A556" s="1"/>
      <c r="G556" s="3"/>
    </row>
    <row r="557">
      <c r="A557" s="1"/>
      <c r="G557" s="3"/>
    </row>
    <row r="558">
      <c r="A558" s="1"/>
      <c r="G558" s="3"/>
    </row>
    <row r="559">
      <c r="A559" s="1"/>
      <c r="G559" s="3"/>
    </row>
    <row r="560">
      <c r="A560" s="1"/>
      <c r="G560" s="3"/>
    </row>
    <row r="561">
      <c r="A561" s="1"/>
      <c r="G561" s="3"/>
    </row>
    <row r="562">
      <c r="A562" s="1"/>
      <c r="G562" s="3"/>
    </row>
    <row r="563">
      <c r="A563" s="1"/>
      <c r="G563" s="3"/>
    </row>
    <row r="564">
      <c r="A564" s="1"/>
      <c r="G564" s="3"/>
    </row>
    <row r="565">
      <c r="A565" s="1"/>
      <c r="G565" s="3"/>
    </row>
    <row r="566">
      <c r="A566" s="1"/>
      <c r="G566" s="3"/>
    </row>
    <row r="567">
      <c r="A567" s="1"/>
      <c r="G567" s="3"/>
    </row>
    <row r="568">
      <c r="A568" s="1"/>
      <c r="G568" s="3"/>
    </row>
    <row r="569">
      <c r="A569" s="1"/>
      <c r="G569" s="3"/>
    </row>
    <row r="570">
      <c r="A570" s="1"/>
      <c r="G570" s="3"/>
    </row>
    <row r="571">
      <c r="A571" s="1"/>
      <c r="G571" s="3"/>
    </row>
    <row r="572">
      <c r="A572" s="1"/>
      <c r="G572" s="3"/>
    </row>
    <row r="573">
      <c r="A573" s="1"/>
      <c r="G573" s="3"/>
    </row>
    <row r="574">
      <c r="A574" s="1"/>
      <c r="G574" s="3"/>
    </row>
    <row r="575">
      <c r="A575" s="1"/>
      <c r="G575" s="3"/>
    </row>
    <row r="576">
      <c r="A576" s="1"/>
      <c r="G576" s="3"/>
    </row>
    <row r="577">
      <c r="A577" s="1"/>
      <c r="G577" s="3"/>
    </row>
    <row r="578">
      <c r="A578" s="1"/>
      <c r="G578" s="3"/>
    </row>
    <row r="579">
      <c r="A579" s="1"/>
      <c r="G579" s="3"/>
    </row>
    <row r="580">
      <c r="A580" s="1"/>
      <c r="G580" s="3"/>
    </row>
    <row r="581">
      <c r="A581" s="1"/>
      <c r="G581" s="3"/>
    </row>
    <row r="582">
      <c r="A582" s="1"/>
      <c r="G582" s="3"/>
    </row>
    <row r="583">
      <c r="A583" s="1"/>
      <c r="G583" s="3"/>
    </row>
    <row r="584">
      <c r="A584" s="1"/>
      <c r="G584" s="3"/>
    </row>
    <row r="585">
      <c r="A585" s="1"/>
      <c r="G585" s="3"/>
    </row>
    <row r="586">
      <c r="A586" s="1"/>
      <c r="G586" s="3"/>
    </row>
    <row r="587">
      <c r="A587" s="1"/>
      <c r="G587" s="3"/>
    </row>
    <row r="588">
      <c r="A588" s="1"/>
      <c r="G588" s="3"/>
    </row>
    <row r="589">
      <c r="A589" s="1"/>
      <c r="G589" s="3"/>
    </row>
    <row r="590">
      <c r="A590" s="1"/>
      <c r="G590" s="3"/>
    </row>
    <row r="591">
      <c r="A591" s="1"/>
      <c r="G591" s="3"/>
    </row>
    <row r="592">
      <c r="A592" s="1"/>
      <c r="G592" s="3"/>
    </row>
    <row r="593">
      <c r="A593" s="1"/>
      <c r="G593" s="3"/>
    </row>
    <row r="594">
      <c r="A594" s="1"/>
      <c r="G594" s="3"/>
    </row>
    <row r="595">
      <c r="A595" s="1"/>
      <c r="G595" s="3"/>
    </row>
    <row r="596">
      <c r="A596" s="1"/>
      <c r="G596" s="3"/>
    </row>
    <row r="597">
      <c r="A597" s="1"/>
      <c r="G597" s="3"/>
    </row>
    <row r="598">
      <c r="A598" s="1"/>
      <c r="G598" s="3"/>
    </row>
    <row r="599">
      <c r="A599" s="1"/>
      <c r="G599" s="3"/>
    </row>
    <row r="600">
      <c r="A600" s="1"/>
      <c r="G600" s="3"/>
    </row>
    <row r="601">
      <c r="A601" s="1"/>
      <c r="G601" s="3"/>
    </row>
    <row r="602">
      <c r="A602" s="1"/>
      <c r="G602" s="3"/>
    </row>
    <row r="603">
      <c r="A603" s="1"/>
      <c r="G603" s="3"/>
    </row>
    <row r="604">
      <c r="A604" s="1"/>
      <c r="G604" s="3"/>
    </row>
    <row r="605">
      <c r="A605" s="1"/>
      <c r="G605" s="3"/>
    </row>
    <row r="606">
      <c r="A606" s="1"/>
      <c r="G606" s="3"/>
    </row>
    <row r="607">
      <c r="A607" s="1"/>
      <c r="G607" s="3"/>
    </row>
    <row r="608">
      <c r="A608" s="1"/>
      <c r="G608" s="3"/>
    </row>
    <row r="609">
      <c r="A609" s="1"/>
      <c r="G609" s="3"/>
    </row>
    <row r="610">
      <c r="A610" s="1"/>
      <c r="G610" s="3"/>
    </row>
    <row r="611">
      <c r="A611" s="1"/>
      <c r="G611" s="3"/>
    </row>
    <row r="612">
      <c r="A612" s="1"/>
      <c r="G612" s="3"/>
    </row>
    <row r="613">
      <c r="A613" s="1"/>
      <c r="G613" s="3"/>
    </row>
    <row r="614">
      <c r="A614" s="1"/>
      <c r="G614" s="3"/>
    </row>
    <row r="615">
      <c r="A615" s="1"/>
      <c r="G615" s="3"/>
    </row>
    <row r="616">
      <c r="A616" s="1"/>
      <c r="G616" s="3"/>
    </row>
    <row r="617">
      <c r="A617" s="1"/>
      <c r="G617" s="3"/>
    </row>
    <row r="618">
      <c r="A618" s="1"/>
      <c r="G618" s="3"/>
    </row>
    <row r="619">
      <c r="A619" s="1"/>
      <c r="G619" s="3"/>
    </row>
    <row r="620">
      <c r="A620" s="1"/>
      <c r="G620" s="3"/>
    </row>
    <row r="621">
      <c r="A621" s="1"/>
      <c r="G621" s="3"/>
    </row>
    <row r="622">
      <c r="A622" s="1"/>
      <c r="G622" s="3"/>
    </row>
    <row r="623">
      <c r="A623" s="1"/>
      <c r="G623" s="3"/>
    </row>
    <row r="624">
      <c r="A624" s="1"/>
      <c r="G624" s="3"/>
    </row>
    <row r="625">
      <c r="A625" s="1"/>
      <c r="G625" s="3"/>
    </row>
    <row r="626">
      <c r="A626" s="1"/>
      <c r="G626" s="3"/>
    </row>
    <row r="627">
      <c r="A627" s="1"/>
      <c r="G627" s="3"/>
    </row>
    <row r="628">
      <c r="A628" s="1"/>
      <c r="G628" s="3"/>
    </row>
    <row r="629">
      <c r="A629" s="1"/>
      <c r="G629" s="3"/>
    </row>
    <row r="630">
      <c r="A630" s="1"/>
      <c r="G630" s="3"/>
    </row>
    <row r="631">
      <c r="A631" s="1"/>
      <c r="G631" s="3"/>
    </row>
    <row r="632">
      <c r="A632" s="1"/>
      <c r="G632" s="3"/>
    </row>
    <row r="633">
      <c r="A633" s="1"/>
      <c r="G633" s="3"/>
    </row>
    <row r="634">
      <c r="A634" s="1"/>
      <c r="G634" s="3"/>
    </row>
    <row r="635">
      <c r="A635" s="1"/>
      <c r="G635" s="3"/>
    </row>
    <row r="636">
      <c r="A636" s="1"/>
      <c r="G636" s="3"/>
    </row>
    <row r="637">
      <c r="A637" s="1"/>
      <c r="G637" s="3"/>
    </row>
    <row r="638">
      <c r="A638" s="1"/>
      <c r="G638" s="3"/>
    </row>
    <row r="639">
      <c r="A639" s="1"/>
      <c r="G639" s="3"/>
    </row>
    <row r="640">
      <c r="A640" s="1"/>
      <c r="G640" s="3"/>
    </row>
    <row r="641">
      <c r="A641" s="1"/>
      <c r="G641" s="3"/>
    </row>
    <row r="642">
      <c r="A642" s="1"/>
      <c r="G642" s="3"/>
    </row>
    <row r="643">
      <c r="A643" s="1"/>
      <c r="G643" s="3"/>
    </row>
    <row r="644">
      <c r="A644" s="1"/>
      <c r="G644" s="3"/>
    </row>
    <row r="645">
      <c r="A645" s="1"/>
      <c r="G645" s="3"/>
    </row>
    <row r="646">
      <c r="A646" s="1"/>
      <c r="G646" s="3"/>
    </row>
    <row r="647">
      <c r="A647" s="1"/>
      <c r="G647" s="3"/>
    </row>
    <row r="648">
      <c r="A648" s="1"/>
      <c r="G648" s="3"/>
    </row>
    <row r="649">
      <c r="A649" s="1"/>
      <c r="G649" s="3"/>
    </row>
    <row r="650">
      <c r="A650" s="1"/>
      <c r="G650" s="3"/>
    </row>
    <row r="651">
      <c r="A651" s="1"/>
      <c r="G651" s="3"/>
    </row>
    <row r="652">
      <c r="A652" s="1"/>
      <c r="G652" s="3"/>
    </row>
    <row r="653">
      <c r="A653" s="1"/>
      <c r="G653" s="3"/>
    </row>
    <row r="654">
      <c r="A654" s="1"/>
      <c r="G654" s="3"/>
    </row>
    <row r="655">
      <c r="A655" s="1"/>
      <c r="G655" s="3"/>
    </row>
    <row r="656">
      <c r="A656" s="1"/>
      <c r="G656" s="3"/>
    </row>
    <row r="657">
      <c r="A657" s="1"/>
      <c r="G657" s="3"/>
    </row>
    <row r="658">
      <c r="A658" s="1"/>
      <c r="G658" s="3"/>
    </row>
    <row r="659">
      <c r="A659" s="1"/>
      <c r="G659" s="3"/>
    </row>
    <row r="660">
      <c r="A660" s="1"/>
      <c r="G660" s="3"/>
    </row>
    <row r="661">
      <c r="A661" s="1"/>
      <c r="G661" s="3"/>
    </row>
    <row r="662">
      <c r="A662" s="1"/>
      <c r="G662" s="3"/>
    </row>
    <row r="663">
      <c r="A663" s="1"/>
      <c r="G663" s="3"/>
    </row>
    <row r="664">
      <c r="A664" s="1"/>
      <c r="G664" s="3"/>
    </row>
    <row r="665">
      <c r="A665" s="1"/>
      <c r="G665" s="3"/>
    </row>
    <row r="666">
      <c r="A666" s="1"/>
      <c r="G666" s="3"/>
    </row>
    <row r="667">
      <c r="A667" s="1"/>
      <c r="G667" s="3"/>
    </row>
    <row r="668">
      <c r="A668" s="1"/>
      <c r="G668" s="3"/>
    </row>
    <row r="669">
      <c r="A669" s="1"/>
      <c r="G669" s="3"/>
    </row>
    <row r="670">
      <c r="A670" s="1"/>
      <c r="G670" s="3"/>
    </row>
    <row r="671">
      <c r="A671" s="1"/>
      <c r="G671" s="3"/>
    </row>
    <row r="672">
      <c r="A672" s="1"/>
      <c r="G672" s="3"/>
    </row>
    <row r="673">
      <c r="A673" s="1"/>
      <c r="G673" s="3"/>
    </row>
    <row r="674">
      <c r="A674" s="1"/>
      <c r="G674" s="3"/>
    </row>
    <row r="675">
      <c r="A675" s="1"/>
      <c r="G675" s="3"/>
    </row>
    <row r="676">
      <c r="A676" s="1"/>
      <c r="G676" s="3"/>
    </row>
    <row r="677">
      <c r="A677" s="1"/>
      <c r="G677" s="3"/>
    </row>
    <row r="678">
      <c r="A678" s="1"/>
      <c r="G678" s="3"/>
    </row>
    <row r="679">
      <c r="A679" s="1"/>
      <c r="G679" s="3"/>
    </row>
    <row r="680">
      <c r="A680" s="1"/>
      <c r="G680" s="3"/>
    </row>
    <row r="681">
      <c r="A681" s="1"/>
      <c r="G681" s="3"/>
    </row>
    <row r="682">
      <c r="A682" s="1"/>
      <c r="G682" s="3"/>
    </row>
    <row r="683">
      <c r="A683" s="1"/>
      <c r="G683" s="3"/>
    </row>
    <row r="684">
      <c r="A684" s="1"/>
      <c r="G684" s="3"/>
    </row>
    <row r="685">
      <c r="A685" s="1"/>
      <c r="G685" s="3"/>
    </row>
    <row r="686">
      <c r="A686" s="1"/>
      <c r="G686" s="3"/>
    </row>
    <row r="687">
      <c r="A687" s="1"/>
      <c r="G687" s="3"/>
    </row>
    <row r="688">
      <c r="A688" s="1"/>
      <c r="G688" s="3"/>
    </row>
    <row r="689">
      <c r="A689" s="1"/>
      <c r="G689" s="3"/>
    </row>
    <row r="690">
      <c r="A690" s="1"/>
      <c r="G690" s="3"/>
    </row>
    <row r="691">
      <c r="A691" s="1"/>
      <c r="G691" s="3"/>
    </row>
    <row r="692">
      <c r="A692" s="1"/>
      <c r="G692" s="3"/>
    </row>
    <row r="693">
      <c r="A693" s="1"/>
      <c r="G693" s="3"/>
    </row>
    <row r="694">
      <c r="A694" s="1"/>
      <c r="G694" s="3"/>
    </row>
    <row r="695">
      <c r="A695" s="1"/>
      <c r="G695" s="3"/>
    </row>
    <row r="696">
      <c r="A696" s="1"/>
      <c r="G696" s="3"/>
    </row>
    <row r="697">
      <c r="A697" s="1"/>
      <c r="G697" s="3"/>
    </row>
    <row r="698">
      <c r="A698" s="1"/>
      <c r="G698" s="3"/>
    </row>
    <row r="699">
      <c r="A699" s="1"/>
      <c r="G699" s="3"/>
    </row>
    <row r="700">
      <c r="A700" s="1"/>
      <c r="G700" s="3"/>
    </row>
    <row r="701">
      <c r="A701" s="1"/>
      <c r="G701" s="3"/>
    </row>
    <row r="702">
      <c r="A702" s="1"/>
      <c r="G702" s="3"/>
    </row>
    <row r="703">
      <c r="A703" s="1"/>
      <c r="G703" s="3"/>
    </row>
    <row r="704">
      <c r="A704" s="1"/>
      <c r="G704" s="3"/>
    </row>
    <row r="705">
      <c r="A705" s="1"/>
      <c r="G705" s="3"/>
    </row>
    <row r="706">
      <c r="A706" s="1"/>
      <c r="G706" s="3"/>
    </row>
    <row r="707">
      <c r="A707" s="1"/>
      <c r="G707" s="3"/>
    </row>
    <row r="708">
      <c r="A708" s="1"/>
      <c r="G708" s="3"/>
    </row>
    <row r="709">
      <c r="A709" s="1"/>
      <c r="G709" s="3"/>
    </row>
    <row r="710">
      <c r="A710" s="1"/>
      <c r="G710" s="3"/>
    </row>
    <row r="711">
      <c r="A711" s="1"/>
      <c r="G711" s="3"/>
    </row>
    <row r="712">
      <c r="A712" s="1"/>
      <c r="G712" s="3"/>
    </row>
    <row r="713">
      <c r="A713" s="1"/>
      <c r="G713" s="3"/>
    </row>
    <row r="714">
      <c r="A714" s="1"/>
      <c r="G714" s="3"/>
    </row>
    <row r="715">
      <c r="A715" s="1"/>
      <c r="G715" s="3"/>
    </row>
    <row r="716">
      <c r="A716" s="1"/>
      <c r="G716" s="3"/>
    </row>
    <row r="717">
      <c r="A717" s="1"/>
      <c r="G717" s="3"/>
    </row>
    <row r="718">
      <c r="A718" s="1"/>
      <c r="G718" s="3"/>
    </row>
    <row r="719">
      <c r="A719" s="1"/>
      <c r="G719" s="3"/>
    </row>
    <row r="720">
      <c r="A720" s="1"/>
      <c r="G720" s="3"/>
    </row>
    <row r="721">
      <c r="A721" s="1"/>
      <c r="G721" s="3"/>
    </row>
    <row r="722">
      <c r="A722" s="1"/>
      <c r="G722" s="3"/>
    </row>
    <row r="723">
      <c r="A723" s="1"/>
      <c r="G723" s="3"/>
    </row>
    <row r="724">
      <c r="A724" s="1"/>
      <c r="G724" s="3"/>
    </row>
    <row r="725">
      <c r="A725" s="1"/>
      <c r="G725" s="3"/>
    </row>
    <row r="726">
      <c r="A726" s="1"/>
      <c r="G726" s="3"/>
    </row>
    <row r="727">
      <c r="A727" s="1"/>
      <c r="G727" s="3"/>
    </row>
    <row r="728">
      <c r="A728" s="1"/>
      <c r="G728" s="3"/>
    </row>
    <row r="729">
      <c r="A729" s="1"/>
      <c r="G729" s="3"/>
    </row>
    <row r="730">
      <c r="A730" s="1"/>
      <c r="G730" s="3"/>
    </row>
    <row r="731">
      <c r="A731" s="1"/>
      <c r="G731" s="3"/>
    </row>
    <row r="732">
      <c r="A732" s="1"/>
      <c r="G732" s="3"/>
    </row>
    <row r="733">
      <c r="A733" s="1"/>
      <c r="G733" s="3"/>
    </row>
    <row r="734">
      <c r="A734" s="1"/>
      <c r="G734" s="3"/>
    </row>
    <row r="735">
      <c r="A735" s="1"/>
      <c r="G735" s="3"/>
    </row>
    <row r="736">
      <c r="A736" s="1"/>
      <c r="G736" s="3"/>
    </row>
    <row r="737">
      <c r="A737" s="1"/>
      <c r="G737" s="3"/>
    </row>
    <row r="738">
      <c r="A738" s="1"/>
      <c r="G738" s="3"/>
    </row>
    <row r="739">
      <c r="A739" s="1"/>
      <c r="G739" s="3"/>
    </row>
    <row r="740">
      <c r="A740" s="1"/>
      <c r="G740" s="3"/>
    </row>
    <row r="741">
      <c r="A741" s="1"/>
      <c r="G741" s="3"/>
    </row>
    <row r="742">
      <c r="A742" s="1"/>
      <c r="G742" s="3"/>
    </row>
    <row r="743">
      <c r="A743" s="1"/>
      <c r="G743" s="3"/>
    </row>
    <row r="744">
      <c r="A744" s="1"/>
      <c r="G744" s="3"/>
    </row>
    <row r="745">
      <c r="A745" s="1"/>
      <c r="G745" s="3"/>
    </row>
    <row r="746">
      <c r="A746" s="1"/>
      <c r="G746" s="3"/>
    </row>
    <row r="747">
      <c r="A747" s="1"/>
      <c r="G747" s="3"/>
    </row>
    <row r="748">
      <c r="A748" s="1"/>
      <c r="G748" s="3"/>
    </row>
    <row r="749">
      <c r="A749" s="1"/>
      <c r="G749" s="3"/>
    </row>
    <row r="750">
      <c r="A750" s="1"/>
      <c r="G750" s="3"/>
    </row>
    <row r="751">
      <c r="A751" s="1"/>
      <c r="G751" s="3"/>
    </row>
    <row r="752">
      <c r="A752" s="1"/>
      <c r="G752" s="3"/>
    </row>
    <row r="753">
      <c r="A753" s="1"/>
      <c r="G753" s="3"/>
    </row>
    <row r="754">
      <c r="A754" s="1"/>
      <c r="G754" s="3"/>
    </row>
    <row r="755">
      <c r="A755" s="1"/>
      <c r="G755" s="3"/>
    </row>
    <row r="756">
      <c r="A756" s="1"/>
      <c r="G756" s="3"/>
    </row>
    <row r="757">
      <c r="A757" s="1"/>
      <c r="G757" s="3"/>
    </row>
    <row r="758">
      <c r="A758" s="1"/>
      <c r="G758" s="3"/>
    </row>
    <row r="759">
      <c r="A759" s="1"/>
      <c r="G759" s="3"/>
    </row>
    <row r="760">
      <c r="A760" s="1"/>
      <c r="G760" s="3"/>
    </row>
    <row r="761">
      <c r="A761" s="1"/>
      <c r="G761" s="3"/>
    </row>
    <row r="762">
      <c r="A762" s="1"/>
      <c r="G762" s="3"/>
    </row>
    <row r="763">
      <c r="A763" s="1"/>
      <c r="G763" s="3"/>
    </row>
    <row r="764">
      <c r="A764" s="1"/>
      <c r="G764" s="3"/>
    </row>
    <row r="765">
      <c r="A765" s="1"/>
      <c r="G765" s="3"/>
    </row>
    <row r="766">
      <c r="A766" s="1"/>
      <c r="G766" s="3"/>
    </row>
    <row r="767">
      <c r="A767" s="1"/>
      <c r="G767" s="3"/>
    </row>
    <row r="768">
      <c r="A768" s="1"/>
      <c r="G768" s="3"/>
    </row>
    <row r="769">
      <c r="A769" s="1"/>
      <c r="G769" s="3"/>
    </row>
    <row r="770">
      <c r="A770" s="1"/>
      <c r="G770" s="3"/>
    </row>
    <row r="771">
      <c r="A771" s="1"/>
      <c r="G771" s="3"/>
    </row>
    <row r="772">
      <c r="A772" s="1"/>
      <c r="G772" s="3"/>
    </row>
    <row r="773">
      <c r="A773" s="1"/>
      <c r="G773" s="3"/>
    </row>
    <row r="774">
      <c r="A774" s="1"/>
      <c r="G774" s="3"/>
    </row>
    <row r="775">
      <c r="A775" s="1"/>
      <c r="G775" s="3"/>
    </row>
    <row r="776">
      <c r="A776" s="1"/>
      <c r="G776" s="3"/>
    </row>
    <row r="777">
      <c r="A777" s="1"/>
      <c r="G777" s="3"/>
    </row>
    <row r="778">
      <c r="A778" s="1"/>
      <c r="G778" s="3"/>
    </row>
    <row r="779">
      <c r="A779" s="1"/>
      <c r="G779" s="3"/>
    </row>
    <row r="780">
      <c r="A780" s="1"/>
      <c r="G780" s="3"/>
    </row>
    <row r="781">
      <c r="A781" s="1"/>
      <c r="G781" s="3"/>
    </row>
    <row r="782">
      <c r="A782" s="1"/>
      <c r="G782" s="3"/>
    </row>
    <row r="783">
      <c r="A783" s="1"/>
      <c r="G783" s="3"/>
    </row>
    <row r="784">
      <c r="A784" s="1"/>
      <c r="G784" s="3"/>
    </row>
    <row r="785">
      <c r="A785" s="1"/>
      <c r="G785" s="3"/>
    </row>
    <row r="786">
      <c r="A786" s="1"/>
      <c r="G786" s="3"/>
    </row>
    <row r="787">
      <c r="A787" s="1"/>
      <c r="G787" s="3"/>
    </row>
    <row r="788">
      <c r="A788" s="1"/>
      <c r="G788" s="3"/>
    </row>
    <row r="789">
      <c r="A789" s="1"/>
      <c r="G789" s="3"/>
    </row>
    <row r="790">
      <c r="A790" s="1"/>
      <c r="G790" s="3"/>
    </row>
    <row r="791">
      <c r="A791" s="1"/>
      <c r="G791" s="3"/>
    </row>
    <row r="792">
      <c r="A792" s="1"/>
      <c r="G792" s="3"/>
    </row>
    <row r="793">
      <c r="A793" s="1"/>
      <c r="G793" s="3"/>
    </row>
    <row r="794">
      <c r="A794" s="1"/>
      <c r="G794" s="3"/>
    </row>
    <row r="795">
      <c r="A795" s="1"/>
      <c r="G795" s="3"/>
    </row>
    <row r="796">
      <c r="A796" s="1"/>
      <c r="G796" s="3"/>
    </row>
    <row r="797">
      <c r="A797" s="1"/>
      <c r="G797" s="3"/>
    </row>
    <row r="798">
      <c r="A798" s="1"/>
      <c r="G798" s="3"/>
    </row>
    <row r="799">
      <c r="A799" s="1"/>
      <c r="G799" s="3"/>
    </row>
    <row r="800">
      <c r="A800" s="1"/>
      <c r="G800" s="3"/>
    </row>
    <row r="801">
      <c r="A801" s="1"/>
      <c r="G801" s="3"/>
    </row>
    <row r="802">
      <c r="A802" s="1"/>
      <c r="G802" s="3"/>
    </row>
    <row r="803">
      <c r="A803" s="1"/>
      <c r="G803" s="3"/>
    </row>
    <row r="804">
      <c r="A804" s="1"/>
      <c r="G804" s="3"/>
    </row>
    <row r="805">
      <c r="A805" s="1"/>
      <c r="G805" s="3"/>
    </row>
    <row r="806">
      <c r="A806" s="1"/>
      <c r="G806" s="3"/>
    </row>
    <row r="807">
      <c r="A807" s="1"/>
      <c r="G807" s="3"/>
    </row>
    <row r="808">
      <c r="A808" s="1"/>
      <c r="G808" s="3"/>
    </row>
    <row r="809">
      <c r="A809" s="1"/>
      <c r="G809" s="3"/>
    </row>
    <row r="810">
      <c r="A810" s="1"/>
      <c r="G810" s="3"/>
    </row>
    <row r="811">
      <c r="A811" s="1"/>
      <c r="G811" s="3"/>
    </row>
    <row r="812">
      <c r="A812" s="1"/>
      <c r="G812" s="3"/>
    </row>
    <row r="813">
      <c r="A813" s="1"/>
      <c r="G813" s="3"/>
    </row>
    <row r="814">
      <c r="A814" s="1"/>
      <c r="G814" s="3"/>
    </row>
    <row r="815">
      <c r="A815" s="1"/>
      <c r="G815" s="3"/>
    </row>
    <row r="816">
      <c r="A816" s="1"/>
      <c r="G816" s="3"/>
    </row>
    <row r="817">
      <c r="A817" s="1"/>
      <c r="G817" s="3"/>
    </row>
    <row r="818">
      <c r="A818" s="1"/>
      <c r="G818" s="3"/>
    </row>
    <row r="819">
      <c r="A819" s="1"/>
      <c r="G819" s="3"/>
    </row>
    <row r="820">
      <c r="A820" s="1"/>
      <c r="G820" s="3"/>
    </row>
    <row r="821">
      <c r="A821" s="1"/>
      <c r="G821" s="3"/>
    </row>
    <row r="822">
      <c r="A822" s="1"/>
      <c r="G822" s="3"/>
    </row>
    <row r="823">
      <c r="A823" s="1"/>
      <c r="G823" s="3"/>
    </row>
    <row r="824">
      <c r="A824" s="1"/>
      <c r="G824" s="3"/>
    </row>
    <row r="825">
      <c r="A825" s="1"/>
      <c r="G825" s="3"/>
    </row>
    <row r="826">
      <c r="A826" s="1"/>
      <c r="G826" s="3"/>
    </row>
    <row r="827">
      <c r="A827" s="1"/>
      <c r="G827" s="3"/>
    </row>
    <row r="828">
      <c r="A828" s="1"/>
      <c r="G828" s="3"/>
    </row>
    <row r="829">
      <c r="A829" s="1"/>
      <c r="G829" s="3"/>
    </row>
    <row r="830">
      <c r="A830" s="1"/>
      <c r="G830" s="3"/>
    </row>
    <row r="831">
      <c r="A831" s="1"/>
      <c r="G831" s="3"/>
    </row>
    <row r="832">
      <c r="A832" s="1"/>
      <c r="G832" s="3"/>
    </row>
    <row r="833">
      <c r="A833" s="1"/>
      <c r="G833" s="3"/>
    </row>
    <row r="834">
      <c r="A834" s="1"/>
      <c r="G834" s="3"/>
    </row>
    <row r="835">
      <c r="A835" s="1"/>
      <c r="G835" s="3"/>
    </row>
    <row r="836">
      <c r="A836" s="1"/>
      <c r="G836" s="3"/>
    </row>
    <row r="837">
      <c r="A837" s="1"/>
      <c r="G837" s="3"/>
    </row>
    <row r="838">
      <c r="A838" s="1"/>
      <c r="G838" s="3"/>
    </row>
    <row r="839">
      <c r="A839" s="1"/>
      <c r="G839" s="3"/>
    </row>
    <row r="840">
      <c r="A840" s="1"/>
      <c r="G840" s="3"/>
    </row>
    <row r="841">
      <c r="A841" s="1"/>
      <c r="G841" s="3"/>
    </row>
    <row r="842">
      <c r="A842" s="1"/>
      <c r="G842" s="3"/>
    </row>
    <row r="843">
      <c r="A843" s="1"/>
      <c r="G843" s="3"/>
    </row>
    <row r="844">
      <c r="A844" s="1"/>
      <c r="G844" s="3"/>
    </row>
    <row r="845">
      <c r="A845" s="1"/>
      <c r="G845" s="3"/>
    </row>
    <row r="846">
      <c r="A846" s="1"/>
      <c r="G846" s="3"/>
    </row>
    <row r="847">
      <c r="A847" s="1"/>
      <c r="G847" s="3"/>
    </row>
    <row r="848">
      <c r="A848" s="1"/>
      <c r="G848" s="3"/>
    </row>
    <row r="849">
      <c r="A849" s="1"/>
      <c r="G849" s="3"/>
    </row>
    <row r="850">
      <c r="A850" s="1"/>
      <c r="G850" s="3"/>
    </row>
    <row r="851">
      <c r="A851" s="1"/>
      <c r="G851" s="3"/>
    </row>
    <row r="852">
      <c r="A852" s="1"/>
      <c r="G852" s="3"/>
    </row>
    <row r="853">
      <c r="A853" s="1"/>
      <c r="G853" s="3"/>
    </row>
    <row r="854">
      <c r="A854" s="1"/>
      <c r="G854" s="3"/>
    </row>
    <row r="855">
      <c r="A855" s="1"/>
      <c r="G855" s="3"/>
    </row>
    <row r="856">
      <c r="A856" s="1"/>
      <c r="G856" s="3"/>
    </row>
    <row r="857">
      <c r="A857" s="1"/>
      <c r="G857" s="3"/>
    </row>
    <row r="858">
      <c r="A858" s="1"/>
      <c r="G858" s="3"/>
    </row>
    <row r="859">
      <c r="A859" s="1"/>
      <c r="G859" s="3"/>
    </row>
    <row r="860">
      <c r="A860" s="1"/>
      <c r="G860" s="3"/>
    </row>
    <row r="861">
      <c r="A861" s="1"/>
      <c r="G861" s="3"/>
    </row>
    <row r="862">
      <c r="A862" s="1"/>
      <c r="G862" s="3"/>
    </row>
    <row r="863">
      <c r="A863" s="1"/>
      <c r="G863" s="3"/>
    </row>
    <row r="864">
      <c r="A864" s="1"/>
      <c r="G864" s="3"/>
    </row>
    <row r="865">
      <c r="A865" s="1"/>
      <c r="G865" s="3"/>
    </row>
    <row r="866">
      <c r="A866" s="1"/>
      <c r="G866" s="3"/>
    </row>
    <row r="867">
      <c r="A867" s="1"/>
      <c r="G867" s="3"/>
    </row>
    <row r="868">
      <c r="A868" s="1"/>
      <c r="G868" s="3"/>
    </row>
    <row r="869">
      <c r="A869" s="1"/>
      <c r="G869" s="3"/>
    </row>
    <row r="870">
      <c r="A870" s="1"/>
      <c r="G870" s="3"/>
    </row>
    <row r="871">
      <c r="A871" s="1"/>
      <c r="G871" s="3"/>
    </row>
    <row r="872">
      <c r="A872" s="1"/>
      <c r="G872" s="3"/>
    </row>
    <row r="873">
      <c r="A873" s="1"/>
      <c r="G873" s="3"/>
    </row>
    <row r="874">
      <c r="A874" s="1"/>
      <c r="G874" s="3"/>
    </row>
    <row r="875">
      <c r="A875" s="1"/>
      <c r="G875" s="3"/>
    </row>
    <row r="876">
      <c r="A876" s="1"/>
      <c r="G876" s="3"/>
    </row>
    <row r="877">
      <c r="A877" s="1"/>
      <c r="G877" s="3"/>
    </row>
    <row r="878">
      <c r="A878" s="1"/>
      <c r="G878" s="3"/>
    </row>
    <row r="879">
      <c r="A879" s="1"/>
      <c r="G879" s="3"/>
    </row>
    <row r="880">
      <c r="A880" s="1"/>
      <c r="G880" s="3"/>
    </row>
    <row r="881">
      <c r="A881" s="1"/>
      <c r="G881" s="3"/>
    </row>
    <row r="882">
      <c r="A882" s="1"/>
      <c r="G882" s="3"/>
    </row>
    <row r="883">
      <c r="A883" s="1"/>
      <c r="G883" s="3"/>
    </row>
    <row r="884">
      <c r="A884" s="1"/>
      <c r="G884" s="3"/>
    </row>
    <row r="885">
      <c r="A885" s="1"/>
      <c r="G885" s="3"/>
    </row>
    <row r="886">
      <c r="A886" s="1"/>
      <c r="G886" s="3"/>
    </row>
    <row r="887">
      <c r="A887" s="1"/>
      <c r="G887" s="3"/>
    </row>
    <row r="888">
      <c r="A888" s="1"/>
      <c r="G888" s="3"/>
    </row>
    <row r="889">
      <c r="A889" s="1"/>
      <c r="G889" s="3"/>
    </row>
    <row r="890">
      <c r="A890" s="1"/>
      <c r="G890" s="3"/>
    </row>
    <row r="891">
      <c r="A891" s="1"/>
      <c r="G891" s="3"/>
    </row>
    <row r="892">
      <c r="A892" s="1"/>
      <c r="G892" s="3"/>
    </row>
    <row r="893">
      <c r="A893" s="1"/>
      <c r="G893" s="3"/>
    </row>
    <row r="894">
      <c r="A894" s="1"/>
      <c r="G894" s="3"/>
    </row>
    <row r="895">
      <c r="A895" s="1"/>
      <c r="G895" s="3"/>
    </row>
    <row r="896">
      <c r="A896" s="1"/>
      <c r="G896" s="3"/>
    </row>
    <row r="897">
      <c r="A897" s="1"/>
      <c r="G897" s="3"/>
    </row>
    <row r="898">
      <c r="A898" s="1"/>
      <c r="G898" s="3"/>
    </row>
    <row r="899">
      <c r="A899" s="1"/>
      <c r="G899" s="3"/>
    </row>
    <row r="900">
      <c r="A900" s="1"/>
      <c r="G900" s="3"/>
    </row>
    <row r="901">
      <c r="A901" s="1"/>
      <c r="G901" s="3"/>
    </row>
    <row r="902">
      <c r="A902" s="1"/>
      <c r="G902" s="3"/>
    </row>
    <row r="903">
      <c r="A903" s="1"/>
      <c r="G903" s="3"/>
    </row>
    <row r="904">
      <c r="A904" s="1"/>
      <c r="G904" s="3"/>
    </row>
    <row r="905">
      <c r="A905" s="1"/>
      <c r="G905" s="3"/>
    </row>
    <row r="906">
      <c r="A906" s="1"/>
      <c r="G906" s="3"/>
    </row>
    <row r="907">
      <c r="A907" s="1"/>
      <c r="G907" s="3"/>
    </row>
    <row r="908">
      <c r="A908" s="1"/>
      <c r="G908" s="3"/>
    </row>
    <row r="909">
      <c r="A909" s="1"/>
      <c r="G909" s="3"/>
    </row>
    <row r="910">
      <c r="A910" s="1"/>
      <c r="G910" s="3"/>
    </row>
    <row r="911">
      <c r="A911" s="1"/>
      <c r="G911" s="3"/>
    </row>
    <row r="912">
      <c r="A912" s="1"/>
      <c r="G912" s="3"/>
    </row>
    <row r="913">
      <c r="A913" s="1"/>
      <c r="G913" s="3"/>
    </row>
    <row r="914">
      <c r="A914" s="1"/>
      <c r="G914" s="3"/>
    </row>
    <row r="915">
      <c r="A915" s="1"/>
      <c r="G915" s="3"/>
    </row>
    <row r="916">
      <c r="A916" s="1"/>
      <c r="G916" s="3"/>
    </row>
    <row r="917">
      <c r="A917" s="1"/>
      <c r="G917" s="3"/>
    </row>
    <row r="918">
      <c r="A918" s="1"/>
      <c r="G918" s="3"/>
    </row>
    <row r="919">
      <c r="A919" s="1"/>
      <c r="G919" s="3"/>
    </row>
    <row r="920">
      <c r="A920" s="1"/>
      <c r="G920" s="3"/>
    </row>
    <row r="921">
      <c r="A921" s="1"/>
      <c r="G921" s="3"/>
    </row>
    <row r="922">
      <c r="A922" s="1"/>
      <c r="G922" s="3"/>
    </row>
    <row r="923">
      <c r="A923" s="1"/>
      <c r="G923" s="3"/>
    </row>
    <row r="924">
      <c r="A924" s="1"/>
      <c r="G924" s="3"/>
    </row>
    <row r="925">
      <c r="A925" s="1"/>
      <c r="G925" s="3"/>
    </row>
    <row r="926">
      <c r="A926" s="1"/>
      <c r="G926" s="3"/>
    </row>
    <row r="927">
      <c r="A927" s="1"/>
      <c r="G927" s="3"/>
    </row>
    <row r="928">
      <c r="A928" s="1"/>
      <c r="G928" s="3"/>
    </row>
    <row r="929">
      <c r="A929" s="1"/>
      <c r="G929" s="3"/>
    </row>
    <row r="930">
      <c r="A930" s="1"/>
      <c r="G930" s="3"/>
    </row>
    <row r="931">
      <c r="A931" s="1"/>
      <c r="G931" s="3"/>
    </row>
    <row r="932">
      <c r="A932" s="1"/>
      <c r="G932" s="3"/>
    </row>
    <row r="933">
      <c r="A933" s="1"/>
      <c r="G933" s="3"/>
    </row>
    <row r="934">
      <c r="A934" s="1"/>
      <c r="G934" s="3"/>
    </row>
    <row r="935">
      <c r="A935" s="1"/>
      <c r="G935" s="3"/>
    </row>
    <row r="936">
      <c r="A936" s="1"/>
      <c r="G936" s="3"/>
    </row>
    <row r="937">
      <c r="A937" s="1"/>
      <c r="G937" s="3"/>
    </row>
    <row r="938">
      <c r="A938" s="1"/>
      <c r="G938" s="3"/>
    </row>
    <row r="939">
      <c r="A939" s="1"/>
      <c r="G939" s="3"/>
    </row>
    <row r="940">
      <c r="A940" s="1"/>
      <c r="G940" s="3"/>
    </row>
    <row r="941">
      <c r="A941" s="1"/>
      <c r="G941" s="3"/>
    </row>
    <row r="942">
      <c r="A942" s="1"/>
      <c r="G942" s="3"/>
    </row>
    <row r="943">
      <c r="A943" s="1"/>
      <c r="G943" s="3"/>
    </row>
    <row r="944">
      <c r="A944" s="1"/>
      <c r="G944" s="3"/>
    </row>
    <row r="945">
      <c r="A945" s="1"/>
      <c r="G945" s="3"/>
    </row>
    <row r="946">
      <c r="A946" s="1"/>
      <c r="G946" s="3"/>
    </row>
    <row r="947">
      <c r="A947" s="1"/>
      <c r="G947" s="3"/>
    </row>
    <row r="948">
      <c r="A948" s="1"/>
      <c r="G948" s="3"/>
    </row>
    <row r="949">
      <c r="A949" s="1"/>
      <c r="G949" s="3"/>
    </row>
    <row r="950">
      <c r="A950" s="1"/>
      <c r="G950" s="3"/>
    </row>
    <row r="951">
      <c r="A951" s="1"/>
      <c r="G951" s="3"/>
    </row>
    <row r="952">
      <c r="A952" s="1"/>
      <c r="G952" s="3"/>
    </row>
    <row r="953">
      <c r="A953" s="1"/>
      <c r="G953" s="3"/>
    </row>
    <row r="954">
      <c r="A954" s="1"/>
      <c r="G954" s="3"/>
    </row>
    <row r="955">
      <c r="A955" s="1"/>
      <c r="G955" s="3"/>
    </row>
    <row r="956">
      <c r="A956" s="1"/>
      <c r="G956" s="3"/>
    </row>
    <row r="957">
      <c r="A957" s="1"/>
      <c r="G957" s="3"/>
    </row>
    <row r="958">
      <c r="A958" s="1"/>
      <c r="G958" s="3"/>
    </row>
    <row r="959">
      <c r="A959" s="1"/>
      <c r="G959" s="3"/>
    </row>
    <row r="960">
      <c r="A960" s="1"/>
      <c r="G960" s="3"/>
    </row>
    <row r="961">
      <c r="A961" s="1"/>
      <c r="G961" s="3"/>
    </row>
    <row r="962">
      <c r="A962" s="1"/>
      <c r="G962" s="3"/>
    </row>
    <row r="963">
      <c r="A963" s="1"/>
      <c r="G963" s="3"/>
    </row>
    <row r="964">
      <c r="A964" s="1"/>
      <c r="G964" s="3"/>
    </row>
    <row r="965">
      <c r="A965" s="1"/>
      <c r="G965" s="3"/>
    </row>
    <row r="966">
      <c r="A966" s="1"/>
      <c r="G966" s="3"/>
    </row>
    <row r="967">
      <c r="A967" s="1"/>
      <c r="G967" s="3"/>
    </row>
    <row r="968">
      <c r="A968" s="1"/>
      <c r="G968" s="3"/>
    </row>
    <row r="969">
      <c r="A969" s="1"/>
      <c r="G969" s="3"/>
    </row>
    <row r="970">
      <c r="A970" s="1"/>
      <c r="G970" s="3"/>
    </row>
    <row r="971">
      <c r="A971" s="1"/>
      <c r="G971" s="3"/>
    </row>
    <row r="972">
      <c r="A972" s="1"/>
      <c r="G972" s="3"/>
    </row>
    <row r="973">
      <c r="A973" s="1"/>
      <c r="G973" s="3"/>
    </row>
    <row r="974">
      <c r="A974" s="1"/>
      <c r="G974" s="3"/>
    </row>
    <row r="975">
      <c r="A975" s="1"/>
      <c r="G975" s="3"/>
    </row>
    <row r="976">
      <c r="A976" s="1"/>
      <c r="G976" s="3"/>
    </row>
    <row r="977">
      <c r="A977" s="1"/>
      <c r="G977" s="3"/>
    </row>
    <row r="978">
      <c r="A978" s="1"/>
      <c r="G978" s="3"/>
    </row>
    <row r="979">
      <c r="A979" s="1"/>
      <c r="G979" s="3"/>
    </row>
    <row r="980">
      <c r="A980" s="1"/>
      <c r="G980" s="3"/>
    </row>
    <row r="981">
      <c r="A981" s="1"/>
      <c r="G981" s="3"/>
    </row>
    <row r="982">
      <c r="A982" s="1"/>
      <c r="G982" s="3"/>
    </row>
    <row r="983">
      <c r="A983" s="1"/>
      <c r="G983" s="3"/>
    </row>
    <row r="984">
      <c r="A984" s="1"/>
      <c r="G984" s="3"/>
    </row>
    <row r="985">
      <c r="A985" s="1"/>
      <c r="G985" s="3"/>
    </row>
    <row r="986">
      <c r="A986" s="1"/>
      <c r="G986" s="3"/>
    </row>
    <row r="987">
      <c r="A987" s="1"/>
      <c r="G987" s="3"/>
    </row>
    <row r="988">
      <c r="A988" s="1"/>
      <c r="G988" s="3"/>
    </row>
    <row r="989">
      <c r="A989" s="1"/>
      <c r="G989" s="3"/>
    </row>
    <row r="990">
      <c r="A990" s="1"/>
      <c r="G990" s="3"/>
    </row>
    <row r="991">
      <c r="A991" s="1"/>
      <c r="G991" s="3"/>
    </row>
    <row r="992">
      <c r="A992" s="1"/>
      <c r="G992" s="3"/>
    </row>
    <row r="993">
      <c r="A993" s="1"/>
      <c r="G993" s="3"/>
    </row>
    <row r="994">
      <c r="A994" s="1"/>
      <c r="G994" s="3"/>
    </row>
    <row r="995">
      <c r="A995" s="1"/>
      <c r="G995" s="3"/>
    </row>
    <row r="996">
      <c r="A996" s="1"/>
      <c r="G996" s="3"/>
    </row>
    <row r="997">
      <c r="A997" s="1"/>
      <c r="G997" s="3"/>
    </row>
    <row r="998">
      <c r="A998" s="1"/>
      <c r="G998" s="3"/>
    </row>
    <row r="999">
      <c r="A999" s="1"/>
      <c r="G999" s="3"/>
    </row>
    <row r="1000">
      <c r="A1000" s="1"/>
      <c r="G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FB!A1</f>
        <v>Date</v>
      </c>
      <c r="B1" s="6" t="s">
        <v>1</v>
      </c>
      <c r="C1" s="5" t="s">
        <v>0</v>
      </c>
    </row>
    <row r="2">
      <c r="A2" s="1">
        <f>FB!A2</f>
        <v>41642.66667</v>
      </c>
      <c r="B2" s="3"/>
      <c r="C2" s="7">
        <v>1000.0</v>
      </c>
    </row>
    <row r="3">
      <c r="A3" s="1">
        <f>FB!A3</f>
        <v>41649.66667</v>
      </c>
      <c r="B3" s="3">
        <f>0.25*FB!G3+0.25*AAPL!G3+0.25*MSFT!G3+0.25*GOOG!G3</f>
        <v>0.01153906924</v>
      </c>
      <c r="C3" s="8">
        <f t="shared" ref="C3:C367" si="1">C2*(1+B3)</f>
        <v>1011.539069</v>
      </c>
    </row>
    <row r="4">
      <c r="A4" s="1">
        <f>FB!A4</f>
        <v>41656.66667</v>
      </c>
      <c r="B4" s="3">
        <f>0.25*FB!G4+0.25*AAPL!G4+0.25*MSFT!G4+0.25*GOOG!G4</f>
        <v>0.003459890575</v>
      </c>
      <c r="C4" s="8">
        <f t="shared" si="1"/>
        <v>1015.038884</v>
      </c>
    </row>
    <row r="5">
      <c r="A5" s="1">
        <f>FB!A5</f>
        <v>41663.66667</v>
      </c>
      <c r="B5" s="3">
        <f>0.25*FB!G5+0.25*AAPL!G5+0.25*MSFT!G5+0.25*GOOG!G5</f>
        <v>-0.008601858868</v>
      </c>
      <c r="C5" s="8">
        <f t="shared" si="1"/>
        <v>1006.307663</v>
      </c>
    </row>
    <row r="6">
      <c r="A6" s="1">
        <f>FB!A6</f>
        <v>41670.66667</v>
      </c>
      <c r="B6" s="3">
        <f>0.25*FB!G6+0.25*AAPL!G6+0.25*MSFT!G6+0.25*GOOG!G6</f>
        <v>0.03621917125</v>
      </c>
      <c r="C6" s="8">
        <f t="shared" si="1"/>
        <v>1042.755292</v>
      </c>
    </row>
    <row r="7">
      <c r="A7" s="1">
        <f>FB!A7</f>
        <v>41677.66667</v>
      </c>
      <c r="B7" s="3">
        <f>0.25*FB!G7+0.25*AAPL!G7+0.25*MSFT!G7+0.25*GOOG!G7</f>
        <v>0.007298182646</v>
      </c>
      <c r="C7" s="8">
        <f t="shared" si="1"/>
        <v>1050.365511</v>
      </c>
    </row>
    <row r="8">
      <c r="A8" s="1">
        <f>FB!A8</f>
        <v>41684.66667</v>
      </c>
      <c r="B8" s="3">
        <f>0.25*FB!G8+0.25*AAPL!G8+0.25*MSFT!G8+0.25*GOOG!G8</f>
        <v>0.03511815208</v>
      </c>
      <c r="C8" s="8">
        <f t="shared" si="1"/>
        <v>1087.252406</v>
      </c>
    </row>
    <row r="9">
      <c r="A9" s="1">
        <f>FB!A9</f>
        <v>41691.66667</v>
      </c>
      <c r="B9" s="3">
        <f>0.25*FB!G9+0.25*AAPL!G9+0.25*MSFT!G9+0.25*GOOG!G9</f>
        <v>-0.0004351471379</v>
      </c>
      <c r="C9" s="8">
        <f t="shared" si="1"/>
        <v>1086.779292</v>
      </c>
    </row>
    <row r="10">
      <c r="A10" s="1">
        <f>FB!A10</f>
        <v>41698.66667</v>
      </c>
      <c r="B10" s="3">
        <f>0.25*FB!G10+0.25*AAPL!G10+0.25*MSFT!G10+0.25*GOOG!G10</f>
        <v>0.004561227317</v>
      </c>
      <c r="C10" s="8">
        <f t="shared" si="1"/>
        <v>1091.736339</v>
      </c>
    </row>
    <row r="11">
      <c r="A11" s="1">
        <f>FB!A11</f>
        <v>41705.66667</v>
      </c>
      <c r="B11" s="3">
        <f>0.25*FB!G11+0.25*AAPL!G11+0.25*MSFT!G11+0.25*GOOG!G11</f>
        <v>0.004036707602</v>
      </c>
      <c r="C11" s="8">
        <f t="shared" si="1"/>
        <v>1096.143359</v>
      </c>
    </row>
    <row r="12">
      <c r="A12" s="1">
        <f>FB!A12</f>
        <v>41712.66667</v>
      </c>
      <c r="B12" s="3">
        <f>0.25*FB!G12+0.25*AAPL!G12+0.25*MSFT!G12+0.25*GOOG!G12</f>
        <v>-0.02004845789</v>
      </c>
      <c r="C12" s="8">
        <f t="shared" si="1"/>
        <v>1074.167375</v>
      </c>
    </row>
    <row r="13">
      <c r="A13" s="1">
        <f>FB!A13</f>
        <v>41719.66667</v>
      </c>
      <c r="B13" s="3">
        <f>0.25*FB!G13+0.25*AAPL!G13+0.25*MSFT!G13+0.25*GOOG!G13</f>
        <v>0.02059253534</v>
      </c>
      <c r="C13" s="8">
        <f t="shared" si="1"/>
        <v>1096.287205</v>
      </c>
    </row>
    <row r="14">
      <c r="A14" s="1">
        <f>FB!A14</f>
        <v>41726.66667</v>
      </c>
      <c r="B14" s="3">
        <f>0.25*FB!G14+0.25*AAPL!G14+0.25*MSFT!G14+0.25*GOOG!G14</f>
        <v>-0.03814308312</v>
      </c>
      <c r="C14" s="8">
        <f t="shared" si="1"/>
        <v>1054.471431</v>
      </c>
    </row>
    <row r="15">
      <c r="A15" s="1">
        <f>FB!A15</f>
        <v>41733.66667</v>
      </c>
      <c r="B15" s="3">
        <f>0.25*FB!G15+0.25*AAPL!G15+0.25*MSFT!G15+0.25*GOOG!G15</f>
        <v>-0.02612113993</v>
      </c>
      <c r="C15" s="8">
        <f t="shared" si="1"/>
        <v>1026.927435</v>
      </c>
    </row>
    <row r="16">
      <c r="A16" s="1">
        <f>FB!A16</f>
        <v>41740.66667</v>
      </c>
      <c r="B16" s="3">
        <f>0.25*FB!G16+0.25*AAPL!G16+0.25*MSFT!G16+0.25*GOOG!G16</f>
        <v>-0.007727322705</v>
      </c>
      <c r="C16" s="8">
        <f t="shared" si="1"/>
        <v>1018.992036</v>
      </c>
    </row>
    <row r="17">
      <c r="A17" s="1">
        <f>FB!A17</f>
        <v>41746.66667</v>
      </c>
      <c r="B17" s="3">
        <f>0.25*FB!G17+0.25*AAPL!G17+0.25*MSFT!G17+0.25*GOOG!G17</f>
        <v>0.01200030345</v>
      </c>
      <c r="C17" s="8">
        <f t="shared" si="1"/>
        <v>1031.220249</v>
      </c>
    </row>
    <row r="18">
      <c r="A18" s="1">
        <f>FB!A18</f>
        <v>41754.66667</v>
      </c>
      <c r="B18" s="3">
        <f>0.25*FB!G18+0.25*AAPL!G18+0.25*MSFT!G18+0.25*GOOG!G18</f>
        <v>0.007271189731</v>
      </c>
      <c r="C18" s="8">
        <f t="shared" si="1"/>
        <v>1038.718447</v>
      </c>
    </row>
    <row r="19">
      <c r="A19" s="1">
        <f>FB!A19</f>
        <v>41761.66667</v>
      </c>
      <c r="B19" s="3">
        <f>0.25*FB!G19+0.25*AAPL!G19+0.25*MSFT!G19+0.25*GOOG!G19</f>
        <v>0.02515486022</v>
      </c>
      <c r="C19" s="8">
        <f t="shared" si="1"/>
        <v>1064.847265</v>
      </c>
    </row>
    <row r="20">
      <c r="A20" s="1">
        <f>FB!A20</f>
        <v>41768.66667</v>
      </c>
      <c r="B20" s="3">
        <f>0.25*FB!G20+0.25*AAPL!G20+0.25*MSFT!G20+0.25*GOOG!G20</f>
        <v>-0.02156748816</v>
      </c>
      <c r="C20" s="8">
        <f t="shared" si="1"/>
        <v>1041.881184</v>
      </c>
    </row>
    <row r="21">
      <c r="A21" s="1">
        <f>FB!A21</f>
        <v>41775.66667</v>
      </c>
      <c r="B21" s="3">
        <f>0.25*FB!G21+0.25*AAPL!G21+0.25*MSFT!G21+0.25*GOOG!G21</f>
        <v>0.01129475448</v>
      </c>
      <c r="C21" s="8">
        <f t="shared" si="1"/>
        <v>1053.648976</v>
      </c>
    </row>
    <row r="22">
      <c r="A22" s="1">
        <f>FB!A22</f>
        <v>41782.66667</v>
      </c>
      <c r="B22" s="3">
        <f>0.25*FB!G22+0.25*AAPL!G22+0.25*MSFT!G22+0.25*GOOG!G22</f>
        <v>0.03848414444</v>
      </c>
      <c r="C22" s="8">
        <f t="shared" si="1"/>
        <v>1094.197755</v>
      </c>
    </row>
    <row r="23">
      <c r="A23" s="1">
        <f>FB!A23</f>
        <v>41789.66667</v>
      </c>
      <c r="B23" s="3">
        <f>0.25*FB!G23+0.25*AAPL!G23+0.25*MSFT!G23+0.25*GOOG!G23</f>
        <v>0.02405987389</v>
      </c>
      <c r="C23" s="8">
        <f t="shared" si="1"/>
        <v>1120.524015</v>
      </c>
    </row>
    <row r="24">
      <c r="A24" s="1">
        <f>FB!A24</f>
        <v>41796.66667</v>
      </c>
      <c r="B24" s="3">
        <f>0.25*FB!G24+0.25*AAPL!G24+0.25*MSFT!G24+0.25*GOOG!G24</f>
        <v>0.003524149044</v>
      </c>
      <c r="C24" s="8">
        <f t="shared" si="1"/>
        <v>1124.472909</v>
      </c>
    </row>
    <row r="25">
      <c r="A25" s="1">
        <f>FB!A25</f>
        <v>41803.66667</v>
      </c>
      <c r="B25" s="3">
        <f>0.25*FB!G25+0.25*AAPL!G25+0.25*MSFT!G25+0.25*GOOG!G25</f>
        <v>0.001836584208</v>
      </c>
      <c r="C25" s="8">
        <f t="shared" si="1"/>
        <v>1126.538098</v>
      </c>
    </row>
    <row r="26">
      <c r="A26" s="1">
        <f>FB!A26</f>
        <v>41810.66667</v>
      </c>
      <c r="B26" s="3">
        <f>0.25*FB!G26+0.25*AAPL!G26+0.25*MSFT!G26+0.25*GOOG!G26</f>
        <v>0.00382803419</v>
      </c>
      <c r="C26" s="8">
        <f t="shared" si="1"/>
        <v>1130.850525</v>
      </c>
    </row>
    <row r="27">
      <c r="A27" s="1">
        <f>FB!A27</f>
        <v>41817.66667</v>
      </c>
      <c r="B27" s="3">
        <f>0.25*FB!G27+0.25*AAPL!G27+0.25*MSFT!G27+0.25*GOOG!G27</f>
        <v>0.0277851363</v>
      </c>
      <c r="C27" s="8">
        <f t="shared" si="1"/>
        <v>1162.271361</v>
      </c>
    </row>
    <row r="28">
      <c r="A28" s="1">
        <f>FB!A28</f>
        <v>41823.66667</v>
      </c>
      <c r="B28" s="3">
        <f>0.25*FB!G28+0.25*AAPL!G28+0.25*MSFT!G28+0.25*GOOG!G28</f>
        <v>0.001280184233</v>
      </c>
      <c r="C28" s="8">
        <f t="shared" si="1"/>
        <v>1163.759282</v>
      </c>
    </row>
    <row r="29">
      <c r="A29" s="1">
        <f>FB!A29</f>
        <v>41831.66667</v>
      </c>
      <c r="B29" s="3">
        <f>0.25*FB!G29+0.25*AAPL!G29+0.25*MSFT!G29+0.25*GOOG!G29</f>
        <v>0.002738033403</v>
      </c>
      <c r="C29" s="8">
        <f t="shared" si="1"/>
        <v>1166.945694</v>
      </c>
    </row>
    <row r="30">
      <c r="A30" s="1">
        <f>FB!A30</f>
        <v>41838.66667</v>
      </c>
      <c r="B30" s="3">
        <f>0.25*FB!G30+0.25*AAPL!G30+0.25*MSFT!G30+0.25*GOOG!G30</f>
        <v>0.02804627936</v>
      </c>
      <c r="C30" s="8">
        <f t="shared" si="1"/>
        <v>1199.674179</v>
      </c>
    </row>
    <row r="31">
      <c r="A31" s="1">
        <f>FB!A31</f>
        <v>41845.66667</v>
      </c>
      <c r="B31" s="3">
        <f>0.25*FB!G31+0.25*AAPL!G31+0.25*MSFT!G31+0.25*GOOG!G31</f>
        <v>0.02970647213</v>
      </c>
      <c r="C31" s="8">
        <f t="shared" si="1"/>
        <v>1235.312266</v>
      </c>
    </row>
    <row r="32">
      <c r="A32" s="1">
        <f>FB!A32</f>
        <v>41852.66667</v>
      </c>
      <c r="B32" s="3">
        <f>0.25*FB!G32+0.25*AAPL!G32+0.25*MSFT!G32+0.25*GOOG!G32</f>
        <v>-0.03235752599</v>
      </c>
      <c r="C32" s="8">
        <f t="shared" si="1"/>
        <v>1195.340618</v>
      </c>
    </row>
    <row r="33">
      <c r="A33" s="1">
        <f>FB!A33</f>
        <v>41859.66667</v>
      </c>
      <c r="B33" s="3">
        <f>0.25*FB!G33+0.25*AAPL!G33+0.25*MSFT!G33+0.25*GOOG!G33</f>
        <v>0.002055696795</v>
      </c>
      <c r="C33" s="8">
        <f t="shared" si="1"/>
        <v>1197.797875</v>
      </c>
    </row>
    <row r="34">
      <c r="A34" s="1">
        <f>FB!A34</f>
        <v>41866.66667</v>
      </c>
      <c r="B34" s="3">
        <f>0.25*FB!G34+0.25*AAPL!G34+0.25*MSFT!G34+0.25*GOOG!G34</f>
        <v>0.02177129425</v>
      </c>
      <c r="C34" s="8">
        <f t="shared" si="1"/>
        <v>1223.875485</v>
      </c>
    </row>
    <row r="35">
      <c r="A35" s="1">
        <f>FB!A35</f>
        <v>41873.66667</v>
      </c>
      <c r="B35" s="3">
        <f>0.25*FB!G35+0.25*AAPL!G35+0.25*MSFT!G35+0.25*GOOG!G35</f>
        <v>0.01763081204</v>
      </c>
      <c r="C35" s="8">
        <f t="shared" si="1"/>
        <v>1245.453404</v>
      </c>
    </row>
    <row r="36">
      <c r="A36" s="1">
        <f>FB!A36</f>
        <v>41880.66667</v>
      </c>
      <c r="B36" s="3">
        <f>0.25*FB!G36+0.25*AAPL!G36+0.25*MSFT!G36+0.25*GOOG!G36</f>
        <v>0.0006417980561</v>
      </c>
      <c r="C36" s="8">
        <f t="shared" si="1"/>
        <v>1246.252734</v>
      </c>
    </row>
    <row r="37">
      <c r="A37" s="1">
        <f>FB!A37</f>
        <v>41887.66667</v>
      </c>
      <c r="B37" s="3">
        <f>0.25*FB!G37+0.25*AAPL!G37+0.25*MSFT!G37+0.25*GOOG!G37</f>
        <v>0.008446093752</v>
      </c>
      <c r="C37" s="8">
        <f t="shared" si="1"/>
        <v>1256.778701</v>
      </c>
    </row>
    <row r="38">
      <c r="A38" s="1">
        <f>FB!A38</f>
        <v>41894.66667</v>
      </c>
      <c r="B38" s="3">
        <f>0.25*FB!G38+0.25*AAPL!G38+0.25*MSFT!G38+0.25*GOOG!G38</f>
        <v>0.007423933361</v>
      </c>
      <c r="C38" s="8">
        <f t="shared" si="1"/>
        <v>1266.108942</v>
      </c>
    </row>
    <row r="39">
      <c r="A39" s="1">
        <f>FB!A39</f>
        <v>41901.66667</v>
      </c>
      <c r="B39" s="3">
        <f>0.25*FB!G39+0.25*AAPL!G39+0.25*MSFT!G39+0.25*GOOG!G39</f>
        <v>0.01289567021</v>
      </c>
      <c r="C39" s="8">
        <f t="shared" si="1"/>
        <v>1282.436266</v>
      </c>
    </row>
    <row r="40">
      <c r="A40" s="1">
        <f>FB!A40</f>
        <v>41908.66667</v>
      </c>
      <c r="B40" s="3">
        <f>0.25*FB!G40+0.25*AAPL!G40+0.25*MSFT!G40+0.25*GOOG!G40</f>
        <v>-0.01147226164</v>
      </c>
      <c r="C40" s="8">
        <f t="shared" si="1"/>
        <v>1267.723821</v>
      </c>
    </row>
    <row r="41">
      <c r="A41" s="1">
        <f>FB!A41</f>
        <v>41915.66667</v>
      </c>
      <c r="B41" s="3">
        <f>0.25*FB!G41+0.25*AAPL!G41+0.25*MSFT!G41+0.25*GOOG!G41</f>
        <v>-0.00957243094</v>
      </c>
      <c r="C41" s="8">
        <f t="shared" si="1"/>
        <v>1255.588623</v>
      </c>
    </row>
    <row r="42">
      <c r="A42" s="1">
        <f>FB!A42</f>
        <v>41922.66667</v>
      </c>
      <c r="B42" s="3">
        <f>0.25*FB!G42+0.25*AAPL!G42+0.25*MSFT!G42+0.25*GOOG!G42</f>
        <v>-0.03647045708</v>
      </c>
      <c r="C42" s="8">
        <f t="shared" si="1"/>
        <v>1209.796732</v>
      </c>
    </row>
    <row r="43">
      <c r="A43" s="1">
        <f>FB!A43</f>
        <v>41929.66667</v>
      </c>
      <c r="B43" s="3">
        <f>0.25*FB!G43+0.25*AAPL!G43+0.25*MSFT!G43+0.25*GOOG!G43</f>
        <v>-0.01469230308</v>
      </c>
      <c r="C43" s="8">
        <f t="shared" si="1"/>
        <v>1192.022031</v>
      </c>
    </row>
    <row r="44">
      <c r="A44" s="1">
        <f>FB!A44</f>
        <v>41936.66667</v>
      </c>
      <c r="B44" s="3">
        <f>0.25*FB!G44+0.25*AAPL!G44+0.25*MSFT!G44+0.25*GOOG!G44</f>
        <v>0.06320204133</v>
      </c>
      <c r="C44" s="8">
        <f t="shared" si="1"/>
        <v>1267.360257</v>
      </c>
    </row>
    <row r="45">
      <c r="A45" s="1">
        <f>FB!A45</f>
        <v>41943.66667</v>
      </c>
      <c r="B45" s="3">
        <f>0.25*FB!G45+0.25*AAPL!G45+0.25*MSFT!G45+0.25*GOOG!G45</f>
        <v>0.00233800878</v>
      </c>
      <c r="C45" s="8">
        <f t="shared" si="1"/>
        <v>1270.323357</v>
      </c>
    </row>
    <row r="46">
      <c r="A46" s="1">
        <f>FB!A46</f>
        <v>41950.66667</v>
      </c>
      <c r="B46" s="3">
        <f>0.25*FB!G46+0.25*AAPL!G46+0.25*MSFT!G46+0.25*GOOG!G46</f>
        <v>0.005480354052</v>
      </c>
      <c r="C46" s="8">
        <f t="shared" si="1"/>
        <v>1277.285178</v>
      </c>
    </row>
    <row r="47">
      <c r="A47" s="1">
        <f>FB!A47</f>
        <v>41957.66667</v>
      </c>
      <c r="B47" s="3">
        <f>0.25*FB!G47+0.25*AAPL!G47+0.25*MSFT!G47+0.25*GOOG!G47</f>
        <v>0.01573385246</v>
      </c>
      <c r="C47" s="8">
        <f t="shared" si="1"/>
        <v>1297.381795</v>
      </c>
    </row>
    <row r="48">
      <c r="A48" s="1">
        <f>FB!A48</f>
        <v>41964.66667</v>
      </c>
      <c r="B48" s="3">
        <f>0.25*FB!G48+0.25*AAPL!G48+0.25*MSFT!G48+0.25*GOOG!G48</f>
        <v>-0.0100173414</v>
      </c>
      <c r="C48" s="8">
        <f t="shared" si="1"/>
        <v>1284.385478</v>
      </c>
    </row>
    <row r="49">
      <c r="A49" s="1">
        <f>FB!A49</f>
        <v>41971.66667</v>
      </c>
      <c r="B49" s="3">
        <f>0.25*FB!G49+0.25*AAPL!G49+0.25*MSFT!G49+0.25*GOOG!G49</f>
        <v>0.01975580792</v>
      </c>
      <c r="C49" s="8">
        <f t="shared" si="1"/>
        <v>1309.759551</v>
      </c>
    </row>
    <row r="50">
      <c r="A50" s="1">
        <f>FB!A50</f>
        <v>41978.66667</v>
      </c>
      <c r="B50" s="3">
        <f>0.25*FB!G50+0.25*AAPL!G50+0.25*MSFT!G50+0.25*GOOG!G50</f>
        <v>-0.01701040008</v>
      </c>
      <c r="C50" s="8">
        <f t="shared" si="1"/>
        <v>1287.480017</v>
      </c>
    </row>
    <row r="51">
      <c r="A51" s="1">
        <f>FB!A51</f>
        <v>41985.66667</v>
      </c>
      <c r="B51" s="3">
        <f>0.25*FB!G51+0.25*AAPL!G51+0.25*MSFT!G51+0.25*GOOG!G51</f>
        <v>-0.01739576234</v>
      </c>
      <c r="C51" s="8">
        <f t="shared" si="1"/>
        <v>1265.083321</v>
      </c>
    </row>
    <row r="52">
      <c r="A52" s="1">
        <f>FB!A52</f>
        <v>41992.66667</v>
      </c>
      <c r="B52" s="3">
        <f>0.25*FB!G52+0.25*AAPL!G52+0.25*MSFT!G52+0.25*GOOG!G52</f>
        <v>0.01399314899</v>
      </c>
      <c r="C52" s="8">
        <f t="shared" si="1"/>
        <v>1282.78582</v>
      </c>
    </row>
    <row r="53">
      <c r="A53" s="1">
        <f>FB!A53</f>
        <v>41999.66667</v>
      </c>
      <c r="B53" s="3">
        <f>0.25*FB!G53+0.25*AAPL!G53+0.25*MSFT!G53+0.25*GOOG!G53</f>
        <v>0.01744948137</v>
      </c>
      <c r="C53" s="8">
        <f t="shared" si="1"/>
        <v>1305.169768</v>
      </c>
    </row>
    <row r="54">
      <c r="A54" s="1">
        <f>FB!A54</f>
        <v>42006.66667</v>
      </c>
      <c r="B54" s="3">
        <f>0.25*FB!G54+0.25*AAPL!G54+0.25*MSFT!G54+0.25*GOOG!G54</f>
        <v>-0.02764073553</v>
      </c>
      <c r="C54" s="8">
        <f t="shared" si="1"/>
        <v>1269.093915</v>
      </c>
    </row>
    <row r="55">
      <c r="A55" s="1">
        <f>FB!A55</f>
        <v>42013.66667</v>
      </c>
      <c r="B55" s="3">
        <f>0.25*FB!G55+0.25*AAPL!G55+0.25*MSFT!G55+0.25*GOOG!G55</f>
        <v>-0.007477174227</v>
      </c>
      <c r="C55" s="8">
        <f t="shared" si="1"/>
        <v>1259.604679</v>
      </c>
    </row>
    <row r="56">
      <c r="A56" s="1">
        <f>FB!A56</f>
        <v>42020.66667</v>
      </c>
      <c r="B56" s="3">
        <f>0.25*FB!G56+0.25*AAPL!G56+0.25*MSFT!G56+0.25*GOOG!G56</f>
        <v>-0.02065596928</v>
      </c>
      <c r="C56" s="8">
        <f t="shared" si="1"/>
        <v>1233.586323</v>
      </c>
    </row>
    <row r="57">
      <c r="A57" s="1">
        <f>FB!A57</f>
        <v>42027.66667</v>
      </c>
      <c r="B57" s="3">
        <f>0.25*FB!G57+0.25*AAPL!G57+0.25*MSFT!G57+0.25*GOOG!G57</f>
        <v>0.04608399692</v>
      </c>
      <c r="C57" s="8">
        <f t="shared" si="1"/>
        <v>1290.434912</v>
      </c>
    </row>
    <row r="58">
      <c r="A58" s="1">
        <f>FB!A58</f>
        <v>42034.66667</v>
      </c>
      <c r="B58" s="3">
        <f>0.25*FB!G58+0.25*AAPL!G58+0.25*MSFT!G58+0.25*GOOG!G58</f>
        <v>-0.03540173403</v>
      </c>
      <c r="C58" s="8">
        <f t="shared" si="1"/>
        <v>1244.751278</v>
      </c>
    </row>
    <row r="59">
      <c r="A59" s="1">
        <f>FB!A59</f>
        <v>42041.66667</v>
      </c>
      <c r="B59" s="3">
        <f>0.25*FB!G59+0.25*AAPL!G59+0.25*MSFT!G59+0.25*GOOG!G59</f>
        <v>0.009805052451</v>
      </c>
      <c r="C59" s="8">
        <f t="shared" si="1"/>
        <v>1256.95613</v>
      </c>
    </row>
    <row r="60">
      <c r="A60" s="1">
        <f>FB!A60</f>
        <v>42048.66667</v>
      </c>
      <c r="B60" s="3">
        <f>0.25*FB!G60+0.25*AAPL!G60+0.25*MSFT!G60+0.25*GOOG!G60</f>
        <v>0.03850320922</v>
      </c>
      <c r="C60" s="8">
        <f t="shared" si="1"/>
        <v>1305.352975</v>
      </c>
    </row>
    <row r="61">
      <c r="A61" s="1">
        <f>FB!A61</f>
        <v>42055.66667</v>
      </c>
      <c r="B61" s="3">
        <f>0.25*FB!G61+0.25*AAPL!G61+0.25*MSFT!G61+0.25*GOOG!G61</f>
        <v>0.01381124325</v>
      </c>
      <c r="C61" s="8">
        <f t="shared" si="1"/>
        <v>1323.381522</v>
      </c>
    </row>
    <row r="62">
      <c r="A62" s="1">
        <f>FB!A62</f>
        <v>42062.66667</v>
      </c>
      <c r="B62" s="3">
        <f>0.25*FB!G62+0.25*AAPL!G62+0.25*MSFT!G62+0.25*GOOG!G62</f>
        <v>0.004126072439</v>
      </c>
      <c r="C62" s="8">
        <f t="shared" si="1"/>
        <v>1328.84189</v>
      </c>
    </row>
    <row r="63">
      <c r="A63" s="1">
        <f>FB!A63</f>
        <v>42069.66667</v>
      </c>
      <c r="B63" s="3">
        <f>0.25*FB!G63+0.25*AAPL!G63+0.25*MSFT!G63+0.25*GOOG!G63</f>
        <v>-0.004703472118</v>
      </c>
      <c r="C63" s="8">
        <f t="shared" si="1"/>
        <v>1322.591719</v>
      </c>
    </row>
    <row r="64">
      <c r="A64" s="1">
        <f>FB!A64</f>
        <v>42076.66667</v>
      </c>
      <c r="B64" s="3">
        <f>0.25*FB!G64+0.25*AAPL!G64+0.25*MSFT!G64+0.25*GOOG!G64</f>
        <v>-0.02680095144</v>
      </c>
      <c r="C64" s="8">
        <f t="shared" si="1"/>
        <v>1287.145003</v>
      </c>
    </row>
    <row r="65">
      <c r="A65" s="1">
        <f>FB!A65</f>
        <v>42083.66667</v>
      </c>
      <c r="B65" s="3">
        <f>0.25*FB!G65+0.25*AAPL!G65+0.25*MSFT!G65+0.25*GOOG!G65</f>
        <v>0.03813151076</v>
      </c>
      <c r="C65" s="8">
        <f t="shared" si="1"/>
        <v>1336.225786</v>
      </c>
    </row>
    <row r="66">
      <c r="A66" s="1">
        <f>FB!A66</f>
        <v>42090.66667</v>
      </c>
      <c r="B66" s="3">
        <f>0.25*FB!G66+0.25*AAPL!G66+0.25*MSFT!G66+0.25*GOOG!G66</f>
        <v>-0.02331209828</v>
      </c>
      <c r="C66" s="8">
        <f t="shared" si="1"/>
        <v>1305.07556</v>
      </c>
    </row>
    <row r="67">
      <c r="A67" s="1">
        <f>FB!A67</f>
        <v>42096.66667</v>
      </c>
      <c r="B67" s="3">
        <f>0.25*FB!G67+0.25*AAPL!G67+0.25*MSFT!G67+0.25*GOOG!G67</f>
        <v>-0.01099471679</v>
      </c>
      <c r="C67" s="8">
        <f t="shared" si="1"/>
        <v>1290.726623</v>
      </c>
    </row>
    <row r="68">
      <c r="A68" s="1">
        <f>FB!A68</f>
        <v>42104.66667</v>
      </c>
      <c r="B68" s="3">
        <f>0.25*FB!G68+0.25*AAPL!G68+0.25*MSFT!G68+0.25*GOOG!G68</f>
        <v>0.01602774804</v>
      </c>
      <c r="C68" s="8">
        <f t="shared" si="1"/>
        <v>1311.414064</v>
      </c>
    </row>
    <row r="69">
      <c r="A69" s="1">
        <f>FB!A69</f>
        <v>42111.66667</v>
      </c>
      <c r="B69" s="3">
        <f>0.25*FB!G69+0.25*AAPL!G69+0.25*MSFT!G69+0.25*GOOG!G69</f>
        <v>-0.01646595391</v>
      </c>
      <c r="C69" s="8">
        <f t="shared" si="1"/>
        <v>1289.820381</v>
      </c>
    </row>
    <row r="70">
      <c r="A70" s="1">
        <f>FB!A70</f>
        <v>42118.66667</v>
      </c>
      <c r="B70" s="3">
        <f>0.25*FB!G70+0.25*AAPL!G70+0.25*MSFT!G70+0.25*GOOG!G70</f>
        <v>0.07048450479</v>
      </c>
      <c r="C70" s="8">
        <f t="shared" si="1"/>
        <v>1380.732732</v>
      </c>
    </row>
    <row r="71">
      <c r="A71" s="1">
        <f>FB!A71</f>
        <v>42125.66667</v>
      </c>
      <c r="B71" s="3">
        <f>0.25*FB!G71+0.25*AAPL!G71+0.25*MSFT!G71+0.25*GOOG!G71</f>
        <v>-0.01755761411</v>
      </c>
      <c r="C71" s="8">
        <f t="shared" si="1"/>
        <v>1356.490359</v>
      </c>
    </row>
    <row r="72">
      <c r="A72" s="1">
        <f>FB!A72</f>
        <v>42132.66667</v>
      </c>
      <c r="B72" s="3">
        <f>0.25*FB!G72+0.25*AAPL!G72+0.25*MSFT!G72+0.25*GOOG!G72</f>
        <v>-0.008604684102</v>
      </c>
      <c r="C72" s="8">
        <f t="shared" si="1"/>
        <v>1344.818188</v>
      </c>
    </row>
    <row r="73">
      <c r="A73" s="1">
        <f>FB!A73</f>
        <v>42139.66667</v>
      </c>
      <c r="B73" s="3">
        <f>0.25*FB!G73+0.25*AAPL!G73+0.25*MSFT!G73+0.25*GOOG!G73</f>
        <v>0.009125439516</v>
      </c>
      <c r="C73" s="8">
        <f t="shared" si="1"/>
        <v>1357.090245</v>
      </c>
    </row>
    <row r="74">
      <c r="A74" s="1">
        <f>FB!A74</f>
        <v>42146.66667</v>
      </c>
      <c r="B74" s="3">
        <f>0.25*FB!G74+0.25*AAPL!G74+0.25*MSFT!G74+0.25*GOOG!G74</f>
        <v>0.003436267519</v>
      </c>
      <c r="C74" s="8">
        <f t="shared" si="1"/>
        <v>1361.75357</v>
      </c>
    </row>
    <row r="75">
      <c r="A75" s="1">
        <f>FB!A75</f>
        <v>42153.66667</v>
      </c>
      <c r="B75" s="3">
        <f>0.25*FB!G75+0.25*AAPL!G75+0.25*MSFT!G75+0.25*GOOG!G75</f>
        <v>-0.01240657303</v>
      </c>
      <c r="C75" s="8">
        <f t="shared" si="1"/>
        <v>1344.858875</v>
      </c>
    </row>
    <row r="76">
      <c r="A76" s="1">
        <f>FB!A76</f>
        <v>42160.66667</v>
      </c>
      <c r="B76" s="3">
        <f>0.25*FB!G76+0.25*AAPL!G76+0.25*MSFT!G76+0.25*GOOG!G76</f>
        <v>0.002897937283</v>
      </c>
      <c r="C76" s="8">
        <f t="shared" si="1"/>
        <v>1348.756192</v>
      </c>
    </row>
    <row r="77">
      <c r="A77" s="1">
        <f>FB!A77</f>
        <v>42167.66667</v>
      </c>
      <c r="B77" s="3">
        <f>0.25*FB!G77+0.25*AAPL!G77+0.25*MSFT!G77+0.25*GOOG!G77</f>
        <v>-0.006122692693</v>
      </c>
      <c r="C77" s="8">
        <f t="shared" si="1"/>
        <v>1340.498172</v>
      </c>
    </row>
    <row r="78">
      <c r="A78" s="1">
        <f>FB!A78</f>
        <v>42174.66667</v>
      </c>
      <c r="B78" s="3">
        <f>0.25*FB!G78+0.25*AAPL!G78+0.25*MSFT!G78+0.25*GOOG!G78</f>
        <v>0.004658638541</v>
      </c>
      <c r="C78" s="8">
        <f t="shared" si="1"/>
        <v>1346.743069</v>
      </c>
    </row>
    <row r="79">
      <c r="A79" s="1">
        <f>FB!A79</f>
        <v>42181.66667</v>
      </c>
      <c r="B79" s="3">
        <f>0.25*FB!G79+0.25*AAPL!G79+0.25*MSFT!G79+0.25*GOOG!G79</f>
        <v>0.01009619666</v>
      </c>
      <c r="C79" s="8">
        <f t="shared" si="1"/>
        <v>1360.340052</v>
      </c>
    </row>
    <row r="80">
      <c r="A80" s="1">
        <f>FB!A80</f>
        <v>42187.66667</v>
      </c>
      <c r="B80" s="3">
        <f>0.25*FB!G80+0.25*AAPL!G80+0.25*MSFT!G80+0.25*GOOG!G80</f>
        <v>-0.01132461552</v>
      </c>
      <c r="C80" s="8">
        <f t="shared" si="1"/>
        <v>1344.934723</v>
      </c>
    </row>
    <row r="81">
      <c r="A81" s="1">
        <f>FB!A81</f>
        <v>42195.66667</v>
      </c>
      <c r="B81" s="3">
        <f>0.25*FB!G81+0.25*AAPL!G81+0.25*MSFT!G81+0.25*GOOG!G81</f>
        <v>0.00003921919762</v>
      </c>
      <c r="C81" s="8">
        <f t="shared" si="1"/>
        <v>1344.987471</v>
      </c>
    </row>
    <row r="82">
      <c r="A82" s="1">
        <f>FB!A82</f>
        <v>42202.66667</v>
      </c>
      <c r="B82" s="3">
        <f>0.25*FB!G82+0.25*AAPL!G82+0.25*MSFT!G82+0.25*GOOG!G82</f>
        <v>0.111458252</v>
      </c>
      <c r="C82" s="8">
        <f t="shared" si="1"/>
        <v>1494.897423</v>
      </c>
    </row>
    <row r="83">
      <c r="A83" s="1">
        <f>FB!A83</f>
        <v>42209.66667</v>
      </c>
      <c r="B83" s="3">
        <f>0.25*FB!G83+0.25*AAPL!G83+0.25*MSFT!G83+0.25*GOOG!G83</f>
        <v>-0.02664925946</v>
      </c>
      <c r="C83" s="8">
        <f t="shared" si="1"/>
        <v>1455.059514</v>
      </c>
    </row>
    <row r="84">
      <c r="A84" s="1">
        <f>FB!A84</f>
        <v>42216.66667</v>
      </c>
      <c r="B84" s="3">
        <f>0.25*FB!G84+0.25*AAPL!G84+0.25*MSFT!G84+0.25*GOOG!G84</f>
        <v>-0.009048175187</v>
      </c>
      <c r="C84" s="8">
        <f t="shared" si="1"/>
        <v>1441.893881</v>
      </c>
    </row>
    <row r="85">
      <c r="A85" s="1">
        <f>FB!A85</f>
        <v>42223.66667</v>
      </c>
      <c r="B85" s="3">
        <f>0.25*FB!G85+0.25*AAPL!G85+0.25*MSFT!G85+0.25*GOOG!G85</f>
        <v>-0.007094314813</v>
      </c>
      <c r="C85" s="8">
        <f t="shared" si="1"/>
        <v>1431.664631</v>
      </c>
    </row>
    <row r="86">
      <c r="A86" s="1">
        <f>FB!A86</f>
        <v>42230.66667</v>
      </c>
      <c r="B86" s="3">
        <f>0.25*FB!G86+0.25*AAPL!G86+0.25*MSFT!G86+0.25*GOOG!G86</f>
        <v>0.01124751605</v>
      </c>
      <c r="C86" s="8">
        <f t="shared" si="1"/>
        <v>1447.767302</v>
      </c>
    </row>
    <row r="87">
      <c r="A87" s="1">
        <f>FB!A87</f>
        <v>42237.66667</v>
      </c>
      <c r="B87" s="3">
        <f>0.25*FB!G87+0.25*AAPL!G87+0.25*MSFT!G87+0.25*GOOG!G87</f>
        <v>-0.08201293709</v>
      </c>
      <c r="C87" s="8">
        <f t="shared" si="1"/>
        <v>1329.031654</v>
      </c>
    </row>
    <row r="88">
      <c r="A88" s="1">
        <f>FB!A88</f>
        <v>42244.66667</v>
      </c>
      <c r="B88" s="3">
        <f>0.25*FB!G88+0.25*AAPL!G88+0.25*MSFT!G88+0.25*GOOG!G88</f>
        <v>0.04445383421</v>
      </c>
      <c r="C88" s="8">
        <f t="shared" si="1"/>
        <v>1388.112206</v>
      </c>
    </row>
    <row r="89">
      <c r="A89" s="1">
        <f>FB!A89</f>
        <v>42251.66667</v>
      </c>
      <c r="B89" s="3">
        <f>0.25*FB!G89+0.25*AAPL!G89+0.25*MSFT!G89+0.25*GOOG!G89</f>
        <v>-0.03566442738</v>
      </c>
      <c r="C89" s="8">
        <f t="shared" si="1"/>
        <v>1338.605979</v>
      </c>
    </row>
    <row r="90">
      <c r="A90" s="1">
        <f>FB!A90</f>
        <v>42258.66667</v>
      </c>
      <c r="B90" s="3">
        <f>0.25*FB!G90+0.25*AAPL!G90+0.25*MSFT!G90+0.25*GOOG!G90</f>
        <v>0.03752891423</v>
      </c>
      <c r="C90" s="8">
        <f t="shared" si="1"/>
        <v>1388.842408</v>
      </c>
    </row>
    <row r="91">
      <c r="A91" s="1">
        <f>FB!A91</f>
        <v>42265.66667</v>
      </c>
      <c r="B91" s="3">
        <f>0.25*FB!G91+0.25*AAPL!G91+0.25*MSFT!G91+0.25*GOOG!G91</f>
        <v>0.006108940224</v>
      </c>
      <c r="C91" s="8">
        <f t="shared" si="1"/>
        <v>1397.326764</v>
      </c>
    </row>
    <row r="92">
      <c r="A92" s="1">
        <f>FB!A92</f>
        <v>42272.66667</v>
      </c>
      <c r="B92" s="3">
        <f>0.25*FB!G92+0.25*AAPL!G92+0.25*MSFT!G92+0.25*GOOG!G92</f>
        <v>-0.005716284465</v>
      </c>
      <c r="C92" s="8">
        <f t="shared" si="1"/>
        <v>1389.339246</v>
      </c>
    </row>
    <row r="93">
      <c r="A93" s="1">
        <f>FB!A93</f>
        <v>42279.66667</v>
      </c>
      <c r="B93" s="3">
        <f>0.25*FB!G93+0.25*AAPL!G93+0.25*MSFT!G93+0.25*GOOG!G93</f>
        <v>0.004076638742</v>
      </c>
      <c r="C93" s="8">
        <f t="shared" si="1"/>
        <v>1395.003081</v>
      </c>
    </row>
    <row r="94">
      <c r="A94" s="1">
        <f>FB!A94</f>
        <v>42286.66667</v>
      </c>
      <c r="B94" s="3">
        <f>0.25*FB!G94+0.25*AAPL!G94+0.25*MSFT!G94+0.25*GOOG!G94</f>
        <v>0.02218004695</v>
      </c>
      <c r="C94" s="8">
        <f t="shared" si="1"/>
        <v>1425.944314</v>
      </c>
    </row>
    <row r="95">
      <c r="A95" s="1">
        <f>FB!A95</f>
        <v>42293.66667</v>
      </c>
      <c r="B95" s="3">
        <f>0.25*FB!G95+0.25*AAPL!G95+0.25*MSFT!G95+0.25*GOOG!G95</f>
        <v>0.01846493183</v>
      </c>
      <c r="C95" s="8">
        <f t="shared" si="1"/>
        <v>1452.274279</v>
      </c>
    </row>
    <row r="96">
      <c r="A96" s="1">
        <f>FB!A96</f>
        <v>42300.66667</v>
      </c>
      <c r="B96" s="3">
        <f>0.25*FB!G96+0.25*AAPL!G96+0.25*MSFT!G96+0.25*GOOG!G96</f>
        <v>0.07325003293</v>
      </c>
      <c r="C96" s="8">
        <f t="shared" si="1"/>
        <v>1558.653418</v>
      </c>
    </row>
    <row r="97">
      <c r="A97" s="1">
        <f>FB!A97</f>
        <v>42307.66667</v>
      </c>
      <c r="B97" s="3">
        <f>0.25*FB!G97+0.25*AAPL!G97+0.25*MSFT!G97+0.25*GOOG!G97</f>
        <v>0.002435426702</v>
      </c>
      <c r="C97" s="8">
        <f t="shared" si="1"/>
        <v>1562.449404</v>
      </c>
    </row>
    <row r="98">
      <c r="A98" s="1">
        <f>FB!A98</f>
        <v>42314.66667</v>
      </c>
      <c r="B98" s="3">
        <f>0.25*FB!G98+0.25*AAPL!G98+0.25*MSFT!G98+0.25*GOOG!G98</f>
        <v>0.03474032555</v>
      </c>
      <c r="C98" s="8">
        <f t="shared" si="1"/>
        <v>1616.729405</v>
      </c>
    </row>
    <row r="99">
      <c r="A99" s="1">
        <f>FB!A99</f>
        <v>42321.66667</v>
      </c>
      <c r="B99" s="3">
        <f>0.25*FB!G99+0.25*AAPL!G99+0.25*MSFT!G99+0.25*GOOG!G99</f>
        <v>-0.04053619777</v>
      </c>
      <c r="C99" s="8">
        <f t="shared" si="1"/>
        <v>1551.193342</v>
      </c>
    </row>
    <row r="100">
      <c r="A100" s="1">
        <f>FB!A100</f>
        <v>42328.66667</v>
      </c>
      <c r="B100" s="3">
        <f>0.25*FB!G100+0.25*AAPL!G100+0.25*MSFT!G100+0.25*GOOG!G100</f>
        <v>0.0437855342</v>
      </c>
      <c r="C100" s="8">
        <f t="shared" si="1"/>
        <v>1619.113171</v>
      </c>
    </row>
    <row r="101">
      <c r="A101" s="1">
        <f>FB!A101</f>
        <v>42335.66667</v>
      </c>
      <c r="B101" s="3">
        <f>0.25*FB!G101+0.25*AAPL!G101+0.25*MSFT!G101+0.25*GOOG!G101</f>
        <v>-0.0108352261</v>
      </c>
      <c r="C101" s="8">
        <f t="shared" si="1"/>
        <v>1601.569714</v>
      </c>
    </row>
    <row r="102">
      <c r="A102" s="1">
        <f>FB!A102</f>
        <v>42342.66667</v>
      </c>
      <c r="B102" s="3">
        <f>0.25*FB!G102+0.25*AAPL!G102+0.25*MSFT!G102+0.25*GOOG!G102</f>
        <v>0.01905557669</v>
      </c>
      <c r="C102" s="8">
        <f t="shared" si="1"/>
        <v>1632.088548</v>
      </c>
    </row>
    <row r="103">
      <c r="A103" s="1">
        <f>FB!A103</f>
        <v>42349.66667</v>
      </c>
      <c r="B103" s="3">
        <f>0.25*FB!G103+0.25*AAPL!G103+0.25*MSFT!G103+0.25*GOOG!G103</f>
        <v>-0.03920541374</v>
      </c>
      <c r="C103" s="8">
        <f t="shared" si="1"/>
        <v>1568.101842</v>
      </c>
    </row>
    <row r="104">
      <c r="A104" s="1">
        <f>FB!A104</f>
        <v>42356.66667</v>
      </c>
      <c r="B104" s="3">
        <f>0.25*FB!G104+0.25*AAPL!G104+0.25*MSFT!G104+0.25*GOOG!G104</f>
        <v>-0.01063977794</v>
      </c>
      <c r="C104" s="8">
        <f t="shared" si="1"/>
        <v>1551.417586</v>
      </c>
    </row>
    <row r="105">
      <c r="A105" s="1">
        <f>FB!A105</f>
        <v>42362.66667</v>
      </c>
      <c r="B105" s="3">
        <f>0.25*FB!G105+0.25*AAPL!G105+0.25*MSFT!G105+0.25*GOOG!G105</f>
        <v>0.01725638432</v>
      </c>
      <c r="C105" s="8">
        <f t="shared" si="1"/>
        <v>1578.189444</v>
      </c>
    </row>
    <row r="106">
      <c r="A106" s="1">
        <f>FB!A106</f>
        <v>42369.66667</v>
      </c>
      <c r="B106" s="3">
        <f>0.25*FB!G106+0.25*AAPL!G106+0.25*MSFT!G106+0.25*GOOG!G106</f>
        <v>-0.004595943743</v>
      </c>
      <c r="C106" s="8">
        <f t="shared" si="1"/>
        <v>1570.936174</v>
      </c>
    </row>
    <row r="107">
      <c r="A107" s="1">
        <f>FB!A107</f>
        <v>42377.66667</v>
      </c>
      <c r="B107" s="3">
        <f>0.25*FB!G107+0.25*AAPL!G107+0.25*MSFT!G107+0.25*GOOG!G107</f>
        <v>-0.06609033297</v>
      </c>
      <c r="C107" s="8">
        <f t="shared" si="1"/>
        <v>1467.11248</v>
      </c>
    </row>
    <row r="108">
      <c r="A108" s="1">
        <f>FB!A108</f>
        <v>42384.66667</v>
      </c>
      <c r="B108" s="3">
        <f>0.25*FB!G108+0.25*AAPL!G108+0.25*MSFT!G108+0.25*GOOG!G108</f>
        <v>-0.01905618448</v>
      </c>
      <c r="C108" s="8">
        <f t="shared" si="1"/>
        <v>1439.154913</v>
      </c>
    </row>
    <row r="109">
      <c r="A109" s="1">
        <f>FB!A109</f>
        <v>42391.66667</v>
      </c>
      <c r="B109" s="3">
        <f>0.25*FB!G109+0.25*AAPL!G109+0.25*MSFT!G109+0.25*GOOG!G109</f>
        <v>0.03640023207</v>
      </c>
      <c r="C109" s="8">
        <f t="shared" si="1"/>
        <v>1491.540486</v>
      </c>
    </row>
    <row r="110">
      <c r="A110" s="1">
        <f>FB!A110</f>
        <v>42398.66667</v>
      </c>
      <c r="B110" s="3">
        <f>0.25*FB!G110+0.25*AAPL!G110+0.25*MSFT!G110+0.25*GOOG!G110</f>
        <v>0.04585838264</v>
      </c>
      <c r="C110" s="8">
        <f t="shared" si="1"/>
        <v>1559.940121</v>
      </c>
    </row>
    <row r="111">
      <c r="A111" s="1">
        <f>FB!A111</f>
        <v>42405.66667</v>
      </c>
      <c r="B111" s="3">
        <f>0.25*FB!G111+0.25*AAPL!G111+0.25*MSFT!G111+0.25*GOOG!G111</f>
        <v>-0.06901433776</v>
      </c>
      <c r="C111" s="8">
        <f t="shared" si="1"/>
        <v>1452.281886</v>
      </c>
    </row>
    <row r="112">
      <c r="A112" s="1">
        <f>FB!A112</f>
        <v>42412.66667</v>
      </c>
      <c r="B112" s="3">
        <f>0.25*FB!G112+0.25*AAPL!G112+0.25*MSFT!G112+0.25*GOOG!G112</f>
        <v>-0.003788253251</v>
      </c>
      <c r="C112" s="8">
        <f t="shared" si="1"/>
        <v>1446.780275</v>
      </c>
    </row>
    <row r="113">
      <c r="A113" s="1">
        <f>FB!A113</f>
        <v>42419.66667</v>
      </c>
      <c r="B113" s="3">
        <f>0.25*FB!G113+0.25*AAPL!G113+0.25*MSFT!G113+0.25*GOOG!G113</f>
        <v>0.02501529346</v>
      </c>
      <c r="C113" s="8">
        <f t="shared" si="1"/>
        <v>1482.971908</v>
      </c>
    </row>
    <row r="114">
      <c r="A114" s="1">
        <f>FB!A114</f>
        <v>42426.66667</v>
      </c>
      <c r="B114" s="3">
        <f>0.25*FB!G114+0.25*AAPL!G114+0.25*MSFT!G114+0.25*GOOG!G114</f>
        <v>0.009274802856</v>
      </c>
      <c r="C114" s="8">
        <f t="shared" si="1"/>
        <v>1496.72618</v>
      </c>
    </row>
    <row r="115">
      <c r="A115" s="1">
        <f>FB!A115</f>
        <v>42433.66667</v>
      </c>
      <c r="B115" s="3">
        <f>0.25*FB!G115+0.25*AAPL!G115+0.25*MSFT!G115+0.25*GOOG!G115</f>
        <v>0.02239293678</v>
      </c>
      <c r="C115" s="8">
        <f t="shared" si="1"/>
        <v>1530.242275</v>
      </c>
    </row>
    <row r="116">
      <c r="A116" s="1">
        <f>FB!A116</f>
        <v>42440.66667</v>
      </c>
      <c r="B116" s="3">
        <f>0.25*FB!G116+0.25*AAPL!G116+0.25*MSFT!G116+0.25*GOOG!G116</f>
        <v>0.01120429233</v>
      </c>
      <c r="C116" s="8">
        <f t="shared" si="1"/>
        <v>1547.387556</v>
      </c>
    </row>
    <row r="117">
      <c r="A117" s="1">
        <f>FB!A117</f>
        <v>42447.66667</v>
      </c>
      <c r="B117" s="3">
        <f>0.25*FB!G117+0.25*AAPL!G117+0.25*MSFT!G117+0.25*GOOG!G117</f>
        <v>0.01924496272</v>
      </c>
      <c r="C117" s="8">
        <f t="shared" si="1"/>
        <v>1577.166972</v>
      </c>
    </row>
    <row r="118">
      <c r="A118" s="1">
        <f>FB!A118</f>
        <v>42453.66667</v>
      </c>
      <c r="B118" s="3">
        <f>0.25*FB!G118+0.25*AAPL!G118+0.25*MSFT!G118+0.25*GOOG!G118</f>
        <v>0.005608147791</v>
      </c>
      <c r="C118" s="8">
        <f t="shared" si="1"/>
        <v>1586.011958</v>
      </c>
    </row>
    <row r="119">
      <c r="A119" s="1">
        <f>FB!A119</f>
        <v>42461.66667</v>
      </c>
      <c r="B119" s="3">
        <f>0.25*FB!G119+0.25*AAPL!G119+0.25*MSFT!G119+0.25*GOOG!G119</f>
        <v>0.02811514322</v>
      </c>
      <c r="C119" s="8">
        <f t="shared" si="1"/>
        <v>1630.602911</v>
      </c>
    </row>
    <row r="120">
      <c r="A120" s="1">
        <f>FB!A120</f>
        <v>42468.66667</v>
      </c>
      <c r="B120" s="3">
        <f>0.25*FB!G120+0.25*AAPL!G120+0.25*MSFT!G120+0.25*GOOG!G120</f>
        <v>-0.02345728824</v>
      </c>
      <c r="C120" s="8">
        <f t="shared" si="1"/>
        <v>1592.353389</v>
      </c>
    </row>
    <row r="121">
      <c r="A121" s="1">
        <f>FB!A121</f>
        <v>42475.66667</v>
      </c>
      <c r="B121" s="3">
        <f>0.25*FB!G121+0.25*AAPL!G121+0.25*MSFT!G121+0.25*GOOG!G121</f>
        <v>0.01279548624</v>
      </c>
      <c r="C121" s="8">
        <f t="shared" si="1"/>
        <v>1612.728324</v>
      </c>
    </row>
    <row r="122">
      <c r="A122" s="1">
        <f>FB!A122</f>
        <v>42482.66667</v>
      </c>
      <c r="B122" s="3">
        <f>0.25*FB!G122+0.25*AAPL!G122+0.25*MSFT!G122+0.25*GOOG!G122</f>
        <v>-0.0380069759</v>
      </c>
      <c r="C122" s="8">
        <f t="shared" si="1"/>
        <v>1551.433398</v>
      </c>
    </row>
    <row r="123">
      <c r="A123" s="1">
        <f>FB!A123</f>
        <v>42489.66667</v>
      </c>
      <c r="B123" s="3">
        <f>0.25*FB!G123+0.25*AAPL!G123+0.25*MSFT!G123+0.25*GOOG!G123</f>
        <v>-0.03050605878</v>
      </c>
      <c r="C123" s="8">
        <f t="shared" si="1"/>
        <v>1504.105279</v>
      </c>
    </row>
    <row r="124">
      <c r="A124" s="1">
        <f>FB!A124</f>
        <v>42496.66667</v>
      </c>
      <c r="B124" s="3">
        <f>0.25*FB!G124+0.25*AAPL!G124+0.25*MSFT!G124+0.25*GOOG!G124</f>
        <v>0.01042789965</v>
      </c>
      <c r="C124" s="8">
        <f t="shared" si="1"/>
        <v>1519.789938</v>
      </c>
    </row>
    <row r="125">
      <c r="A125" s="1">
        <f>FB!A125</f>
        <v>42503.66667</v>
      </c>
      <c r="B125" s="3">
        <f>0.25*FB!G125+0.25*AAPL!G125+0.25*MSFT!G125+0.25*GOOG!G125</f>
        <v>-0.001940979275</v>
      </c>
      <c r="C125" s="8">
        <f t="shared" si="1"/>
        <v>1516.840058</v>
      </c>
    </row>
    <row r="126">
      <c r="A126" s="1">
        <f>FB!A126</f>
        <v>42510.66667</v>
      </c>
      <c r="B126" s="3">
        <f>0.25*FB!G126+0.25*AAPL!G126+0.25*MSFT!G126+0.25*GOOG!G126</f>
        <v>0.005267940674</v>
      </c>
      <c r="C126" s="8">
        <f t="shared" si="1"/>
        <v>1524.830681</v>
      </c>
    </row>
    <row r="127">
      <c r="A127" s="1">
        <f>FB!A127</f>
        <v>42517.66667</v>
      </c>
      <c r="B127" s="3">
        <f>0.25*FB!G127+0.25*AAPL!G127+0.25*MSFT!G127+0.25*GOOG!G127</f>
        <v>0.03423367093</v>
      </c>
      <c r="C127" s="8">
        <f t="shared" si="1"/>
        <v>1577.031233</v>
      </c>
    </row>
    <row r="128">
      <c r="A128" s="1">
        <f>FB!A128</f>
        <v>42524.66667</v>
      </c>
      <c r="B128" s="3">
        <f>0.25*FB!G128+0.25*AAPL!G128+0.25*MSFT!G128+0.25*GOOG!G128</f>
        <v>-0.01403770559</v>
      </c>
      <c r="C128" s="8">
        <f t="shared" si="1"/>
        <v>1554.893333</v>
      </c>
    </row>
    <row r="129">
      <c r="A129" s="1">
        <f>FB!A129</f>
        <v>42531.66667</v>
      </c>
      <c r="B129" s="3">
        <f>0.25*FB!G129+0.25*AAPL!G129+0.25*MSFT!G129+0.25*GOOG!G129</f>
        <v>-0.004065578997</v>
      </c>
      <c r="C129" s="8">
        <f t="shared" si="1"/>
        <v>1548.571791</v>
      </c>
    </row>
    <row r="130">
      <c r="A130" s="1">
        <f>FB!A130</f>
        <v>42538.66667</v>
      </c>
      <c r="B130" s="3">
        <f>0.25*FB!G130+0.25*AAPL!G130+0.25*MSFT!G130+0.25*GOOG!G130</f>
        <v>-0.03279906316</v>
      </c>
      <c r="C130" s="8">
        <f t="shared" si="1"/>
        <v>1497.780087</v>
      </c>
    </row>
    <row r="131">
      <c r="A131" s="1">
        <f>FB!A131</f>
        <v>42545.66667</v>
      </c>
      <c r="B131" s="3">
        <f>0.25*FB!G131+0.25*AAPL!G131+0.25*MSFT!G131+0.25*GOOG!G131</f>
        <v>-0.01457445304</v>
      </c>
      <c r="C131" s="8">
        <f t="shared" si="1"/>
        <v>1475.950761</v>
      </c>
    </row>
    <row r="132">
      <c r="A132" s="1">
        <f>FB!A132</f>
        <v>42552.66667</v>
      </c>
      <c r="B132" s="3">
        <f>0.25*FB!G132+0.25*AAPL!G132+0.25*MSFT!G132+0.25*GOOG!G132</f>
        <v>0.02689955266</v>
      </c>
      <c r="C132" s="8">
        <f t="shared" si="1"/>
        <v>1515.653177</v>
      </c>
    </row>
    <row r="133">
      <c r="A133" s="1">
        <f>FB!A133</f>
        <v>42559.66667</v>
      </c>
      <c r="B133" s="3">
        <f>0.25*FB!G133+0.25*AAPL!G133+0.25*MSFT!G133+0.25*GOOG!G133</f>
        <v>0.01662961426</v>
      </c>
      <c r="C133" s="8">
        <f t="shared" si="1"/>
        <v>1540.857904</v>
      </c>
    </row>
    <row r="134">
      <c r="A134" s="1">
        <f>FB!A134</f>
        <v>42566.66667</v>
      </c>
      <c r="B134" s="3">
        <f>0.25*FB!G134+0.25*AAPL!G134+0.25*MSFT!G134+0.25*GOOG!G134</f>
        <v>0.01640191055</v>
      </c>
      <c r="C134" s="8">
        <f t="shared" si="1"/>
        <v>1566.130918</v>
      </c>
    </row>
    <row r="135">
      <c r="A135" s="1">
        <f>FB!A135</f>
        <v>42573.66667</v>
      </c>
      <c r="B135" s="3">
        <f>0.25*FB!G135+0.25*AAPL!G135+0.25*MSFT!G135+0.25*GOOG!G135</f>
        <v>0.02986394707</v>
      </c>
      <c r="C135" s="8">
        <f t="shared" si="1"/>
        <v>1612.901769</v>
      </c>
    </row>
    <row r="136">
      <c r="A136" s="1">
        <f>FB!A136</f>
        <v>42580.66667</v>
      </c>
      <c r="B136" s="3">
        <f>0.25*FB!G136+0.25*AAPL!G136+0.25*MSFT!G136+0.25*GOOG!G136</f>
        <v>0.02931330983</v>
      </c>
      <c r="C136" s="8">
        <f t="shared" si="1"/>
        <v>1660.181258</v>
      </c>
    </row>
    <row r="137">
      <c r="A137" s="1">
        <f>FB!A137</f>
        <v>42587.66667</v>
      </c>
      <c r="B137" s="3">
        <f>0.25*FB!G137+0.25*AAPL!G137+0.25*MSFT!G137+0.25*GOOG!G137</f>
        <v>0.02032316173</v>
      </c>
      <c r="C137" s="8">
        <f t="shared" si="1"/>
        <v>1693.92139</v>
      </c>
    </row>
    <row r="138">
      <c r="A138" s="1">
        <f>FB!A138</f>
        <v>42594.66667</v>
      </c>
      <c r="B138" s="3">
        <f>0.25*FB!G138+0.25*AAPL!G138+0.25*MSFT!G138+0.25*GOOG!G138</f>
        <v>0.001368714196</v>
      </c>
      <c r="C138" s="8">
        <f t="shared" si="1"/>
        <v>1696.239884</v>
      </c>
    </row>
    <row r="139">
      <c r="A139" s="1">
        <f>FB!A139</f>
        <v>42601.66667</v>
      </c>
      <c r="B139" s="3">
        <f>0.25*FB!G139+0.25*AAPL!G139+0.25*MSFT!G139+0.25*GOOG!G139</f>
        <v>-0.003832775636</v>
      </c>
      <c r="C139" s="8">
        <f t="shared" si="1"/>
        <v>1689.738578</v>
      </c>
    </row>
    <row r="140">
      <c r="A140" s="1">
        <f>FB!A140</f>
        <v>42608.66667</v>
      </c>
      <c r="B140" s="3">
        <f>0.25*FB!G140+0.25*AAPL!G140+0.25*MSFT!G140+0.25*GOOG!G140</f>
        <v>-0.0027706854</v>
      </c>
      <c r="C140" s="8">
        <f t="shared" si="1"/>
        <v>1685.056844</v>
      </c>
    </row>
    <row r="141">
      <c r="A141" s="1">
        <f>FB!A141</f>
        <v>42615.66667</v>
      </c>
      <c r="B141" s="3">
        <f>0.25*FB!G141+0.25*AAPL!G141+0.25*MSFT!G141+0.25*GOOG!G141</f>
        <v>0.00395018463</v>
      </c>
      <c r="C141" s="8">
        <f t="shared" si="1"/>
        <v>1691.713129</v>
      </c>
    </row>
    <row r="142">
      <c r="A142" s="1">
        <f>FB!A142</f>
        <v>42622.66667</v>
      </c>
      <c r="B142" s="3">
        <f>0.25*FB!G142+0.25*AAPL!G142+0.25*MSFT!G142+0.25*GOOG!G142</f>
        <v>-0.01966294269</v>
      </c>
      <c r="C142" s="8">
        <f t="shared" si="1"/>
        <v>1658.449071</v>
      </c>
    </row>
    <row r="143">
      <c r="A143" s="1">
        <f>FB!A143</f>
        <v>42629.66667</v>
      </c>
      <c r="B143" s="3">
        <f>0.25*FB!G143+0.25*AAPL!G143+0.25*MSFT!G143+0.25*GOOG!G143</f>
        <v>0.04014211293</v>
      </c>
      <c r="C143" s="8">
        <f t="shared" si="1"/>
        <v>1725.022721</v>
      </c>
    </row>
    <row r="144">
      <c r="A144" s="1">
        <f>FB!A144</f>
        <v>42636.66667</v>
      </c>
      <c r="B144" s="3">
        <f>0.25*FB!G144+0.25*AAPL!G144+0.25*MSFT!G144+0.25*GOOG!G144</f>
        <v>-0.0002907361868</v>
      </c>
      <c r="C144" s="8">
        <f t="shared" si="1"/>
        <v>1724.521194</v>
      </c>
    </row>
    <row r="145">
      <c r="A145" s="1">
        <f>FB!A145</f>
        <v>42643.66667</v>
      </c>
      <c r="B145" s="3">
        <f>0.25*FB!G145+0.25*AAPL!G145+0.25*MSFT!G145+0.25*GOOG!G145</f>
        <v>-0.0009977072688</v>
      </c>
      <c r="C145" s="8">
        <f t="shared" si="1"/>
        <v>1722.800627</v>
      </c>
    </row>
    <row r="146">
      <c r="A146" s="1">
        <f>FB!A146</f>
        <v>42650.66667</v>
      </c>
      <c r="B146" s="3">
        <f>0.25*FB!G146+0.25*AAPL!G146+0.25*MSFT!G146+0.25*GOOG!G146</f>
        <v>0.003860613344</v>
      </c>
      <c r="C146" s="8">
        <f t="shared" si="1"/>
        <v>1729.451694</v>
      </c>
    </row>
    <row r="147">
      <c r="A147" s="1">
        <f>FB!A147</f>
        <v>42657.66667</v>
      </c>
      <c r="B147" s="3">
        <f>0.25*FB!G147+0.25*AAPL!G147+0.25*MSFT!G147+0.25*GOOG!G147</f>
        <v>0.005119402958</v>
      </c>
      <c r="C147" s="8">
        <f t="shared" si="1"/>
        <v>1738.305454</v>
      </c>
    </row>
    <row r="148">
      <c r="A148" s="1">
        <f>FB!A148</f>
        <v>42664.66667</v>
      </c>
      <c r="B148" s="3">
        <f>0.25*FB!G148+0.25*AAPL!G148+0.25*MSFT!G148+0.25*GOOG!G148</f>
        <v>0.02242593908</v>
      </c>
      <c r="C148" s="8">
        <f t="shared" si="1"/>
        <v>1777.288586</v>
      </c>
    </row>
    <row r="149">
      <c r="A149" s="1">
        <f>FB!A149</f>
        <v>42671.66667</v>
      </c>
      <c r="B149" s="3">
        <f>0.25*FB!G149+0.25*AAPL!G149+0.25*MSFT!G149+0.25*GOOG!G149</f>
        <v>-0.008022445419</v>
      </c>
      <c r="C149" s="8">
        <f t="shared" si="1"/>
        <v>1763.030386</v>
      </c>
    </row>
    <row r="150">
      <c r="A150" s="1">
        <f>FB!A150</f>
        <v>42678.66667</v>
      </c>
      <c r="B150" s="3">
        <f>0.25*FB!G150+0.25*AAPL!G150+0.25*MSFT!G150+0.25*GOOG!G150</f>
        <v>-0.04612454901</v>
      </c>
      <c r="C150" s="8">
        <f t="shared" si="1"/>
        <v>1681.711404</v>
      </c>
    </row>
    <row r="151">
      <c r="A151" s="1">
        <f>FB!A151</f>
        <v>42685.66667</v>
      </c>
      <c r="B151" s="3">
        <f>0.25*FB!G151+0.25*AAPL!G151+0.25*MSFT!G151+0.25*GOOG!G151</f>
        <v>-0.005805115735</v>
      </c>
      <c r="C151" s="8">
        <f t="shared" si="1"/>
        <v>1671.948875</v>
      </c>
    </row>
    <row r="152">
      <c r="A152" s="1">
        <f>FB!A152</f>
        <v>42692.66667</v>
      </c>
      <c r="B152" s="3">
        <f>0.25*FB!G152+0.25*AAPL!G152+0.25*MSFT!G152+0.25*GOOG!G152</f>
        <v>0.007375347903</v>
      </c>
      <c r="C152" s="8">
        <f t="shared" si="1"/>
        <v>1684.28008</v>
      </c>
    </row>
    <row r="153">
      <c r="A153" s="1">
        <f>FB!A153</f>
        <v>42699.66667</v>
      </c>
      <c r="B153" s="3">
        <f>0.25*FB!G153+0.25*AAPL!G153+0.25*MSFT!G153+0.25*GOOG!G153</f>
        <v>0.01220489424</v>
      </c>
      <c r="C153" s="8">
        <f t="shared" si="1"/>
        <v>1704.83654</v>
      </c>
    </row>
    <row r="154">
      <c r="A154" s="1">
        <f>FB!A154</f>
        <v>42706.66667</v>
      </c>
      <c r="B154" s="3">
        <f>0.25*FB!G154+0.25*AAPL!G154+0.25*MSFT!G154+0.25*GOOG!G154</f>
        <v>-0.02350233988</v>
      </c>
      <c r="C154" s="8">
        <f t="shared" si="1"/>
        <v>1664.768892</v>
      </c>
    </row>
    <row r="155">
      <c r="A155" s="1">
        <f>FB!A155</f>
        <v>42713.66667</v>
      </c>
      <c r="B155" s="3">
        <f>0.25*FB!G155+0.25*AAPL!G155+0.25*MSFT!G155+0.25*GOOG!G155</f>
        <v>0.04285877677</v>
      </c>
      <c r="C155" s="8">
        <f t="shared" si="1"/>
        <v>1736.11885</v>
      </c>
    </row>
    <row r="156">
      <c r="A156" s="1">
        <f>FB!A156</f>
        <v>42720.66667</v>
      </c>
      <c r="B156" s="3">
        <f>0.25*FB!G156+0.25*AAPL!G156+0.25*MSFT!G156+0.25*GOOG!G156</f>
        <v>0.006593963378</v>
      </c>
      <c r="C156" s="8">
        <f t="shared" si="1"/>
        <v>1747.566754</v>
      </c>
    </row>
    <row r="157">
      <c r="A157" s="1">
        <f>FB!A157</f>
        <v>42727.66667</v>
      </c>
      <c r="B157" s="3">
        <f>0.25*FB!G157+0.25*AAPL!G157+0.25*MSFT!G157+0.25*GOOG!G157</f>
        <v>-0.0007245182411</v>
      </c>
      <c r="C157" s="8">
        <f t="shared" si="1"/>
        <v>1746.30061</v>
      </c>
    </row>
    <row r="158">
      <c r="A158" s="1">
        <f>FB!A158</f>
        <v>42734.66667</v>
      </c>
      <c r="B158" s="3">
        <f>0.25*FB!G158+0.25*AAPL!G158+0.25*MSFT!G158+0.25*GOOG!G158</f>
        <v>-0.0162654946</v>
      </c>
      <c r="C158" s="8">
        <f t="shared" si="1"/>
        <v>1717.896167</v>
      </c>
    </row>
    <row r="159">
      <c r="A159" s="1">
        <f>FB!A159</f>
        <v>42741.66667</v>
      </c>
      <c r="B159" s="3">
        <f>0.25*FB!G159+0.25*AAPL!G159+0.25*MSFT!G159+0.25*GOOG!G159</f>
        <v>0.03659100717</v>
      </c>
      <c r="C159" s="8">
        <f t="shared" si="1"/>
        <v>1780.755718</v>
      </c>
    </row>
    <row r="160">
      <c r="A160" s="1">
        <f>FB!A160</f>
        <v>42748.66667</v>
      </c>
      <c r="B160" s="3">
        <f>0.25*FB!G160+0.25*AAPL!G160+0.25*MSFT!G160+0.25*GOOG!G160</f>
        <v>0.01234105684</v>
      </c>
      <c r="C160" s="8">
        <f t="shared" si="1"/>
        <v>1802.732126</v>
      </c>
    </row>
    <row r="161">
      <c r="A161" s="1">
        <f>FB!A161</f>
        <v>42755.66667</v>
      </c>
      <c r="B161" s="3">
        <f>0.25*FB!G161+0.25*AAPL!G161+0.25*MSFT!G161+0.25*GOOG!G161</f>
        <v>-0.001241749748</v>
      </c>
      <c r="C161" s="8">
        <f t="shared" si="1"/>
        <v>1800.493584</v>
      </c>
    </row>
    <row r="162">
      <c r="A162" s="1">
        <f>FB!A162</f>
        <v>42762.66667</v>
      </c>
      <c r="B162" s="3">
        <f>0.25*FB!G162+0.25*AAPL!G162+0.25*MSFT!G162+0.25*GOOG!G162</f>
        <v>0.03199172509</v>
      </c>
      <c r="C162" s="8">
        <f t="shared" si="1"/>
        <v>1858.094479</v>
      </c>
    </row>
    <row r="163">
      <c r="A163" s="1">
        <f>FB!A163</f>
        <v>42769.66667</v>
      </c>
      <c r="B163" s="3">
        <f>0.25*FB!G163+0.25*AAPL!G163+0.25*MSFT!G163+0.25*GOOG!G163</f>
        <v>-0.002281526287</v>
      </c>
      <c r="C163" s="8">
        <f t="shared" si="1"/>
        <v>1853.855188</v>
      </c>
    </row>
    <row r="164">
      <c r="A164" s="1">
        <f>FB!A164</f>
        <v>42776.66667</v>
      </c>
      <c r="B164" s="3">
        <f>0.25*FB!G164+0.25*AAPL!G164+0.25*MSFT!G164+0.25*GOOG!G164</f>
        <v>0.01707016655</v>
      </c>
      <c r="C164" s="8">
        <f t="shared" si="1"/>
        <v>1885.500805</v>
      </c>
    </row>
    <row r="165">
      <c r="A165" s="1">
        <f>FB!A165</f>
        <v>42783.66667</v>
      </c>
      <c r="B165" s="3">
        <f>0.25*FB!G165+0.25*AAPL!G165+0.25*MSFT!G165+0.25*GOOG!G165</f>
        <v>0.01242866238</v>
      </c>
      <c r="C165" s="8">
        <f t="shared" si="1"/>
        <v>1908.935058</v>
      </c>
    </row>
    <row r="166">
      <c r="A166" s="1">
        <f>FB!A166</f>
        <v>42790.66667</v>
      </c>
      <c r="B166" s="3">
        <f>0.25*FB!G166+0.25*AAPL!G166+0.25*MSFT!G166+0.25*GOOG!G166</f>
        <v>0.005516408933</v>
      </c>
      <c r="C166" s="8">
        <f t="shared" si="1"/>
        <v>1919.465524</v>
      </c>
    </row>
    <row r="167">
      <c r="A167" s="1">
        <f>FB!A167</f>
        <v>42797.66667</v>
      </c>
      <c r="B167" s="3">
        <f>0.25*FB!G167+0.25*AAPL!G167+0.25*MSFT!G167+0.25*GOOG!G167</f>
        <v>0.007601358502</v>
      </c>
      <c r="C167" s="8">
        <f t="shared" si="1"/>
        <v>1934.05607</v>
      </c>
    </row>
    <row r="168">
      <c r="A168" s="1">
        <f>FB!A168</f>
        <v>42804.66667</v>
      </c>
      <c r="B168" s="3">
        <f>0.25*FB!G168+0.25*AAPL!G168+0.25*MSFT!G168+0.25*GOOG!G168</f>
        <v>0.008655240564</v>
      </c>
      <c r="C168" s="8">
        <f t="shared" si="1"/>
        <v>1950.79579</v>
      </c>
    </row>
    <row r="169">
      <c r="A169" s="1">
        <f>FB!A169</f>
        <v>42811.66667</v>
      </c>
      <c r="B169" s="3">
        <f>0.25*FB!G169+0.25*AAPL!G169+0.25*MSFT!G169+0.25*GOOG!G169</f>
        <v>0.005871403715</v>
      </c>
      <c r="C169" s="8">
        <f t="shared" si="1"/>
        <v>1962.2497</v>
      </c>
    </row>
    <row r="170">
      <c r="A170" s="1">
        <f>FB!A170</f>
        <v>42818.66667</v>
      </c>
      <c r="B170" s="3">
        <f>0.25*FB!G170+0.25*AAPL!G170+0.25*MSFT!G170+0.25*GOOG!G170</f>
        <v>-0.008597054242</v>
      </c>
      <c r="C170" s="8">
        <f t="shared" si="1"/>
        <v>1945.380133</v>
      </c>
    </row>
    <row r="171">
      <c r="A171" s="1">
        <f>FB!A171</f>
        <v>42825.66667</v>
      </c>
      <c r="B171" s="3">
        <f>0.25*FB!G171+0.25*AAPL!G171+0.25*MSFT!G171+0.25*GOOG!G171</f>
        <v>0.01648005123</v>
      </c>
      <c r="C171" s="8">
        <f t="shared" si="1"/>
        <v>1977.440097</v>
      </c>
    </row>
    <row r="172">
      <c r="A172" s="1">
        <f>FB!A172</f>
        <v>42832.66667</v>
      </c>
      <c r="B172" s="3">
        <f>0.25*FB!G172+0.25*AAPL!G172+0.25*MSFT!G172+0.25*GOOG!G172</f>
        <v>-0.004948861677</v>
      </c>
      <c r="C172" s="8">
        <f t="shared" si="1"/>
        <v>1967.65402</v>
      </c>
    </row>
    <row r="173">
      <c r="A173" s="1">
        <f>FB!A173</f>
        <v>42838.66667</v>
      </c>
      <c r="B173" s="3">
        <f>0.25*FB!G173+0.25*AAPL!G173+0.25*MSFT!G173+0.25*GOOG!G173</f>
        <v>-0.00962927119</v>
      </c>
      <c r="C173" s="8">
        <f t="shared" si="1"/>
        <v>1948.706945</v>
      </c>
    </row>
    <row r="174">
      <c r="A174" s="1">
        <f>FB!A174</f>
        <v>42846.66667</v>
      </c>
      <c r="B174" s="3">
        <f>0.25*FB!G174+0.25*AAPL!G174+0.25*MSFT!G174+0.25*GOOG!G174</f>
        <v>0.02143229934</v>
      </c>
      <c r="C174" s="8">
        <f t="shared" si="1"/>
        <v>1990.472216</v>
      </c>
    </row>
    <row r="175">
      <c r="A175" s="1">
        <f>FB!A175</f>
        <v>42853.66667</v>
      </c>
      <c r="B175" s="3">
        <f>0.25*FB!G175+0.25*AAPL!G175+0.25*MSFT!G175+0.25*GOOG!G175</f>
        <v>0.0401882026</v>
      </c>
      <c r="C175" s="8">
        <f t="shared" si="1"/>
        <v>2070.465717</v>
      </c>
    </row>
    <row r="176">
      <c r="A176" s="1">
        <f>FB!A176</f>
        <v>42860.66667</v>
      </c>
      <c r="B176" s="3">
        <f>0.25*FB!G176+0.25*AAPL!G176+0.25*MSFT!G176+0.25*GOOG!G176</f>
        <v>0.01705644415</v>
      </c>
      <c r="C176" s="8">
        <f t="shared" si="1"/>
        <v>2105.7805</v>
      </c>
    </row>
    <row r="177">
      <c r="A177" s="1">
        <f>FB!A177</f>
        <v>42867.66667</v>
      </c>
      <c r="B177" s="3">
        <f>0.25*FB!G177+0.25*AAPL!G177+0.25*MSFT!G177+0.25*GOOG!G177</f>
        <v>0.01129254752</v>
      </c>
      <c r="C177" s="8">
        <f t="shared" si="1"/>
        <v>2129.560126</v>
      </c>
    </row>
    <row r="178">
      <c r="A178" s="1">
        <f>FB!A178</f>
        <v>42874.66667</v>
      </c>
      <c r="B178" s="3">
        <f>0.25*FB!G178+0.25*AAPL!G178+0.25*MSFT!G178+0.25*GOOG!G178</f>
        <v>-0.01068570903</v>
      </c>
      <c r="C178" s="8">
        <f t="shared" si="1"/>
        <v>2106.804266</v>
      </c>
    </row>
    <row r="179">
      <c r="A179" s="1">
        <f>FB!A179</f>
        <v>42881.66667</v>
      </c>
      <c r="B179" s="3">
        <f>0.25*FB!G179+0.25*AAPL!G179+0.25*MSFT!G179+0.25*GOOG!G179</f>
        <v>0.02613191091</v>
      </c>
      <c r="C179" s="8">
        <f t="shared" si="1"/>
        <v>2161.859087</v>
      </c>
    </row>
    <row r="180">
      <c r="A180" s="1">
        <f>FB!A180</f>
        <v>42888.66667</v>
      </c>
      <c r="B180" s="3">
        <f>0.25*FB!G180+0.25*AAPL!G180+0.25*MSFT!G180+0.25*GOOG!G180</f>
        <v>0.0129219914</v>
      </c>
      <c r="C180" s="8">
        <f t="shared" si="1"/>
        <v>2189.794612</v>
      </c>
    </row>
    <row r="181">
      <c r="A181" s="1">
        <f>FB!A181</f>
        <v>42895.66667</v>
      </c>
      <c r="B181" s="3">
        <f>0.25*FB!G181+0.25*AAPL!G181+0.25*MSFT!G181+0.25*GOOG!G181</f>
        <v>-0.02856864656</v>
      </c>
      <c r="C181" s="8">
        <f t="shared" si="1"/>
        <v>2127.235144</v>
      </c>
    </row>
    <row r="182">
      <c r="A182" s="1">
        <f>FB!A182</f>
        <v>42902.66667</v>
      </c>
      <c r="B182" s="3">
        <f>0.25*FB!G182+0.25*AAPL!G182+0.25*MSFT!G182+0.25*GOOG!G182</f>
        <v>-0.01325596208</v>
      </c>
      <c r="C182" s="8">
        <f t="shared" si="1"/>
        <v>2099.036595</v>
      </c>
    </row>
    <row r="183">
      <c r="A183" s="1">
        <f>FB!A183</f>
        <v>42909.66667</v>
      </c>
      <c r="B183" s="3">
        <f>0.25*FB!G183+0.25*AAPL!G183+0.25*MSFT!G183+0.25*GOOG!G183</f>
        <v>0.02556775687</v>
      </c>
      <c r="C183" s="8">
        <f t="shared" si="1"/>
        <v>2152.704253</v>
      </c>
    </row>
    <row r="184">
      <c r="A184" s="1">
        <f>FB!A184</f>
        <v>42916.66667</v>
      </c>
      <c r="B184" s="3">
        <f>0.25*FB!G184+0.25*AAPL!G184+0.25*MSFT!G184+0.25*GOOG!G184</f>
        <v>-0.03314813384</v>
      </c>
      <c r="C184" s="8">
        <f t="shared" si="1"/>
        <v>2081.346124</v>
      </c>
    </row>
    <row r="185">
      <c r="A185" s="1">
        <f>FB!A185</f>
        <v>42923.66667</v>
      </c>
      <c r="B185" s="3">
        <f>0.25*FB!G185+0.25*AAPL!G185+0.25*MSFT!G185+0.25*GOOG!G185</f>
        <v>0.005674207775</v>
      </c>
      <c r="C185" s="8">
        <f t="shared" si="1"/>
        <v>2093.156114</v>
      </c>
    </row>
    <row r="186">
      <c r="A186" s="1">
        <f>FB!A186</f>
        <v>42930.66667</v>
      </c>
      <c r="B186" s="3">
        <f>0.25*FB!G186+0.25*AAPL!G186+0.25*MSFT!G186+0.25*GOOG!G186</f>
        <v>0.04460057456</v>
      </c>
      <c r="C186" s="8">
        <f t="shared" si="1"/>
        <v>2186.51208</v>
      </c>
    </row>
    <row r="187">
      <c r="A187" s="1">
        <f>FB!A187</f>
        <v>42937.66667</v>
      </c>
      <c r="B187" s="3">
        <f>0.25*FB!G187+0.25*AAPL!G187+0.25*MSFT!G187+0.25*GOOG!G187</f>
        <v>0.0169467427</v>
      </c>
      <c r="C187" s="8">
        <f t="shared" si="1"/>
        <v>2223.566337</v>
      </c>
    </row>
    <row r="188">
      <c r="A188" s="1">
        <f>FB!A188</f>
        <v>42944.66667</v>
      </c>
      <c r="B188" s="3">
        <f>0.25*FB!G188+0.25*AAPL!G188+0.25*MSFT!G188+0.25*GOOG!G188</f>
        <v>0.0003224120321</v>
      </c>
      <c r="C188" s="8">
        <f t="shared" si="1"/>
        <v>2224.283242</v>
      </c>
    </row>
    <row r="189">
      <c r="A189" s="1">
        <f>FB!A189</f>
        <v>42951.66667</v>
      </c>
      <c r="B189" s="3">
        <f>0.25*FB!G189+0.25*AAPL!G189+0.25*MSFT!G189+0.25*GOOG!G189</f>
        <v>0.00256546001</v>
      </c>
      <c r="C189" s="8">
        <f t="shared" si="1"/>
        <v>2229.989551</v>
      </c>
    </row>
    <row r="190">
      <c r="A190" s="1">
        <f>FB!A190</f>
        <v>42958.66667</v>
      </c>
      <c r="B190" s="3">
        <f>0.25*FB!G190+0.25*AAPL!G190+0.25*MSFT!G190+0.25*GOOG!G190</f>
        <v>-0.004818458033</v>
      </c>
      <c r="C190" s="8">
        <f t="shared" si="1"/>
        <v>2219.24444</v>
      </c>
    </row>
    <row r="191">
      <c r="A191" s="1">
        <f>FB!A191</f>
        <v>42965.66667</v>
      </c>
      <c r="B191" s="3">
        <f>0.25*FB!G191+0.25*AAPL!G191+0.25*MSFT!G191+0.25*GOOG!G191</f>
        <v>-0.001984603384</v>
      </c>
      <c r="C191" s="8">
        <f t="shared" si="1"/>
        <v>2214.84012</v>
      </c>
    </row>
    <row r="192">
      <c r="A192" s="1">
        <f>FB!A192</f>
        <v>42972.66667</v>
      </c>
      <c r="B192" s="3">
        <f>0.25*FB!G192+0.25*AAPL!G192+0.25*MSFT!G192+0.25*GOOG!G192</f>
        <v>0.004688914714</v>
      </c>
      <c r="C192" s="8">
        <f t="shared" si="1"/>
        <v>2225.225317</v>
      </c>
    </row>
    <row r="193">
      <c r="A193" s="1">
        <f>FB!A193</f>
        <v>42979.66667</v>
      </c>
      <c r="B193" s="3">
        <f>0.25*FB!G193+0.25*AAPL!G193+0.25*MSFT!G193+0.25*GOOG!G193</f>
        <v>0.02477275798</v>
      </c>
      <c r="C193" s="8">
        <f t="shared" si="1"/>
        <v>2280.350285</v>
      </c>
    </row>
    <row r="194">
      <c r="A194" s="1">
        <f>FB!A194</f>
        <v>42986.66667</v>
      </c>
      <c r="B194" s="3">
        <f>0.25*FB!G194+0.25*AAPL!G194+0.25*MSFT!G194+0.25*GOOG!G194</f>
        <v>-0.01254066711</v>
      </c>
      <c r="C194" s="8">
        <f t="shared" si="1"/>
        <v>2251.753171</v>
      </c>
    </row>
    <row r="195">
      <c r="A195" s="1">
        <f>FB!A195</f>
        <v>42993.66667</v>
      </c>
      <c r="B195" s="3">
        <f>0.25*FB!G195+0.25*AAPL!G195+0.25*MSFT!G195+0.25*GOOG!G195</f>
        <v>0.005781973785</v>
      </c>
      <c r="C195" s="8">
        <f t="shared" si="1"/>
        <v>2264.772749</v>
      </c>
    </row>
    <row r="196">
      <c r="A196" s="1">
        <f>FB!A196</f>
        <v>43000.66667</v>
      </c>
      <c r="B196" s="3">
        <f>0.25*FB!G196+0.25*AAPL!G196+0.25*MSFT!G196+0.25*GOOG!G196</f>
        <v>-0.01486079887</v>
      </c>
      <c r="C196" s="8">
        <f t="shared" si="1"/>
        <v>2231.116417</v>
      </c>
    </row>
    <row r="197">
      <c r="A197" s="1">
        <f>FB!A197</f>
        <v>43007.66667</v>
      </c>
      <c r="B197" s="3">
        <f>0.25*FB!G197+0.25*AAPL!G197+0.25*MSFT!G197+0.25*GOOG!G197</f>
        <v>0.01267310423</v>
      </c>
      <c r="C197" s="8">
        <f t="shared" si="1"/>
        <v>2259.391588</v>
      </c>
    </row>
    <row r="198">
      <c r="A198" s="1">
        <f>FB!A198</f>
        <v>43014.66667</v>
      </c>
      <c r="B198" s="3">
        <f>0.25*FB!G198+0.25*AAPL!G198+0.25*MSFT!G198+0.25*GOOG!G198</f>
        <v>0.01415996786</v>
      </c>
      <c r="C198" s="8">
        <f t="shared" si="1"/>
        <v>2291.3845</v>
      </c>
    </row>
    <row r="199">
      <c r="A199" s="1">
        <f>FB!A199</f>
        <v>43021.66667</v>
      </c>
      <c r="B199" s="3">
        <f>0.25*FB!G199+0.25*AAPL!G199+0.25*MSFT!G199+0.25*GOOG!G199</f>
        <v>0.0125529193</v>
      </c>
      <c r="C199" s="8">
        <f t="shared" si="1"/>
        <v>2320.148065</v>
      </c>
    </row>
    <row r="200">
      <c r="A200" s="1">
        <f>FB!A200</f>
        <v>43028.66667</v>
      </c>
      <c r="B200" s="3">
        <f>0.25*FB!G200+0.25*AAPL!G200+0.25*MSFT!G200+0.25*GOOG!G200</f>
        <v>0.004458840069</v>
      </c>
      <c r="C200" s="8">
        <f t="shared" si="1"/>
        <v>2330.493234</v>
      </c>
    </row>
    <row r="201">
      <c r="A201" s="1">
        <f>FB!A201</f>
        <v>43035.66667</v>
      </c>
      <c r="B201" s="3">
        <f>0.25*FB!G201+0.25*AAPL!G201+0.25*MSFT!G201+0.25*GOOG!G201</f>
        <v>0.03874520935</v>
      </c>
      <c r="C201" s="8">
        <f t="shared" si="1"/>
        <v>2420.788682</v>
      </c>
    </row>
    <row r="202">
      <c r="A202" s="1">
        <f>FB!A202</f>
        <v>43042.66667</v>
      </c>
      <c r="B202" s="3">
        <f>0.25*FB!G202+0.25*AAPL!G202+0.25*MSFT!G202+0.25*GOOG!G202</f>
        <v>0.02022240303</v>
      </c>
      <c r="C202" s="8">
        <f t="shared" si="1"/>
        <v>2469.742846</v>
      </c>
    </row>
    <row r="203">
      <c r="A203" s="1">
        <f>FB!A203</f>
        <v>43049.66667</v>
      </c>
      <c r="B203" s="3">
        <f>0.25*FB!G203+0.25*AAPL!G203+0.25*MSFT!G203+0.25*GOOG!G203</f>
        <v>0.0006172748491</v>
      </c>
      <c r="C203" s="8">
        <f t="shared" si="1"/>
        <v>2471.267356</v>
      </c>
    </row>
    <row r="204">
      <c r="A204" s="1">
        <f>FB!A204</f>
        <v>43056.66667</v>
      </c>
      <c r="B204" s="3">
        <f>0.25*FB!G204+0.25*AAPL!G204+0.25*MSFT!G204+0.25*GOOG!G204</f>
        <v>-0.01227798457</v>
      </c>
      <c r="C204" s="8">
        <f t="shared" si="1"/>
        <v>2440.925174</v>
      </c>
    </row>
    <row r="205">
      <c r="A205" s="1">
        <f>FB!A205</f>
        <v>43063.54167</v>
      </c>
      <c r="B205" s="3">
        <f>0.25*FB!G205+0.25*AAPL!G205+0.25*MSFT!G205+0.25*GOOG!G205</f>
        <v>0.02021995878</v>
      </c>
      <c r="C205" s="8">
        <f t="shared" si="1"/>
        <v>2490.28058</v>
      </c>
    </row>
    <row r="206">
      <c r="A206" s="1">
        <f>FB!A206</f>
        <v>43070.66667</v>
      </c>
      <c r="B206" s="3">
        <f>0.25*FB!G206+0.25*AAPL!G206+0.25*MSFT!G206+0.25*GOOG!G206</f>
        <v>-0.02041608785</v>
      </c>
      <c r="C206" s="8">
        <f t="shared" si="1"/>
        <v>2439.438793</v>
      </c>
    </row>
    <row r="207">
      <c r="A207" s="1">
        <f>FB!A207</f>
        <v>43077.66667</v>
      </c>
      <c r="B207" s="3">
        <f>0.25*FB!G207+0.25*AAPL!G207+0.25*MSFT!G207+0.25*GOOG!G207</f>
        <v>0.009468325723</v>
      </c>
      <c r="C207" s="8">
        <f t="shared" si="1"/>
        <v>2462.536194</v>
      </c>
    </row>
    <row r="208">
      <c r="A208" s="1">
        <f>FB!A208</f>
        <v>43084.66667</v>
      </c>
      <c r="B208" s="3">
        <f>0.25*FB!G208+0.25*AAPL!G208+0.25*MSFT!G208+0.25*GOOG!G208</f>
        <v>0.02297164267</v>
      </c>
      <c r="C208" s="8">
        <f t="shared" si="1"/>
        <v>2519.104696</v>
      </c>
    </row>
    <row r="209">
      <c r="A209" s="1">
        <f>FB!A209</f>
        <v>43091.66667</v>
      </c>
      <c r="B209" s="3">
        <f>0.25*FB!G209+0.25*AAPL!G209+0.25*MSFT!G209+0.25*GOOG!G209</f>
        <v>-0.007453509032</v>
      </c>
      <c r="C209" s="8">
        <f t="shared" si="1"/>
        <v>2500.328526</v>
      </c>
    </row>
    <row r="210">
      <c r="A210" s="1">
        <f>FB!A210</f>
        <v>43098.66667</v>
      </c>
      <c r="B210" s="3">
        <f>0.25*FB!G210+0.25*AAPL!G210+0.25*MSFT!G210+0.25*GOOG!G210</f>
        <v>-0.01242036322</v>
      </c>
      <c r="C210" s="8">
        <f t="shared" si="1"/>
        <v>2469.273538</v>
      </c>
    </row>
    <row r="211">
      <c r="A211" s="1">
        <f>FB!A211</f>
        <v>43105.66667</v>
      </c>
      <c r="B211" s="3">
        <f>0.25*FB!G211+0.25*AAPL!G211+0.25*MSFT!G211+0.25*GOOG!G211</f>
        <v>0.04431218078</v>
      </c>
      <c r="C211" s="8">
        <f t="shared" si="1"/>
        <v>2578.692433</v>
      </c>
    </row>
    <row r="212">
      <c r="A212" s="1">
        <f>FB!A212</f>
        <v>43112.66667</v>
      </c>
      <c r="B212" s="3">
        <f>0.25*FB!G212+0.25*AAPL!G212+0.25*MSFT!G212+0.25*GOOG!G212</f>
        <v>0.001503515262</v>
      </c>
      <c r="C212" s="8">
        <f t="shared" si="1"/>
        <v>2582.569537</v>
      </c>
    </row>
    <row r="213">
      <c r="A213" s="1">
        <f>FB!A213</f>
        <v>43119.66667</v>
      </c>
      <c r="B213" s="3">
        <f>0.25*FB!G213+0.25*AAPL!G213+0.25*MSFT!G213+0.25*GOOG!G213</f>
        <v>0.009165774871</v>
      </c>
      <c r="C213" s="8">
        <f t="shared" si="1"/>
        <v>2606.240788</v>
      </c>
    </row>
    <row r="214">
      <c r="A214" s="1">
        <f>FB!A214</f>
        <v>43126.66667</v>
      </c>
      <c r="B214" s="3">
        <f>0.25*FB!G214+0.25*AAPL!G214+0.25*MSFT!G214+0.25*GOOG!G214</f>
        <v>0.02196403043</v>
      </c>
      <c r="C214" s="8">
        <f t="shared" si="1"/>
        <v>2663.48434</v>
      </c>
    </row>
    <row r="215">
      <c r="A215" s="1">
        <f>FB!A215</f>
        <v>43133.66667</v>
      </c>
      <c r="B215" s="3">
        <f>0.25*FB!G215+0.25*AAPL!G215+0.25*MSFT!G215+0.25*GOOG!G215</f>
        <v>-0.03531919302</v>
      </c>
      <c r="C215" s="8">
        <f t="shared" si="1"/>
        <v>2569.412222</v>
      </c>
    </row>
    <row r="216">
      <c r="A216" s="1">
        <f>FB!A216</f>
        <v>43140.66667</v>
      </c>
      <c r="B216" s="3">
        <f>0.25*FB!G216+0.25*AAPL!G216+0.25*MSFT!G216+0.25*GOOG!G216</f>
        <v>-0.05150517242</v>
      </c>
      <c r="C216" s="8">
        <f t="shared" si="1"/>
        <v>2437.074203</v>
      </c>
    </row>
    <row r="217">
      <c r="A217" s="1">
        <f>FB!A217</f>
        <v>43147.66667</v>
      </c>
      <c r="B217" s="3">
        <f>0.25*FB!G217+0.25*AAPL!G217+0.25*MSFT!G217+0.25*GOOG!G217</f>
        <v>0.0519800175</v>
      </c>
      <c r="C217" s="8">
        <f t="shared" si="1"/>
        <v>2563.753362</v>
      </c>
    </row>
    <row r="218">
      <c r="A218" s="1">
        <f>FB!A218</f>
        <v>43154.66667</v>
      </c>
      <c r="B218" s="3">
        <f>0.25*FB!G218+0.25*AAPL!G218+0.25*MSFT!G218+0.25*GOOG!G218</f>
        <v>0.02572684003</v>
      </c>
      <c r="C218" s="8">
        <f t="shared" si="1"/>
        <v>2629.710635</v>
      </c>
    </row>
    <row r="219">
      <c r="A219" s="1">
        <f>FB!A219</f>
        <v>43161.66667</v>
      </c>
      <c r="B219" s="3">
        <f>0.25*FB!G219+0.25*AAPL!G219+0.25*MSFT!G219+0.25*GOOG!G219</f>
        <v>-0.02143438981</v>
      </c>
      <c r="C219" s="8">
        <f t="shared" si="1"/>
        <v>2573.344392</v>
      </c>
    </row>
    <row r="220">
      <c r="A220" s="1">
        <f>FB!A220</f>
        <v>43168.66667</v>
      </c>
      <c r="B220" s="3">
        <f>0.25*FB!G220+0.25*AAPL!G220+0.25*MSFT!G220+0.25*GOOG!G220</f>
        <v>0.04575203553</v>
      </c>
      <c r="C220" s="8">
        <f t="shared" si="1"/>
        <v>2691.080136</v>
      </c>
    </row>
    <row r="221">
      <c r="A221" s="1">
        <f>FB!A221</f>
        <v>43175.66667</v>
      </c>
      <c r="B221" s="3">
        <f>0.25*FB!G221+0.25*AAPL!G221+0.25*MSFT!G221+0.25*GOOG!G221</f>
        <v>-0.0131740443</v>
      </c>
      <c r="C221" s="8">
        <f t="shared" si="1"/>
        <v>2655.627727</v>
      </c>
    </row>
    <row r="222">
      <c r="A222" s="1">
        <f>FB!A222</f>
        <v>43182.66667</v>
      </c>
      <c r="B222" s="3">
        <f>0.25*FB!G222+0.25*AAPL!G222+0.25*MSFT!G222+0.25*GOOG!G222</f>
        <v>-0.09781759312</v>
      </c>
      <c r="C222" s="8">
        <f t="shared" si="1"/>
        <v>2395.860615</v>
      </c>
    </row>
    <row r="223">
      <c r="A223" s="1">
        <f>FB!A223</f>
        <v>43188.66667</v>
      </c>
      <c r="B223" s="3">
        <f>0.25*FB!G223+0.25*AAPL!G223+0.25*MSFT!G223+0.25*GOOG!G223</f>
        <v>0.01916112543</v>
      </c>
      <c r="C223" s="8">
        <f t="shared" si="1"/>
        <v>2441.768</v>
      </c>
    </row>
    <row r="224">
      <c r="A224" s="1">
        <f>FB!A224</f>
        <v>43196.66667</v>
      </c>
      <c r="B224" s="3">
        <f>0.25*FB!G224+0.25*AAPL!G224+0.25*MSFT!G224+0.25*GOOG!G224</f>
        <v>-0.01200382269</v>
      </c>
      <c r="C224" s="8">
        <f t="shared" si="1"/>
        <v>2412.45745</v>
      </c>
    </row>
    <row r="225">
      <c r="A225" s="1">
        <f>FB!A225</f>
        <v>43203.66667</v>
      </c>
      <c r="B225" s="3">
        <f>0.25*FB!G225+0.25*AAPL!G225+0.25*MSFT!G225+0.25*GOOG!G225</f>
        <v>0.03443877965</v>
      </c>
      <c r="C225" s="8">
        <f t="shared" si="1"/>
        <v>2495.539541</v>
      </c>
    </row>
    <row r="226">
      <c r="A226" s="1">
        <f>FB!A226</f>
        <v>43210.66667</v>
      </c>
      <c r="B226" s="3">
        <f>0.25*FB!G226+0.25*AAPL!G226+0.25*MSFT!G226+0.25*GOOG!G226</f>
        <v>0.005565443922</v>
      </c>
      <c r="C226" s="8">
        <f t="shared" si="1"/>
        <v>2509.428326</v>
      </c>
    </row>
    <row r="227">
      <c r="A227" s="1">
        <f>FB!A227</f>
        <v>43217.66667</v>
      </c>
      <c r="B227" s="3">
        <f>0.25*FB!G227+0.25*AAPL!G227+0.25*MSFT!G227+0.25*GOOG!G227</f>
        <v>-0.001978783584</v>
      </c>
      <c r="C227" s="8">
        <f t="shared" si="1"/>
        <v>2504.462711</v>
      </c>
    </row>
    <row r="228">
      <c r="A228" s="1">
        <f>FB!A228</f>
        <v>43224.66667</v>
      </c>
      <c r="B228" s="3">
        <f>0.25*FB!G228+0.25*AAPL!G228+0.25*MSFT!G228+0.25*GOOG!G228</f>
        <v>0.04017930931</v>
      </c>
      <c r="C228" s="8">
        <f t="shared" si="1"/>
        <v>2605.090293</v>
      </c>
    </row>
    <row r="229">
      <c r="A229" s="1">
        <f>FB!A229</f>
        <v>43231.66667</v>
      </c>
      <c r="B229" s="3">
        <f>0.25*FB!G229+0.25*AAPL!G229+0.25*MSFT!G229+0.25*GOOG!G229</f>
        <v>0.03977640051</v>
      </c>
      <c r="C229" s="8">
        <f t="shared" si="1"/>
        <v>2708.711407</v>
      </c>
    </row>
    <row r="230">
      <c r="A230" s="1">
        <f>FB!A230</f>
        <v>43238.66667</v>
      </c>
      <c r="B230" s="3">
        <f>0.25*FB!G230+0.25*AAPL!G230+0.25*MSFT!G230+0.25*GOOG!G230</f>
        <v>-0.01947495981</v>
      </c>
      <c r="C230" s="8">
        <f t="shared" si="1"/>
        <v>2655.959362</v>
      </c>
    </row>
    <row r="231">
      <c r="A231" s="1">
        <f>FB!A231</f>
        <v>43245.66667</v>
      </c>
      <c r="B231" s="3">
        <f>0.25*FB!G231+0.25*AAPL!G231+0.25*MSFT!G231+0.25*GOOG!G231</f>
        <v>0.01349391196</v>
      </c>
      <c r="C231" s="8">
        <f t="shared" si="1"/>
        <v>2691.798643</v>
      </c>
    </row>
    <row r="232">
      <c r="A232" s="1">
        <f>FB!A232</f>
        <v>43252.66667</v>
      </c>
      <c r="B232" s="3">
        <f>0.25*FB!G232+0.25*AAPL!G232+0.25*MSFT!G232+0.25*GOOG!G232</f>
        <v>0.0308013567</v>
      </c>
      <c r="C232" s="8">
        <f t="shared" si="1"/>
        <v>2774.709694</v>
      </c>
    </row>
    <row r="233">
      <c r="A233" s="1">
        <f>FB!A233</f>
        <v>43259.66667</v>
      </c>
      <c r="B233" s="3">
        <f>0.25*FB!G233+0.25*AAPL!G233+0.25*MSFT!G233+0.25*GOOG!G233</f>
        <v>-0.001967479354</v>
      </c>
      <c r="C233" s="8">
        <f t="shared" si="1"/>
        <v>2769.25051</v>
      </c>
    </row>
    <row r="234">
      <c r="A234" s="1">
        <f>FB!A234</f>
        <v>43266.66667</v>
      </c>
      <c r="B234" s="3">
        <f>0.25*FB!G234+0.25*AAPL!G234+0.25*MSFT!G234+0.25*GOOG!G234</f>
        <v>0.008479775672</v>
      </c>
      <c r="C234" s="8">
        <f t="shared" si="1"/>
        <v>2792.733133</v>
      </c>
    </row>
    <row r="235">
      <c r="A235" s="1">
        <f>FB!A235</f>
        <v>43273.66667</v>
      </c>
      <c r="B235" s="3">
        <f>0.25*FB!G235+0.25*AAPL!G235+0.25*MSFT!G235+0.25*GOOG!G235</f>
        <v>0.003726648811</v>
      </c>
      <c r="C235" s="8">
        <f t="shared" si="1"/>
        <v>2803.140668</v>
      </c>
    </row>
    <row r="236">
      <c r="A236" s="1">
        <f>FB!A236</f>
        <v>43280.66667</v>
      </c>
      <c r="B236" s="3">
        <f>0.25*FB!G236+0.25*AAPL!G236+0.25*MSFT!G236+0.25*GOOG!G236</f>
        <v>-0.02202387238</v>
      </c>
      <c r="C236" s="8">
        <f t="shared" si="1"/>
        <v>2741.404656</v>
      </c>
    </row>
    <row r="237">
      <c r="A237" s="1">
        <f>FB!A237</f>
        <v>43287.66667</v>
      </c>
      <c r="B237" s="3">
        <f>0.25*FB!G237+0.25*AAPL!G237+0.25*MSFT!G237+0.25*GOOG!G237</f>
        <v>0.027257817</v>
      </c>
      <c r="C237" s="8">
        <f t="shared" si="1"/>
        <v>2816.129362</v>
      </c>
    </row>
    <row r="238">
      <c r="A238" s="1">
        <f>FB!A238</f>
        <v>43294.66667</v>
      </c>
      <c r="B238" s="3">
        <f>0.25*FB!G238+0.25*AAPL!G238+0.25*MSFT!G238+0.25*GOOG!G238</f>
        <v>0.03072014022</v>
      </c>
      <c r="C238" s="8">
        <f t="shared" si="1"/>
        <v>2902.641251</v>
      </c>
    </row>
    <row r="239">
      <c r="A239" s="1">
        <f>FB!A239</f>
        <v>43301.66667</v>
      </c>
      <c r="B239" s="3">
        <f>0.25*FB!G239+0.25*AAPL!G239+0.25*MSFT!G239+0.25*GOOG!G239</f>
        <v>0.004485771537</v>
      </c>
      <c r="C239" s="8">
        <f t="shared" si="1"/>
        <v>2915.661837</v>
      </c>
    </row>
    <row r="240">
      <c r="A240" s="1">
        <f>FB!A240</f>
        <v>43308.66667</v>
      </c>
      <c r="B240" s="3">
        <f>0.25*FB!G240+0.25*AAPL!G240+0.25*MSFT!G240+0.25*GOOG!G240</f>
        <v>-0.02768891962</v>
      </c>
      <c r="C240" s="8">
        <f t="shared" si="1"/>
        <v>2834.930311</v>
      </c>
    </row>
    <row r="241">
      <c r="A241" s="1">
        <f>FB!A241</f>
        <v>43315.66667</v>
      </c>
      <c r="B241" s="3">
        <f>0.25*FB!G241+0.25*AAPL!G241+0.25*MSFT!G241+0.25*GOOG!G241</f>
        <v>0.02423282058</v>
      </c>
      <c r="C241" s="8">
        <f t="shared" si="1"/>
        <v>2903.628668</v>
      </c>
    </row>
    <row r="242">
      <c r="A242" s="1">
        <f>FB!A242</f>
        <v>43322.66667</v>
      </c>
      <c r="B242" s="3">
        <f>0.25*FB!G242+0.25*AAPL!G242+0.25*MSFT!G242+0.25*GOOG!G242</f>
        <v>0.00797165791</v>
      </c>
      <c r="C242" s="8">
        <f t="shared" si="1"/>
        <v>2926.775403</v>
      </c>
    </row>
    <row r="243">
      <c r="A243" s="1">
        <f>FB!A243</f>
        <v>43329.66667</v>
      </c>
      <c r="B243" s="3">
        <f>0.25*FB!G243+0.25*AAPL!G243+0.25*MSFT!G243+0.25*GOOG!G243</f>
        <v>-0.007476136234</v>
      </c>
      <c r="C243" s="8">
        <f t="shared" si="1"/>
        <v>2904.894431</v>
      </c>
    </row>
    <row r="244">
      <c r="A244" s="1">
        <f>FB!A244</f>
        <v>43336.66667</v>
      </c>
      <c r="B244" s="3">
        <f>0.25*FB!G244+0.25*AAPL!G244+0.25*MSFT!G244+0.25*GOOG!G244</f>
        <v>0.005572620915</v>
      </c>
      <c r="C244" s="8">
        <f t="shared" si="1"/>
        <v>2921.082306</v>
      </c>
    </row>
    <row r="245">
      <c r="A245" s="1">
        <f>FB!A245</f>
        <v>43343.66667</v>
      </c>
      <c r="B245" s="3">
        <f>0.25*FB!G245+0.25*AAPL!G245+0.25*MSFT!G245+0.25*GOOG!G245</f>
        <v>0.02338297432</v>
      </c>
      <c r="C245" s="8">
        <f t="shared" si="1"/>
        <v>2989.385899</v>
      </c>
    </row>
    <row r="246">
      <c r="A246" s="1">
        <f>FB!A246</f>
        <v>43350.66667</v>
      </c>
      <c r="B246" s="3">
        <f>0.25*FB!G246+0.25*AAPL!G246+0.25*MSFT!G246+0.25*GOOG!G246</f>
        <v>-0.0451141315</v>
      </c>
      <c r="C246" s="8">
        <f t="shared" si="1"/>
        <v>2854.52235</v>
      </c>
    </row>
    <row r="247">
      <c r="A247" s="1">
        <f>FB!A247</f>
        <v>43357.66667</v>
      </c>
      <c r="B247" s="3">
        <f>0.25*FB!G247+0.25*AAPL!G247+0.25*MSFT!G247+0.25*GOOG!G247</f>
        <v>0.01531639934</v>
      </c>
      <c r="C247" s="8">
        <f t="shared" si="1"/>
        <v>2898.243355</v>
      </c>
    </row>
    <row r="248">
      <c r="A248" s="1">
        <f>FB!A248</f>
        <v>43364.66667</v>
      </c>
      <c r="B248" s="3">
        <f>0.25*FB!G248+0.25*AAPL!G248+0.25*MSFT!G248+0.25*GOOG!G248</f>
        <v>-0.005350910867</v>
      </c>
      <c r="C248" s="8">
        <f t="shared" si="1"/>
        <v>2882.735113</v>
      </c>
    </row>
    <row r="249">
      <c r="A249" s="1">
        <f>FB!A249</f>
        <v>43371.66667</v>
      </c>
      <c r="B249" s="3">
        <f>0.25*FB!G249+0.25*AAPL!G249+0.25*MSFT!G249+0.25*GOOG!G249</f>
        <v>0.01773803403</v>
      </c>
      <c r="C249" s="8">
        <f t="shared" si="1"/>
        <v>2933.869166</v>
      </c>
    </row>
    <row r="250">
      <c r="A250" s="1">
        <f>FB!A250</f>
        <v>43378.66667</v>
      </c>
      <c r="B250" s="3">
        <f>0.25*FB!G250+0.25*AAPL!G250+0.25*MSFT!G250+0.25*GOOG!G250</f>
        <v>-0.02493997184</v>
      </c>
      <c r="C250" s="8">
        <f t="shared" si="1"/>
        <v>2860.698552</v>
      </c>
    </row>
    <row r="251">
      <c r="A251" s="1">
        <f>FB!A251</f>
        <v>43385.66667</v>
      </c>
      <c r="B251" s="3">
        <f>0.25*FB!G251+0.25*AAPL!G251+0.25*MSFT!G251+0.25*GOOG!G251</f>
        <v>-0.02403076187</v>
      </c>
      <c r="C251" s="8">
        <f t="shared" si="1"/>
        <v>2791.953786</v>
      </c>
    </row>
    <row r="252">
      <c r="A252" s="1">
        <f>FB!A252</f>
        <v>43392.66667</v>
      </c>
      <c r="B252" s="3">
        <f>0.25*FB!G252+0.25*AAPL!G252+0.25*MSFT!G252+0.25*GOOG!G252</f>
        <v>-0.007790996594</v>
      </c>
      <c r="C252" s="8">
        <f t="shared" si="1"/>
        <v>2770.201684</v>
      </c>
    </row>
    <row r="253">
      <c r="A253" s="1">
        <f>FB!A253</f>
        <v>43399.66667</v>
      </c>
      <c r="B253" s="3">
        <f>0.25*FB!G253+0.25*AAPL!G253+0.25*MSFT!G253+0.25*GOOG!G253</f>
        <v>-0.02711516155</v>
      </c>
      <c r="C253" s="8">
        <f t="shared" si="1"/>
        <v>2695.087218</v>
      </c>
    </row>
    <row r="254">
      <c r="A254" s="1">
        <f>FB!A254</f>
        <v>43406.66667</v>
      </c>
      <c r="B254" s="3">
        <f>0.25*FB!G254+0.25*AAPL!G254+0.25*MSFT!G254+0.25*GOOG!G254</f>
        <v>-0.006713727595</v>
      </c>
      <c r="C254" s="8">
        <f t="shared" si="1"/>
        <v>2676.993136</v>
      </c>
    </row>
    <row r="255">
      <c r="A255" s="1">
        <f>FB!A255</f>
        <v>43413.66667</v>
      </c>
      <c r="B255" s="3">
        <f>0.25*FB!G255+0.25*AAPL!G255+0.25*MSFT!G255+0.25*GOOG!G255</f>
        <v>-0.002571078183</v>
      </c>
      <c r="C255" s="8">
        <f t="shared" si="1"/>
        <v>2670.110378</v>
      </c>
    </row>
    <row r="256">
      <c r="A256" s="1">
        <f>FB!A256</f>
        <v>43420.66667</v>
      </c>
      <c r="B256" s="3">
        <f>0.25*FB!G256+0.25*AAPL!G256+0.25*MSFT!G256+0.25*GOOG!G256</f>
        <v>-0.02677772005</v>
      </c>
      <c r="C256" s="8">
        <f t="shared" si="1"/>
        <v>2598.610909</v>
      </c>
    </row>
    <row r="257">
      <c r="A257" s="1">
        <f>FB!A257</f>
        <v>43427.54167</v>
      </c>
      <c r="B257" s="3">
        <f>0.25*FB!G257+0.25*AAPL!G257+0.25*MSFT!G257+0.25*GOOG!G257</f>
        <v>-0.06232331968</v>
      </c>
      <c r="C257" s="8">
        <f t="shared" si="1"/>
        <v>2436.656851</v>
      </c>
    </row>
    <row r="258">
      <c r="A258" s="1">
        <f>FB!A258</f>
        <v>43434.66667</v>
      </c>
      <c r="B258" s="3">
        <f>0.25*FB!G258+0.25*AAPL!G258+0.25*MSFT!G258+0.25*GOOG!G258</f>
        <v>0.06221760158</v>
      </c>
      <c r="C258" s="8">
        <f t="shared" si="1"/>
        <v>2588.259796</v>
      </c>
    </row>
    <row r="259">
      <c r="A259" s="1">
        <f>FB!A259</f>
        <v>43441.66667</v>
      </c>
      <c r="B259" s="3">
        <f>0.25*FB!G259+0.25*AAPL!G259+0.25*MSFT!G259+0.25*GOOG!G259</f>
        <v>-0.04673682361</v>
      </c>
      <c r="C259" s="8">
        <f t="shared" si="1"/>
        <v>2467.292755</v>
      </c>
    </row>
    <row r="260">
      <c r="A260" s="1">
        <f>FB!A260</f>
        <v>43448.66667</v>
      </c>
      <c r="B260" s="3">
        <f>0.25*FB!G260+0.25*AAPL!G260+0.25*MSFT!G260+0.25*GOOG!G260</f>
        <v>0.01184538919</v>
      </c>
      <c r="C260" s="8">
        <f t="shared" si="1"/>
        <v>2496.518797</v>
      </c>
    </row>
    <row r="261">
      <c r="A261" s="1">
        <f>FB!A261</f>
        <v>43455.66667</v>
      </c>
      <c r="B261" s="3">
        <f>0.25*FB!G261+0.25*AAPL!G261+0.25*MSFT!G261+0.25*GOOG!G261</f>
        <v>-0.08886121054</v>
      </c>
      <c r="C261" s="8">
        <f t="shared" si="1"/>
        <v>2274.675115</v>
      </c>
    </row>
    <row r="262">
      <c r="A262" s="1">
        <f>FB!A262</f>
        <v>43462.66667</v>
      </c>
      <c r="B262" s="3">
        <f>0.25*FB!G262+0.25*AAPL!G262+0.25*MSFT!G262+0.25*GOOG!G262</f>
        <v>0.04584542045</v>
      </c>
      <c r="C262" s="8">
        <f t="shared" si="1"/>
        <v>2378.958552</v>
      </c>
    </row>
    <row r="263">
      <c r="A263" s="1">
        <f>FB!A263</f>
        <v>43469.66667</v>
      </c>
      <c r="B263" s="3">
        <f>0.25*FB!G263+0.25*AAPL!G263+0.25*MSFT!G263+0.25*GOOG!G263</f>
        <v>0.008120289626</v>
      </c>
      <c r="C263" s="8">
        <f t="shared" si="1"/>
        <v>2398.276384</v>
      </c>
    </row>
    <row r="264">
      <c r="A264" s="1">
        <f>FB!A264</f>
        <v>43476.66667</v>
      </c>
      <c r="B264" s="3">
        <f>0.25*FB!G264+0.25*AAPL!G264+0.25*MSFT!G264+0.25*GOOG!G264</f>
        <v>0.01632269862</v>
      </c>
      <c r="C264" s="8">
        <f t="shared" si="1"/>
        <v>2437.422727</v>
      </c>
    </row>
    <row r="265">
      <c r="A265" s="1">
        <f>FB!A265</f>
        <v>43483.66667</v>
      </c>
      <c r="B265" s="3">
        <f>0.25*FB!G265+0.25*AAPL!G265+0.25*MSFT!G265+0.25*GOOG!G265</f>
        <v>0.03998733854</v>
      </c>
      <c r="C265" s="8">
        <f t="shared" si="1"/>
        <v>2534.888775</v>
      </c>
    </row>
    <row r="266">
      <c r="A266" s="1">
        <f>FB!A266</f>
        <v>43490.66667</v>
      </c>
      <c r="B266" s="3">
        <f>0.25*FB!G266+0.25*AAPL!G266+0.25*MSFT!G266+0.25*GOOG!G266</f>
        <v>-0.003158002355</v>
      </c>
      <c r="C266" s="8">
        <f t="shared" si="1"/>
        <v>2526.88359</v>
      </c>
    </row>
    <row r="267">
      <c r="A267" s="1">
        <f>FB!A267</f>
        <v>43497.66667</v>
      </c>
      <c r="B267" s="3">
        <f>0.25*FB!G267+0.25*AAPL!G267+0.25*MSFT!G267+0.25*GOOG!G267</f>
        <v>0.03618735814</v>
      </c>
      <c r="C267" s="8">
        <f t="shared" si="1"/>
        <v>2618.324832</v>
      </c>
    </row>
    <row r="268">
      <c r="A268" s="1">
        <f>FB!A268</f>
        <v>43504.66667</v>
      </c>
      <c r="B268" s="3">
        <f>0.25*FB!G268+0.25*AAPL!G268+0.25*MSFT!G268+0.25*GOOG!G268</f>
        <v>0.01176733487</v>
      </c>
      <c r="C268" s="8">
        <f t="shared" si="1"/>
        <v>2649.135537</v>
      </c>
    </row>
    <row r="269">
      <c r="A269" s="1">
        <f>FB!A269</f>
        <v>43511.66667</v>
      </c>
      <c r="B269" s="3">
        <f>0.25*FB!G269+0.25*AAPL!G269+0.25*MSFT!G269+0.25*GOOG!G269</f>
        <v>0.003119398639</v>
      </c>
      <c r="C269" s="8">
        <f t="shared" si="1"/>
        <v>2657.399246</v>
      </c>
    </row>
    <row r="270">
      <c r="A270" s="1">
        <f>FB!A270</f>
        <v>43518.66667</v>
      </c>
      <c r="B270" s="3">
        <f>0.25*FB!G270+0.25*AAPL!G270+0.25*MSFT!G270+0.25*GOOG!G270</f>
        <v>0.008374336218</v>
      </c>
      <c r="C270" s="8">
        <f t="shared" si="1"/>
        <v>2679.653201</v>
      </c>
    </row>
    <row r="271">
      <c r="A271" s="1">
        <f>FB!A271</f>
        <v>43525.66667</v>
      </c>
      <c r="B271" s="3">
        <f>0.25*FB!G271+0.25*AAPL!G271+0.25*MSFT!G271+0.25*GOOG!G271</f>
        <v>0.01390166434</v>
      </c>
      <c r="C271" s="8">
        <f t="shared" si="1"/>
        <v>2716.904841</v>
      </c>
    </row>
    <row r="272">
      <c r="A272" s="1">
        <f>FB!A272</f>
        <v>43532.66667</v>
      </c>
      <c r="B272" s="3">
        <f>0.25*FB!G272+0.25*AAPL!G272+0.25*MSFT!G272+0.25*GOOG!G272</f>
        <v>0.004165574958</v>
      </c>
      <c r="C272" s="8">
        <f t="shared" si="1"/>
        <v>2728.222311</v>
      </c>
    </row>
    <row r="273">
      <c r="A273" s="1">
        <f>FB!A273</f>
        <v>43539.66667</v>
      </c>
      <c r="B273" s="3">
        <f>0.25*FB!G273+0.25*AAPL!G273+0.25*MSFT!G273+0.25*GOOG!G273</f>
        <v>0.03518643316</v>
      </c>
      <c r="C273" s="8">
        <f t="shared" si="1"/>
        <v>2824.218723</v>
      </c>
    </row>
    <row r="274">
      <c r="A274" s="1">
        <f>FB!A274</f>
        <v>43546.66667</v>
      </c>
      <c r="B274" s="3">
        <f>0.25*FB!G274+0.25*AAPL!G274+0.25*MSFT!G274+0.25*GOOG!G274</f>
        <v>0.01103810894</v>
      </c>
      <c r="C274" s="8">
        <f t="shared" si="1"/>
        <v>2855.392757</v>
      </c>
    </row>
    <row r="275">
      <c r="A275" s="1">
        <f>FB!A275</f>
        <v>43553.66667</v>
      </c>
      <c r="B275" s="3">
        <f>0.25*FB!G275+0.25*AAPL!G275+0.25*MSFT!G275+0.25*GOOG!G275</f>
        <v>-0.002613167103</v>
      </c>
      <c r="C275" s="8">
        <f t="shared" si="1"/>
        <v>2847.931139</v>
      </c>
    </row>
    <row r="276">
      <c r="A276" s="1">
        <f>FB!A276</f>
        <v>43560.66667</v>
      </c>
      <c r="B276" s="3">
        <f>0.25*FB!G276+0.25*AAPL!G276+0.25*MSFT!G276+0.25*GOOG!G276</f>
        <v>0.03415204076</v>
      </c>
      <c r="C276" s="8">
        <f t="shared" si="1"/>
        <v>2945.193799</v>
      </c>
    </row>
    <row r="277">
      <c r="A277" s="1">
        <f>FB!A277</f>
        <v>43567.66667</v>
      </c>
      <c r="B277" s="3">
        <f>0.25*FB!G277+0.25*AAPL!G277+0.25*MSFT!G277+0.25*GOOG!G277</f>
        <v>0.01162503821</v>
      </c>
      <c r="C277" s="8">
        <f t="shared" si="1"/>
        <v>2979.43179</v>
      </c>
    </row>
    <row r="278">
      <c r="A278" s="1">
        <f>FB!A278</f>
        <v>43573.66667</v>
      </c>
      <c r="B278" s="3">
        <f>0.25*FB!G278+0.25*AAPL!G278+0.25*MSFT!G278+0.25*GOOG!G278</f>
        <v>0.01394026599</v>
      </c>
      <c r="C278" s="8">
        <f t="shared" si="1"/>
        <v>3020.965861</v>
      </c>
    </row>
    <row r="279">
      <c r="A279" s="1">
        <f>FB!A279</f>
        <v>43581.66667</v>
      </c>
      <c r="B279" s="3">
        <f>0.25*FB!G279+0.25*AAPL!G279+0.25*MSFT!G279+0.25*GOOG!G279</f>
        <v>0.03951700822</v>
      </c>
      <c r="C279" s="8">
        <f t="shared" si="1"/>
        <v>3140.345394</v>
      </c>
    </row>
    <row r="280">
      <c r="A280" s="1">
        <f>FB!A280</f>
        <v>43588.66667</v>
      </c>
      <c r="B280" s="3">
        <f>0.25*FB!G280+0.25*AAPL!G280+0.25*MSFT!G280+0.25*GOOG!G280</f>
        <v>-0.004659401799</v>
      </c>
      <c r="C280" s="8">
        <f t="shared" si="1"/>
        <v>3125.713263</v>
      </c>
    </row>
    <row r="281">
      <c r="A281" s="1">
        <f>FB!A281</f>
        <v>43595.66667</v>
      </c>
      <c r="B281" s="3">
        <f>0.25*FB!G281+0.25*AAPL!G281+0.25*MSFT!G281+0.25*GOOG!G281</f>
        <v>-0.03419751266</v>
      </c>
      <c r="C281" s="8">
        <f t="shared" si="1"/>
        <v>3018.821644</v>
      </c>
    </row>
    <row r="282">
      <c r="A282" s="1">
        <f>FB!A282</f>
        <v>43602.66667</v>
      </c>
      <c r="B282" s="3">
        <f>0.25*FB!G282+0.25*AAPL!G282+0.25*MSFT!G282+0.25*GOOG!G282</f>
        <v>-0.01300530323</v>
      </c>
      <c r="C282" s="8">
        <f t="shared" si="1"/>
        <v>2979.560953</v>
      </c>
    </row>
    <row r="283">
      <c r="A283" s="1">
        <f>FB!A283</f>
        <v>43609.66667</v>
      </c>
      <c r="B283" s="3">
        <f>0.25*FB!G283+0.25*AAPL!G283+0.25*MSFT!G283+0.25*GOOG!G283</f>
        <v>-0.02877420862</v>
      </c>
      <c r="C283" s="8">
        <f t="shared" si="1"/>
        <v>2893.826445</v>
      </c>
    </row>
    <row r="284">
      <c r="A284" s="1">
        <f>FB!A284</f>
        <v>43616.66667</v>
      </c>
      <c r="B284" s="3">
        <f>0.25*FB!G284+0.25*AAPL!G284+0.25*MSFT!G284+0.25*GOOG!G284</f>
        <v>-0.02202839376</v>
      </c>
      <c r="C284" s="8">
        <f t="shared" si="1"/>
        <v>2830.080096</v>
      </c>
    </row>
    <row r="285">
      <c r="A285" s="1">
        <f>FB!A285</f>
        <v>43623.66667</v>
      </c>
      <c r="B285" s="3">
        <f>0.25*FB!G285+0.25*AAPL!G285+0.25*MSFT!G285+0.25*GOOG!G285</f>
        <v>0.02281892015</v>
      </c>
      <c r="C285" s="8">
        <f t="shared" si="1"/>
        <v>2894.659468</v>
      </c>
    </row>
    <row r="286">
      <c r="A286" s="1">
        <f>FB!A286</f>
        <v>43630.66667</v>
      </c>
      <c r="B286" s="3">
        <f>0.25*FB!G286+0.25*AAPL!G286+0.25*MSFT!G286+0.25*GOOG!G286</f>
        <v>0.02145284157</v>
      </c>
      <c r="C286" s="8">
        <f t="shared" si="1"/>
        <v>2956.758139</v>
      </c>
    </row>
    <row r="287">
      <c r="A287" s="1">
        <f>FB!A287</f>
        <v>43637.66667</v>
      </c>
      <c r="B287" s="3">
        <f>0.25*FB!G287+0.25*AAPL!G287+0.25*MSFT!G287+0.25*GOOG!G287</f>
        <v>0.03830449795</v>
      </c>
      <c r="C287" s="8">
        <f t="shared" si="1"/>
        <v>3070.015275</v>
      </c>
    </row>
    <row r="288">
      <c r="A288" s="1">
        <f>FB!A288</f>
        <v>43644.66667</v>
      </c>
      <c r="B288" s="3">
        <f>0.25*FB!G288+0.25*AAPL!G288+0.25*MSFT!G288+0.25*GOOG!G288</f>
        <v>-0.01329753615</v>
      </c>
      <c r="C288" s="8">
        <f t="shared" si="1"/>
        <v>3029.191636</v>
      </c>
    </row>
    <row r="289">
      <c r="A289" s="1">
        <f>FB!A289</f>
        <v>43651.66667</v>
      </c>
      <c r="B289" s="3">
        <f>0.25*FB!G289+0.25*AAPL!G289+0.25*MSFT!G289+0.25*GOOG!G289</f>
        <v>0.02989408251</v>
      </c>
      <c r="C289" s="8">
        <f t="shared" si="1"/>
        <v>3119.746541</v>
      </c>
    </row>
    <row r="290">
      <c r="A290" s="1">
        <f>FB!A290</f>
        <v>43658.66667</v>
      </c>
      <c r="B290" s="3">
        <f>0.25*FB!G290+0.25*AAPL!G290+0.25*MSFT!G290+0.25*GOOG!G290</f>
        <v>0.01595218914</v>
      </c>
      <c r="C290" s="8">
        <f t="shared" si="1"/>
        <v>3169.513328</v>
      </c>
    </row>
    <row r="291">
      <c r="A291" s="1">
        <f>FB!A291</f>
        <v>43665.66667</v>
      </c>
      <c r="B291" s="3">
        <f>0.25*FB!G291+0.25*AAPL!G291+0.25*MSFT!G291+0.25*GOOG!G291</f>
        <v>-0.01616476104</v>
      </c>
      <c r="C291" s="8">
        <f t="shared" si="1"/>
        <v>3118.278902</v>
      </c>
    </row>
    <row r="292">
      <c r="A292" s="1">
        <f>FB!A292</f>
        <v>43672.66667</v>
      </c>
      <c r="B292" s="3">
        <f>0.25*FB!G292+0.25*AAPL!G292+0.25*MSFT!G292+0.25*GOOG!G292</f>
        <v>0.04337108829</v>
      </c>
      <c r="C292" s="8">
        <f t="shared" si="1"/>
        <v>3253.522052</v>
      </c>
    </row>
    <row r="293">
      <c r="A293" s="1">
        <f>FB!A293</f>
        <v>43679.66667</v>
      </c>
      <c r="B293" s="3">
        <f>0.25*FB!G293+0.25*AAPL!G293+0.25*MSFT!G293+0.25*GOOG!G293</f>
        <v>-0.03703930864</v>
      </c>
      <c r="C293" s="8">
        <f t="shared" si="1"/>
        <v>3133.013844</v>
      </c>
    </row>
    <row r="294">
      <c r="A294" s="1">
        <f>FB!A294</f>
        <v>43686.66667</v>
      </c>
      <c r="B294" s="3">
        <f>0.25*FB!G294+0.25*AAPL!G294+0.25*MSFT!G294+0.25*GOOG!G294</f>
        <v>-0.005045137551</v>
      </c>
      <c r="C294" s="8">
        <f t="shared" si="1"/>
        <v>3117.207359</v>
      </c>
    </row>
    <row r="295">
      <c r="A295" s="1">
        <f>FB!A295</f>
        <v>43693.66667</v>
      </c>
      <c r="B295" s="3">
        <f>0.25*FB!G295+0.25*AAPL!G295+0.25*MSFT!G295+0.25*GOOG!G295</f>
        <v>-0.003716336699</v>
      </c>
      <c r="C295" s="8">
        <f t="shared" si="1"/>
        <v>3105.622766</v>
      </c>
    </row>
    <row r="296">
      <c r="A296" s="1">
        <f>FB!A296</f>
        <v>43700.66667</v>
      </c>
      <c r="B296" s="3">
        <f>0.25*FB!G296+0.25*AAPL!G296+0.25*MSFT!G296+0.25*GOOG!G296</f>
        <v>-0.0234117908</v>
      </c>
      <c r="C296" s="8">
        <f t="shared" si="1"/>
        <v>3032.914576</v>
      </c>
    </row>
    <row r="297">
      <c r="A297" s="1">
        <f>FB!A297</f>
        <v>43707.66667</v>
      </c>
      <c r="B297" s="3">
        <f>0.25*FB!G297+0.25*AAPL!G297+0.25*MSFT!G297+0.25*GOOG!G297</f>
        <v>0.03506047318</v>
      </c>
      <c r="C297" s="8">
        <f t="shared" si="1"/>
        <v>3139.249996</v>
      </c>
    </row>
    <row r="298">
      <c r="A298" s="1">
        <f>FB!A298</f>
        <v>43714.66667</v>
      </c>
      <c r="B298" s="3">
        <f>0.25*FB!G298+0.25*AAPL!G298+0.25*MSFT!G298+0.25*GOOG!G298</f>
        <v>0.01365352535</v>
      </c>
      <c r="C298" s="8">
        <f t="shared" si="1"/>
        <v>3182.111825</v>
      </c>
    </row>
    <row r="299">
      <c r="A299" s="1">
        <f>FB!A299</f>
        <v>43721.66667</v>
      </c>
      <c r="B299" s="3">
        <f>0.25*FB!G299+0.25*AAPL!G299+0.25*MSFT!G299+0.25*GOOG!G299</f>
        <v>0.01000938692</v>
      </c>
      <c r="C299" s="8">
        <f t="shared" si="1"/>
        <v>3213.962814</v>
      </c>
    </row>
    <row r="300">
      <c r="A300" s="1">
        <f>FB!A300</f>
        <v>43728.66667</v>
      </c>
      <c r="B300" s="3">
        <f>0.25*FB!G300+0.25*AAPL!G300+0.25*MSFT!G300+0.25*GOOG!G300</f>
        <v>0.004388243004</v>
      </c>
      <c r="C300" s="8">
        <f t="shared" si="1"/>
        <v>3228.066464</v>
      </c>
    </row>
    <row r="301">
      <c r="A301" s="1">
        <f>FB!A301</f>
        <v>43735.66667</v>
      </c>
      <c r="B301" s="3">
        <f>0.25*FB!G301+0.25*AAPL!G301+0.25*MSFT!G301+0.25*GOOG!G301</f>
        <v>-0.01965137588</v>
      </c>
      <c r="C301" s="8">
        <f t="shared" si="1"/>
        <v>3164.630516</v>
      </c>
    </row>
    <row r="302">
      <c r="A302" s="1">
        <f>FB!A302</f>
        <v>43742.66667</v>
      </c>
      <c r="B302" s="3">
        <f>0.25*FB!G302+0.25*AAPL!G302+0.25*MSFT!G302+0.25*GOOG!G302</f>
        <v>0.01147532022</v>
      </c>
      <c r="C302" s="8">
        <f t="shared" si="1"/>
        <v>3200.945665</v>
      </c>
    </row>
    <row r="303">
      <c r="A303" s="1">
        <f>FB!A303</f>
        <v>43749.66667</v>
      </c>
      <c r="B303" s="3">
        <f>0.25*FB!G303+0.25*AAPL!G303+0.25*MSFT!G303+0.25*GOOG!G303</f>
        <v>0.01947102783</v>
      </c>
      <c r="C303" s="8">
        <f t="shared" si="1"/>
        <v>3263.271367</v>
      </c>
    </row>
    <row r="304">
      <c r="A304" s="1">
        <f>FB!A304</f>
        <v>43756.66667</v>
      </c>
      <c r="B304" s="3">
        <f>0.25*FB!G304+0.25*AAPL!G304+0.25*MSFT!G304+0.25*GOOG!G304</f>
        <v>0.004580716776</v>
      </c>
      <c r="C304" s="8">
        <f t="shared" si="1"/>
        <v>3278.219489</v>
      </c>
    </row>
    <row r="305">
      <c r="A305" s="1">
        <f>FB!A305</f>
        <v>43763.66667</v>
      </c>
      <c r="B305" s="3">
        <f>0.25*FB!G305+0.25*AAPL!G305+0.25*MSFT!G305+0.25*GOOG!G305</f>
        <v>0.02351349138</v>
      </c>
      <c r="C305" s="8">
        <f t="shared" si="1"/>
        <v>3355.301875</v>
      </c>
    </row>
    <row r="306">
      <c r="A306" s="1">
        <f>FB!A306</f>
        <v>43770.66667</v>
      </c>
      <c r="B306" s="3">
        <f>0.25*FB!G306+0.25*AAPL!G306+0.25*MSFT!G306+0.25*GOOG!G306</f>
        <v>0.02400453413</v>
      </c>
      <c r="C306" s="8">
        <f t="shared" si="1"/>
        <v>3435.844333</v>
      </c>
    </row>
    <row r="307">
      <c r="A307" s="1">
        <f>FB!A307</f>
        <v>43777.66667</v>
      </c>
      <c r="B307" s="3">
        <f>0.25*FB!G307+0.25*AAPL!G307+0.25*MSFT!G307+0.25*GOOG!G307</f>
        <v>0.01191407871</v>
      </c>
      <c r="C307" s="8">
        <f t="shared" si="1"/>
        <v>3476.779253</v>
      </c>
    </row>
    <row r="308">
      <c r="A308" s="1">
        <f>FB!A308</f>
        <v>43784.66667</v>
      </c>
      <c r="B308" s="3">
        <f>0.25*FB!G308+0.25*AAPL!G308+0.25*MSFT!G308+0.25*GOOG!G308</f>
        <v>0.02231026256</v>
      </c>
      <c r="C308" s="8">
        <f t="shared" si="1"/>
        <v>3554.347111</v>
      </c>
    </row>
    <row r="309">
      <c r="A309" s="1">
        <f>FB!A309</f>
        <v>43791.66667</v>
      </c>
      <c r="B309" s="3">
        <f>0.25*FB!G309+0.25*AAPL!G309+0.25*MSFT!G309+0.25*GOOG!G309</f>
        <v>-0.007032809907</v>
      </c>
      <c r="C309" s="8">
        <f t="shared" si="1"/>
        <v>3529.350063</v>
      </c>
    </row>
    <row r="310">
      <c r="A310" s="1">
        <f>FB!A310</f>
        <v>43798.54167</v>
      </c>
      <c r="B310" s="3">
        <f>0.25*FB!G310+0.25*AAPL!G310+0.25*MSFT!G310+0.25*GOOG!G310</f>
        <v>0.01362788841</v>
      </c>
      <c r="C310" s="8">
        <f t="shared" si="1"/>
        <v>3577.447652</v>
      </c>
    </row>
    <row r="311">
      <c r="A311" s="1">
        <f>FB!A311</f>
        <v>43805.66667</v>
      </c>
      <c r="B311" s="3">
        <f>0.25*FB!G311+0.25*AAPL!G311+0.25*MSFT!G311+0.25*GOOG!G311</f>
        <v>0.009966671063</v>
      </c>
      <c r="C311" s="8">
        <f t="shared" si="1"/>
        <v>3613.102896</v>
      </c>
    </row>
    <row r="312">
      <c r="A312" s="1">
        <f>FB!A312</f>
        <v>43812.66667</v>
      </c>
      <c r="B312" s="3">
        <f>0.25*FB!G312+0.25*AAPL!G312+0.25*MSFT!G312+0.25*GOOG!G312</f>
        <v>0.001394911511</v>
      </c>
      <c r="C312" s="8">
        <f t="shared" si="1"/>
        <v>3618.142855</v>
      </c>
    </row>
    <row r="313">
      <c r="A313" s="1">
        <f>FB!A313</f>
        <v>43819.66667</v>
      </c>
      <c r="B313" s="3">
        <f>0.25*FB!G313+0.25*AAPL!G313+0.25*MSFT!G313+0.25*GOOG!G313</f>
        <v>0.02457424763</v>
      </c>
      <c r="C313" s="8">
        <f t="shared" si="1"/>
        <v>3707.055993</v>
      </c>
    </row>
    <row r="314">
      <c r="A314" s="1">
        <f>FB!A314</f>
        <v>43826.66667</v>
      </c>
      <c r="B314" s="3">
        <f>0.25*FB!G314+0.25*AAPL!G314+0.25*MSFT!G314+0.25*GOOG!G314</f>
        <v>0.01433760594</v>
      </c>
      <c r="C314" s="8">
        <f t="shared" si="1"/>
        <v>3760.206301</v>
      </c>
    </row>
    <row r="315">
      <c r="A315" s="1">
        <f>FB!A315</f>
        <v>43833.66667</v>
      </c>
      <c r="B315" s="3">
        <f>0.25*FB!G315+0.25*AAPL!G315+0.25*MSFT!G315+0.25*GOOG!G315</f>
        <v>0.008362597014</v>
      </c>
      <c r="C315" s="8">
        <f t="shared" si="1"/>
        <v>3791.651391</v>
      </c>
    </row>
    <row r="316">
      <c r="A316" s="1">
        <f>FB!A316</f>
        <v>43840.66667</v>
      </c>
      <c r="B316" s="3">
        <f>0.25*FB!G316+0.25*AAPL!G316+0.25*MSFT!G316+0.25*GOOG!G316</f>
        <v>0.03905304074</v>
      </c>
      <c r="C316" s="8">
        <f t="shared" si="1"/>
        <v>3939.726908</v>
      </c>
    </row>
    <row r="317">
      <c r="A317" s="1">
        <f>FB!A317</f>
        <v>43847.66667</v>
      </c>
      <c r="B317" s="3">
        <f>0.25*FB!G317+0.25*AAPL!G317+0.25*MSFT!G317+0.25*GOOG!G317</f>
        <v>0.02922838664</v>
      </c>
      <c r="C317" s="8">
        <f t="shared" si="1"/>
        <v>4054.878769</v>
      </c>
    </row>
    <row r="318">
      <c r="A318" s="1">
        <f>FB!A318</f>
        <v>43854.66667</v>
      </c>
      <c r="B318" s="3">
        <f>0.25*FB!G318+0.25*AAPL!G318+0.25*MSFT!G318+0.25*GOOG!G318</f>
        <v>-0.01043269279</v>
      </c>
      <c r="C318" s="8">
        <f t="shared" si="1"/>
        <v>4012.575464</v>
      </c>
    </row>
    <row r="319">
      <c r="A319" s="1">
        <f>FB!A319</f>
        <v>43861.66667</v>
      </c>
      <c r="B319" s="3">
        <f>0.25*FB!G319+0.25*AAPL!G319+0.25*MSFT!G319+0.25*GOOG!G319</f>
        <v>-0.02297384228</v>
      </c>
      <c r="C319" s="8">
        <f t="shared" si="1"/>
        <v>3920.391189</v>
      </c>
    </row>
    <row r="320">
      <c r="A320" s="1">
        <f>FB!A320</f>
        <v>43868.66667</v>
      </c>
      <c r="B320" s="3">
        <f>0.25*FB!G320+0.25*AAPL!G320+0.25*MSFT!G320+0.25*GOOG!G320</f>
        <v>0.04930383959</v>
      </c>
      <c r="C320" s="8">
        <f t="shared" si="1"/>
        <v>4113.681527</v>
      </c>
    </row>
    <row r="321">
      <c r="A321" s="1">
        <f>FB!A321</f>
        <v>43875.66667</v>
      </c>
      <c r="B321" s="3">
        <f>0.25*FB!G321+0.25*AAPL!G321+0.25*MSFT!G321+0.25*GOOG!G321</f>
        <v>0.01502183928</v>
      </c>
      <c r="C321" s="8">
        <f t="shared" si="1"/>
        <v>4175.47659</v>
      </c>
    </row>
    <row r="322">
      <c r="A322" s="1">
        <f>FB!A322</f>
        <v>43882.66667</v>
      </c>
      <c r="B322" s="3">
        <f>0.25*FB!G322+0.25*AAPL!G322+0.25*MSFT!G322+0.25*GOOG!G322</f>
        <v>-0.0288145603</v>
      </c>
      <c r="C322" s="8">
        <f t="shared" si="1"/>
        <v>4055.162068</v>
      </c>
    </row>
    <row r="323">
      <c r="A323" s="1">
        <f>FB!A323</f>
        <v>43889.66667</v>
      </c>
      <c r="B323" s="3">
        <f>0.25*FB!G323+0.25*AAPL!G323+0.25*MSFT!G323+0.25*GOOG!G323</f>
        <v>-0.1005043743</v>
      </c>
      <c r="C323" s="8">
        <f t="shared" si="1"/>
        <v>3647.600541</v>
      </c>
    </row>
    <row r="324">
      <c r="A324" s="1">
        <f>FB!A324</f>
        <v>43896.66667</v>
      </c>
      <c r="B324" s="3">
        <f>0.25*FB!G324+0.25*AAPL!G324+0.25*MSFT!G324+0.25*GOOG!G324</f>
        <v>-0.008758577875</v>
      </c>
      <c r="C324" s="8">
        <f t="shared" si="1"/>
        <v>3615.652748</v>
      </c>
    </row>
    <row r="325">
      <c r="A325" s="1">
        <f>FB!A325</f>
        <v>43903.66667</v>
      </c>
      <c r="B325" s="3">
        <f>0.25*FB!G325+0.25*AAPL!G325+0.25*MSFT!G325+0.25*GOOG!G325</f>
        <v>-0.04389591379</v>
      </c>
      <c r="C325" s="8">
        <f t="shared" si="1"/>
        <v>3456.940367</v>
      </c>
    </row>
    <row r="326">
      <c r="A326" s="1">
        <f>FB!A326</f>
        <v>43910.66667</v>
      </c>
      <c r="B326" s="3">
        <f>0.25*FB!G326+0.25*AAPL!G326+0.25*MSFT!G326+0.25*GOOG!G326</f>
        <v>-0.1380135371</v>
      </c>
      <c r="C326" s="8">
        <f t="shared" si="1"/>
        <v>2979.835799</v>
      </c>
    </row>
    <row r="327">
      <c r="A327" s="1">
        <f>FB!A327</f>
        <v>43917.66667</v>
      </c>
      <c r="B327" s="3">
        <f>0.25*FB!G327+0.25*AAPL!G327+0.25*MSFT!G327+0.25*GOOG!G327</f>
        <v>0.06341434629</v>
      </c>
      <c r="C327" s="8">
        <f t="shared" si="1"/>
        <v>3168.800138</v>
      </c>
    </row>
    <row r="328">
      <c r="A328" s="1">
        <f>FB!A328</f>
        <v>43924.66667</v>
      </c>
      <c r="B328" s="3">
        <f>0.25*FB!G328+0.25*AAPL!G328+0.25*MSFT!G328+0.25*GOOG!G328</f>
        <v>-0.006569783162</v>
      </c>
      <c r="C328" s="8">
        <f t="shared" si="1"/>
        <v>3147.981808</v>
      </c>
    </row>
    <row r="329">
      <c r="A329" s="1">
        <f>FB!A329</f>
        <v>43930.66667</v>
      </c>
      <c r="B329" s="3">
        <f>0.25*FB!G329+0.25*AAPL!G329+0.25*MSFT!G329+0.25*GOOG!G329</f>
        <v>0.1058568479</v>
      </c>
      <c r="C329" s="8">
        <f t="shared" si="1"/>
        <v>3481.21724</v>
      </c>
    </row>
    <row r="330">
      <c r="A330" s="1">
        <f>FB!A330</f>
        <v>43938.66667</v>
      </c>
      <c r="B330" s="3">
        <f>0.25*FB!G330+0.25*AAPL!G330+0.25*MSFT!G330+0.25*GOOG!G330</f>
        <v>0.05477901462</v>
      </c>
      <c r="C330" s="8">
        <f t="shared" si="1"/>
        <v>3671.91489</v>
      </c>
    </row>
    <row r="331">
      <c r="A331" s="1">
        <f>FB!A331</f>
        <v>43945.66667</v>
      </c>
      <c r="B331" s="3">
        <f>0.25*FB!G331+0.25*AAPL!G331+0.25*MSFT!G331+0.25*GOOG!G331</f>
        <v>0.008810212673</v>
      </c>
      <c r="C331" s="8">
        <f t="shared" si="1"/>
        <v>3704.265241</v>
      </c>
    </row>
    <row r="332">
      <c r="A332" s="1">
        <f>FB!A332</f>
        <v>43952.66667</v>
      </c>
      <c r="B332" s="3">
        <f>0.25*FB!G332+0.25*AAPL!G332+0.25*MSFT!G332+0.25*GOOG!G332</f>
        <v>0.02955324629</v>
      </c>
      <c r="C332" s="8">
        <f t="shared" si="1"/>
        <v>3813.738304</v>
      </c>
    </row>
    <row r="333">
      <c r="A333" s="1">
        <f>FB!A333</f>
        <v>43959.66667</v>
      </c>
      <c r="B333" s="3">
        <f>0.25*FB!G333+0.25*AAPL!G333+0.25*MSFT!G333+0.25*GOOG!G333</f>
        <v>0.05796008837</v>
      </c>
      <c r="C333" s="8">
        <f t="shared" si="1"/>
        <v>4034.782913</v>
      </c>
    </row>
    <row r="334">
      <c r="A334" s="1">
        <f>FB!A334</f>
        <v>43966.66667</v>
      </c>
      <c r="B334" s="3">
        <f>0.25*FB!G334+0.25*AAPL!G334+0.25*MSFT!G334+0.25*GOOG!G334</f>
        <v>-0.008456402704</v>
      </c>
      <c r="C334" s="8">
        <f t="shared" si="1"/>
        <v>4000.663164</v>
      </c>
    </row>
    <row r="335">
      <c r="A335" s="1">
        <f>FB!A335</f>
        <v>43973.66667</v>
      </c>
      <c r="B335" s="3">
        <f>0.25*FB!G335+0.25*AAPL!G335+0.25*MSFT!G335+0.25*GOOG!G335</f>
        <v>0.04481018719</v>
      </c>
      <c r="C335" s="8">
        <f t="shared" si="1"/>
        <v>4179.933629</v>
      </c>
    </row>
    <row r="336">
      <c r="A336" s="1">
        <f>FB!A336</f>
        <v>43980.66667</v>
      </c>
      <c r="B336" s="3">
        <f>0.25*FB!G336+0.25*AAPL!G336+0.25*MSFT!G336+0.25*GOOG!G336</f>
        <v>-0.008247124469</v>
      </c>
      <c r="C336" s="8">
        <f t="shared" si="1"/>
        <v>4145.461196</v>
      </c>
    </row>
    <row r="337">
      <c r="A337" s="1">
        <f>FB!A337</f>
        <v>43987.66667</v>
      </c>
      <c r="B337" s="3">
        <f>0.25*FB!G337+0.25*AAPL!G337+0.25*MSFT!G337+0.25*GOOG!G337</f>
        <v>0.02401596496</v>
      </c>
      <c r="C337" s="8">
        <f t="shared" si="1"/>
        <v>4245.018447</v>
      </c>
    </row>
    <row r="338">
      <c r="A338" s="1">
        <f>FB!A338</f>
        <v>43994.66667</v>
      </c>
      <c r="B338" s="3">
        <f>0.25*FB!G338+0.25*AAPL!G338+0.25*MSFT!G338+0.25*GOOG!G338</f>
        <v>-0.0005431084032</v>
      </c>
      <c r="C338" s="8">
        <f t="shared" si="1"/>
        <v>4242.712942</v>
      </c>
    </row>
    <row r="339">
      <c r="A339" s="1">
        <f>FB!A339</f>
        <v>44001.66667</v>
      </c>
      <c r="B339" s="3">
        <f>0.25*FB!G339+0.25*AAPL!G339+0.25*MSFT!G339+0.25*GOOG!G339</f>
        <v>0.03237182672</v>
      </c>
      <c r="C339" s="8">
        <f t="shared" si="1"/>
        <v>4380.05731</v>
      </c>
    </row>
    <row r="340">
      <c r="A340" s="1">
        <f>FB!A340</f>
        <v>44008.66667</v>
      </c>
      <c r="B340" s="3">
        <f>0.25*FB!G340+0.25*AAPL!G340+0.25*MSFT!G340+0.25*GOOG!G340</f>
        <v>-0.03200308173</v>
      </c>
      <c r="C340" s="8">
        <f t="shared" si="1"/>
        <v>4239.881978</v>
      </c>
    </row>
    <row r="341">
      <c r="A341" s="1">
        <f>FB!A341</f>
        <v>44014.66667</v>
      </c>
      <c r="B341" s="3">
        <f>0.25*FB!G341+0.25*AAPL!G341+0.25*MSFT!G341+0.25*GOOG!G341</f>
        <v>0.05938132783</v>
      </c>
      <c r="C341" s="8">
        <f t="shared" si="1"/>
        <v>4491.6518</v>
      </c>
    </row>
    <row r="342">
      <c r="A342" s="1">
        <f>FB!A342</f>
        <v>44022.66667</v>
      </c>
      <c r="B342" s="3">
        <f>0.25*FB!G342+0.25*AAPL!G342+0.25*MSFT!G342+0.25*GOOG!G342</f>
        <v>0.04803798005</v>
      </c>
      <c r="C342" s="8">
        <f t="shared" si="1"/>
        <v>4707.421679</v>
      </c>
    </row>
    <row r="343">
      <c r="A343" s="1">
        <f>FB!A343</f>
        <v>44029.66667</v>
      </c>
      <c r="B343" s="3">
        <f>0.25*FB!G343+0.25*AAPL!G343+0.25*MSFT!G343+0.25*GOOG!G343</f>
        <v>-0.018903989</v>
      </c>
      <c r="C343" s="8">
        <f t="shared" si="1"/>
        <v>4618.432632</v>
      </c>
    </row>
    <row r="344">
      <c r="A344" s="1">
        <f>FB!A344</f>
        <v>44036.66667</v>
      </c>
      <c r="B344" s="3">
        <f>0.25*FB!G344+0.25*AAPL!G344+0.25*MSFT!G344+0.25*GOOG!G344</f>
        <v>-0.02387513027</v>
      </c>
      <c r="C344" s="8">
        <f t="shared" si="1"/>
        <v>4508.166951</v>
      </c>
    </row>
    <row r="345">
      <c r="A345" s="1">
        <f>FB!A345</f>
        <v>44043.66667</v>
      </c>
      <c r="B345" s="3">
        <f>0.25*FB!G345+0.25*AAPL!G345+0.25*MSFT!G345+0.25*GOOG!G345</f>
        <v>0.06152386857</v>
      </c>
      <c r="C345" s="8">
        <f t="shared" si="1"/>
        <v>4785.526822</v>
      </c>
    </row>
    <row r="346">
      <c r="A346" s="1">
        <f>FB!A346</f>
        <v>44050.66667</v>
      </c>
      <c r="B346" s="3">
        <f>0.25*FB!G346+0.25*AAPL!G346+0.25*MSFT!G346+0.25*GOOG!G346</f>
        <v>0.03702006346</v>
      </c>
      <c r="C346" s="8">
        <f t="shared" si="1"/>
        <v>4962.687329</v>
      </c>
    </row>
    <row r="347">
      <c r="A347" s="1">
        <f>FB!A347</f>
        <v>44057.66667</v>
      </c>
      <c r="B347" s="3">
        <f>0.25*FB!G347+0.25*AAPL!G347+0.25*MSFT!G347+0.25*GOOG!G347</f>
        <v>-0.0001526822996</v>
      </c>
      <c r="C347" s="8">
        <f t="shared" si="1"/>
        <v>4961.929614</v>
      </c>
    </row>
    <row r="348">
      <c r="A348" s="1">
        <f>FB!A348</f>
        <v>44064.66667</v>
      </c>
      <c r="B348" s="3">
        <f>0.25*FB!G348+0.25*AAPL!G348+0.25*MSFT!G348+0.25*GOOG!G348</f>
        <v>0.04308654323</v>
      </c>
      <c r="C348" s="8">
        <f t="shared" si="1"/>
        <v>5175.722009</v>
      </c>
    </row>
    <row r="349">
      <c r="A349" s="1">
        <f>FB!A349</f>
        <v>44071.66667</v>
      </c>
      <c r="B349" s="3">
        <f>0.25*FB!G349+0.25*AAPL!G349+0.25*MSFT!G349+0.25*GOOG!G349</f>
        <v>0.05460749962</v>
      </c>
      <c r="C349" s="8">
        <f t="shared" si="1"/>
        <v>5458.355247</v>
      </c>
    </row>
    <row r="350">
      <c r="A350" s="1">
        <f>FB!A350</f>
        <v>44078.66667</v>
      </c>
      <c r="B350" s="3">
        <f>0.25*FB!G350+0.25*AAPL!G350+0.25*MSFT!G350+0.25*GOOG!G350</f>
        <v>-0.04114121196</v>
      </c>
      <c r="C350" s="8">
        <f t="shared" si="1"/>
        <v>5233.791896</v>
      </c>
    </row>
    <row r="351">
      <c r="A351" s="1">
        <f>FB!A351</f>
        <v>44085.66667</v>
      </c>
      <c r="B351" s="3">
        <f>0.25*FB!G351+0.25*AAPL!G351+0.25*MSFT!G351+0.25*GOOG!G351</f>
        <v>-0.05574709771</v>
      </c>
      <c r="C351" s="8">
        <f t="shared" si="1"/>
        <v>4942.023188</v>
      </c>
    </row>
    <row r="352">
      <c r="A352" s="1">
        <f>FB!A352</f>
        <v>44092.66667</v>
      </c>
      <c r="B352" s="3">
        <f>0.25*FB!G352+0.25*AAPL!G352+0.25*MSFT!G352+0.25*GOOG!G352</f>
        <v>-0.03916454885</v>
      </c>
      <c r="C352" s="8">
        <f t="shared" si="1"/>
        <v>4748.47108</v>
      </c>
    </row>
    <row r="353">
      <c r="A353" s="1">
        <f>FB!A353</f>
        <v>44099.66667</v>
      </c>
      <c r="B353" s="3">
        <f>0.25*FB!G353+0.25*AAPL!G353+0.25*MSFT!G353+0.25*GOOG!G353</f>
        <v>0.0216921491</v>
      </c>
      <c r="C353" s="8">
        <f t="shared" si="1"/>
        <v>4851.475622</v>
      </c>
    </row>
    <row r="354">
      <c r="A354" s="1">
        <f>FB!A354</f>
        <v>44106.66667</v>
      </c>
      <c r="B354" s="3">
        <f>0.25*FB!G354+0.25*AAPL!G354+0.25*MSFT!G354+0.25*GOOG!G354</f>
        <v>0.007038772846</v>
      </c>
      <c r="C354" s="8">
        <f t="shared" si="1"/>
        <v>4885.624057</v>
      </c>
    </row>
    <row r="355">
      <c r="A355" s="1">
        <f>FB!A355</f>
        <v>44113.66667</v>
      </c>
      <c r="B355" s="3">
        <f>0.25*FB!G355+0.25*AAPL!G355+0.25*MSFT!G355+0.25*GOOG!G355</f>
        <v>0.0344754945</v>
      </c>
      <c r="C355" s="8">
        <f t="shared" si="1"/>
        <v>5054.058362</v>
      </c>
    </row>
    <row r="356">
      <c r="A356" s="1">
        <f>FB!A356</f>
        <v>44120.66667</v>
      </c>
      <c r="B356" s="3">
        <f>0.25*FB!G356+0.25*AAPL!G356+0.25*MSFT!G356+0.25*GOOG!G356</f>
        <v>0.01977545624</v>
      </c>
      <c r="C356" s="8">
        <f t="shared" si="1"/>
        <v>5154.004672</v>
      </c>
    </row>
    <row r="357">
      <c r="A357" s="1">
        <f>FB!A357</f>
        <v>44127.66667</v>
      </c>
      <c r="B357" s="3">
        <f>0.25*FB!G357+0.25*AAPL!G357+0.25*MSFT!G357+0.25*GOOG!G357</f>
        <v>0.01627224633</v>
      </c>
      <c r="C357" s="8">
        <f t="shared" si="1"/>
        <v>5237.871906</v>
      </c>
    </row>
    <row r="358">
      <c r="A358" s="1">
        <f>FB!A358</f>
        <v>44134.66667</v>
      </c>
      <c r="B358" s="3">
        <f>0.25*FB!G358+0.25*AAPL!G358+0.25*MSFT!G358+0.25*GOOG!G358</f>
        <v>-0.05141606333</v>
      </c>
      <c r="C358" s="8">
        <f t="shared" si="1"/>
        <v>4968.561152</v>
      </c>
    </row>
    <row r="359">
      <c r="A359" s="1">
        <f>FB!A359</f>
        <v>44141.66667</v>
      </c>
      <c r="B359" s="3">
        <f>0.25*FB!G359+0.25*AAPL!G359+0.25*MSFT!G359+0.25*GOOG!G359</f>
        <v>0.099309165</v>
      </c>
      <c r="C359" s="8">
        <f t="shared" si="1"/>
        <v>5461.984812</v>
      </c>
    </row>
    <row r="360">
      <c r="A360" s="1">
        <f>FB!A360</f>
        <v>44148.66667</v>
      </c>
      <c r="B360" s="3">
        <f>0.25*FB!G360+0.25*AAPL!G360+0.25*MSFT!G360+0.25*GOOG!G360</f>
        <v>-0.01871420357</v>
      </c>
      <c r="C360" s="8">
        <f t="shared" si="1"/>
        <v>5359.768116</v>
      </c>
    </row>
    <row r="361">
      <c r="A361" s="1">
        <f>FB!A361</f>
        <v>44155.66667</v>
      </c>
      <c r="B361" s="3">
        <f>0.25*FB!G361+0.25*AAPL!G361+0.25*MSFT!G361+0.25*GOOG!G361</f>
        <v>-0.02253602793</v>
      </c>
      <c r="C361" s="8">
        <f t="shared" si="1"/>
        <v>5238.980232</v>
      </c>
    </row>
    <row r="362">
      <c r="A362" s="1">
        <f>FB!A362</f>
        <v>44162.54167</v>
      </c>
      <c r="B362" s="3">
        <f>0.25*FB!G362+0.25*AAPL!G362+0.25*MSFT!G362+0.25*GOOG!G362</f>
        <v>0.01898929065</v>
      </c>
      <c r="C362" s="8">
        <f t="shared" si="1"/>
        <v>5338.46475</v>
      </c>
    </row>
    <row r="363">
      <c r="A363" s="1">
        <f>FB!A363</f>
        <v>44169.66667</v>
      </c>
      <c r="B363" s="3">
        <f>0.25*FB!G363+0.25*AAPL!G363+0.25*MSFT!G363+0.25*GOOG!G363</f>
        <v>0.01767849161</v>
      </c>
      <c r="C363" s="8">
        <f t="shared" si="1"/>
        <v>5432.840755</v>
      </c>
    </row>
    <row r="364">
      <c r="A364" s="1">
        <f>FB!A364</f>
        <v>44176.66667</v>
      </c>
      <c r="B364" s="3">
        <f>0.25*FB!G364+0.25*AAPL!G364+0.25*MSFT!G364+0.25*GOOG!G364</f>
        <v>-0.01277380182</v>
      </c>
      <c r="C364" s="8">
        <f t="shared" si="1"/>
        <v>5363.442724</v>
      </c>
    </row>
    <row r="365">
      <c r="A365" s="1">
        <f>FB!A365</f>
        <v>44183.66667</v>
      </c>
      <c r="B365" s="3">
        <f>0.25*FB!G365+0.25*AAPL!G365+0.25*MSFT!G365+0.25*GOOG!G365</f>
        <v>0.0104105993</v>
      </c>
      <c r="C365" s="8">
        <f t="shared" si="1"/>
        <v>5419.279377</v>
      </c>
    </row>
    <row r="366">
      <c r="A366" s="1">
        <f>FB!A366</f>
        <v>44189.54167</v>
      </c>
      <c r="B366" s="3">
        <f>0.25*FB!G366+0.25*AAPL!G366+0.25*MSFT!G366+0.25*GOOG!G366</f>
        <v>0.008230491124</v>
      </c>
      <c r="C366" s="8">
        <f t="shared" si="1"/>
        <v>5463.882707</v>
      </c>
    </row>
    <row r="367">
      <c r="A367" s="1">
        <f>FB!A367</f>
        <v>44196.66667</v>
      </c>
      <c r="B367" s="3">
        <f>0.25*FB!G367+0.25*AAPL!G367+0.25*MSFT!G367+0.25*GOOG!G367</f>
        <v>0.008252131287</v>
      </c>
      <c r="C367" s="8">
        <f t="shared" si="1"/>
        <v>5508.971385</v>
      </c>
    </row>
    <row r="368">
      <c r="B368" s="3"/>
      <c r="C368" s="8"/>
    </row>
    <row r="369">
      <c r="B369" s="3"/>
      <c r="C369" s="8"/>
    </row>
    <row r="370">
      <c r="B370" s="3"/>
      <c r="C370" s="8"/>
    </row>
    <row r="371">
      <c r="B371" s="3"/>
      <c r="C371" s="8"/>
    </row>
    <row r="372">
      <c r="B372" s="3"/>
      <c r="C372" s="8"/>
    </row>
    <row r="373">
      <c r="B373" s="3"/>
      <c r="C373" s="8"/>
    </row>
    <row r="374">
      <c r="B374" s="3"/>
      <c r="C374" s="8"/>
    </row>
    <row r="375">
      <c r="B375" s="3"/>
      <c r="C375" s="8"/>
    </row>
    <row r="376">
      <c r="B376" s="3"/>
      <c r="C376" s="8"/>
    </row>
    <row r="377">
      <c r="B377" s="3"/>
      <c r="C377" s="8"/>
    </row>
    <row r="378">
      <c r="B378" s="3"/>
      <c r="C378" s="8"/>
    </row>
    <row r="379">
      <c r="B379" s="3"/>
      <c r="C379" s="8"/>
    </row>
    <row r="380">
      <c r="B380" s="3"/>
      <c r="C380" s="8"/>
    </row>
    <row r="381">
      <c r="B381" s="3"/>
      <c r="C381" s="8"/>
    </row>
    <row r="382">
      <c r="B382" s="3"/>
      <c r="C382" s="8"/>
    </row>
    <row r="383">
      <c r="B383" s="3"/>
      <c r="C383" s="8"/>
    </row>
    <row r="384">
      <c r="B384" s="3"/>
      <c r="C384" s="8"/>
    </row>
    <row r="385">
      <c r="B385" s="3"/>
      <c r="C385" s="8"/>
    </row>
    <row r="386">
      <c r="B386" s="3"/>
      <c r="C386" s="8"/>
    </row>
    <row r="387">
      <c r="B387" s="3"/>
      <c r="C387" s="8"/>
    </row>
    <row r="388">
      <c r="B388" s="3"/>
      <c r="C388" s="8"/>
    </row>
    <row r="389">
      <c r="B389" s="3"/>
      <c r="C389" s="8"/>
    </row>
    <row r="390">
      <c r="B390" s="3"/>
      <c r="C390" s="8"/>
    </row>
    <row r="391">
      <c r="B391" s="3"/>
      <c r="C391" s="8"/>
    </row>
    <row r="392">
      <c r="B392" s="3"/>
      <c r="C392" s="8"/>
    </row>
    <row r="393">
      <c r="B393" s="3"/>
      <c r="C393" s="8"/>
    </row>
    <row r="394">
      <c r="B394" s="3"/>
      <c r="C394" s="8"/>
    </row>
    <row r="395">
      <c r="B395" s="3"/>
      <c r="C395" s="8"/>
    </row>
    <row r="396">
      <c r="B396" s="3"/>
      <c r="C396" s="8"/>
    </row>
    <row r="397">
      <c r="B397" s="3"/>
      <c r="C397" s="8"/>
    </row>
    <row r="398">
      <c r="B398" s="3"/>
      <c r="C398" s="8"/>
    </row>
    <row r="399">
      <c r="B399" s="3"/>
      <c r="C399" s="8"/>
    </row>
    <row r="400">
      <c r="B400" s="3"/>
      <c r="C400" s="8"/>
    </row>
    <row r="401">
      <c r="B401" s="3"/>
      <c r="C401" s="8"/>
    </row>
    <row r="402">
      <c r="B402" s="3"/>
      <c r="C402" s="8"/>
    </row>
    <row r="403">
      <c r="B403" s="3"/>
      <c r="C403" s="8"/>
    </row>
    <row r="404">
      <c r="B404" s="3"/>
      <c r="C404" s="8"/>
    </row>
    <row r="405">
      <c r="B405" s="3"/>
      <c r="C405" s="8"/>
    </row>
    <row r="406">
      <c r="B406" s="3"/>
      <c r="C406" s="8"/>
    </row>
    <row r="407">
      <c r="B407" s="3"/>
      <c r="C407" s="8"/>
    </row>
    <row r="408">
      <c r="B408" s="3"/>
      <c r="C408" s="8"/>
    </row>
    <row r="409">
      <c r="B409" s="3"/>
      <c r="C409" s="8"/>
    </row>
    <row r="410">
      <c r="B410" s="3"/>
      <c r="C410" s="8"/>
    </row>
    <row r="411">
      <c r="B411" s="3"/>
      <c r="C411" s="8"/>
    </row>
    <row r="412">
      <c r="B412" s="3"/>
      <c r="C412" s="8"/>
    </row>
    <row r="413">
      <c r="B413" s="3"/>
      <c r="C413" s="8"/>
    </row>
    <row r="414">
      <c r="B414" s="3"/>
      <c r="C414" s="8"/>
    </row>
    <row r="415">
      <c r="B415" s="3"/>
      <c r="C415" s="8"/>
    </row>
    <row r="416">
      <c r="B416" s="3"/>
      <c r="C416" s="8"/>
    </row>
    <row r="417">
      <c r="B417" s="3"/>
      <c r="C417" s="8"/>
    </row>
    <row r="418">
      <c r="B418" s="3"/>
      <c r="C418" s="8"/>
    </row>
    <row r="419">
      <c r="B419" s="3"/>
      <c r="C419" s="8"/>
    </row>
    <row r="420">
      <c r="B420" s="3"/>
      <c r="C420" s="8"/>
    </row>
    <row r="421">
      <c r="B421" s="3"/>
      <c r="C421" s="8"/>
    </row>
    <row r="422">
      <c r="B422" s="3"/>
      <c r="C422" s="8"/>
    </row>
    <row r="423">
      <c r="B423" s="3"/>
      <c r="C423" s="8"/>
    </row>
    <row r="424">
      <c r="B424" s="3"/>
      <c r="C424" s="8"/>
    </row>
    <row r="425">
      <c r="B425" s="3"/>
      <c r="C425" s="8"/>
    </row>
    <row r="426">
      <c r="B426" s="3"/>
      <c r="C426" s="8"/>
    </row>
    <row r="427">
      <c r="B427" s="3"/>
      <c r="C427" s="8"/>
    </row>
    <row r="428">
      <c r="B428" s="3"/>
      <c r="C428" s="8"/>
    </row>
    <row r="429">
      <c r="B429" s="3"/>
      <c r="C429" s="8"/>
    </row>
    <row r="430">
      <c r="B430" s="3"/>
      <c r="C430" s="8"/>
    </row>
    <row r="431">
      <c r="B431" s="3"/>
      <c r="C431" s="8"/>
    </row>
    <row r="432">
      <c r="B432" s="3"/>
      <c r="C432" s="8"/>
    </row>
    <row r="433">
      <c r="B433" s="3"/>
      <c r="C433" s="8"/>
    </row>
    <row r="434">
      <c r="B434" s="3"/>
      <c r="C434" s="8"/>
    </row>
    <row r="435">
      <c r="B435" s="3"/>
      <c r="C435" s="8"/>
    </row>
    <row r="436">
      <c r="B436" s="3"/>
      <c r="C436" s="8"/>
    </row>
    <row r="437">
      <c r="B437" s="3"/>
      <c r="C437" s="8"/>
    </row>
    <row r="438">
      <c r="B438" s="3"/>
      <c r="C438" s="8"/>
    </row>
    <row r="439">
      <c r="B439" s="3"/>
      <c r="C439" s="8"/>
    </row>
    <row r="440">
      <c r="B440" s="3"/>
      <c r="C440" s="8"/>
    </row>
    <row r="441">
      <c r="B441" s="3"/>
      <c r="C441" s="8"/>
    </row>
    <row r="442">
      <c r="B442" s="3"/>
      <c r="C442" s="8"/>
    </row>
    <row r="443">
      <c r="B443" s="3"/>
      <c r="C443" s="8"/>
    </row>
    <row r="444">
      <c r="B444" s="3"/>
      <c r="C444" s="8"/>
    </row>
    <row r="445">
      <c r="B445" s="3"/>
      <c r="C445" s="8"/>
    </row>
    <row r="446">
      <c r="B446" s="3"/>
      <c r="C446" s="8"/>
    </row>
    <row r="447">
      <c r="B447" s="3"/>
      <c r="C447" s="8"/>
    </row>
    <row r="448">
      <c r="B448" s="3"/>
      <c r="C448" s="8"/>
    </row>
    <row r="449">
      <c r="B449" s="3"/>
      <c r="C449" s="8"/>
    </row>
    <row r="450">
      <c r="B450" s="3"/>
      <c r="C450" s="8"/>
    </row>
    <row r="451">
      <c r="B451" s="3"/>
      <c r="C451" s="8"/>
    </row>
    <row r="452">
      <c r="B452" s="3"/>
      <c r="C452" s="8"/>
    </row>
    <row r="453">
      <c r="B453" s="3"/>
      <c r="C453" s="8"/>
    </row>
    <row r="454">
      <c r="B454" s="3"/>
      <c r="C454" s="8"/>
    </row>
    <row r="455">
      <c r="B455" s="3"/>
      <c r="C455" s="8"/>
    </row>
    <row r="456">
      <c r="B456" s="3"/>
      <c r="C456" s="8"/>
    </row>
    <row r="457">
      <c r="B457" s="3"/>
      <c r="C457" s="8"/>
    </row>
    <row r="458">
      <c r="B458" s="3"/>
      <c r="C458" s="8"/>
    </row>
    <row r="459">
      <c r="B459" s="3"/>
      <c r="C459" s="8"/>
    </row>
    <row r="460">
      <c r="B460" s="3"/>
      <c r="C460" s="8"/>
    </row>
    <row r="461">
      <c r="B461" s="3"/>
      <c r="C461" s="8"/>
    </row>
    <row r="462">
      <c r="B462" s="3"/>
      <c r="C462" s="8"/>
    </row>
    <row r="463">
      <c r="B463" s="3"/>
      <c r="C463" s="8"/>
    </row>
    <row r="464">
      <c r="B464" s="3"/>
      <c r="C464" s="8"/>
    </row>
    <row r="465">
      <c r="B465" s="3"/>
      <c r="C465" s="8"/>
    </row>
    <row r="466">
      <c r="B466" s="3"/>
      <c r="C466" s="8"/>
    </row>
    <row r="467">
      <c r="B467" s="3"/>
      <c r="C467" s="8"/>
    </row>
    <row r="468">
      <c r="B468" s="3"/>
      <c r="C468" s="8"/>
    </row>
    <row r="469">
      <c r="B469" s="3"/>
      <c r="C469" s="8"/>
    </row>
    <row r="470">
      <c r="B470" s="3"/>
      <c r="C470" s="8"/>
    </row>
    <row r="471">
      <c r="B471" s="3"/>
      <c r="C471" s="8"/>
    </row>
    <row r="472">
      <c r="B472" s="3"/>
      <c r="C472" s="8"/>
    </row>
    <row r="473">
      <c r="B473" s="3"/>
      <c r="C473" s="8"/>
    </row>
    <row r="474">
      <c r="B474" s="3"/>
      <c r="C474" s="8"/>
    </row>
    <row r="475">
      <c r="B475" s="3"/>
      <c r="C475" s="8"/>
    </row>
    <row r="476">
      <c r="B476" s="3"/>
      <c r="C476" s="8"/>
    </row>
    <row r="477">
      <c r="B477" s="3"/>
      <c r="C477" s="8"/>
    </row>
    <row r="478">
      <c r="B478" s="3"/>
      <c r="C478" s="8"/>
    </row>
    <row r="479">
      <c r="B479" s="3"/>
      <c r="C479" s="8"/>
    </row>
    <row r="480">
      <c r="B480" s="3"/>
      <c r="C480" s="8"/>
    </row>
    <row r="481">
      <c r="B481" s="3"/>
      <c r="C481" s="8"/>
    </row>
    <row r="482">
      <c r="B482" s="3"/>
      <c r="C482" s="8"/>
    </row>
    <row r="483">
      <c r="B483" s="3"/>
      <c r="C483" s="8"/>
    </row>
    <row r="484">
      <c r="B484" s="3"/>
      <c r="C484" s="8"/>
    </row>
    <row r="485">
      <c r="B485" s="3"/>
      <c r="C485" s="8"/>
    </row>
    <row r="486">
      <c r="B486" s="3"/>
      <c r="C486" s="8"/>
    </row>
    <row r="487">
      <c r="B487" s="3"/>
      <c r="C487" s="8"/>
    </row>
    <row r="488">
      <c r="B488" s="3"/>
      <c r="C488" s="8"/>
    </row>
    <row r="489">
      <c r="B489" s="3"/>
      <c r="C489" s="8"/>
    </row>
    <row r="490">
      <c r="B490" s="3"/>
      <c r="C490" s="8"/>
    </row>
    <row r="491">
      <c r="B491" s="3"/>
      <c r="C491" s="8"/>
    </row>
    <row r="492">
      <c r="B492" s="3"/>
      <c r="C492" s="8"/>
    </row>
    <row r="493">
      <c r="B493" s="3"/>
      <c r="C493" s="8"/>
    </row>
    <row r="494">
      <c r="B494" s="3"/>
      <c r="C494" s="8"/>
    </row>
    <row r="495">
      <c r="B495" s="3"/>
      <c r="C495" s="8"/>
    </row>
    <row r="496">
      <c r="B496" s="3"/>
      <c r="C496" s="8"/>
    </row>
    <row r="497">
      <c r="B497" s="3"/>
      <c r="C497" s="8"/>
    </row>
    <row r="498">
      <c r="B498" s="3"/>
      <c r="C498" s="8"/>
    </row>
    <row r="499">
      <c r="B499" s="3"/>
      <c r="C499" s="8"/>
    </row>
    <row r="500">
      <c r="B500" s="3"/>
      <c r="C500" s="8"/>
    </row>
    <row r="501">
      <c r="B501" s="3"/>
      <c r="C501" s="8"/>
    </row>
    <row r="502">
      <c r="B502" s="3"/>
      <c r="C502" s="8"/>
    </row>
    <row r="503">
      <c r="B503" s="3"/>
      <c r="C503" s="8"/>
    </row>
    <row r="504">
      <c r="B504" s="3"/>
      <c r="C504" s="8"/>
    </row>
    <row r="505">
      <c r="B505" s="3"/>
      <c r="C505" s="8"/>
    </row>
    <row r="506">
      <c r="B506" s="3"/>
      <c r="C506" s="8"/>
    </row>
    <row r="507">
      <c r="B507" s="3"/>
      <c r="C507" s="8"/>
    </row>
    <row r="508">
      <c r="B508" s="3"/>
      <c r="C508" s="8"/>
    </row>
    <row r="509">
      <c r="B509" s="3"/>
      <c r="C509" s="8"/>
    </row>
    <row r="510">
      <c r="B510" s="3"/>
      <c r="C510" s="8"/>
    </row>
    <row r="511">
      <c r="B511" s="3"/>
      <c r="C511" s="8"/>
    </row>
    <row r="512">
      <c r="B512" s="3"/>
      <c r="C512" s="8"/>
    </row>
    <row r="513">
      <c r="B513" s="3"/>
      <c r="C513" s="8"/>
    </row>
    <row r="514">
      <c r="B514" s="3"/>
      <c r="C514" s="8"/>
    </row>
    <row r="515">
      <c r="B515" s="3"/>
      <c r="C515" s="8"/>
    </row>
    <row r="516">
      <c r="B516" s="3"/>
      <c r="C516" s="8"/>
    </row>
    <row r="517">
      <c r="B517" s="3"/>
      <c r="C517" s="8"/>
    </row>
    <row r="518">
      <c r="B518" s="3"/>
      <c r="C518" s="8"/>
    </row>
    <row r="519">
      <c r="B519" s="3"/>
      <c r="C519" s="8"/>
    </row>
    <row r="520">
      <c r="B520" s="3"/>
      <c r="C520" s="8"/>
    </row>
    <row r="521">
      <c r="B521" s="3"/>
      <c r="C521" s="8"/>
    </row>
    <row r="522">
      <c r="B522" s="3"/>
      <c r="C522" s="8"/>
    </row>
    <row r="523">
      <c r="B523" s="3"/>
      <c r="C523" s="8"/>
    </row>
    <row r="524">
      <c r="B524" s="3"/>
      <c r="C524" s="8"/>
    </row>
    <row r="525">
      <c r="B525" s="3"/>
      <c r="C525" s="8"/>
    </row>
    <row r="526">
      <c r="B526" s="3"/>
      <c r="C526" s="8"/>
    </row>
    <row r="527">
      <c r="B527" s="3"/>
      <c r="C527" s="8"/>
    </row>
    <row r="528">
      <c r="B528" s="3"/>
      <c r="C528" s="8"/>
    </row>
    <row r="529">
      <c r="B529" s="3"/>
      <c r="C529" s="8"/>
    </row>
    <row r="530">
      <c r="B530" s="3"/>
      <c r="C530" s="8"/>
    </row>
    <row r="531">
      <c r="B531" s="3"/>
      <c r="C531" s="8"/>
    </row>
    <row r="532">
      <c r="B532" s="3"/>
      <c r="C532" s="8"/>
    </row>
    <row r="533">
      <c r="B533" s="3"/>
      <c r="C533" s="8"/>
    </row>
    <row r="534">
      <c r="B534" s="3"/>
      <c r="C534" s="8"/>
    </row>
    <row r="535">
      <c r="B535" s="3"/>
      <c r="C535" s="8"/>
    </row>
    <row r="536">
      <c r="B536" s="3"/>
      <c r="C536" s="8"/>
    </row>
    <row r="537">
      <c r="B537" s="3"/>
      <c r="C537" s="8"/>
    </row>
    <row r="538">
      <c r="B538" s="3"/>
      <c r="C538" s="8"/>
    </row>
    <row r="539">
      <c r="B539" s="3"/>
      <c r="C539" s="8"/>
    </row>
    <row r="540">
      <c r="B540" s="3"/>
      <c r="C540" s="8"/>
    </row>
    <row r="541">
      <c r="B541" s="3"/>
      <c r="C541" s="8"/>
    </row>
    <row r="542">
      <c r="B542" s="3"/>
      <c r="C542" s="8"/>
    </row>
    <row r="543">
      <c r="B543" s="3"/>
      <c r="C543" s="8"/>
    </row>
    <row r="544">
      <c r="B544" s="3"/>
      <c r="C544" s="8"/>
    </row>
    <row r="545">
      <c r="B545" s="3"/>
      <c r="C545" s="8"/>
    </row>
    <row r="546">
      <c r="B546" s="3"/>
      <c r="C546" s="8"/>
    </row>
    <row r="547">
      <c r="B547" s="3"/>
      <c r="C547" s="8"/>
    </row>
    <row r="548">
      <c r="B548" s="3"/>
      <c r="C548" s="8"/>
    </row>
    <row r="549">
      <c r="B549" s="3"/>
      <c r="C549" s="8"/>
    </row>
    <row r="550">
      <c r="B550" s="3"/>
      <c r="C550" s="8"/>
    </row>
    <row r="551">
      <c r="B551" s="3"/>
      <c r="C551" s="8"/>
    </row>
    <row r="552">
      <c r="B552" s="3"/>
      <c r="C552" s="8"/>
    </row>
    <row r="553">
      <c r="B553" s="3"/>
      <c r="C553" s="8"/>
    </row>
    <row r="554">
      <c r="B554" s="3"/>
      <c r="C554" s="8"/>
    </row>
    <row r="555">
      <c r="B555" s="3"/>
      <c r="C555" s="8"/>
    </row>
    <row r="556">
      <c r="B556" s="3"/>
      <c r="C556" s="8"/>
    </row>
    <row r="557">
      <c r="B557" s="3"/>
      <c r="C557" s="8"/>
    </row>
    <row r="558">
      <c r="B558" s="3"/>
      <c r="C558" s="8"/>
    </row>
    <row r="559">
      <c r="B559" s="3"/>
      <c r="C559" s="8"/>
    </row>
    <row r="560">
      <c r="B560" s="3"/>
      <c r="C560" s="8"/>
    </row>
    <row r="561">
      <c r="B561" s="3"/>
      <c r="C561" s="8"/>
    </row>
    <row r="562">
      <c r="B562" s="3"/>
      <c r="C562" s="8"/>
    </row>
    <row r="563">
      <c r="B563" s="3"/>
      <c r="C563" s="8"/>
    </row>
    <row r="564">
      <c r="B564" s="3"/>
      <c r="C564" s="8"/>
    </row>
    <row r="565">
      <c r="B565" s="3"/>
      <c r="C565" s="8"/>
    </row>
    <row r="566">
      <c r="B566" s="3"/>
      <c r="C566" s="8"/>
    </row>
    <row r="567">
      <c r="B567" s="3"/>
      <c r="C567" s="8"/>
    </row>
    <row r="568">
      <c r="B568" s="3"/>
      <c r="C568" s="8"/>
    </row>
    <row r="569">
      <c r="B569" s="3"/>
      <c r="C569" s="8"/>
    </row>
    <row r="570">
      <c r="B570" s="3"/>
      <c r="C570" s="8"/>
    </row>
    <row r="571">
      <c r="B571" s="3"/>
      <c r="C571" s="8"/>
    </row>
    <row r="572">
      <c r="B572" s="3"/>
      <c r="C572" s="8"/>
    </row>
    <row r="573">
      <c r="B573" s="3"/>
      <c r="C573" s="8"/>
    </row>
    <row r="574">
      <c r="B574" s="3"/>
      <c r="C574" s="8"/>
    </row>
    <row r="575">
      <c r="B575" s="3"/>
      <c r="C575" s="8"/>
    </row>
    <row r="576">
      <c r="B576" s="3"/>
      <c r="C576" s="8"/>
    </row>
    <row r="577">
      <c r="B577" s="3"/>
      <c r="C577" s="8"/>
    </row>
    <row r="578">
      <c r="B578" s="3"/>
      <c r="C578" s="8"/>
    </row>
    <row r="579">
      <c r="B579" s="3"/>
      <c r="C579" s="8"/>
    </row>
    <row r="580">
      <c r="B580" s="3"/>
      <c r="C580" s="8"/>
    </row>
    <row r="581">
      <c r="B581" s="3"/>
      <c r="C581" s="8"/>
    </row>
    <row r="582">
      <c r="B582" s="3"/>
      <c r="C582" s="8"/>
    </row>
    <row r="583">
      <c r="B583" s="3"/>
      <c r="C583" s="8"/>
    </row>
    <row r="584">
      <c r="B584" s="3"/>
      <c r="C584" s="8"/>
    </row>
    <row r="585">
      <c r="B585" s="3"/>
      <c r="C585" s="8"/>
    </row>
    <row r="586">
      <c r="B586" s="3"/>
      <c r="C586" s="8"/>
    </row>
    <row r="587">
      <c r="B587" s="3"/>
      <c r="C587" s="8"/>
    </row>
    <row r="588">
      <c r="B588" s="3"/>
      <c r="C588" s="8"/>
    </row>
    <row r="589">
      <c r="B589" s="3"/>
      <c r="C589" s="8"/>
    </row>
    <row r="590">
      <c r="B590" s="3"/>
      <c r="C590" s="8"/>
    </row>
    <row r="591">
      <c r="B591" s="3"/>
      <c r="C591" s="8"/>
    </row>
    <row r="592">
      <c r="B592" s="3"/>
      <c r="C592" s="8"/>
    </row>
    <row r="593">
      <c r="B593" s="3"/>
      <c r="C593" s="8"/>
    </row>
    <row r="594">
      <c r="B594" s="3"/>
      <c r="C594" s="8"/>
    </row>
    <row r="595">
      <c r="B595" s="3"/>
      <c r="C595" s="8"/>
    </row>
    <row r="596">
      <c r="B596" s="3"/>
      <c r="C596" s="8"/>
    </row>
    <row r="597">
      <c r="B597" s="3"/>
      <c r="C597" s="8"/>
    </row>
    <row r="598">
      <c r="B598" s="3"/>
      <c r="C598" s="8"/>
    </row>
    <row r="599">
      <c r="B599" s="3"/>
      <c r="C599" s="8"/>
    </row>
    <row r="600">
      <c r="B600" s="3"/>
      <c r="C600" s="8"/>
    </row>
    <row r="601">
      <c r="B601" s="3"/>
      <c r="C601" s="8"/>
    </row>
    <row r="602">
      <c r="B602" s="3"/>
      <c r="C602" s="8"/>
    </row>
    <row r="603">
      <c r="B603" s="3"/>
      <c r="C603" s="8"/>
    </row>
    <row r="604">
      <c r="B604" s="3"/>
      <c r="C604" s="8"/>
    </row>
    <row r="605">
      <c r="B605" s="3"/>
      <c r="C605" s="8"/>
    </row>
    <row r="606">
      <c r="B606" s="3"/>
      <c r="C606" s="8"/>
    </row>
    <row r="607">
      <c r="B607" s="3"/>
      <c r="C607" s="8"/>
    </row>
    <row r="608">
      <c r="B608" s="3"/>
      <c r="C608" s="8"/>
    </row>
    <row r="609">
      <c r="B609" s="3"/>
      <c r="C609" s="8"/>
    </row>
    <row r="610">
      <c r="B610" s="3"/>
      <c r="C610" s="8"/>
    </row>
    <row r="611">
      <c r="B611" s="3"/>
      <c r="C611" s="8"/>
    </row>
    <row r="612">
      <c r="B612" s="3"/>
      <c r="C612" s="8"/>
    </row>
    <row r="613">
      <c r="B613" s="3"/>
      <c r="C613" s="8"/>
    </row>
    <row r="614">
      <c r="B614" s="3"/>
      <c r="C614" s="8"/>
    </row>
    <row r="615">
      <c r="B615" s="3"/>
      <c r="C615" s="8"/>
    </row>
    <row r="616">
      <c r="B616" s="3"/>
      <c r="C616" s="8"/>
    </row>
    <row r="617">
      <c r="B617" s="3"/>
      <c r="C617" s="8"/>
    </row>
    <row r="618">
      <c r="B618" s="3"/>
      <c r="C618" s="8"/>
    </row>
    <row r="619">
      <c r="B619" s="3"/>
      <c r="C619" s="8"/>
    </row>
    <row r="620">
      <c r="B620" s="3"/>
      <c r="C620" s="8"/>
    </row>
    <row r="621">
      <c r="B621" s="3"/>
      <c r="C621" s="8"/>
    </row>
    <row r="622">
      <c r="B622" s="3"/>
      <c r="C622" s="8"/>
    </row>
    <row r="623">
      <c r="B623" s="3"/>
      <c r="C623" s="8"/>
    </row>
    <row r="624">
      <c r="B624" s="3"/>
      <c r="C624" s="8"/>
    </row>
    <row r="625">
      <c r="B625" s="3"/>
      <c r="C625" s="8"/>
    </row>
    <row r="626">
      <c r="B626" s="3"/>
      <c r="C626" s="8"/>
    </row>
    <row r="627">
      <c r="B627" s="3"/>
      <c r="C627" s="8"/>
    </row>
    <row r="628">
      <c r="B628" s="3"/>
      <c r="C628" s="8"/>
    </row>
    <row r="629">
      <c r="B629" s="3"/>
      <c r="C629" s="8"/>
    </row>
    <row r="630">
      <c r="B630" s="3"/>
      <c r="C630" s="8"/>
    </row>
    <row r="631">
      <c r="B631" s="3"/>
      <c r="C631" s="8"/>
    </row>
    <row r="632">
      <c r="B632" s="3"/>
      <c r="C632" s="8"/>
    </row>
    <row r="633">
      <c r="B633" s="3"/>
      <c r="C633" s="8"/>
    </row>
    <row r="634">
      <c r="B634" s="3"/>
      <c r="C634" s="8"/>
    </row>
    <row r="635">
      <c r="B635" s="3"/>
      <c r="C635" s="8"/>
    </row>
    <row r="636">
      <c r="B636" s="3"/>
      <c r="C636" s="8"/>
    </row>
    <row r="637">
      <c r="B637" s="3"/>
      <c r="C637" s="8"/>
    </row>
    <row r="638">
      <c r="B638" s="3"/>
      <c r="C638" s="8"/>
    </row>
    <row r="639">
      <c r="B639" s="3"/>
      <c r="C639" s="8"/>
    </row>
    <row r="640">
      <c r="B640" s="3"/>
      <c r="C640" s="8"/>
    </row>
    <row r="641">
      <c r="B641" s="3"/>
      <c r="C641" s="8"/>
    </row>
    <row r="642">
      <c r="B642" s="3"/>
      <c r="C642" s="8"/>
    </row>
    <row r="643">
      <c r="B643" s="3"/>
      <c r="C643" s="8"/>
    </row>
    <row r="644">
      <c r="B644" s="3"/>
      <c r="C644" s="8"/>
    </row>
    <row r="645">
      <c r="B645" s="3"/>
      <c r="C645" s="8"/>
    </row>
    <row r="646">
      <c r="B646" s="3"/>
      <c r="C646" s="8"/>
    </row>
    <row r="647">
      <c r="B647" s="3"/>
      <c r="C647" s="8"/>
    </row>
    <row r="648">
      <c r="B648" s="3"/>
      <c r="C648" s="8"/>
    </row>
    <row r="649">
      <c r="B649" s="3"/>
      <c r="C649" s="8"/>
    </row>
    <row r="650">
      <c r="B650" s="3"/>
      <c r="C650" s="8"/>
    </row>
    <row r="651">
      <c r="B651" s="3"/>
      <c r="C651" s="8"/>
    </row>
    <row r="652">
      <c r="B652" s="3"/>
      <c r="C652" s="8"/>
    </row>
    <row r="653">
      <c r="B653" s="3"/>
      <c r="C653" s="8"/>
    </row>
    <row r="654">
      <c r="B654" s="3"/>
      <c r="C654" s="8"/>
    </row>
    <row r="655">
      <c r="B655" s="3"/>
      <c r="C655" s="8"/>
    </row>
    <row r="656">
      <c r="B656" s="3"/>
      <c r="C656" s="8"/>
    </row>
    <row r="657">
      <c r="B657" s="3"/>
      <c r="C657" s="8"/>
    </row>
    <row r="658">
      <c r="B658" s="3"/>
      <c r="C658" s="8"/>
    </row>
    <row r="659">
      <c r="B659" s="3"/>
      <c r="C659" s="8"/>
    </row>
    <row r="660">
      <c r="B660" s="3"/>
      <c r="C660" s="8"/>
    </row>
    <row r="661">
      <c r="B661" s="3"/>
      <c r="C661" s="8"/>
    </row>
    <row r="662">
      <c r="B662" s="3"/>
      <c r="C662" s="8"/>
    </row>
    <row r="663">
      <c r="B663" s="3"/>
      <c r="C663" s="8"/>
    </row>
    <row r="664">
      <c r="B664" s="3"/>
      <c r="C664" s="8"/>
    </row>
    <row r="665">
      <c r="B665" s="3"/>
      <c r="C665" s="8"/>
    </row>
    <row r="666">
      <c r="B666" s="3"/>
      <c r="C666" s="8"/>
    </row>
    <row r="667">
      <c r="B667" s="3"/>
      <c r="C667" s="8"/>
    </row>
    <row r="668">
      <c r="B668" s="3"/>
      <c r="C668" s="8"/>
    </row>
    <row r="669">
      <c r="B669" s="3"/>
      <c r="C669" s="8"/>
    </row>
    <row r="670">
      <c r="B670" s="3"/>
      <c r="C670" s="8"/>
    </row>
    <row r="671">
      <c r="B671" s="3"/>
      <c r="C671" s="8"/>
    </row>
    <row r="672">
      <c r="B672" s="3"/>
      <c r="C672" s="8"/>
    </row>
    <row r="673">
      <c r="B673" s="3"/>
      <c r="C673" s="8"/>
    </row>
    <row r="674">
      <c r="B674" s="3"/>
      <c r="C674" s="8"/>
    </row>
    <row r="675">
      <c r="B675" s="3"/>
      <c r="C675" s="8"/>
    </row>
    <row r="676">
      <c r="B676" s="3"/>
      <c r="C676" s="8"/>
    </row>
    <row r="677">
      <c r="B677" s="3"/>
      <c r="C677" s="8"/>
    </row>
    <row r="678">
      <c r="B678" s="3"/>
      <c r="C678" s="8"/>
    </row>
    <row r="679">
      <c r="B679" s="3"/>
      <c r="C679" s="8"/>
    </row>
    <row r="680">
      <c r="B680" s="3"/>
      <c r="C680" s="8"/>
    </row>
    <row r="681">
      <c r="B681" s="3"/>
      <c r="C681" s="8"/>
    </row>
    <row r="682">
      <c r="B682" s="3"/>
      <c r="C682" s="8"/>
    </row>
    <row r="683">
      <c r="B683" s="3"/>
      <c r="C683" s="8"/>
    </row>
    <row r="684">
      <c r="B684" s="3"/>
      <c r="C684" s="8"/>
    </row>
    <row r="685">
      <c r="B685" s="3"/>
      <c r="C685" s="8"/>
    </row>
    <row r="686">
      <c r="B686" s="3"/>
      <c r="C686" s="8"/>
    </row>
    <row r="687">
      <c r="B687" s="3"/>
      <c r="C687" s="8"/>
    </row>
    <row r="688">
      <c r="B688" s="3"/>
      <c r="C688" s="8"/>
    </row>
    <row r="689">
      <c r="B689" s="3"/>
      <c r="C689" s="8"/>
    </row>
    <row r="690">
      <c r="B690" s="3"/>
      <c r="C690" s="8"/>
    </row>
    <row r="691">
      <c r="B691" s="3"/>
      <c r="C691" s="8"/>
    </row>
    <row r="692">
      <c r="B692" s="3"/>
      <c r="C692" s="8"/>
    </row>
    <row r="693">
      <c r="B693" s="3"/>
      <c r="C693" s="8"/>
    </row>
    <row r="694">
      <c r="B694" s="3"/>
      <c r="C694" s="8"/>
    </row>
    <row r="695">
      <c r="B695" s="3"/>
      <c r="C695" s="8"/>
    </row>
    <row r="696">
      <c r="B696" s="3"/>
      <c r="C696" s="8"/>
    </row>
    <row r="697">
      <c r="B697" s="3"/>
      <c r="C697" s="8"/>
    </row>
    <row r="698">
      <c r="B698" s="3"/>
      <c r="C698" s="8"/>
    </row>
    <row r="699">
      <c r="B699" s="3"/>
      <c r="C699" s="8"/>
    </row>
    <row r="700">
      <c r="B700" s="3"/>
      <c r="C700" s="8"/>
    </row>
    <row r="701">
      <c r="B701" s="3"/>
      <c r="C701" s="8"/>
    </row>
    <row r="702">
      <c r="B702" s="3"/>
      <c r="C702" s="8"/>
    </row>
    <row r="703">
      <c r="B703" s="3"/>
      <c r="C703" s="8"/>
    </row>
    <row r="704">
      <c r="B704" s="3"/>
      <c r="C704" s="8"/>
    </row>
    <row r="705">
      <c r="B705" s="3"/>
      <c r="C705" s="8"/>
    </row>
    <row r="706">
      <c r="B706" s="3"/>
      <c r="C706" s="8"/>
    </row>
    <row r="707">
      <c r="B707" s="3"/>
      <c r="C707" s="8"/>
    </row>
    <row r="708">
      <c r="B708" s="3"/>
      <c r="C708" s="8"/>
    </row>
    <row r="709">
      <c r="B709" s="3"/>
      <c r="C709" s="8"/>
    </row>
    <row r="710">
      <c r="B710" s="3"/>
      <c r="C710" s="8"/>
    </row>
    <row r="711">
      <c r="B711" s="3"/>
      <c r="C711" s="8"/>
    </row>
    <row r="712">
      <c r="B712" s="3"/>
      <c r="C712" s="8"/>
    </row>
    <row r="713">
      <c r="B713" s="3"/>
      <c r="C713" s="8"/>
    </row>
    <row r="714">
      <c r="B714" s="3"/>
      <c r="C714" s="8"/>
    </row>
    <row r="715">
      <c r="B715" s="3"/>
      <c r="C715" s="8"/>
    </row>
    <row r="716">
      <c r="B716" s="3"/>
      <c r="C716" s="8"/>
    </row>
    <row r="717">
      <c r="B717" s="3"/>
      <c r="C717" s="8"/>
    </row>
    <row r="718">
      <c r="B718" s="3"/>
      <c r="C718" s="8"/>
    </row>
    <row r="719">
      <c r="B719" s="3"/>
      <c r="C719" s="8"/>
    </row>
    <row r="720">
      <c r="B720" s="3"/>
      <c r="C720" s="8"/>
    </row>
    <row r="721">
      <c r="B721" s="3"/>
      <c r="C721" s="8"/>
    </row>
    <row r="722">
      <c r="B722" s="3"/>
      <c r="C722" s="8"/>
    </row>
    <row r="723">
      <c r="B723" s="3"/>
      <c r="C723" s="8"/>
    </row>
    <row r="724">
      <c r="B724" s="3"/>
      <c r="C724" s="8"/>
    </row>
    <row r="725">
      <c r="B725" s="3"/>
      <c r="C725" s="8"/>
    </row>
    <row r="726">
      <c r="B726" s="3"/>
      <c r="C726" s="8"/>
    </row>
    <row r="727">
      <c r="B727" s="3"/>
      <c r="C727" s="8"/>
    </row>
    <row r="728">
      <c r="B728" s="3"/>
      <c r="C728" s="8"/>
    </row>
    <row r="729">
      <c r="B729" s="3"/>
      <c r="C729" s="8"/>
    </row>
    <row r="730">
      <c r="B730" s="3"/>
      <c r="C730" s="8"/>
    </row>
    <row r="731">
      <c r="B731" s="3"/>
      <c r="C731" s="8"/>
    </row>
    <row r="732">
      <c r="B732" s="3"/>
      <c r="C732" s="8"/>
    </row>
    <row r="733">
      <c r="B733" s="3"/>
      <c r="C733" s="8"/>
    </row>
    <row r="734">
      <c r="B734" s="3"/>
      <c r="C734" s="8"/>
    </row>
    <row r="735">
      <c r="B735" s="3"/>
      <c r="C735" s="8"/>
    </row>
    <row r="736">
      <c r="B736" s="3"/>
      <c r="C736" s="8"/>
    </row>
    <row r="737">
      <c r="B737" s="3"/>
      <c r="C737" s="8"/>
    </row>
    <row r="738">
      <c r="B738" s="3"/>
      <c r="C738" s="8"/>
    </row>
    <row r="739">
      <c r="B739" s="3"/>
      <c r="C739" s="8"/>
    </row>
    <row r="740">
      <c r="B740" s="3"/>
      <c r="C740" s="8"/>
    </row>
    <row r="741">
      <c r="B741" s="3"/>
      <c r="C741" s="8"/>
    </row>
    <row r="742">
      <c r="B742" s="3"/>
      <c r="C742" s="8"/>
    </row>
    <row r="743">
      <c r="B743" s="3"/>
      <c r="C743" s="8"/>
    </row>
    <row r="744">
      <c r="B744" s="3"/>
      <c r="C744" s="8"/>
    </row>
    <row r="745">
      <c r="B745" s="3"/>
      <c r="C745" s="8"/>
    </row>
    <row r="746">
      <c r="B746" s="3"/>
      <c r="C746" s="8"/>
    </row>
    <row r="747">
      <c r="B747" s="3"/>
      <c r="C747" s="8"/>
    </row>
    <row r="748">
      <c r="B748" s="3"/>
      <c r="C748" s="8"/>
    </row>
    <row r="749">
      <c r="B749" s="3"/>
      <c r="C749" s="8"/>
    </row>
    <row r="750">
      <c r="B750" s="3"/>
      <c r="C750" s="8"/>
    </row>
    <row r="751">
      <c r="B751" s="3"/>
      <c r="C751" s="8"/>
    </row>
    <row r="752">
      <c r="B752" s="3"/>
      <c r="C752" s="8"/>
    </row>
    <row r="753">
      <c r="B753" s="3"/>
      <c r="C753" s="8"/>
    </row>
    <row r="754">
      <c r="B754" s="3"/>
      <c r="C754" s="8"/>
    </row>
    <row r="755">
      <c r="B755" s="3"/>
      <c r="C755" s="8"/>
    </row>
    <row r="756">
      <c r="B756" s="3"/>
      <c r="C756" s="8"/>
    </row>
    <row r="757">
      <c r="B757" s="3"/>
      <c r="C757" s="8"/>
    </row>
    <row r="758">
      <c r="B758" s="3"/>
      <c r="C758" s="8"/>
    </row>
    <row r="759">
      <c r="B759" s="3"/>
      <c r="C759" s="8"/>
    </row>
    <row r="760">
      <c r="B760" s="3"/>
      <c r="C760" s="8"/>
    </row>
    <row r="761">
      <c r="B761" s="3"/>
      <c r="C761" s="8"/>
    </row>
    <row r="762">
      <c r="B762" s="3"/>
      <c r="C762" s="8"/>
    </row>
    <row r="763">
      <c r="B763" s="3"/>
      <c r="C763" s="8"/>
    </row>
    <row r="764">
      <c r="B764" s="3"/>
      <c r="C764" s="8"/>
    </row>
    <row r="765">
      <c r="B765" s="3"/>
      <c r="C765" s="8"/>
    </row>
    <row r="766">
      <c r="B766" s="3"/>
      <c r="C766" s="8"/>
    </row>
    <row r="767">
      <c r="B767" s="3"/>
      <c r="C767" s="8"/>
    </row>
    <row r="768">
      <c r="B768" s="3"/>
      <c r="C768" s="8"/>
    </row>
    <row r="769">
      <c r="B769" s="3"/>
      <c r="C769" s="8"/>
    </row>
    <row r="770">
      <c r="B770" s="3"/>
      <c r="C770" s="8"/>
    </row>
    <row r="771">
      <c r="B771" s="3"/>
      <c r="C771" s="8"/>
    </row>
    <row r="772">
      <c r="B772" s="3"/>
      <c r="C772" s="8"/>
    </row>
    <row r="773">
      <c r="B773" s="3"/>
      <c r="C773" s="8"/>
    </row>
    <row r="774">
      <c r="B774" s="3"/>
      <c r="C774" s="8"/>
    </row>
    <row r="775">
      <c r="B775" s="3"/>
      <c r="C775" s="8"/>
    </row>
    <row r="776">
      <c r="B776" s="3"/>
      <c r="C776" s="8"/>
    </row>
    <row r="777">
      <c r="B777" s="3"/>
      <c r="C777" s="8"/>
    </row>
    <row r="778">
      <c r="B778" s="3"/>
      <c r="C778" s="8"/>
    </row>
    <row r="779">
      <c r="B779" s="3"/>
      <c r="C779" s="8"/>
    </row>
    <row r="780">
      <c r="B780" s="3"/>
      <c r="C780" s="8"/>
    </row>
    <row r="781">
      <c r="B781" s="3"/>
      <c r="C781" s="8"/>
    </row>
    <row r="782">
      <c r="B782" s="3"/>
      <c r="C782" s="8"/>
    </row>
    <row r="783">
      <c r="B783" s="3"/>
      <c r="C783" s="8"/>
    </row>
    <row r="784">
      <c r="B784" s="3"/>
      <c r="C784" s="8"/>
    </row>
    <row r="785">
      <c r="B785" s="3"/>
      <c r="C785" s="8"/>
    </row>
    <row r="786">
      <c r="B786" s="3"/>
      <c r="C786" s="8"/>
    </row>
    <row r="787">
      <c r="B787" s="3"/>
      <c r="C787" s="8"/>
    </row>
    <row r="788">
      <c r="B788" s="3"/>
      <c r="C788" s="8"/>
    </row>
    <row r="789">
      <c r="B789" s="3"/>
      <c r="C789" s="8"/>
    </row>
    <row r="790">
      <c r="B790" s="3"/>
      <c r="C790" s="8"/>
    </row>
    <row r="791">
      <c r="B791" s="3"/>
      <c r="C791" s="8"/>
    </row>
    <row r="792">
      <c r="B792" s="3"/>
      <c r="C792" s="8"/>
    </row>
    <row r="793">
      <c r="B793" s="3"/>
      <c r="C793" s="8"/>
    </row>
    <row r="794">
      <c r="B794" s="3"/>
      <c r="C794" s="8"/>
    </row>
    <row r="795">
      <c r="B795" s="3"/>
      <c r="C795" s="8"/>
    </row>
    <row r="796">
      <c r="B796" s="3"/>
      <c r="C796" s="8"/>
    </row>
    <row r="797">
      <c r="B797" s="3"/>
      <c r="C797" s="8"/>
    </row>
    <row r="798">
      <c r="B798" s="3"/>
      <c r="C798" s="8"/>
    </row>
    <row r="799">
      <c r="B799" s="3"/>
      <c r="C799" s="8"/>
    </row>
    <row r="800">
      <c r="B800" s="3"/>
      <c r="C800" s="8"/>
    </row>
    <row r="801">
      <c r="B801" s="3"/>
      <c r="C801" s="8"/>
    </row>
    <row r="802">
      <c r="B802" s="3"/>
      <c r="C802" s="8"/>
    </row>
    <row r="803">
      <c r="B803" s="3"/>
      <c r="C803" s="8"/>
    </row>
    <row r="804">
      <c r="B804" s="3"/>
      <c r="C804" s="8"/>
    </row>
    <row r="805">
      <c r="B805" s="3"/>
      <c r="C805" s="8"/>
    </row>
    <row r="806">
      <c r="B806" s="3"/>
      <c r="C806" s="8"/>
    </row>
    <row r="807">
      <c r="B807" s="3"/>
      <c r="C807" s="8"/>
    </row>
    <row r="808">
      <c r="B808" s="3"/>
      <c r="C808" s="8"/>
    </row>
    <row r="809">
      <c r="B809" s="3"/>
      <c r="C809" s="8"/>
    </row>
    <row r="810">
      <c r="B810" s="3"/>
      <c r="C810" s="8"/>
    </row>
    <row r="811">
      <c r="B811" s="3"/>
      <c r="C811" s="8"/>
    </row>
    <row r="812">
      <c r="B812" s="3"/>
      <c r="C812" s="8"/>
    </row>
    <row r="813">
      <c r="B813" s="3"/>
      <c r="C813" s="8"/>
    </row>
    <row r="814">
      <c r="B814" s="3"/>
      <c r="C814" s="8"/>
    </row>
    <row r="815">
      <c r="B815" s="3"/>
      <c r="C815" s="8"/>
    </row>
    <row r="816">
      <c r="B816" s="3"/>
      <c r="C816" s="8"/>
    </row>
    <row r="817">
      <c r="B817" s="3"/>
      <c r="C817" s="8"/>
    </row>
    <row r="818">
      <c r="B818" s="3"/>
      <c r="C818" s="8"/>
    </row>
    <row r="819">
      <c r="B819" s="3"/>
      <c r="C819" s="8"/>
    </row>
    <row r="820">
      <c r="B820" s="3"/>
      <c r="C820" s="8"/>
    </row>
    <row r="821">
      <c r="B821" s="3"/>
      <c r="C821" s="8"/>
    </row>
    <row r="822">
      <c r="B822" s="3"/>
      <c r="C822" s="8"/>
    </row>
    <row r="823">
      <c r="B823" s="3"/>
      <c r="C823" s="8"/>
    </row>
    <row r="824">
      <c r="B824" s="3"/>
      <c r="C824" s="8"/>
    </row>
    <row r="825">
      <c r="B825" s="3"/>
      <c r="C825" s="8"/>
    </row>
    <row r="826">
      <c r="B826" s="3"/>
      <c r="C826" s="8"/>
    </row>
    <row r="827">
      <c r="B827" s="3"/>
      <c r="C827" s="8"/>
    </row>
    <row r="828">
      <c r="B828" s="3"/>
      <c r="C828" s="8"/>
    </row>
    <row r="829">
      <c r="B829" s="3"/>
      <c r="C829" s="8"/>
    </row>
    <row r="830">
      <c r="B830" s="3"/>
      <c r="C830" s="8"/>
    </row>
    <row r="831">
      <c r="B831" s="3"/>
      <c r="C831" s="8"/>
    </row>
    <row r="832">
      <c r="B832" s="3"/>
      <c r="C832" s="8"/>
    </row>
    <row r="833">
      <c r="B833" s="3"/>
      <c r="C833" s="8"/>
    </row>
    <row r="834">
      <c r="B834" s="3"/>
      <c r="C834" s="8"/>
    </row>
    <row r="835">
      <c r="B835" s="3"/>
      <c r="C835" s="8"/>
    </row>
    <row r="836">
      <c r="B836" s="3"/>
      <c r="C836" s="8"/>
    </row>
    <row r="837">
      <c r="B837" s="3"/>
      <c r="C837" s="8"/>
    </row>
    <row r="838">
      <c r="B838" s="3"/>
      <c r="C838" s="8"/>
    </row>
    <row r="839">
      <c r="B839" s="3"/>
      <c r="C839" s="8"/>
    </row>
    <row r="840">
      <c r="B840" s="3"/>
      <c r="C840" s="8"/>
    </row>
    <row r="841">
      <c r="B841" s="3"/>
      <c r="C841" s="8"/>
    </row>
    <row r="842">
      <c r="B842" s="3"/>
      <c r="C842" s="8"/>
    </row>
    <row r="843">
      <c r="B843" s="3"/>
      <c r="C843" s="8"/>
    </row>
    <row r="844">
      <c r="B844" s="3"/>
      <c r="C844" s="8"/>
    </row>
    <row r="845">
      <c r="B845" s="3"/>
      <c r="C845" s="8"/>
    </row>
    <row r="846">
      <c r="B846" s="3"/>
      <c r="C846" s="8"/>
    </row>
    <row r="847">
      <c r="B847" s="3"/>
      <c r="C847" s="8"/>
    </row>
    <row r="848">
      <c r="B848" s="3"/>
      <c r="C848" s="8"/>
    </row>
    <row r="849">
      <c r="B849" s="3"/>
      <c r="C849" s="8"/>
    </row>
    <row r="850">
      <c r="B850" s="3"/>
      <c r="C850" s="8"/>
    </row>
    <row r="851">
      <c r="B851" s="3"/>
      <c r="C851" s="8"/>
    </row>
    <row r="852">
      <c r="B852" s="3"/>
      <c r="C852" s="8"/>
    </row>
    <row r="853">
      <c r="B853" s="3"/>
      <c r="C853" s="8"/>
    </row>
    <row r="854">
      <c r="B854" s="3"/>
      <c r="C854" s="8"/>
    </row>
    <row r="855">
      <c r="B855" s="3"/>
      <c r="C855" s="8"/>
    </row>
    <row r="856">
      <c r="B856" s="3"/>
      <c r="C856" s="8"/>
    </row>
    <row r="857">
      <c r="B857" s="3"/>
      <c r="C857" s="8"/>
    </row>
    <row r="858">
      <c r="B858" s="3"/>
      <c r="C858" s="8"/>
    </row>
    <row r="859">
      <c r="B859" s="3"/>
      <c r="C859" s="8"/>
    </row>
    <row r="860">
      <c r="B860" s="3"/>
      <c r="C860" s="8"/>
    </row>
    <row r="861">
      <c r="B861" s="3"/>
      <c r="C861" s="8"/>
    </row>
    <row r="862">
      <c r="B862" s="3"/>
      <c r="C862" s="8"/>
    </row>
    <row r="863">
      <c r="B863" s="3"/>
      <c r="C863" s="8"/>
    </row>
    <row r="864">
      <c r="B864" s="3"/>
      <c r="C864" s="8"/>
    </row>
    <row r="865">
      <c r="B865" s="3"/>
      <c r="C865" s="8"/>
    </row>
    <row r="866">
      <c r="B866" s="3"/>
      <c r="C866" s="8"/>
    </row>
    <row r="867">
      <c r="B867" s="3"/>
      <c r="C867" s="8"/>
    </row>
    <row r="868">
      <c r="B868" s="3"/>
      <c r="C868" s="8"/>
    </row>
    <row r="869">
      <c r="B869" s="3"/>
      <c r="C869" s="8"/>
    </row>
    <row r="870">
      <c r="B870" s="3"/>
      <c r="C870" s="8"/>
    </row>
    <row r="871">
      <c r="B871" s="3"/>
      <c r="C871" s="8"/>
    </row>
    <row r="872">
      <c r="B872" s="3"/>
      <c r="C872" s="8"/>
    </row>
    <row r="873">
      <c r="B873" s="3"/>
      <c r="C873" s="8"/>
    </row>
    <row r="874">
      <c r="B874" s="3"/>
      <c r="C874" s="8"/>
    </row>
    <row r="875">
      <c r="B875" s="3"/>
      <c r="C875" s="8"/>
    </row>
    <row r="876">
      <c r="B876" s="3"/>
      <c r="C876" s="8"/>
    </row>
    <row r="877">
      <c r="B877" s="3"/>
      <c r="C877" s="8"/>
    </row>
    <row r="878">
      <c r="B878" s="3"/>
      <c r="C878" s="8"/>
    </row>
    <row r="879">
      <c r="B879" s="3"/>
      <c r="C879" s="8"/>
    </row>
    <row r="880">
      <c r="B880" s="3"/>
      <c r="C880" s="8"/>
    </row>
    <row r="881">
      <c r="B881" s="3"/>
      <c r="C881" s="8"/>
    </row>
    <row r="882">
      <c r="B882" s="3"/>
      <c r="C882" s="8"/>
    </row>
    <row r="883">
      <c r="B883" s="3"/>
      <c r="C883" s="8"/>
    </row>
    <row r="884">
      <c r="B884" s="3"/>
      <c r="C884" s="8"/>
    </row>
    <row r="885">
      <c r="B885" s="3"/>
      <c r="C885" s="8"/>
    </row>
    <row r="886">
      <c r="B886" s="3"/>
      <c r="C886" s="8"/>
    </row>
    <row r="887">
      <c r="B887" s="3"/>
      <c r="C887" s="8"/>
    </row>
    <row r="888">
      <c r="B888" s="3"/>
      <c r="C888" s="8"/>
    </row>
    <row r="889">
      <c r="B889" s="3"/>
      <c r="C889" s="8"/>
    </row>
    <row r="890">
      <c r="B890" s="3"/>
      <c r="C890" s="8"/>
    </row>
    <row r="891">
      <c r="B891" s="3"/>
      <c r="C891" s="8"/>
    </row>
    <row r="892">
      <c r="B892" s="3"/>
      <c r="C892" s="8"/>
    </row>
    <row r="893">
      <c r="B893" s="3"/>
      <c r="C893" s="8"/>
    </row>
    <row r="894">
      <c r="B894" s="3"/>
      <c r="C894" s="8"/>
    </row>
    <row r="895">
      <c r="B895" s="3"/>
      <c r="C895" s="8"/>
    </row>
    <row r="896">
      <c r="B896" s="3"/>
      <c r="C896" s="8"/>
    </row>
    <row r="897">
      <c r="B897" s="3"/>
      <c r="C897" s="8"/>
    </row>
    <row r="898">
      <c r="B898" s="3"/>
      <c r="C898" s="8"/>
    </row>
    <row r="899">
      <c r="B899" s="3"/>
      <c r="C899" s="8"/>
    </row>
    <row r="900">
      <c r="B900" s="3"/>
      <c r="C900" s="8"/>
    </row>
    <row r="901">
      <c r="B901" s="3"/>
      <c r="C901" s="8"/>
    </row>
    <row r="902">
      <c r="B902" s="3"/>
      <c r="C902" s="8"/>
    </row>
    <row r="903">
      <c r="B903" s="3"/>
      <c r="C903" s="8"/>
    </row>
    <row r="904">
      <c r="B904" s="3"/>
      <c r="C904" s="8"/>
    </row>
    <row r="905">
      <c r="B905" s="3"/>
      <c r="C905" s="8"/>
    </row>
    <row r="906">
      <c r="B906" s="3"/>
      <c r="C906" s="8"/>
    </row>
    <row r="907">
      <c r="B907" s="3"/>
      <c r="C907" s="8"/>
    </row>
    <row r="908">
      <c r="B908" s="3"/>
      <c r="C908" s="8"/>
    </row>
    <row r="909">
      <c r="B909" s="3"/>
      <c r="C909" s="8"/>
    </row>
    <row r="910">
      <c r="B910" s="3"/>
      <c r="C910" s="8"/>
    </row>
    <row r="911">
      <c r="B911" s="3"/>
      <c r="C911" s="8"/>
    </row>
    <row r="912">
      <c r="B912" s="3"/>
      <c r="C912" s="8"/>
    </row>
    <row r="913">
      <c r="B913" s="3"/>
      <c r="C913" s="8"/>
    </row>
    <row r="914">
      <c r="B914" s="3"/>
      <c r="C914" s="8"/>
    </row>
    <row r="915">
      <c r="B915" s="3"/>
      <c r="C915" s="8"/>
    </row>
    <row r="916">
      <c r="B916" s="3"/>
      <c r="C916" s="8"/>
    </row>
    <row r="917">
      <c r="B917" s="3"/>
      <c r="C917" s="8"/>
    </row>
    <row r="918">
      <c r="B918" s="3"/>
      <c r="C918" s="8"/>
    </row>
    <row r="919">
      <c r="B919" s="3"/>
      <c r="C919" s="8"/>
    </row>
    <row r="920">
      <c r="B920" s="3"/>
      <c r="C920" s="8"/>
    </row>
    <row r="921">
      <c r="B921" s="3"/>
      <c r="C921" s="8"/>
    </row>
    <row r="922">
      <c r="B922" s="3"/>
      <c r="C922" s="8"/>
    </row>
    <row r="923">
      <c r="B923" s="3"/>
      <c r="C923" s="8"/>
    </row>
    <row r="924">
      <c r="B924" s="3"/>
      <c r="C924" s="8"/>
    </row>
    <row r="925">
      <c r="B925" s="3"/>
      <c r="C925" s="8"/>
    </row>
    <row r="926">
      <c r="B926" s="3"/>
      <c r="C926" s="8"/>
    </row>
    <row r="927">
      <c r="B927" s="3"/>
      <c r="C927" s="8"/>
    </row>
    <row r="928">
      <c r="B928" s="3"/>
      <c r="C928" s="8"/>
    </row>
    <row r="929">
      <c r="B929" s="3"/>
      <c r="C929" s="8"/>
    </row>
    <row r="930">
      <c r="B930" s="3"/>
      <c r="C930" s="8"/>
    </row>
    <row r="931">
      <c r="B931" s="3"/>
      <c r="C931" s="8"/>
    </row>
    <row r="932">
      <c r="B932" s="3"/>
      <c r="C932" s="8"/>
    </row>
    <row r="933">
      <c r="B933" s="3"/>
      <c r="C933" s="8"/>
    </row>
    <row r="934">
      <c r="B934" s="3"/>
      <c r="C934" s="8"/>
    </row>
    <row r="935">
      <c r="B935" s="3"/>
      <c r="C935" s="8"/>
    </row>
    <row r="936">
      <c r="B936" s="3"/>
      <c r="C936" s="8"/>
    </row>
    <row r="937">
      <c r="B937" s="3"/>
      <c r="C937" s="8"/>
    </row>
    <row r="938">
      <c r="B938" s="3"/>
      <c r="C938" s="8"/>
    </row>
    <row r="939">
      <c r="B939" s="3"/>
      <c r="C939" s="8"/>
    </row>
    <row r="940">
      <c r="B940" s="3"/>
      <c r="C940" s="8"/>
    </row>
    <row r="941">
      <c r="B941" s="3"/>
      <c r="C941" s="8"/>
    </row>
    <row r="942">
      <c r="B942" s="3"/>
      <c r="C942" s="8"/>
    </row>
    <row r="943">
      <c r="B943" s="3"/>
      <c r="C943" s="8"/>
    </row>
    <row r="944">
      <c r="B944" s="3"/>
      <c r="C944" s="8"/>
    </row>
    <row r="945">
      <c r="B945" s="3"/>
      <c r="C945" s="8"/>
    </row>
    <row r="946">
      <c r="B946" s="3"/>
      <c r="C946" s="8"/>
    </row>
    <row r="947">
      <c r="B947" s="3"/>
      <c r="C947" s="8"/>
    </row>
    <row r="948">
      <c r="B948" s="3"/>
      <c r="C948" s="8"/>
    </row>
    <row r="949">
      <c r="B949" s="3"/>
      <c r="C949" s="8"/>
    </row>
    <row r="950">
      <c r="B950" s="3"/>
      <c r="C950" s="8"/>
    </row>
    <row r="951">
      <c r="B951" s="3"/>
      <c r="C951" s="8"/>
    </row>
    <row r="952">
      <c r="B952" s="3"/>
      <c r="C952" s="8"/>
    </row>
    <row r="953">
      <c r="B953" s="3"/>
      <c r="C953" s="8"/>
    </row>
    <row r="954">
      <c r="B954" s="3"/>
      <c r="C954" s="8"/>
    </row>
    <row r="955">
      <c r="B955" s="3"/>
      <c r="C955" s="8"/>
    </row>
    <row r="956">
      <c r="B956" s="3"/>
      <c r="C956" s="8"/>
    </row>
    <row r="957">
      <c r="B957" s="3"/>
      <c r="C957" s="8"/>
    </row>
    <row r="958">
      <c r="B958" s="3"/>
      <c r="C958" s="8"/>
    </row>
    <row r="959">
      <c r="B959" s="3"/>
      <c r="C959" s="8"/>
    </row>
    <row r="960">
      <c r="B960" s="3"/>
      <c r="C960" s="8"/>
    </row>
    <row r="961">
      <c r="B961" s="3"/>
      <c r="C961" s="8"/>
    </row>
    <row r="962">
      <c r="B962" s="3"/>
      <c r="C962" s="8"/>
    </row>
    <row r="963">
      <c r="B963" s="3"/>
      <c r="C963" s="8"/>
    </row>
    <row r="964">
      <c r="B964" s="3"/>
      <c r="C964" s="8"/>
    </row>
    <row r="965">
      <c r="B965" s="3"/>
      <c r="C965" s="8"/>
    </row>
    <row r="966">
      <c r="B966" s="3"/>
      <c r="C966" s="8"/>
    </row>
    <row r="967">
      <c r="B967" s="3"/>
      <c r="C967" s="8"/>
    </row>
    <row r="968">
      <c r="B968" s="3"/>
      <c r="C968" s="8"/>
    </row>
    <row r="969">
      <c r="B969" s="3"/>
      <c r="C969" s="8"/>
    </row>
    <row r="970">
      <c r="B970" s="3"/>
      <c r="C970" s="8"/>
    </row>
    <row r="971">
      <c r="B971" s="3"/>
      <c r="C971" s="8"/>
    </row>
    <row r="972">
      <c r="B972" s="3"/>
      <c r="C972" s="8"/>
    </row>
    <row r="973">
      <c r="B973" s="3"/>
      <c r="C973" s="8"/>
    </row>
    <row r="974">
      <c r="B974" s="3"/>
      <c r="C974" s="8"/>
    </row>
    <row r="975">
      <c r="B975" s="3"/>
      <c r="C975" s="8"/>
    </row>
    <row r="976">
      <c r="B976" s="3"/>
      <c r="C976" s="8"/>
    </row>
    <row r="977">
      <c r="B977" s="3"/>
      <c r="C977" s="8"/>
    </row>
    <row r="978">
      <c r="B978" s="3"/>
      <c r="C978" s="8"/>
    </row>
    <row r="979">
      <c r="B979" s="3"/>
      <c r="C979" s="8"/>
    </row>
    <row r="980">
      <c r="B980" s="3"/>
      <c r="C980" s="8"/>
    </row>
    <row r="981">
      <c r="B981" s="3"/>
      <c r="C981" s="8"/>
    </row>
    <row r="982">
      <c r="B982" s="3"/>
      <c r="C982" s="8"/>
    </row>
    <row r="983">
      <c r="B983" s="3"/>
      <c r="C983" s="8"/>
    </row>
    <row r="984">
      <c r="B984" s="3"/>
      <c r="C984" s="8"/>
    </row>
    <row r="985">
      <c r="B985" s="3"/>
      <c r="C985" s="8"/>
    </row>
    <row r="986">
      <c r="B986" s="3"/>
      <c r="C986" s="8"/>
    </row>
    <row r="987">
      <c r="B987" s="3"/>
      <c r="C987" s="8"/>
    </row>
    <row r="988">
      <c r="B988" s="3"/>
      <c r="C988" s="8"/>
    </row>
    <row r="989">
      <c r="B989" s="3"/>
      <c r="C989" s="8"/>
    </row>
    <row r="990">
      <c r="B990" s="3"/>
      <c r="C990" s="8"/>
    </row>
    <row r="991">
      <c r="B991" s="3"/>
      <c r="C991" s="8"/>
    </row>
    <row r="992">
      <c r="B992" s="3"/>
      <c r="C992" s="8"/>
    </row>
    <row r="993">
      <c r="B993" s="3"/>
      <c r="C993" s="8"/>
    </row>
    <row r="994">
      <c r="B994" s="3"/>
      <c r="C994" s="8"/>
    </row>
    <row r="995">
      <c r="B995" s="3"/>
      <c r="C995" s="8"/>
    </row>
    <row r="996">
      <c r="B996" s="3"/>
      <c r="C996" s="8"/>
    </row>
    <row r="997">
      <c r="B997" s="3"/>
      <c r="C997" s="8"/>
    </row>
    <row r="998">
      <c r="B998" s="3"/>
      <c r="C998" s="8"/>
    </row>
    <row r="999">
      <c r="B999" s="3"/>
      <c r="C999" s="8"/>
    </row>
    <row r="1000">
      <c r="B1000" s="3"/>
      <c r="C100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K2" s="9" t="s">
        <v>8</v>
      </c>
      <c r="L2" s="10">
        <v>0.01598</v>
      </c>
    </row>
    <row r="3">
      <c r="A3" s="5" t="s">
        <v>1</v>
      </c>
      <c r="B3" s="3">
        <f>AVERAGE(FB!G3:G367)</f>
        <v>0.005245380979</v>
      </c>
      <c r="C3" s="3">
        <f>AVERAGE(AAPL!G3:G367)</f>
        <v>0.006001700016</v>
      </c>
      <c r="D3" s="3">
        <f>AVERAGE(GOOG!G3:G367)</f>
        <v>0.003748944052</v>
      </c>
      <c r="E3" s="3">
        <f>AVERAGE(GOOG!G3:G367)</f>
        <v>0.003748944052</v>
      </c>
      <c r="F3" s="3">
        <f>AVERAGE(SPY!G3:G367)</f>
        <v>0.002230674905</v>
      </c>
      <c r="G3" s="3">
        <f>AVERAGE(Portfolio!B3:B367)</f>
        <v>0.005103843184</v>
      </c>
    </row>
    <row r="4">
      <c r="A4" s="5" t="s">
        <v>9</v>
      </c>
      <c r="B4" s="3">
        <f t="shared" ref="B4:G4" si="1">(1+B3)^52-1</f>
        <v>0.3126486131</v>
      </c>
      <c r="C4" s="3">
        <f t="shared" si="1"/>
        <v>0.3650016</v>
      </c>
      <c r="D4" s="3">
        <f t="shared" si="1"/>
        <v>0.2148013705</v>
      </c>
      <c r="E4" s="3">
        <f t="shared" si="1"/>
        <v>0.2148013705</v>
      </c>
      <c r="F4" s="3">
        <f t="shared" si="1"/>
        <v>0.1228453036</v>
      </c>
      <c r="G4" s="3">
        <f t="shared" si="1"/>
        <v>0.3030724013</v>
      </c>
    </row>
    <row r="5">
      <c r="A5" s="5" t="s">
        <v>10</v>
      </c>
      <c r="B5" s="3">
        <f>STDEV(FB!G3:G367)</f>
        <v>0.04054868007</v>
      </c>
      <c r="C5" s="3">
        <f>STDEV(AAPL!G3:G367)</f>
        <v>0.0376138889</v>
      </c>
      <c r="D5" s="3">
        <f>STDEV(MSFT!G3:G367)</f>
        <v>0.03118752758</v>
      </c>
      <c r="E5" s="3">
        <f>STDEV(GOOG!G3:G367)</f>
        <v>0.0345392078</v>
      </c>
      <c r="F5" s="3">
        <f>STDEV(SPY!G3:G367)</f>
        <v>0.02308013625</v>
      </c>
      <c r="G5" s="3">
        <f>STDEV(Portfolio!B3:B367)</f>
        <v>0.0288703078</v>
      </c>
    </row>
    <row r="6">
      <c r="A6" s="5" t="s">
        <v>11</v>
      </c>
      <c r="B6" s="3">
        <f t="shared" ref="B6:G6" si="2">B5*sqrt(52)</f>
        <v>0.2924006903</v>
      </c>
      <c r="C6" s="3">
        <f t="shared" si="2"/>
        <v>0.2712376102</v>
      </c>
      <c r="D6" s="3">
        <f t="shared" si="2"/>
        <v>0.2248964597</v>
      </c>
      <c r="E6" s="3">
        <f t="shared" si="2"/>
        <v>0.2490657695</v>
      </c>
      <c r="F6" s="3">
        <f t="shared" si="2"/>
        <v>0.1664332294</v>
      </c>
      <c r="G6" s="3">
        <f t="shared" si="2"/>
        <v>0.2081867502</v>
      </c>
    </row>
    <row r="7">
      <c r="A7" s="5" t="s">
        <v>12</v>
      </c>
      <c r="B7" s="11">
        <f t="shared" ref="B7:G7" si="3">(B4-$L$2)/B6</f>
        <v>1.014596145</v>
      </c>
      <c r="C7" s="11">
        <f t="shared" si="3"/>
        <v>1.286774352</v>
      </c>
      <c r="D7" s="11">
        <f t="shared" si="3"/>
        <v>0.8840573603</v>
      </c>
      <c r="E7" s="11">
        <f t="shared" si="3"/>
        <v>0.7982685492</v>
      </c>
      <c r="F7" s="11">
        <f t="shared" si="3"/>
        <v>0.6420911497</v>
      </c>
      <c r="G7" s="11">
        <f t="shared" si="3"/>
        <v>1.379013799</v>
      </c>
    </row>
    <row r="8">
      <c r="A8" s="5" t="s">
        <v>13</v>
      </c>
      <c r="F8" s="3">
        <f>F6^2</f>
        <v>0.02770001985</v>
      </c>
    </row>
    <row r="9">
      <c r="A9" s="5" t="s">
        <v>14</v>
      </c>
      <c r="B9" s="3">
        <f>COVAR(FB!G3:G367,SPY!G3:G367)*52</f>
        <v>0.02767958354</v>
      </c>
      <c r="C9" s="3">
        <f>COVAR(AAPL!G3:G367,SPY!G3:G367)*52</f>
        <v>0.02927946883</v>
      </c>
      <c r="D9" s="3">
        <f>COVAR(MSFT!G3:G367,SPY!G3:G367)*52</f>
        <v>0.02676758349</v>
      </c>
      <c r="E9" s="3">
        <f>COVAR(GOOG!G3:G367,SPY!G3:G367)*52</f>
        <v>0.02749325798</v>
      </c>
      <c r="G9" s="3">
        <f>COVAR(Portfolio!B3:B367,SPY!G3:G367)*52</f>
        <v>0.02780497346</v>
      </c>
    </row>
    <row r="10">
      <c r="A10" s="5" t="s">
        <v>15</v>
      </c>
      <c r="B10" s="11">
        <f t="shared" ref="B10:E10" si="4">B9/$F$8</f>
        <v>0.9992622279</v>
      </c>
      <c r="C10" s="11">
        <f t="shared" si="4"/>
        <v>1.057019778</v>
      </c>
      <c r="D10" s="11">
        <f t="shared" si="4"/>
        <v>0.9663380619</v>
      </c>
      <c r="E10" s="11">
        <f t="shared" si="4"/>
        <v>0.992535678</v>
      </c>
      <c r="F10" s="11"/>
      <c r="G10" s="11">
        <f>G9/$F$8</f>
        <v>1.003788936</v>
      </c>
    </row>
    <row r="11">
      <c r="A11" s="5" t="s">
        <v>16</v>
      </c>
      <c r="B11" s="3">
        <f t="shared" ref="B11:E11" si="5">B4-$L$2-B10*($F$4-$L$2)</f>
        <v>0.1898821518</v>
      </c>
      <c r="C11" s="3">
        <f t="shared" si="5"/>
        <v>0.2360628604</v>
      </c>
      <c r="D11" s="3">
        <f t="shared" si="5"/>
        <v>0.0955533601</v>
      </c>
      <c r="E11" s="3">
        <f t="shared" si="5"/>
        <v>0.0927537439</v>
      </c>
      <c r="G11" s="3">
        <f>G4-$L$2-G10*($F$4-$L$2)</f>
        <v>0.1798221919</v>
      </c>
    </row>
  </sheetData>
  <drawing r:id="rId1"/>
</worksheet>
</file>