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8DCA64E4-6C2D-47A5-9314-5E49B996CE27}" xr6:coauthVersionLast="45" xr6:coauthVersionMax="45" xr10:uidLastSave="{00000000-0000-0000-0000-000000000000}"/>
  <bookViews>
    <workbookView xWindow="-98" yWindow="-98" windowWidth="19396" windowHeight="11746" xr2:uid="{00000000-000D-0000-FFFF-FFFF00000000}"/>
  </bookViews>
  <sheets>
    <sheet name="销售订单模板" sheetId="9" r:id="rId1"/>
    <sheet name="销售清单" sheetId="5" r:id="rId2"/>
    <sheet name="客户档案" sheetId="6" r:id="rId3"/>
    <sheet name="销售员档案" sheetId="7" r:id="rId4"/>
    <sheet name="产品价格表" sheetId="8" r:id="rId5"/>
    <sheet name="订单编号" sheetId="10" r:id="rId6"/>
  </sheets>
  <externalReferences>
    <externalReference r:id="rId7"/>
  </externalReferences>
  <definedNames>
    <definedName name="bkkm">#REF!</definedName>
    <definedName name="fb">#REF!</definedName>
    <definedName name="HKXZ">#REF!</definedName>
    <definedName name="jdfl">#REF!</definedName>
    <definedName name="ksly">#REF!</definedName>
    <definedName name="sfblzyw">#REF!</definedName>
    <definedName name="sj">[1]发货单!$L$1</definedName>
    <definedName name="syhrqlb">#REF!</definedName>
    <definedName name="whcd">#REF!</definedName>
    <definedName name="xb">#REF!</definedName>
    <definedName name="zc">#REF!</definedName>
    <definedName name="zjlx">#REF!</definedName>
    <definedName name="zyzg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9" l="1"/>
  <c r="C7" i="9" l="1"/>
  <c r="B10" i="9"/>
  <c r="B11" i="9"/>
  <c r="B12" i="9"/>
  <c r="B13" i="9"/>
  <c r="B14" i="9"/>
  <c r="B15" i="9"/>
  <c r="B16" i="9"/>
  <c r="F5" i="9"/>
  <c r="F6" i="9" s="1"/>
  <c r="H1" i="9"/>
  <c r="C3" i="9" s="1"/>
  <c r="C4" i="9" l="1"/>
  <c r="C5" i="9"/>
  <c r="C6" i="9"/>
  <c r="L2" i="5" l="1"/>
  <c r="M2" i="5" s="1"/>
  <c r="L3" i="5"/>
  <c r="M3" i="5" s="1"/>
  <c r="L4" i="5"/>
  <c r="M4" i="5" s="1"/>
  <c r="L5" i="5"/>
  <c r="M5" i="5" s="1"/>
  <c r="L6" i="5"/>
  <c r="M6" i="5" s="1"/>
  <c r="L7" i="5"/>
  <c r="M7" i="5" s="1"/>
  <c r="L8" i="5"/>
  <c r="M8" i="5" s="1"/>
  <c r="L9" i="5"/>
  <c r="M9" i="5" s="1"/>
  <c r="L10" i="5"/>
  <c r="M10" i="5" s="1"/>
  <c r="L11" i="5"/>
  <c r="M11" i="5" s="1"/>
  <c r="L12" i="5"/>
  <c r="M12" i="5" s="1"/>
  <c r="L13" i="5"/>
  <c r="M13" i="5" s="1"/>
  <c r="L14" i="5"/>
  <c r="M14" i="5" s="1"/>
  <c r="L15" i="5"/>
  <c r="M15" i="5" s="1"/>
  <c r="L16" i="5"/>
  <c r="M16" i="5" s="1"/>
  <c r="L17" i="5"/>
  <c r="M17" i="5" s="1"/>
  <c r="L18" i="5"/>
  <c r="M18" i="5" s="1"/>
  <c r="L19" i="5"/>
  <c r="M19" i="5" s="1"/>
  <c r="L20" i="5"/>
  <c r="M20" i="5" s="1"/>
  <c r="L21" i="5"/>
  <c r="M21" i="5" s="1"/>
  <c r="L22" i="5"/>
  <c r="M22" i="5" s="1"/>
  <c r="L23" i="5"/>
  <c r="M23" i="5" s="1"/>
  <c r="L24" i="5"/>
  <c r="M24" i="5" s="1"/>
  <c r="L25" i="5"/>
  <c r="M25" i="5" s="1"/>
  <c r="L26" i="5"/>
  <c r="M26" i="5" s="1"/>
  <c r="L27" i="5"/>
  <c r="M27" i="5" s="1"/>
  <c r="L28" i="5"/>
  <c r="M28" i="5" s="1"/>
  <c r="L29" i="5"/>
  <c r="M29" i="5" s="1"/>
  <c r="L30" i="5"/>
  <c r="M30" i="5" s="1"/>
  <c r="L31" i="5"/>
  <c r="M31" i="5" s="1"/>
  <c r="L32" i="5"/>
  <c r="M32" i="5" s="1"/>
  <c r="L33" i="5"/>
  <c r="M33" i="5" s="1"/>
  <c r="L34" i="5"/>
  <c r="M34" i="5" s="1"/>
  <c r="L35" i="5"/>
  <c r="M35" i="5" s="1"/>
  <c r="L36" i="5"/>
  <c r="M36" i="5" s="1"/>
  <c r="L37" i="5"/>
  <c r="M37" i="5" s="1"/>
  <c r="L38" i="5"/>
  <c r="M38" i="5" s="1"/>
  <c r="L39" i="5"/>
  <c r="M39" i="5" s="1"/>
  <c r="L40" i="5"/>
  <c r="M40" i="5" s="1"/>
  <c r="L41" i="5"/>
  <c r="M41" i="5" s="1"/>
  <c r="L42" i="5"/>
  <c r="M42" i="5" s="1"/>
  <c r="L43" i="5"/>
  <c r="M43" i="5" s="1"/>
  <c r="L44" i="5"/>
  <c r="M44" i="5" s="1"/>
  <c r="L45" i="5"/>
  <c r="M45" i="5" s="1"/>
  <c r="J2" i="5"/>
  <c r="K2" i="5" s="1"/>
  <c r="N2" i="5" s="1"/>
  <c r="J3" i="5"/>
  <c r="K3" i="5" s="1"/>
  <c r="N3" i="5" s="1"/>
  <c r="J4" i="5"/>
  <c r="K4" i="5" s="1"/>
  <c r="J5" i="5"/>
  <c r="K5" i="5" s="1"/>
  <c r="J6" i="5"/>
  <c r="K6" i="5" s="1"/>
  <c r="N6" i="5" s="1"/>
  <c r="J7" i="5"/>
  <c r="K7" i="5" s="1"/>
  <c r="N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N14" i="5" s="1"/>
  <c r="J15" i="5"/>
  <c r="K15" i="5" s="1"/>
  <c r="N15" i="5" s="1"/>
  <c r="J16" i="5"/>
  <c r="K16" i="5" s="1"/>
  <c r="J17" i="5"/>
  <c r="K17" i="5" s="1"/>
  <c r="J18" i="5"/>
  <c r="K18" i="5" s="1"/>
  <c r="N18" i="5" s="1"/>
  <c r="J19" i="5"/>
  <c r="K19" i="5" s="1"/>
  <c r="N19" i="5" s="1"/>
  <c r="J20" i="5"/>
  <c r="K20" i="5" s="1"/>
  <c r="J21" i="5"/>
  <c r="K21" i="5" s="1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N28" i="5" s="1"/>
  <c r="J29" i="5"/>
  <c r="K29" i="5" s="1"/>
  <c r="N29" i="5" s="1"/>
  <c r="J30" i="5"/>
  <c r="K30" i="5" s="1"/>
  <c r="J31" i="5"/>
  <c r="K31" i="5" s="1"/>
  <c r="J32" i="5"/>
  <c r="K32" i="5" s="1"/>
  <c r="J33" i="5"/>
  <c r="K33" i="5" s="1"/>
  <c r="J34" i="5"/>
  <c r="K34" i="5" s="1"/>
  <c r="J35" i="5"/>
  <c r="K35" i="5" s="1"/>
  <c r="J36" i="5"/>
  <c r="K36" i="5" s="1"/>
  <c r="J37" i="5"/>
  <c r="K37" i="5" s="1"/>
  <c r="N37" i="5" s="1"/>
  <c r="J38" i="5"/>
  <c r="K38" i="5" s="1"/>
  <c r="J39" i="5"/>
  <c r="K39" i="5" s="1"/>
  <c r="J40" i="5"/>
  <c r="K40" i="5" s="1"/>
  <c r="N40" i="5" s="1"/>
  <c r="J41" i="5"/>
  <c r="K41" i="5" s="1"/>
  <c r="N41" i="5" s="1"/>
  <c r="J42" i="5"/>
  <c r="K42" i="5" s="1"/>
  <c r="J43" i="5"/>
  <c r="K43" i="5" s="1"/>
  <c r="J44" i="5"/>
  <c r="K44" i="5" s="1"/>
  <c r="J45" i="5"/>
  <c r="K45" i="5" s="1"/>
  <c r="N45" i="5" s="1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E2" i="5"/>
  <c r="D2" i="5" s="1"/>
  <c r="E3" i="5"/>
  <c r="D3" i="5" s="1"/>
  <c r="E4" i="5"/>
  <c r="D4" i="5" s="1"/>
  <c r="E5" i="5"/>
  <c r="D5" i="5" s="1"/>
  <c r="E6" i="5"/>
  <c r="D6" i="5" s="1"/>
  <c r="E7" i="5"/>
  <c r="D7" i="5" s="1"/>
  <c r="E8" i="5"/>
  <c r="D8" i="5" s="1"/>
  <c r="E9" i="5"/>
  <c r="D9" i="5" s="1"/>
  <c r="E10" i="5"/>
  <c r="D10" i="5" s="1"/>
  <c r="E11" i="5"/>
  <c r="D11" i="5" s="1"/>
  <c r="E12" i="5"/>
  <c r="D12" i="5" s="1"/>
  <c r="E13" i="5"/>
  <c r="D13" i="5" s="1"/>
  <c r="E14" i="5"/>
  <c r="D14" i="5" s="1"/>
  <c r="E15" i="5"/>
  <c r="D15" i="5" s="1"/>
  <c r="E16" i="5"/>
  <c r="D16" i="5" s="1"/>
  <c r="E17" i="5"/>
  <c r="D17" i="5" s="1"/>
  <c r="E18" i="5"/>
  <c r="D18" i="5" s="1"/>
  <c r="E19" i="5"/>
  <c r="D19" i="5" s="1"/>
  <c r="E20" i="5"/>
  <c r="D20" i="5" s="1"/>
  <c r="E21" i="5"/>
  <c r="D21" i="5" s="1"/>
  <c r="E22" i="5"/>
  <c r="D22" i="5" s="1"/>
  <c r="E23" i="5"/>
  <c r="D23" i="5" s="1"/>
  <c r="E24" i="5"/>
  <c r="D24" i="5" s="1"/>
  <c r="E25" i="5"/>
  <c r="D25" i="5" s="1"/>
  <c r="E26" i="5"/>
  <c r="D26" i="5" s="1"/>
  <c r="E27" i="5"/>
  <c r="D27" i="5" s="1"/>
  <c r="E28" i="5"/>
  <c r="D28" i="5" s="1"/>
  <c r="E29" i="5"/>
  <c r="D29" i="5" s="1"/>
  <c r="E30" i="5"/>
  <c r="D30" i="5" s="1"/>
  <c r="E31" i="5"/>
  <c r="D31" i="5" s="1"/>
  <c r="E32" i="5"/>
  <c r="D32" i="5" s="1"/>
  <c r="E33" i="5"/>
  <c r="D33" i="5" s="1"/>
  <c r="E34" i="5"/>
  <c r="D34" i="5" s="1"/>
  <c r="E35" i="5"/>
  <c r="D35" i="5" s="1"/>
  <c r="E36" i="5"/>
  <c r="D36" i="5" s="1"/>
  <c r="E37" i="5"/>
  <c r="D37" i="5" s="1"/>
  <c r="E38" i="5"/>
  <c r="D38" i="5" s="1"/>
  <c r="E39" i="5"/>
  <c r="D39" i="5" s="1"/>
  <c r="E40" i="5"/>
  <c r="D40" i="5" s="1"/>
  <c r="E41" i="5"/>
  <c r="D41" i="5" s="1"/>
  <c r="E42" i="5"/>
  <c r="D42" i="5" s="1"/>
  <c r="E43" i="5"/>
  <c r="D43" i="5" s="1"/>
  <c r="E44" i="5"/>
  <c r="D44" i="5" s="1"/>
  <c r="E45" i="5"/>
  <c r="D45" i="5" s="1"/>
  <c r="N36" i="5" l="1"/>
  <c r="N23" i="5"/>
  <c r="N11" i="5"/>
  <c r="N22" i="5"/>
  <c r="N10" i="5"/>
  <c r="N33" i="5"/>
  <c r="N44" i="5"/>
  <c r="N32" i="5"/>
  <c r="G16" i="9"/>
  <c r="D11" i="9"/>
  <c r="C12" i="9"/>
  <c r="G11" i="9"/>
  <c r="E10" i="9"/>
  <c r="D14" i="9"/>
  <c r="C15" i="9"/>
  <c r="G12" i="9"/>
  <c r="E14" i="9"/>
  <c r="D15" i="9"/>
  <c r="C16" i="9"/>
  <c r="G15" i="9"/>
  <c r="D10" i="9"/>
  <c r="C11" i="9"/>
  <c r="F14" i="9"/>
  <c r="D16" i="9"/>
  <c r="C10" i="9"/>
  <c r="F15" i="9"/>
  <c r="F13" i="9"/>
  <c r="C13" i="9"/>
  <c r="F10" i="9"/>
  <c r="E15" i="9"/>
  <c r="D13" i="9"/>
  <c r="F11" i="9"/>
  <c r="E13" i="9"/>
  <c r="G13" i="9"/>
  <c r="E11" i="9"/>
  <c r="E16" i="9"/>
  <c r="G14" i="9"/>
  <c r="F16" i="9"/>
  <c r="D12" i="9"/>
  <c r="C14" i="9"/>
  <c r="E12" i="9"/>
  <c r="G10" i="9"/>
  <c r="F12" i="9"/>
  <c r="N43" i="5"/>
  <c r="N39" i="5"/>
  <c r="N35" i="5"/>
  <c r="N31" i="5"/>
  <c r="N27" i="5"/>
  <c r="N25" i="5"/>
  <c r="N21" i="5"/>
  <c r="N17" i="5"/>
  <c r="N13" i="5"/>
  <c r="N9" i="5"/>
  <c r="N5" i="5"/>
  <c r="N42" i="5"/>
  <c r="N38" i="5"/>
  <c r="N34" i="5"/>
  <c r="N30" i="5"/>
  <c r="N26" i="5"/>
  <c r="N24" i="5"/>
  <c r="N20" i="5"/>
  <c r="N16" i="5"/>
  <c r="N12" i="5"/>
  <c r="N8" i="5"/>
  <c r="N4" i="5"/>
  <c r="G17" i="9" l="1"/>
  <c r="D17" i="9"/>
</calcChain>
</file>

<file path=xl/sharedStrings.xml><?xml version="1.0" encoding="utf-8"?>
<sst xmlns="http://schemas.openxmlformats.org/spreadsheetml/2006/main" count="308" uniqueCount="122">
  <si>
    <t>手机号码</t>
  </si>
  <si>
    <t>手机号码</t>
    <phoneticPr fontId="2" type="noConversion"/>
  </si>
  <si>
    <t>序号</t>
    <phoneticPr fontId="2" type="noConversion"/>
  </si>
  <si>
    <t>13874793894</t>
  </si>
  <si>
    <t>15712617432</t>
  </si>
  <si>
    <t>13067811506</t>
  </si>
  <si>
    <t>18283423308</t>
  </si>
  <si>
    <t>15187708733</t>
  </si>
  <si>
    <t>表姐</t>
    <phoneticPr fontId="2" type="noConversion"/>
  </si>
  <si>
    <t>订单编号</t>
    <phoneticPr fontId="2" type="noConversion"/>
  </si>
  <si>
    <t>客户简称</t>
    <phoneticPr fontId="2" type="noConversion"/>
  </si>
  <si>
    <t>客户编码</t>
    <phoneticPr fontId="2" type="noConversion"/>
  </si>
  <si>
    <t>产品类别</t>
  </si>
  <si>
    <t>产品类别</t>
    <phoneticPr fontId="2" type="noConversion"/>
  </si>
  <si>
    <t>销售员</t>
    <phoneticPr fontId="2" type="noConversion"/>
  </si>
  <si>
    <t>数量</t>
  </si>
  <si>
    <t>数量</t>
    <phoneticPr fontId="2" type="noConversion"/>
  </si>
  <si>
    <t>编号</t>
    <phoneticPr fontId="2" type="noConversion"/>
  </si>
  <si>
    <t>订单-编号</t>
    <phoneticPr fontId="2" type="noConversion"/>
  </si>
  <si>
    <t>上海市杨浦区区广安中路268号来福士广场办公楼35楼</t>
    <phoneticPr fontId="2" type="noConversion"/>
  </si>
  <si>
    <t>北京市海淀区学院路16号334-1-1</t>
    <phoneticPr fontId="2" type="noConversion"/>
  </si>
  <si>
    <t>北京市朝阳区姚家园口村京昌高科技信息产业园</t>
    <phoneticPr fontId="2" type="noConversion"/>
  </si>
  <si>
    <t>北京市昌平区北四环中路888号瑞福大厦</t>
    <phoneticPr fontId="2" type="noConversion"/>
  </si>
  <si>
    <t>天津南开区创新科技园668号</t>
    <phoneticPr fontId="2" type="noConversion"/>
  </si>
  <si>
    <t>大连市开发区长安大街50号6-B.C，</t>
    <phoneticPr fontId="2" type="noConversion"/>
  </si>
  <si>
    <t>苏州工业园区赤岗路100号富源工业坊</t>
    <phoneticPr fontId="2" type="noConversion"/>
  </si>
  <si>
    <t>客户全程</t>
    <phoneticPr fontId="2" type="noConversion"/>
  </si>
  <si>
    <t>客户地址</t>
    <phoneticPr fontId="2" type="noConversion"/>
  </si>
  <si>
    <t>联系人</t>
    <phoneticPr fontId="2" type="noConversion"/>
  </si>
  <si>
    <t>职位</t>
    <phoneticPr fontId="2" type="noConversion"/>
  </si>
  <si>
    <t>电话</t>
    <phoneticPr fontId="2" type="noConversion"/>
  </si>
  <si>
    <t>耿红梅</t>
  </si>
  <si>
    <t>康成霞</t>
  </si>
  <si>
    <t>何昭成</t>
  </si>
  <si>
    <t>021-88861130/31/32</t>
    <phoneticPr fontId="2" type="noConversion"/>
  </si>
  <si>
    <t>010-88817699</t>
    <phoneticPr fontId="2" type="noConversion"/>
  </si>
  <si>
    <t>010-88817371</t>
    <phoneticPr fontId="2" type="noConversion"/>
  </si>
  <si>
    <t>010-66666167</t>
    <phoneticPr fontId="2" type="noConversion"/>
  </si>
  <si>
    <t>徐力军</t>
    <phoneticPr fontId="2" type="noConversion"/>
  </si>
  <si>
    <t>凌祯</t>
    <phoneticPr fontId="2" type="noConversion"/>
  </si>
  <si>
    <t>张盛茗</t>
    <phoneticPr fontId="2" type="noConversion"/>
  </si>
  <si>
    <t>KH-001</t>
  </si>
  <si>
    <t>KH-001</t>
    <phoneticPr fontId="2" type="noConversion"/>
  </si>
  <si>
    <t>KH-002</t>
  </si>
  <si>
    <t>KH-003</t>
  </si>
  <si>
    <t>KH-004</t>
  </si>
  <si>
    <t>KH-005</t>
  </si>
  <si>
    <t>KH-006</t>
  </si>
  <si>
    <t>KH-007</t>
  </si>
  <si>
    <t>上海富安食品贸易有限公司</t>
    <phoneticPr fontId="2" type="noConversion"/>
  </si>
  <si>
    <t>ABC（北京）美食集团</t>
    <phoneticPr fontId="2" type="noConversion"/>
  </si>
  <si>
    <t>BOB食品加工厂</t>
    <phoneticPr fontId="2" type="noConversion"/>
  </si>
  <si>
    <t>北京环宇食品加工集团有限公司</t>
    <phoneticPr fontId="2" type="noConversion"/>
  </si>
  <si>
    <t>天津创开科贸股份有限公司</t>
    <phoneticPr fontId="2" type="noConversion"/>
  </si>
  <si>
    <t>大连海生环科集团</t>
    <phoneticPr fontId="2" type="noConversion"/>
  </si>
  <si>
    <t>苏州创新股份集团有限公司</t>
    <phoneticPr fontId="2" type="noConversion"/>
  </si>
  <si>
    <t>上海富安</t>
    <phoneticPr fontId="2" type="noConversion"/>
  </si>
  <si>
    <t>北京ABC</t>
    <phoneticPr fontId="2" type="noConversion"/>
  </si>
  <si>
    <t>BOB</t>
    <phoneticPr fontId="2" type="noConversion"/>
  </si>
  <si>
    <t>北京环宇</t>
    <phoneticPr fontId="2" type="noConversion"/>
  </si>
  <si>
    <t>天津创开</t>
    <phoneticPr fontId="2" type="noConversion"/>
  </si>
  <si>
    <t>大连海生</t>
    <phoneticPr fontId="2" type="noConversion"/>
  </si>
  <si>
    <t>苏州创新</t>
    <phoneticPr fontId="2" type="noConversion"/>
  </si>
  <si>
    <t>员工编号</t>
    <phoneticPr fontId="2" type="noConversion"/>
  </si>
  <si>
    <t>员工姓名</t>
    <phoneticPr fontId="2" type="noConversion"/>
  </si>
  <si>
    <t>部门</t>
    <phoneticPr fontId="2" type="noConversion"/>
  </si>
  <si>
    <t>YG-001</t>
    <phoneticPr fontId="2" type="noConversion"/>
  </si>
  <si>
    <t>YG-002</t>
  </si>
  <si>
    <t>YG-003</t>
  </si>
  <si>
    <t>YG-004</t>
  </si>
  <si>
    <t>YG-005</t>
  </si>
  <si>
    <t>小燕子</t>
  </si>
  <si>
    <t>小燕子</t>
    <phoneticPr fontId="2" type="noConversion"/>
  </si>
  <si>
    <t>五阿哥</t>
  </si>
  <si>
    <t>五阿哥</t>
    <phoneticPr fontId="2" type="noConversion"/>
  </si>
  <si>
    <t>紫薇</t>
    <phoneticPr fontId="2" type="noConversion"/>
  </si>
  <si>
    <t>尔康</t>
  </si>
  <si>
    <t>尔康</t>
    <phoneticPr fontId="2" type="noConversion"/>
  </si>
  <si>
    <t>金锁</t>
  </si>
  <si>
    <t>金锁</t>
    <phoneticPr fontId="2" type="noConversion"/>
  </si>
  <si>
    <t>销售1部</t>
    <phoneticPr fontId="2" type="noConversion"/>
  </si>
  <si>
    <t>销售2部</t>
    <phoneticPr fontId="2" type="noConversion"/>
  </si>
  <si>
    <t>大客户经理</t>
    <phoneticPr fontId="2" type="noConversion"/>
  </si>
  <si>
    <t>销售总监</t>
    <phoneticPr fontId="2" type="noConversion"/>
  </si>
  <si>
    <t>客户经理</t>
    <phoneticPr fontId="2" type="noConversion"/>
  </si>
  <si>
    <t>DD-001</t>
    <phoneticPr fontId="2" type="noConversion"/>
  </si>
  <si>
    <t>DD-002</t>
  </si>
  <si>
    <t>DD-003</t>
  </si>
  <si>
    <t>DD-004</t>
  </si>
  <si>
    <t>DD-005</t>
  </si>
  <si>
    <t>DD-006</t>
  </si>
  <si>
    <t>DD-007</t>
  </si>
  <si>
    <t>DD-008</t>
  </si>
  <si>
    <t>DD-009</t>
  </si>
  <si>
    <t>DD-010</t>
  </si>
  <si>
    <t>DD-011</t>
  </si>
  <si>
    <t>DD-012</t>
  </si>
  <si>
    <t>DD-013</t>
  </si>
  <si>
    <t>补肾茶叶蛋</t>
  </si>
  <si>
    <t>丰胸茶叶蛋</t>
  </si>
  <si>
    <t>减肥茶叶蛋</t>
  </si>
  <si>
    <t>美颜茶叶蛋</t>
  </si>
  <si>
    <t>增高茶叶蛋</t>
  </si>
  <si>
    <t>标准单价</t>
    <phoneticPr fontId="2" type="noConversion"/>
  </si>
  <si>
    <t>折扣率</t>
  </si>
  <si>
    <t>折扣率</t>
    <phoneticPr fontId="2" type="noConversion"/>
  </si>
  <si>
    <t>成交金额</t>
  </si>
  <si>
    <t>成交金额</t>
    <phoneticPr fontId="2" type="noConversion"/>
  </si>
  <si>
    <t>成本单价</t>
    <phoneticPr fontId="2" type="noConversion"/>
  </si>
  <si>
    <t>成本总额</t>
    <phoneticPr fontId="2" type="noConversion"/>
  </si>
  <si>
    <t>利润总额</t>
    <phoneticPr fontId="2" type="noConversion"/>
  </si>
  <si>
    <t>标准售价</t>
  </si>
  <si>
    <t>标准售价</t>
    <phoneticPr fontId="2" type="noConversion"/>
  </si>
  <si>
    <t>客户名称</t>
    <phoneticPr fontId="2" type="noConversion"/>
  </si>
  <si>
    <t>供方名称</t>
    <phoneticPr fontId="2" type="noConversion"/>
  </si>
  <si>
    <t>供方地址</t>
    <phoneticPr fontId="2" type="noConversion"/>
  </si>
  <si>
    <t>订单日期</t>
    <phoneticPr fontId="2" type="noConversion"/>
  </si>
  <si>
    <t>订单编码</t>
    <phoneticPr fontId="2" type="noConversion"/>
  </si>
  <si>
    <t>表姐牌茶叶蛋        销售订单</t>
    <phoneticPr fontId="5" type="noConversion"/>
  </si>
  <si>
    <t>江西省九江市浔阳区经济创新园区12座A808室</t>
    <phoneticPr fontId="2" type="noConversion"/>
  </si>
  <si>
    <t>表姐牌茶叶蛋股份有限公司</t>
    <phoneticPr fontId="2" type="noConversion"/>
  </si>
  <si>
    <t>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</si>
</sst>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Tahoma"/>
      <family val="2"/>
      <charset val="134"/>
    </font>
    <font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等线"/>
      <family val="2"/>
      <scheme val="minor"/>
    </font>
    <font>
      <b/>
      <sz val="10"/>
      <color theme="0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 tint="0.249977111117893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center"/>
    </xf>
    <xf numFmtId="9" fontId="6" fillId="0" borderId="0" applyFont="0" applyFill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9" fontId="1" fillId="0" borderId="0" xfId="2" applyFont="1" applyFill="1" applyAlignment="1">
      <alignment horizontal="center" vertical="center"/>
    </xf>
    <xf numFmtId="0" fontId="4" fillId="2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right" vertical="center"/>
    </xf>
    <xf numFmtId="9" fontId="9" fillId="0" borderId="4" xfId="2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left" vertical="center" wrapText="1"/>
    </xf>
    <xf numFmtId="0" fontId="5" fillId="8" borderId="5" xfId="0" applyFont="1" applyFill="1" applyBorder="1" applyAlignment="1">
      <alignment horizontal="left" vertical="center" wrapText="1"/>
    </xf>
    <xf numFmtId="14" fontId="9" fillId="8" borderId="9" xfId="0" applyNumberFormat="1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常规 2" xfId="1" xr:uid="{00000000-0005-0000-0000-000001000000}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249977111117893"/>
        </left>
        <right/>
        <top style="thin">
          <color theme="1" tint="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/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1" tint="0.249977111117893"/>
        </right>
        <top style="thin">
          <color theme="1" tint="0.24997711111789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  <vertical/>
        <horizontal/>
      </border>
    </dxf>
    <dxf>
      <border outline="0">
        <top style="thin">
          <color theme="1" tint="0.249977111117893"/>
        </top>
      </border>
    </dxf>
    <dxf>
      <border outline="0">
        <left style="thin">
          <color theme="1" tint="0.249977111117893"/>
        </left>
        <right style="thin">
          <color theme="1" tint="0.249977111117893"/>
        </right>
        <top style="thin">
          <color theme="1" tint="0.249977111117893"/>
        </top>
        <bottom style="thin">
          <color theme="1" tint="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软雅黑"/>
        <family val="2"/>
        <charset val="134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theme="1" tint="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family val="2"/>
        <charset val="134"/>
        <scheme val="none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0</xdr:rowOff>
    </xdr:from>
    <xdr:to>
      <xdr:col>1</xdr:col>
      <xdr:colOff>510313</xdr:colOff>
      <xdr:row>2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C4FC732-09ED-46A5-B2CE-73A97B7CD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403" b="89791" l="4910" r="89922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3825" y="0"/>
          <a:ext cx="500788" cy="5143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-&#32447;&#19978;&#35838;&#31243;/3-&#22823;&#23398;&#29983;/&#22823;&#23398;&#29983;&#32447;&#19978;&#35838;&#31243;&#38468;&#20214;/02-2&#25968;&#25454;&#26377;&#25928;&#24615;&#35774;&#32622;-&#21457;&#36135;&#36890;&#30693;&#2133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讲师凌祯"/>
      <sheetName val="发货单"/>
      <sheetName val="客户地址清单"/>
      <sheetName val="手机号段"/>
    </sheetNames>
    <sheetDataSet>
      <sheetData sheetId="0"/>
      <sheetData sheetId="1">
        <row r="1">
          <cell r="L1">
            <v>42865.087253356483</v>
          </cell>
        </row>
      </sheetData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653A5F-D12F-4458-837F-53BEAE46EF3B}" name="表5" displayName="表5" ref="B9:G17" totalsRowCount="1" headerRowDxfId="45" dataDxfId="43" headerRowBorderDxfId="44" tableBorderDxfId="42" totalsRowBorderDxfId="41">
  <autoFilter ref="B9:G16" xr:uid="{07C7EF29-9FDE-4536-914B-4000A1D88AC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CAF7D0C-DC7E-4818-A5BB-4B04DB8BBD45}" name="序号" totalsRowLabel="汇总" dataDxfId="40" totalsRowDxfId="39">
      <calculatedColumnFormula>ROW()-9</calculatedColumnFormula>
    </tableColumn>
    <tableColumn id="2" xr3:uid="{394B0EB2-A543-4F78-8A1F-5611205CF57B}" name="产品类别" dataDxfId="38" totalsRowDxfId="37">
      <calculatedColumnFormula>IFERROR(VLOOKUP($F$7&amp;表5[[#This Row],[序号]],销售清单!D:K,3,0),"")</calculatedColumnFormula>
    </tableColumn>
    <tableColumn id="3" xr3:uid="{6955A9AB-0392-4837-B369-535887C2F3AB}" name="数量" totalsRowFunction="sum" dataDxfId="36" totalsRowDxfId="35">
      <calculatedColumnFormula>IFERROR(VLOOKUP($F$7&amp;表5[[#This Row],[序号]],销售清单!D:K,5,0),"")</calculatedColumnFormula>
    </tableColumn>
    <tableColumn id="4" xr3:uid="{B440FF1F-6CBA-450D-A6A3-013AC8B3E3B5}" name="折扣率" dataDxfId="34" totalsRowDxfId="33" dataCellStyle="百分比">
      <calculatedColumnFormula>IFERROR(VLOOKUP($F$7&amp;表5[[#This Row],[序号]],销售清单!D:K,6,0),"")</calculatedColumnFormula>
    </tableColumn>
    <tableColumn id="5" xr3:uid="{176C8E3E-E0A5-43CB-B75D-308D9851CA4A}" name="标准售价" dataDxfId="32" totalsRowDxfId="31">
      <calculatedColumnFormula>IFERROR(VLOOKUP($F$7&amp;表5[[#This Row],[序号]],销售清单!D:K,7,0),"")</calculatedColumnFormula>
    </tableColumn>
    <tableColumn id="6" xr3:uid="{81E2B13F-0C19-4D18-8FEB-5BBEB4F1B58E}" name="成交金额" totalsRowFunction="sum" dataDxfId="30" totalsRowDxfId="29">
      <calculatedColumnFormula>IFERROR(VLOOKUP($F$7&amp;表5[[#This Row],[序号]],销售清单!D:K,8,0),"")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136CD4-0F9C-46AC-BADD-0A00C0EE9C85}" name="表1" displayName="表1" ref="A1:N45" totalsRowShown="0" headerRowDxfId="28" dataDxfId="27">
  <autoFilter ref="A1:N45" xr:uid="{79664E63-8B20-4C67-9C98-AFF983B608F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CA2E8E43-16F4-4684-A380-0901D28A3EDE}" name="订单编号" dataDxfId="26"/>
    <tableColumn id="2" xr3:uid="{CF1DD373-6293-4B99-933D-6F5933A10B07}" name="客户编码" dataDxfId="25"/>
    <tableColumn id="3" xr3:uid="{42BA6EC1-F5F8-40DF-878A-A2660011D15D}" name="客户简称" dataDxfId="24">
      <calculatedColumnFormula>VLOOKUP(表1[[#This Row],[客户编码]],表2[],2,0)</calculatedColumnFormula>
    </tableColumn>
    <tableColumn id="4" xr3:uid="{5EFEC492-A3ED-4756-B292-39E8891A14EF}" name="订单-编号" dataDxfId="23">
      <calculatedColumnFormula>表1[[#This Row],[订单编号]]&amp;表1[[#This Row],[编号]]</calculatedColumnFormula>
    </tableColumn>
    <tableColumn id="5" xr3:uid="{1D8E5199-081D-4189-A012-0ABFFD091F54}" name="编号" dataDxfId="22">
      <calculatedColumnFormula>COUNTIFS($A$1:A2,表1[[#This Row],[订单编号]])</calculatedColumnFormula>
    </tableColumn>
    <tableColumn id="6" xr3:uid="{D51ADAF1-D8FC-46FD-82BF-F9987B5173C9}" name="产品类别" dataDxfId="21"/>
    <tableColumn id="7" xr3:uid="{5F1DE646-4200-41F2-A421-8AE8C58FEEBC}" name="销售员" dataDxfId="20"/>
    <tableColumn id="8" xr3:uid="{1D752149-88BC-4F59-B66D-89B040DBD36C}" name="数量" dataDxfId="19"/>
    <tableColumn id="10" xr3:uid="{4E694ED8-C029-4963-A6F0-81BE02FEE2B9}" name="折扣率" dataDxfId="18" dataCellStyle="百分比"/>
    <tableColumn id="9" xr3:uid="{81247581-3A98-4499-9D5D-57FF98072271}" name="标准售价" dataDxfId="17">
      <calculatedColumnFormula>VLOOKUP(表1[[#This Row],[产品类别]],表4[],2,0)</calculatedColumnFormula>
    </tableColumn>
    <tableColumn id="11" xr3:uid="{23DA06DF-7DF6-4651-8569-54F2376B2FEF}" name="成交金额" dataDxfId="16">
      <calculatedColumnFormula>表1[[#This Row],[数量]]*表1[[#This Row],[标准售价]]*(1-表1[[#This Row],[折扣率]])</calculatedColumnFormula>
    </tableColumn>
    <tableColumn id="12" xr3:uid="{7BCE8AC3-D48A-4EF8-ACE9-CEACB7356697}" name="成本单价" dataDxfId="15">
      <calculatedColumnFormula>VLOOKUP(表1[[#This Row],[产品类别]],表4[],3,0)</calculatedColumnFormula>
    </tableColumn>
    <tableColumn id="13" xr3:uid="{3DC00F43-D002-4015-AA01-EDE8D4A98D00}" name="成本总额" dataDxfId="14">
      <calculatedColumnFormula>表1[[#This Row],[数量]]*表1[[#This Row],[成本单价]]</calculatedColumnFormula>
    </tableColumn>
    <tableColumn id="14" xr3:uid="{7F9AECBF-796F-4C1F-8126-6F3C9D4C6722}" name="利润总额" dataDxfId="13">
      <calculatedColumnFormula>表1[[#This Row],[成交金额]]-表1[[#This Row],[成本总额]]</calculatedColumnFormula>
    </tableColumn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38766-22A1-4258-B3CB-320F134C6B4D}" name="表2" displayName="表2" ref="A1:F8" totalsRowShown="0" headerRowDxfId="12" dataDxfId="11">
  <autoFilter ref="A1:F8" xr:uid="{82623163-162A-409A-A6CA-2A1323A8C66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AB68020-A113-4B93-A890-9D0E3D4CEB5D}" name="客户编码" dataDxfId="10"/>
    <tableColumn id="2" xr3:uid="{6F51CF6C-0A66-41EE-BADE-4F249E294A6E}" name="客户简称" dataDxfId="9"/>
    <tableColumn id="3" xr3:uid="{8A539CAE-402B-4725-B3BC-B833AFA7E5A9}" name="客户全程" dataDxfId="8"/>
    <tableColumn id="4" xr3:uid="{4876748F-F540-460F-B92C-3AFBE432FC82}" name="客户地址" dataDxfId="7"/>
    <tableColumn id="5" xr3:uid="{F6055035-2C5C-43A3-9C6B-A45660CE6BC6}" name="联系人" dataDxfId="6"/>
    <tableColumn id="6" xr3:uid="{39464B28-1E57-46D4-B59A-389EF5282EBF}" name="电话" dataDxfId="5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5EDF853-A963-43C1-91EF-D89970BBD27C}" name="表4" displayName="表4" ref="A1:C6" totalsRowShown="0" headerRowDxfId="4" dataDxfId="3">
  <autoFilter ref="A1:C6" xr:uid="{0E9E1D58-0538-44B9-9DDD-7F0A1C5BFBAA}">
    <filterColumn colId="0" hiddenButton="1"/>
    <filterColumn colId="1" hiddenButton="1"/>
    <filterColumn colId="2" hiddenButton="1"/>
  </autoFilter>
  <sortState ref="A2:C6">
    <sortCondition descending="1" ref="B2"/>
  </sortState>
  <tableColumns count="3">
    <tableColumn id="1" xr3:uid="{FFCD4D4F-A81D-4A87-90A2-F2BBC5851AD8}" name="产品类别" dataDxfId="2"/>
    <tableColumn id="2" xr3:uid="{6DC8FD39-9DB1-4851-9D7E-AA5B59FFCA3A}" name="标准售价" dataDxfId="1"/>
    <tableColumn id="3" xr3:uid="{B1D7B5A7-5604-4BE2-8E8F-1948E73D99B6}" name="标准单价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F1AC-8049-4D87-8387-9D47A147D4D1}">
  <dimension ref="A1:H43"/>
  <sheetViews>
    <sheetView showGridLines="0" tabSelected="1" workbookViewId="0">
      <selection activeCell="K9" sqref="K9"/>
    </sheetView>
  </sheetViews>
  <sheetFormatPr defaultRowHeight="13.9"/>
  <cols>
    <col min="1" max="1" width="1.46484375" customWidth="1"/>
    <col min="3" max="3" width="14" customWidth="1"/>
    <col min="4" max="4" width="23.796875" customWidth="1"/>
    <col min="6" max="6" width="13.1328125" customWidth="1"/>
    <col min="7" max="7" width="12.46484375" customWidth="1"/>
    <col min="8" max="8" width="1.46484375" customWidth="1"/>
  </cols>
  <sheetData>
    <row r="1" spans="1:8" ht="36" customHeight="1">
      <c r="A1" s="15"/>
      <c r="B1" s="16"/>
      <c r="C1" s="16" t="s">
        <v>118</v>
      </c>
      <c r="D1" s="15"/>
      <c r="E1" s="15"/>
      <c r="F1" s="15"/>
      <c r="G1" s="15"/>
      <c r="H1" s="27" t="str">
        <f>VLOOKUP(F7,表1[],2,0)</f>
        <v>KH-004</v>
      </c>
    </row>
    <row r="2" spans="1:8" ht="4.5" customHeight="1">
      <c r="A2" s="17"/>
      <c r="B2" s="17"/>
      <c r="C2" s="17"/>
      <c r="D2" s="17"/>
      <c r="E2" s="17"/>
      <c r="F2" s="17"/>
      <c r="G2" s="17"/>
      <c r="H2" s="17"/>
    </row>
    <row r="3" spans="1:8" ht="23.25" customHeight="1">
      <c r="A3" s="17"/>
      <c r="B3" s="25" t="s">
        <v>113</v>
      </c>
      <c r="C3" s="33" t="str">
        <f>VLOOKUP(H1,客户档案!A2:F8,3,0)</f>
        <v>北京环宇食品加工集团有限公司</v>
      </c>
      <c r="D3" s="34"/>
      <c r="E3" s="25" t="s">
        <v>114</v>
      </c>
      <c r="F3" s="33" t="s">
        <v>120</v>
      </c>
      <c r="G3" s="34"/>
      <c r="H3" s="17"/>
    </row>
    <row r="4" spans="1:8" ht="30.75" customHeight="1">
      <c r="A4" s="17"/>
      <c r="B4" s="25" t="s">
        <v>27</v>
      </c>
      <c r="C4" s="39" t="str">
        <f>VLOOKUP(H1,客户档案!A2:F8,4,0)</f>
        <v>北京市昌平区北四环中路888号瑞福大厦</v>
      </c>
      <c r="D4" s="40"/>
      <c r="E4" s="25" t="s">
        <v>115</v>
      </c>
      <c r="F4" s="36" t="s">
        <v>119</v>
      </c>
      <c r="G4" s="37"/>
      <c r="H4" s="17"/>
    </row>
    <row r="5" spans="1:8" ht="18.75" customHeight="1">
      <c r="A5" s="17"/>
      <c r="B5" s="25" t="s">
        <v>28</v>
      </c>
      <c r="C5" s="33" t="str">
        <f>VLOOKUP(H1,客户档案!A2:F8,5,0)</f>
        <v>耿红梅</v>
      </c>
      <c r="D5" s="34"/>
      <c r="E5" s="25" t="s">
        <v>84</v>
      </c>
      <c r="F5" s="33" t="str">
        <f>VLOOKUP(F7,表1[],7,0)</f>
        <v>金锁</v>
      </c>
      <c r="G5" s="34"/>
      <c r="H5" s="17"/>
    </row>
    <row r="6" spans="1:8" ht="18.75" customHeight="1">
      <c r="A6" s="17"/>
      <c r="B6" s="25" t="s">
        <v>30</v>
      </c>
      <c r="C6" s="33" t="str">
        <f>VLOOKUP(H1,客户档案!A2:F8,6,0)</f>
        <v>010-66666167</v>
      </c>
      <c r="D6" s="34"/>
      <c r="E6" s="25" t="s">
        <v>1</v>
      </c>
      <c r="F6" s="33" t="str">
        <f>HLOOKUP(F5,销售员档案!$A$2:$F$5,4,0)</f>
        <v>15187708733</v>
      </c>
      <c r="G6" s="34"/>
      <c r="H6" s="17"/>
    </row>
    <row r="7" spans="1:8" ht="18.75" customHeight="1">
      <c r="A7" s="17"/>
      <c r="B7" s="26" t="s">
        <v>116</v>
      </c>
      <c r="C7" s="38">
        <f ca="1">TODAY()</f>
        <v>43861</v>
      </c>
      <c r="D7" s="32"/>
      <c r="E7" s="26" t="s">
        <v>117</v>
      </c>
      <c r="F7" s="31" t="s">
        <v>90</v>
      </c>
      <c r="G7" s="32"/>
      <c r="H7" s="17"/>
    </row>
    <row r="8" spans="1:8" ht="20.25" customHeight="1">
      <c r="A8" s="17"/>
      <c r="B8" s="35" t="str">
        <f>F7&amp;"     订单明细"</f>
        <v>DD-006     订单明细</v>
      </c>
      <c r="C8" s="35"/>
      <c r="D8" s="35"/>
      <c r="E8" s="35"/>
      <c r="F8" s="35"/>
      <c r="G8" s="35"/>
      <c r="H8" s="17"/>
    </row>
    <row r="9" spans="1:8">
      <c r="A9" s="17"/>
      <c r="B9" s="24" t="s">
        <v>2</v>
      </c>
      <c r="C9" s="24" t="s">
        <v>12</v>
      </c>
      <c r="D9" s="24" t="s">
        <v>15</v>
      </c>
      <c r="E9" s="24" t="s">
        <v>104</v>
      </c>
      <c r="F9" s="24" t="s">
        <v>111</v>
      </c>
      <c r="G9" s="24" t="s">
        <v>106</v>
      </c>
      <c r="H9" s="17"/>
    </row>
    <row r="10" spans="1:8" ht="16.5" customHeight="1">
      <c r="A10" s="17"/>
      <c r="B10" s="19">
        <f t="shared" ref="B10:B16" si="0">ROW()-9</f>
        <v>1</v>
      </c>
      <c r="C10" s="18" t="str">
        <f>IFERROR(VLOOKUP($F$7&amp;表5[[#This Row],[序号]],销售清单!D:K,3,0),"")</f>
        <v>增高茶叶蛋</v>
      </c>
      <c r="D10" s="18">
        <f>IFERROR(VLOOKUP($F$7&amp;表5[[#This Row],[序号]],销售清单!D:K,5,0),"")</f>
        <v>30</v>
      </c>
      <c r="E10" s="28">
        <f>IFERROR(VLOOKUP($F$7&amp;表5[[#This Row],[序号]],销售清单!D:K,6,0),"")</f>
        <v>0.15</v>
      </c>
      <c r="F10" s="18">
        <f>IFERROR(VLOOKUP($F$7&amp;表5[[#This Row],[序号]],销售清单!D:K,7,0),"")</f>
        <v>12</v>
      </c>
      <c r="G10" s="20">
        <f>IFERROR(VLOOKUP($F$7&amp;表5[[#This Row],[序号]],销售清单!D:K,8,0),"")</f>
        <v>306</v>
      </c>
      <c r="H10" s="17"/>
    </row>
    <row r="11" spans="1:8" ht="16.5" customHeight="1">
      <c r="A11" s="17"/>
      <c r="B11" s="19">
        <f t="shared" si="0"/>
        <v>2</v>
      </c>
      <c r="C11" s="18" t="str">
        <f>IFERROR(VLOOKUP($F$7&amp;表5[[#This Row],[序号]],销售清单!D:K,3,0),"")</f>
        <v>丰胸茶叶蛋</v>
      </c>
      <c r="D11" s="18">
        <f>IFERROR(VLOOKUP($F$7&amp;表5[[#This Row],[序号]],销售清单!D:K,5,0),"")</f>
        <v>41</v>
      </c>
      <c r="E11" s="28">
        <f>IFERROR(VLOOKUP($F$7&amp;表5[[#This Row],[序号]],销售清单!D:K,6,0),"")</f>
        <v>0.21</v>
      </c>
      <c r="F11" s="18">
        <f>IFERROR(VLOOKUP($F$7&amp;表5[[#This Row],[序号]],销售清单!D:K,7,0),"")</f>
        <v>18</v>
      </c>
      <c r="G11" s="20">
        <f>IFERROR(VLOOKUP($F$7&amp;表5[[#This Row],[序号]],销售清单!D:K,8,0),"")</f>
        <v>583.02</v>
      </c>
      <c r="H11" s="17"/>
    </row>
    <row r="12" spans="1:8" ht="16.5" customHeight="1">
      <c r="A12" s="17"/>
      <c r="B12" s="19">
        <f t="shared" si="0"/>
        <v>3</v>
      </c>
      <c r="C12" s="18" t="str">
        <f>IFERROR(VLOOKUP($F$7&amp;表5[[#This Row],[序号]],销售清单!D:K,3,0),"")</f>
        <v>补肾茶叶蛋</v>
      </c>
      <c r="D12" s="18">
        <f>IFERROR(VLOOKUP($F$7&amp;表5[[#This Row],[序号]],销售清单!D:K,5,0),"")</f>
        <v>23</v>
      </c>
      <c r="E12" s="28">
        <f>IFERROR(VLOOKUP($F$7&amp;表5[[#This Row],[序号]],销售清单!D:K,6,0),"")</f>
        <v>0.11</v>
      </c>
      <c r="F12" s="18">
        <f>IFERROR(VLOOKUP($F$7&amp;表5[[#This Row],[序号]],销售清单!D:K,7,0),"")</f>
        <v>20</v>
      </c>
      <c r="G12" s="20">
        <f>IFERROR(VLOOKUP($F$7&amp;表5[[#This Row],[序号]],销售清单!D:K,8,0),"")</f>
        <v>409.40000000000003</v>
      </c>
      <c r="H12" s="17"/>
    </row>
    <row r="13" spans="1:8" ht="16.5" customHeight="1">
      <c r="A13" s="17"/>
      <c r="B13" s="19">
        <f t="shared" si="0"/>
        <v>4</v>
      </c>
      <c r="C13" s="18" t="str">
        <f>IFERROR(VLOOKUP($F$7&amp;表5[[#This Row],[序号]],销售清单!D:K,3,0),"")</f>
        <v>补肾茶叶蛋</v>
      </c>
      <c r="D13" s="18">
        <f>IFERROR(VLOOKUP($F$7&amp;表5[[#This Row],[序号]],销售清单!D:K,5,0),"")</f>
        <v>70</v>
      </c>
      <c r="E13" s="28">
        <f>IFERROR(VLOOKUP($F$7&amp;表5[[#This Row],[序号]],销售清单!D:K,6,0),"")</f>
        <v>0.05</v>
      </c>
      <c r="F13" s="18">
        <f>IFERROR(VLOOKUP($F$7&amp;表5[[#This Row],[序号]],销售清单!D:K,7,0),"")</f>
        <v>20</v>
      </c>
      <c r="G13" s="20">
        <f>IFERROR(VLOOKUP($F$7&amp;表5[[#This Row],[序号]],销售清单!D:K,8,0),"")</f>
        <v>1330</v>
      </c>
      <c r="H13" s="17"/>
    </row>
    <row r="14" spans="1:8" ht="16.5" customHeight="1">
      <c r="A14" s="17"/>
      <c r="B14" s="19">
        <f t="shared" si="0"/>
        <v>5</v>
      </c>
      <c r="C14" s="18" t="str">
        <f>IFERROR(VLOOKUP($F$7&amp;表5[[#This Row],[序号]],销售清单!D:K,3,0),"")</f>
        <v/>
      </c>
      <c r="D14" s="18" t="str">
        <f>IFERROR(VLOOKUP($F$7&amp;表5[[#This Row],[序号]],销售清单!D:K,5,0),"")</f>
        <v/>
      </c>
      <c r="E14" s="28" t="str">
        <f>IFERROR(VLOOKUP($F$7&amp;表5[[#This Row],[序号]],销售清单!D:K,6,0),"")</f>
        <v/>
      </c>
      <c r="F14" s="18" t="str">
        <f>IFERROR(VLOOKUP($F$7&amp;表5[[#This Row],[序号]],销售清单!D:K,7,0),"")</f>
        <v/>
      </c>
      <c r="G14" s="20" t="str">
        <f>IFERROR(VLOOKUP($F$7&amp;表5[[#This Row],[序号]],销售清单!D:K,8,0),"")</f>
        <v/>
      </c>
      <c r="H14" s="17"/>
    </row>
    <row r="15" spans="1:8" ht="16.5" customHeight="1">
      <c r="A15" s="17"/>
      <c r="B15" s="19">
        <f t="shared" si="0"/>
        <v>6</v>
      </c>
      <c r="C15" s="18" t="str">
        <f>IFERROR(VLOOKUP($F$7&amp;表5[[#This Row],[序号]],销售清单!D:K,3,0),"")</f>
        <v/>
      </c>
      <c r="D15" s="18" t="str">
        <f>IFERROR(VLOOKUP($F$7&amp;表5[[#This Row],[序号]],销售清单!D:K,5,0),"")</f>
        <v/>
      </c>
      <c r="E15" s="28" t="str">
        <f>IFERROR(VLOOKUP($F$7&amp;表5[[#This Row],[序号]],销售清单!D:K,6,0),"")</f>
        <v/>
      </c>
      <c r="F15" s="18" t="str">
        <f>IFERROR(VLOOKUP($F$7&amp;表5[[#This Row],[序号]],销售清单!D:K,7,0),"")</f>
        <v/>
      </c>
      <c r="G15" s="20" t="str">
        <f>IFERROR(VLOOKUP($F$7&amp;表5[[#This Row],[序号]],销售清单!D:K,8,0),"")</f>
        <v/>
      </c>
      <c r="H15" s="17"/>
    </row>
    <row r="16" spans="1:8" ht="16.5" customHeight="1">
      <c r="A16" s="17"/>
      <c r="B16" s="19">
        <f t="shared" si="0"/>
        <v>7</v>
      </c>
      <c r="C16" s="18" t="str">
        <f>IFERROR(VLOOKUP($F$7&amp;表5[[#This Row],[序号]],销售清单!D:K,3,0),"")</f>
        <v/>
      </c>
      <c r="D16" s="18" t="str">
        <f>IFERROR(VLOOKUP($F$7&amp;表5[[#This Row],[序号]],销售清单!D:K,5,0),"")</f>
        <v/>
      </c>
      <c r="E16" s="28" t="str">
        <f>IFERROR(VLOOKUP($F$7&amp;表5[[#This Row],[序号]],销售清单!D:K,6,0),"")</f>
        <v/>
      </c>
      <c r="F16" s="18" t="str">
        <f>IFERROR(VLOOKUP($F$7&amp;表5[[#This Row],[序号]],销售清单!D:K,7,0),"")</f>
        <v/>
      </c>
      <c r="G16" s="20" t="str">
        <f>IFERROR(VLOOKUP($F$7&amp;表5[[#This Row],[序号]],销售清单!D:K,8,0),"")</f>
        <v/>
      </c>
      <c r="H16" s="17"/>
    </row>
    <row r="17" spans="1:8" ht="16.5" customHeight="1">
      <c r="A17" s="17"/>
      <c r="B17" s="21" t="s">
        <v>121</v>
      </c>
      <c r="C17" s="22"/>
      <c r="D17" s="22">
        <f>SUBTOTAL(109,表5[数量])</f>
        <v>164</v>
      </c>
      <c r="E17" s="22"/>
      <c r="F17" s="22"/>
      <c r="G17" s="23">
        <f>SUBTOTAL(109,表5[成交金额])</f>
        <v>2628.42</v>
      </c>
      <c r="H17" s="17"/>
    </row>
    <row r="18" spans="1:8">
      <c r="A18" s="17"/>
      <c r="B18" s="17"/>
      <c r="C18" s="17"/>
      <c r="D18" s="17"/>
      <c r="E18" s="17"/>
      <c r="F18" s="17"/>
      <c r="G18" s="17"/>
      <c r="H18" s="17"/>
    </row>
    <row r="19" spans="1:8">
      <c r="A19" s="17"/>
      <c r="B19" s="17"/>
      <c r="C19" s="17"/>
      <c r="D19" s="17"/>
      <c r="E19" s="17"/>
      <c r="F19" s="17"/>
      <c r="G19" s="17"/>
      <c r="H19" s="17"/>
    </row>
    <row r="20" spans="1:8">
      <c r="A20" s="17"/>
      <c r="B20" s="17"/>
      <c r="C20" s="17"/>
      <c r="D20" s="17"/>
      <c r="E20" s="17"/>
      <c r="F20" s="17"/>
      <c r="G20" s="17"/>
      <c r="H20" s="17"/>
    </row>
    <row r="21" spans="1:8">
      <c r="A21" s="17"/>
      <c r="B21" s="17"/>
      <c r="C21" s="17"/>
      <c r="D21" s="17"/>
      <c r="E21" s="17"/>
      <c r="F21" s="17"/>
      <c r="G21" s="17"/>
      <c r="H21" s="17"/>
    </row>
    <row r="22" spans="1:8">
      <c r="A22" s="17"/>
      <c r="B22" s="17"/>
      <c r="C22" s="17"/>
      <c r="D22" s="17"/>
      <c r="E22" s="17"/>
      <c r="F22" s="17"/>
      <c r="G22" s="17"/>
      <c r="H22" s="17"/>
    </row>
    <row r="23" spans="1:8">
      <c r="A23" s="17"/>
      <c r="B23" s="17"/>
      <c r="C23" s="17"/>
      <c r="D23" s="17"/>
      <c r="E23" s="17"/>
      <c r="F23" s="17"/>
      <c r="G23" s="17"/>
      <c r="H23" s="17"/>
    </row>
    <row r="24" spans="1:8">
      <c r="A24" s="17"/>
      <c r="B24" s="17"/>
      <c r="C24" s="17"/>
      <c r="D24" s="17"/>
      <c r="E24" s="17"/>
      <c r="F24" s="17"/>
      <c r="G24" s="17"/>
      <c r="H24" s="17"/>
    </row>
    <row r="25" spans="1:8">
      <c r="A25" s="17"/>
      <c r="B25" s="17"/>
      <c r="C25" s="17"/>
      <c r="D25" s="17"/>
      <c r="E25" s="17"/>
      <c r="F25" s="17"/>
      <c r="G25" s="17"/>
      <c r="H25" s="17"/>
    </row>
    <row r="26" spans="1:8">
      <c r="A26" s="17"/>
      <c r="B26" s="17"/>
      <c r="C26" s="17"/>
      <c r="D26" s="17"/>
      <c r="E26" s="17"/>
      <c r="F26" s="17"/>
      <c r="G26" s="17"/>
      <c r="H26" s="17"/>
    </row>
    <row r="27" spans="1:8">
      <c r="A27" s="17"/>
      <c r="B27" s="17"/>
      <c r="C27" s="17"/>
      <c r="D27" s="17"/>
      <c r="E27" s="17"/>
      <c r="F27" s="17"/>
      <c r="G27" s="17"/>
      <c r="H27" s="17"/>
    </row>
    <row r="28" spans="1:8">
      <c r="A28" s="17"/>
      <c r="B28" s="17"/>
      <c r="C28" s="17"/>
      <c r="D28" s="17"/>
      <c r="E28" s="17"/>
      <c r="F28" s="17"/>
      <c r="G28" s="17"/>
      <c r="H28" s="17"/>
    </row>
    <row r="29" spans="1:8">
      <c r="A29" s="17"/>
      <c r="B29" s="17"/>
      <c r="C29" s="17"/>
      <c r="D29" s="17"/>
      <c r="E29" s="17"/>
      <c r="F29" s="17"/>
      <c r="G29" s="17"/>
      <c r="H29" s="17"/>
    </row>
    <row r="30" spans="1:8">
      <c r="A30" s="17"/>
      <c r="B30" s="17"/>
      <c r="C30" s="17"/>
      <c r="D30" s="17"/>
      <c r="E30" s="17"/>
      <c r="F30" s="17"/>
      <c r="G30" s="17"/>
      <c r="H30" s="17"/>
    </row>
    <row r="31" spans="1:8">
      <c r="A31" s="17"/>
      <c r="B31" s="17"/>
      <c r="C31" s="17"/>
      <c r="D31" s="17"/>
      <c r="E31" s="17"/>
      <c r="F31" s="17"/>
      <c r="G31" s="17"/>
      <c r="H31" s="17"/>
    </row>
    <row r="32" spans="1:8">
      <c r="A32" s="17"/>
      <c r="B32" s="17"/>
      <c r="C32" s="17"/>
      <c r="D32" s="17"/>
      <c r="E32" s="17"/>
      <c r="F32" s="17"/>
      <c r="G32" s="17"/>
      <c r="H32" s="17"/>
    </row>
    <row r="33" spans="1:8">
      <c r="A33" s="17"/>
      <c r="B33" s="17"/>
      <c r="C33" s="17"/>
      <c r="D33" s="17"/>
      <c r="E33" s="17"/>
      <c r="F33" s="17"/>
      <c r="G33" s="17"/>
      <c r="H33" s="17"/>
    </row>
    <row r="34" spans="1:8">
      <c r="A34" s="17"/>
      <c r="B34" s="17"/>
      <c r="C34" s="17"/>
      <c r="D34" s="17"/>
      <c r="E34" s="17"/>
      <c r="F34" s="17"/>
      <c r="G34" s="17"/>
      <c r="H34" s="17"/>
    </row>
    <row r="35" spans="1:8">
      <c r="A35" s="17"/>
      <c r="B35" s="17"/>
      <c r="C35" s="17"/>
      <c r="D35" s="17"/>
      <c r="E35" s="17"/>
      <c r="F35" s="17"/>
      <c r="G35" s="17"/>
      <c r="H35" s="17"/>
    </row>
    <row r="36" spans="1:8">
      <c r="A36" s="17"/>
      <c r="B36" s="17"/>
      <c r="C36" s="17"/>
      <c r="D36" s="17"/>
      <c r="E36" s="17"/>
      <c r="F36" s="17"/>
      <c r="G36" s="17"/>
      <c r="H36" s="17"/>
    </row>
    <row r="37" spans="1:8">
      <c r="A37" s="17"/>
      <c r="B37" s="17"/>
      <c r="C37" s="17"/>
      <c r="D37" s="17"/>
      <c r="E37" s="17"/>
      <c r="F37" s="17"/>
      <c r="G37" s="17"/>
      <c r="H37" s="17"/>
    </row>
    <row r="38" spans="1:8">
      <c r="A38" s="17"/>
      <c r="B38" s="17"/>
      <c r="C38" s="17"/>
      <c r="D38" s="17"/>
      <c r="E38" s="17"/>
      <c r="F38" s="17"/>
      <c r="G38" s="17"/>
      <c r="H38" s="17"/>
    </row>
    <row r="39" spans="1:8">
      <c r="A39" s="17"/>
      <c r="B39" s="17"/>
      <c r="C39" s="17"/>
      <c r="D39" s="17"/>
      <c r="E39" s="17"/>
      <c r="F39" s="17"/>
      <c r="G39" s="17"/>
      <c r="H39" s="17"/>
    </row>
    <row r="40" spans="1:8">
      <c r="A40" s="17"/>
      <c r="B40" s="17"/>
      <c r="C40" s="17"/>
      <c r="D40" s="17"/>
      <c r="E40" s="17"/>
      <c r="F40" s="17"/>
      <c r="G40" s="17"/>
      <c r="H40" s="17"/>
    </row>
    <row r="41" spans="1:8">
      <c r="A41" s="17"/>
      <c r="B41" s="17"/>
      <c r="C41" s="17"/>
      <c r="D41" s="17"/>
      <c r="E41" s="17"/>
      <c r="F41" s="17"/>
      <c r="G41" s="17"/>
      <c r="H41" s="17"/>
    </row>
    <row r="42" spans="1:8">
      <c r="A42" s="17"/>
      <c r="B42" s="17"/>
      <c r="C42" s="17"/>
      <c r="D42" s="17"/>
      <c r="E42" s="17"/>
      <c r="F42" s="17"/>
      <c r="G42" s="17"/>
      <c r="H42" s="17"/>
    </row>
    <row r="43" spans="1:8">
      <c r="B43" s="17"/>
      <c r="C43" s="17"/>
      <c r="D43" s="17"/>
      <c r="E43" s="17"/>
      <c r="F43" s="17"/>
      <c r="G43" s="17"/>
    </row>
  </sheetData>
  <mergeCells count="11">
    <mergeCell ref="F7:G7"/>
    <mergeCell ref="F3:G3"/>
    <mergeCell ref="B8:G8"/>
    <mergeCell ref="C3:D3"/>
    <mergeCell ref="C4:D4"/>
    <mergeCell ref="C5:D5"/>
    <mergeCell ref="C6:D6"/>
    <mergeCell ref="C7:D7"/>
    <mergeCell ref="F4:G4"/>
    <mergeCell ref="F5:G5"/>
    <mergeCell ref="F6:G6"/>
  </mergeCells>
  <phoneticPr fontId="2" type="noConversion"/>
  <pageMargins left="0.7" right="0.7" top="0.75" bottom="0.75" header="0.3" footer="0.3"/>
  <pageSetup paperSize="9" orientation="portrait" horizontalDpi="180" verticalDpi="18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71FE18-998A-42F0-AEEB-3DA4BF0747F0}">
          <x14:formula1>
            <xm:f>订单编号!$A$2:$A$14</xm:f>
          </x14:formula1>
          <xm:sqref>F7:G7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17A9F-799E-4546-9F9C-CB64C18ADA03}">
  <dimension ref="A1:N45"/>
  <sheetViews>
    <sheetView showGridLines="0" workbookViewId="0">
      <selection activeCell="G3" sqref="G3"/>
    </sheetView>
  </sheetViews>
  <sheetFormatPr defaultRowHeight="13.9"/>
  <cols>
    <col min="1" max="1" width="10.3984375" customWidth="1"/>
    <col min="2" max="3" width="9.265625" customWidth="1"/>
    <col min="4" max="4" width="10" hidden="1" customWidth="1"/>
    <col min="5" max="5" width="6.86328125" customWidth="1"/>
    <col min="6" max="6" width="9.265625" customWidth="1"/>
  </cols>
  <sheetData>
    <row r="1" spans="1:14">
      <c r="A1" s="2" t="s">
        <v>9</v>
      </c>
      <c r="B1" s="2" t="s">
        <v>11</v>
      </c>
      <c r="C1" s="2" t="s">
        <v>10</v>
      </c>
      <c r="D1" s="2" t="s">
        <v>18</v>
      </c>
      <c r="E1" s="2" t="s">
        <v>17</v>
      </c>
      <c r="F1" s="2" t="s">
        <v>13</v>
      </c>
      <c r="G1" s="2" t="s">
        <v>14</v>
      </c>
      <c r="H1" s="2" t="s">
        <v>16</v>
      </c>
      <c r="I1" s="2" t="s">
        <v>105</v>
      </c>
      <c r="J1" s="2" t="s">
        <v>112</v>
      </c>
      <c r="K1" s="2" t="s">
        <v>107</v>
      </c>
      <c r="L1" s="2" t="s">
        <v>108</v>
      </c>
      <c r="M1" s="2" t="s">
        <v>109</v>
      </c>
      <c r="N1" s="2" t="s">
        <v>110</v>
      </c>
    </row>
    <row r="2" spans="1:14">
      <c r="A2" s="2" t="s">
        <v>85</v>
      </c>
      <c r="B2" s="2" t="s">
        <v>41</v>
      </c>
      <c r="C2" s="13" t="str">
        <f>VLOOKUP(表1[[#This Row],[客户编码]],表2[],2,0)</f>
        <v>上海富安</v>
      </c>
      <c r="D2" s="13" t="str">
        <f>表1[[#This Row],[订单编号]]&amp;表1[[#This Row],[编号]]</f>
        <v>DD-0011</v>
      </c>
      <c r="E2" s="13">
        <f>COUNTIFS($A$1:A2,表1[[#This Row],[订单编号]])</f>
        <v>1</v>
      </c>
      <c r="F2" s="2" t="s">
        <v>100</v>
      </c>
      <c r="G2" s="2" t="s">
        <v>75</v>
      </c>
      <c r="H2" s="2">
        <v>6</v>
      </c>
      <c r="I2" s="14">
        <v>0.14000000000000001</v>
      </c>
      <c r="J2" s="13">
        <f>VLOOKUP(表1[[#This Row],[产品类别]],表4[],2,0)</f>
        <v>8</v>
      </c>
      <c r="K2" s="13">
        <f>表1[[#This Row],[数量]]*表1[[#This Row],[标准售价]]*(1-表1[[#This Row],[折扣率]])</f>
        <v>41.28</v>
      </c>
      <c r="L2" s="13">
        <f>VLOOKUP(表1[[#This Row],[产品类别]],表4[],3,0)</f>
        <v>5</v>
      </c>
      <c r="M2" s="13">
        <f>表1[[#This Row],[数量]]*表1[[#This Row],[成本单价]]</f>
        <v>30</v>
      </c>
      <c r="N2" s="13">
        <f>表1[[#This Row],[成交金额]]-表1[[#This Row],[成本总额]]</f>
        <v>11.280000000000001</v>
      </c>
    </row>
    <row r="3" spans="1:14">
      <c r="A3" s="2" t="s">
        <v>85</v>
      </c>
      <c r="B3" s="2" t="s">
        <v>41</v>
      </c>
      <c r="C3" s="13" t="str">
        <f>VLOOKUP(表1[[#This Row],[客户编码]],表2[],2,0)</f>
        <v>上海富安</v>
      </c>
      <c r="D3" s="13" t="str">
        <f>表1[[#This Row],[订单编号]]&amp;表1[[#This Row],[编号]]</f>
        <v>DD-0012</v>
      </c>
      <c r="E3" s="13">
        <f>COUNTIFS($A$1:A3,表1[[#This Row],[订单编号]])</f>
        <v>2</v>
      </c>
      <c r="F3" s="2" t="s">
        <v>101</v>
      </c>
      <c r="G3" s="2" t="s">
        <v>75</v>
      </c>
      <c r="H3" s="2">
        <v>18</v>
      </c>
      <c r="I3" s="14">
        <v>0.2</v>
      </c>
      <c r="J3" s="13">
        <f>VLOOKUP(表1[[#This Row],[产品类别]],表4[],2,0)</f>
        <v>5</v>
      </c>
      <c r="K3" s="13">
        <f>表1[[#This Row],[数量]]*表1[[#This Row],[标准售价]]*(1-表1[[#This Row],[折扣率]])</f>
        <v>72</v>
      </c>
      <c r="L3" s="13">
        <f>VLOOKUP(表1[[#This Row],[产品类别]],表4[],3,0)</f>
        <v>3</v>
      </c>
      <c r="M3" s="13">
        <f>表1[[#This Row],[数量]]*表1[[#This Row],[成本单价]]</f>
        <v>54</v>
      </c>
      <c r="N3" s="13">
        <f>表1[[#This Row],[成交金额]]-表1[[#This Row],[成本总额]]</f>
        <v>18</v>
      </c>
    </row>
    <row r="4" spans="1:14">
      <c r="A4" s="2" t="s">
        <v>85</v>
      </c>
      <c r="B4" s="2" t="s">
        <v>41</v>
      </c>
      <c r="C4" s="13" t="str">
        <f>VLOOKUP(表1[[#This Row],[客户编码]],表2[],2,0)</f>
        <v>上海富安</v>
      </c>
      <c r="D4" s="13" t="str">
        <f>表1[[#This Row],[订单编号]]&amp;表1[[#This Row],[编号]]</f>
        <v>DD-0013</v>
      </c>
      <c r="E4" s="13">
        <f>COUNTIFS($A$1:A4,表1[[#This Row],[订单编号]])</f>
        <v>3</v>
      </c>
      <c r="F4" s="2" t="s">
        <v>100</v>
      </c>
      <c r="G4" s="2" t="s">
        <v>75</v>
      </c>
      <c r="H4" s="2">
        <v>4</v>
      </c>
      <c r="I4" s="14">
        <v>0.12</v>
      </c>
      <c r="J4" s="13">
        <f>VLOOKUP(表1[[#This Row],[产品类别]],表4[],2,0)</f>
        <v>8</v>
      </c>
      <c r="K4" s="13">
        <f>表1[[#This Row],[数量]]*表1[[#This Row],[标准售价]]*(1-表1[[#This Row],[折扣率]])</f>
        <v>28.16</v>
      </c>
      <c r="L4" s="13">
        <f>VLOOKUP(表1[[#This Row],[产品类别]],表4[],3,0)</f>
        <v>5</v>
      </c>
      <c r="M4" s="13">
        <f>表1[[#This Row],[数量]]*表1[[#This Row],[成本单价]]</f>
        <v>20</v>
      </c>
      <c r="N4" s="13">
        <f>表1[[#This Row],[成交金额]]-表1[[#This Row],[成本总额]]</f>
        <v>8.16</v>
      </c>
    </row>
    <row r="5" spans="1:14">
      <c r="A5" s="2" t="s">
        <v>85</v>
      </c>
      <c r="B5" s="2" t="s">
        <v>41</v>
      </c>
      <c r="C5" s="13" t="str">
        <f>VLOOKUP(表1[[#This Row],[客户编码]],表2[],2,0)</f>
        <v>上海富安</v>
      </c>
      <c r="D5" s="13" t="str">
        <f>表1[[#This Row],[订单编号]]&amp;表1[[#This Row],[编号]]</f>
        <v>DD-0014</v>
      </c>
      <c r="E5" s="13">
        <f>COUNTIFS($A$1:A5,表1[[#This Row],[订单编号]])</f>
        <v>4</v>
      </c>
      <c r="F5" s="2" t="s">
        <v>98</v>
      </c>
      <c r="G5" s="2" t="s">
        <v>75</v>
      </c>
      <c r="H5" s="2">
        <v>63</v>
      </c>
      <c r="I5" s="14">
        <v>0.09</v>
      </c>
      <c r="J5" s="13">
        <f>VLOOKUP(表1[[#This Row],[产品类别]],表4[],2,0)</f>
        <v>20</v>
      </c>
      <c r="K5" s="13">
        <f>表1[[#This Row],[数量]]*表1[[#This Row],[标准售价]]*(1-表1[[#This Row],[折扣率]])</f>
        <v>1146.6000000000001</v>
      </c>
      <c r="L5" s="13">
        <f>VLOOKUP(表1[[#This Row],[产品类别]],表4[],3,0)</f>
        <v>15</v>
      </c>
      <c r="M5" s="13">
        <f>表1[[#This Row],[数量]]*表1[[#This Row],[成本单价]]</f>
        <v>945</v>
      </c>
      <c r="N5" s="13">
        <f>表1[[#This Row],[成交金额]]-表1[[#This Row],[成本总额]]</f>
        <v>201.60000000000014</v>
      </c>
    </row>
    <row r="6" spans="1:14">
      <c r="A6" s="2" t="s">
        <v>85</v>
      </c>
      <c r="B6" s="2" t="s">
        <v>41</v>
      </c>
      <c r="C6" s="13" t="str">
        <f>VLOOKUP(表1[[#This Row],[客户编码]],表2[],2,0)</f>
        <v>上海富安</v>
      </c>
      <c r="D6" s="13" t="str">
        <f>表1[[#This Row],[订单编号]]&amp;表1[[#This Row],[编号]]</f>
        <v>DD-0015</v>
      </c>
      <c r="E6" s="13">
        <f>COUNTIFS($A$1:A6,表1[[#This Row],[订单编号]])</f>
        <v>5</v>
      </c>
      <c r="F6" s="2" t="s">
        <v>98</v>
      </c>
      <c r="G6" s="2" t="s">
        <v>75</v>
      </c>
      <c r="H6" s="2">
        <v>21</v>
      </c>
      <c r="I6" s="14">
        <v>0.06</v>
      </c>
      <c r="J6" s="13">
        <f>VLOOKUP(表1[[#This Row],[产品类别]],表4[],2,0)</f>
        <v>20</v>
      </c>
      <c r="K6" s="13">
        <f>表1[[#This Row],[数量]]*表1[[#This Row],[标准售价]]*(1-表1[[#This Row],[折扣率]])</f>
        <v>394.79999999999995</v>
      </c>
      <c r="L6" s="13">
        <f>VLOOKUP(表1[[#This Row],[产品类别]],表4[],3,0)</f>
        <v>15</v>
      </c>
      <c r="M6" s="13">
        <f>表1[[#This Row],[数量]]*表1[[#This Row],[成本单价]]</f>
        <v>315</v>
      </c>
      <c r="N6" s="13">
        <f>表1[[#This Row],[成交金额]]-表1[[#This Row],[成本总额]]</f>
        <v>79.799999999999955</v>
      </c>
    </row>
    <row r="7" spans="1:14">
      <c r="A7" s="2" t="s">
        <v>86</v>
      </c>
      <c r="B7" s="2" t="s">
        <v>44</v>
      </c>
      <c r="C7" s="13" t="str">
        <f>VLOOKUP(表1[[#This Row],[客户编码]],表2[],2,0)</f>
        <v>BOB</v>
      </c>
      <c r="D7" s="13" t="str">
        <f>表1[[#This Row],[订单编号]]&amp;表1[[#This Row],[编号]]</f>
        <v>DD-0021</v>
      </c>
      <c r="E7" s="13">
        <f>COUNTIFS($A$1:A7,表1[[#This Row],[订单编号]])</f>
        <v>1</v>
      </c>
      <c r="F7" s="2" t="s">
        <v>101</v>
      </c>
      <c r="G7" s="2" t="s">
        <v>73</v>
      </c>
      <c r="H7" s="2">
        <v>40</v>
      </c>
      <c r="I7" s="14">
        <v>0.19</v>
      </c>
      <c r="J7" s="13">
        <f>VLOOKUP(表1[[#This Row],[产品类别]],表4[],2,0)</f>
        <v>5</v>
      </c>
      <c r="K7" s="13">
        <f>表1[[#This Row],[数量]]*表1[[#This Row],[标准售价]]*(1-表1[[#This Row],[折扣率]])</f>
        <v>162</v>
      </c>
      <c r="L7" s="13">
        <f>VLOOKUP(表1[[#This Row],[产品类别]],表4[],3,0)</f>
        <v>3</v>
      </c>
      <c r="M7" s="13">
        <f>表1[[#This Row],[数量]]*表1[[#This Row],[成本单价]]</f>
        <v>120</v>
      </c>
      <c r="N7" s="13">
        <f>表1[[#This Row],[成交金额]]-表1[[#This Row],[成本总额]]</f>
        <v>42</v>
      </c>
    </row>
    <row r="8" spans="1:14">
      <c r="A8" s="2" t="s">
        <v>86</v>
      </c>
      <c r="B8" s="2" t="s">
        <v>44</v>
      </c>
      <c r="C8" s="13" t="str">
        <f>VLOOKUP(表1[[#This Row],[客户编码]],表2[],2,0)</f>
        <v>BOB</v>
      </c>
      <c r="D8" s="13" t="str">
        <f>表1[[#This Row],[订单编号]]&amp;表1[[#This Row],[编号]]</f>
        <v>DD-0022</v>
      </c>
      <c r="E8" s="13">
        <f>COUNTIFS($A$1:A8,表1[[#This Row],[订单编号]])</f>
        <v>2</v>
      </c>
      <c r="F8" s="2" t="s">
        <v>101</v>
      </c>
      <c r="G8" s="2" t="s">
        <v>73</v>
      </c>
      <c r="H8" s="2">
        <v>17</v>
      </c>
      <c r="I8" s="14">
        <v>0.25</v>
      </c>
      <c r="J8" s="13">
        <f>VLOOKUP(表1[[#This Row],[产品类别]],表4[],2,0)</f>
        <v>5</v>
      </c>
      <c r="K8" s="13">
        <f>表1[[#This Row],[数量]]*表1[[#This Row],[标准售价]]*(1-表1[[#This Row],[折扣率]])</f>
        <v>63.75</v>
      </c>
      <c r="L8" s="13">
        <f>VLOOKUP(表1[[#This Row],[产品类别]],表4[],3,0)</f>
        <v>3</v>
      </c>
      <c r="M8" s="13">
        <f>表1[[#This Row],[数量]]*表1[[#This Row],[成本单价]]</f>
        <v>51</v>
      </c>
      <c r="N8" s="13">
        <f>表1[[#This Row],[成交金额]]-表1[[#This Row],[成本总额]]</f>
        <v>12.75</v>
      </c>
    </row>
    <row r="9" spans="1:14">
      <c r="A9" s="2" t="s">
        <v>86</v>
      </c>
      <c r="B9" s="2" t="s">
        <v>44</v>
      </c>
      <c r="C9" s="13" t="str">
        <f>VLOOKUP(表1[[#This Row],[客户编码]],表2[],2,0)</f>
        <v>BOB</v>
      </c>
      <c r="D9" s="13" t="str">
        <f>表1[[#This Row],[订单编号]]&amp;表1[[#This Row],[编号]]</f>
        <v>DD-0023</v>
      </c>
      <c r="E9" s="13">
        <f>COUNTIFS($A$1:A9,表1[[#This Row],[订单编号]])</f>
        <v>3</v>
      </c>
      <c r="F9" s="2" t="s">
        <v>102</v>
      </c>
      <c r="G9" s="2" t="s">
        <v>73</v>
      </c>
      <c r="H9" s="2">
        <v>71</v>
      </c>
      <c r="I9" s="14">
        <v>0.02</v>
      </c>
      <c r="J9" s="13">
        <f>VLOOKUP(表1[[#This Row],[产品类别]],表4[],2,0)</f>
        <v>12</v>
      </c>
      <c r="K9" s="13">
        <f>表1[[#This Row],[数量]]*表1[[#This Row],[标准售价]]*(1-表1[[#This Row],[折扣率]])</f>
        <v>834.96</v>
      </c>
      <c r="L9" s="13">
        <f>VLOOKUP(表1[[#This Row],[产品类别]],表4[],3,0)</f>
        <v>8</v>
      </c>
      <c r="M9" s="13">
        <f>表1[[#This Row],[数量]]*表1[[#This Row],[成本单价]]</f>
        <v>568</v>
      </c>
      <c r="N9" s="13">
        <f>表1[[#This Row],[成交金额]]-表1[[#This Row],[成本总额]]</f>
        <v>266.96000000000004</v>
      </c>
    </row>
    <row r="10" spans="1:14">
      <c r="A10" s="2" t="s">
        <v>86</v>
      </c>
      <c r="B10" s="2" t="s">
        <v>44</v>
      </c>
      <c r="C10" s="13" t="str">
        <f>VLOOKUP(表1[[#This Row],[客户编码]],表2[],2,0)</f>
        <v>BOB</v>
      </c>
      <c r="D10" s="13" t="str">
        <f>表1[[#This Row],[订单编号]]&amp;表1[[#This Row],[编号]]</f>
        <v>DD-0024</v>
      </c>
      <c r="E10" s="13">
        <f>COUNTIFS($A$1:A10,表1[[#This Row],[订单编号]])</f>
        <v>4</v>
      </c>
      <c r="F10" s="2" t="s">
        <v>99</v>
      </c>
      <c r="G10" s="2" t="s">
        <v>73</v>
      </c>
      <c r="H10" s="2">
        <v>60</v>
      </c>
      <c r="I10" s="14">
        <v>0.11</v>
      </c>
      <c r="J10" s="13">
        <f>VLOOKUP(表1[[#This Row],[产品类别]],表4[],2,0)</f>
        <v>18</v>
      </c>
      <c r="K10" s="13">
        <f>表1[[#This Row],[数量]]*表1[[#This Row],[标准售价]]*(1-表1[[#This Row],[折扣率]])</f>
        <v>961.2</v>
      </c>
      <c r="L10" s="13">
        <f>VLOOKUP(表1[[#This Row],[产品类别]],表4[],3,0)</f>
        <v>13</v>
      </c>
      <c r="M10" s="13">
        <f>表1[[#This Row],[数量]]*表1[[#This Row],[成本单价]]</f>
        <v>780</v>
      </c>
      <c r="N10" s="13">
        <f>表1[[#This Row],[成交金额]]-表1[[#This Row],[成本总额]]</f>
        <v>181.20000000000005</v>
      </c>
    </row>
    <row r="11" spans="1:14">
      <c r="A11" s="2" t="s">
        <v>87</v>
      </c>
      <c r="B11" s="2" t="s">
        <v>45</v>
      </c>
      <c r="C11" s="13" t="str">
        <f>VLOOKUP(表1[[#This Row],[客户编码]],表2[],2,0)</f>
        <v>北京环宇</v>
      </c>
      <c r="D11" s="13" t="str">
        <f>表1[[#This Row],[订单编号]]&amp;表1[[#This Row],[编号]]</f>
        <v>DD-0031</v>
      </c>
      <c r="E11" s="13">
        <f>COUNTIFS($A$1:A11,表1[[#This Row],[订单编号]])</f>
        <v>1</v>
      </c>
      <c r="F11" s="2" t="s">
        <v>101</v>
      </c>
      <c r="G11" s="2" t="s">
        <v>76</v>
      </c>
      <c r="H11" s="2">
        <v>99</v>
      </c>
      <c r="I11" s="14">
        <v>0.04</v>
      </c>
      <c r="J11" s="13">
        <f>VLOOKUP(表1[[#This Row],[产品类别]],表4[],2,0)</f>
        <v>5</v>
      </c>
      <c r="K11" s="13">
        <f>表1[[#This Row],[数量]]*表1[[#This Row],[标准售价]]*(1-表1[[#This Row],[折扣率]])</f>
        <v>475.2</v>
      </c>
      <c r="L11" s="13">
        <f>VLOOKUP(表1[[#This Row],[产品类别]],表4[],3,0)</f>
        <v>3</v>
      </c>
      <c r="M11" s="13">
        <f>表1[[#This Row],[数量]]*表1[[#This Row],[成本单价]]</f>
        <v>297</v>
      </c>
      <c r="N11" s="13">
        <f>表1[[#This Row],[成交金额]]-表1[[#This Row],[成本总额]]</f>
        <v>178.2</v>
      </c>
    </row>
    <row r="12" spans="1:14">
      <c r="A12" s="2" t="s">
        <v>87</v>
      </c>
      <c r="B12" s="2" t="s">
        <v>45</v>
      </c>
      <c r="C12" s="13" t="str">
        <f>VLOOKUP(表1[[#This Row],[客户编码]],表2[],2,0)</f>
        <v>北京环宇</v>
      </c>
      <c r="D12" s="13" t="str">
        <f>表1[[#This Row],[订单编号]]&amp;表1[[#This Row],[编号]]</f>
        <v>DD-0032</v>
      </c>
      <c r="E12" s="13">
        <f>COUNTIFS($A$1:A12,表1[[#This Row],[订单编号]])</f>
        <v>2</v>
      </c>
      <c r="F12" s="2" t="s">
        <v>101</v>
      </c>
      <c r="G12" s="2" t="s">
        <v>76</v>
      </c>
      <c r="H12" s="2">
        <v>100</v>
      </c>
      <c r="I12" s="14">
        <v>0.1</v>
      </c>
      <c r="J12" s="13">
        <f>VLOOKUP(表1[[#This Row],[产品类别]],表4[],2,0)</f>
        <v>5</v>
      </c>
      <c r="K12" s="13">
        <f>表1[[#This Row],[数量]]*表1[[#This Row],[标准售价]]*(1-表1[[#This Row],[折扣率]])</f>
        <v>450</v>
      </c>
      <c r="L12" s="13">
        <f>VLOOKUP(表1[[#This Row],[产品类别]],表4[],3,0)</f>
        <v>3</v>
      </c>
      <c r="M12" s="13">
        <f>表1[[#This Row],[数量]]*表1[[#This Row],[成本单价]]</f>
        <v>300</v>
      </c>
      <c r="N12" s="13">
        <f>表1[[#This Row],[成交金额]]-表1[[#This Row],[成本总额]]</f>
        <v>150</v>
      </c>
    </row>
    <row r="13" spans="1:14">
      <c r="A13" s="2" t="s">
        <v>87</v>
      </c>
      <c r="B13" s="2" t="s">
        <v>45</v>
      </c>
      <c r="C13" s="13" t="str">
        <f>VLOOKUP(表1[[#This Row],[客户编码]],表2[],2,0)</f>
        <v>北京环宇</v>
      </c>
      <c r="D13" s="13" t="str">
        <f>表1[[#This Row],[订单编号]]&amp;表1[[#This Row],[编号]]</f>
        <v>DD-0033</v>
      </c>
      <c r="E13" s="13">
        <f>COUNTIFS($A$1:A13,表1[[#This Row],[订单编号]])</f>
        <v>3</v>
      </c>
      <c r="F13" s="2" t="s">
        <v>102</v>
      </c>
      <c r="G13" s="2" t="s">
        <v>76</v>
      </c>
      <c r="H13" s="2">
        <v>23</v>
      </c>
      <c r="I13" s="14">
        <v>0.02</v>
      </c>
      <c r="J13" s="13">
        <f>VLOOKUP(表1[[#This Row],[产品类别]],表4[],2,0)</f>
        <v>12</v>
      </c>
      <c r="K13" s="13">
        <f>表1[[#This Row],[数量]]*表1[[#This Row],[标准售价]]*(1-表1[[#This Row],[折扣率]])</f>
        <v>270.48</v>
      </c>
      <c r="L13" s="13">
        <f>VLOOKUP(表1[[#This Row],[产品类别]],表4[],3,0)</f>
        <v>8</v>
      </c>
      <c r="M13" s="13">
        <f>表1[[#This Row],[数量]]*表1[[#This Row],[成本单价]]</f>
        <v>184</v>
      </c>
      <c r="N13" s="13">
        <f>表1[[#This Row],[成交金额]]-表1[[#This Row],[成本总额]]</f>
        <v>86.480000000000018</v>
      </c>
    </row>
    <row r="14" spans="1:14">
      <c r="A14" s="2" t="s">
        <v>87</v>
      </c>
      <c r="B14" s="2" t="s">
        <v>45</v>
      </c>
      <c r="C14" s="13" t="str">
        <f>VLOOKUP(表1[[#This Row],[客户编码]],表2[],2,0)</f>
        <v>北京环宇</v>
      </c>
      <c r="D14" s="13" t="str">
        <f>表1[[#This Row],[订单编号]]&amp;表1[[#This Row],[编号]]</f>
        <v>DD-0034</v>
      </c>
      <c r="E14" s="13">
        <f>COUNTIFS($A$1:A14,表1[[#This Row],[订单编号]])</f>
        <v>4</v>
      </c>
      <c r="F14" s="2" t="s">
        <v>100</v>
      </c>
      <c r="G14" s="2" t="s">
        <v>76</v>
      </c>
      <c r="H14" s="2">
        <v>49</v>
      </c>
      <c r="I14" s="14">
        <v>0.08</v>
      </c>
      <c r="J14" s="13">
        <f>VLOOKUP(表1[[#This Row],[产品类别]],表4[],2,0)</f>
        <v>8</v>
      </c>
      <c r="K14" s="13">
        <f>表1[[#This Row],[数量]]*表1[[#This Row],[标准售价]]*(1-表1[[#This Row],[折扣率]])</f>
        <v>360.64000000000004</v>
      </c>
      <c r="L14" s="13">
        <f>VLOOKUP(表1[[#This Row],[产品类别]],表4[],3,0)</f>
        <v>5</v>
      </c>
      <c r="M14" s="13">
        <f>表1[[#This Row],[数量]]*表1[[#This Row],[成本单价]]</f>
        <v>245</v>
      </c>
      <c r="N14" s="13">
        <f>表1[[#This Row],[成交金额]]-表1[[#This Row],[成本总额]]</f>
        <v>115.64000000000004</v>
      </c>
    </row>
    <row r="15" spans="1:14">
      <c r="A15" s="2" t="s">
        <v>87</v>
      </c>
      <c r="B15" s="2" t="s">
        <v>45</v>
      </c>
      <c r="C15" s="13" t="str">
        <f>VLOOKUP(表1[[#This Row],[客户编码]],表2[],2,0)</f>
        <v>北京环宇</v>
      </c>
      <c r="D15" s="13" t="str">
        <f>表1[[#This Row],[订单编号]]&amp;表1[[#This Row],[编号]]</f>
        <v>DD-0035</v>
      </c>
      <c r="E15" s="13">
        <f>COUNTIFS($A$1:A15,表1[[#This Row],[订单编号]])</f>
        <v>5</v>
      </c>
      <c r="F15" s="2" t="s">
        <v>100</v>
      </c>
      <c r="G15" s="2" t="s">
        <v>76</v>
      </c>
      <c r="H15" s="2">
        <v>74</v>
      </c>
      <c r="I15" s="14">
        <v>0.04</v>
      </c>
      <c r="J15" s="13">
        <f>VLOOKUP(表1[[#This Row],[产品类别]],表4[],2,0)</f>
        <v>8</v>
      </c>
      <c r="K15" s="13">
        <f>表1[[#This Row],[数量]]*表1[[#This Row],[标准售价]]*(1-表1[[#This Row],[折扣率]])</f>
        <v>568.31999999999994</v>
      </c>
      <c r="L15" s="13">
        <f>VLOOKUP(表1[[#This Row],[产品类别]],表4[],3,0)</f>
        <v>5</v>
      </c>
      <c r="M15" s="13">
        <f>表1[[#This Row],[数量]]*表1[[#This Row],[成本单价]]</f>
        <v>370</v>
      </c>
      <c r="N15" s="13">
        <f>表1[[#This Row],[成交金额]]-表1[[#This Row],[成本总额]]</f>
        <v>198.31999999999994</v>
      </c>
    </row>
    <row r="16" spans="1:14">
      <c r="A16" s="2" t="s">
        <v>88</v>
      </c>
      <c r="B16" s="2" t="s">
        <v>48</v>
      </c>
      <c r="C16" s="13" t="str">
        <f>VLOOKUP(表1[[#This Row],[客户编码]],表2[],2,0)</f>
        <v>苏州创新</v>
      </c>
      <c r="D16" s="13" t="str">
        <f>表1[[#This Row],[订单编号]]&amp;表1[[#This Row],[编号]]</f>
        <v>DD-0041</v>
      </c>
      <c r="E16" s="13">
        <f>COUNTIFS($A$1:A16,表1[[#This Row],[订单编号]])</f>
        <v>1</v>
      </c>
      <c r="F16" s="2" t="s">
        <v>98</v>
      </c>
      <c r="G16" s="2" t="s">
        <v>78</v>
      </c>
      <c r="H16" s="2">
        <v>87</v>
      </c>
      <c r="I16" s="14">
        <v>0.03</v>
      </c>
      <c r="J16" s="13">
        <f>VLOOKUP(表1[[#This Row],[产品类别]],表4[],2,0)</f>
        <v>20</v>
      </c>
      <c r="K16" s="13">
        <f>表1[[#This Row],[数量]]*表1[[#This Row],[标准售价]]*(1-表1[[#This Row],[折扣率]])</f>
        <v>1687.8</v>
      </c>
      <c r="L16" s="13">
        <f>VLOOKUP(表1[[#This Row],[产品类别]],表4[],3,0)</f>
        <v>15</v>
      </c>
      <c r="M16" s="13">
        <f>表1[[#This Row],[数量]]*表1[[#This Row],[成本单价]]</f>
        <v>1305</v>
      </c>
      <c r="N16" s="13">
        <f>表1[[#This Row],[成交金额]]-表1[[#This Row],[成本总额]]</f>
        <v>382.79999999999995</v>
      </c>
    </row>
    <row r="17" spans="1:14">
      <c r="A17" s="2" t="s">
        <v>88</v>
      </c>
      <c r="B17" s="2" t="s">
        <v>48</v>
      </c>
      <c r="C17" s="13" t="str">
        <f>VLOOKUP(表1[[#This Row],[客户编码]],表2[],2,0)</f>
        <v>苏州创新</v>
      </c>
      <c r="D17" s="13" t="str">
        <f>表1[[#This Row],[订单编号]]&amp;表1[[#This Row],[编号]]</f>
        <v>DD-0042</v>
      </c>
      <c r="E17" s="13">
        <f>COUNTIFS($A$1:A17,表1[[#This Row],[订单编号]])</f>
        <v>2</v>
      </c>
      <c r="F17" s="2" t="s">
        <v>100</v>
      </c>
      <c r="G17" s="2" t="s">
        <v>78</v>
      </c>
      <c r="H17" s="2">
        <v>46</v>
      </c>
      <c r="I17" s="14">
        <v>0.14000000000000001</v>
      </c>
      <c r="J17" s="13">
        <f>VLOOKUP(表1[[#This Row],[产品类别]],表4[],2,0)</f>
        <v>8</v>
      </c>
      <c r="K17" s="13">
        <f>表1[[#This Row],[数量]]*表1[[#This Row],[标准售价]]*(1-表1[[#This Row],[折扣率]])</f>
        <v>316.48</v>
      </c>
      <c r="L17" s="13">
        <f>VLOOKUP(表1[[#This Row],[产品类别]],表4[],3,0)</f>
        <v>5</v>
      </c>
      <c r="M17" s="13">
        <f>表1[[#This Row],[数量]]*表1[[#This Row],[成本单价]]</f>
        <v>230</v>
      </c>
      <c r="N17" s="13">
        <f>表1[[#This Row],[成交金额]]-表1[[#This Row],[成本总额]]</f>
        <v>86.480000000000018</v>
      </c>
    </row>
    <row r="18" spans="1:14">
      <c r="A18" s="2" t="s">
        <v>88</v>
      </c>
      <c r="B18" s="2" t="s">
        <v>48</v>
      </c>
      <c r="C18" s="13" t="str">
        <f>VLOOKUP(表1[[#This Row],[客户编码]],表2[],2,0)</f>
        <v>苏州创新</v>
      </c>
      <c r="D18" s="13" t="str">
        <f>表1[[#This Row],[订单编号]]&amp;表1[[#This Row],[编号]]</f>
        <v>DD-0043</v>
      </c>
      <c r="E18" s="13">
        <f>COUNTIFS($A$1:A18,表1[[#This Row],[订单编号]])</f>
        <v>3</v>
      </c>
      <c r="F18" s="2" t="s">
        <v>100</v>
      </c>
      <c r="G18" s="2" t="s">
        <v>78</v>
      </c>
      <c r="H18" s="2">
        <v>27</v>
      </c>
      <c r="I18" s="14">
        <v>0.28000000000000003</v>
      </c>
      <c r="J18" s="13">
        <f>VLOOKUP(表1[[#This Row],[产品类别]],表4[],2,0)</f>
        <v>8</v>
      </c>
      <c r="K18" s="13">
        <f>表1[[#This Row],[数量]]*表1[[#This Row],[标准售价]]*(1-表1[[#This Row],[折扣率]])</f>
        <v>155.51999999999998</v>
      </c>
      <c r="L18" s="13">
        <f>VLOOKUP(表1[[#This Row],[产品类别]],表4[],3,0)</f>
        <v>5</v>
      </c>
      <c r="M18" s="13">
        <f>表1[[#This Row],[数量]]*表1[[#This Row],[成本单价]]</f>
        <v>135</v>
      </c>
      <c r="N18" s="13">
        <f>表1[[#This Row],[成交金额]]-表1[[#This Row],[成本总额]]</f>
        <v>20.519999999999982</v>
      </c>
    </row>
    <row r="19" spans="1:14">
      <c r="A19" s="2" t="s">
        <v>88</v>
      </c>
      <c r="B19" s="2" t="s">
        <v>48</v>
      </c>
      <c r="C19" s="13" t="str">
        <f>VLOOKUP(表1[[#This Row],[客户编码]],表2[],2,0)</f>
        <v>苏州创新</v>
      </c>
      <c r="D19" s="13" t="str">
        <f>表1[[#This Row],[订单编号]]&amp;表1[[#This Row],[编号]]</f>
        <v>DD-0044</v>
      </c>
      <c r="E19" s="13">
        <f>COUNTIFS($A$1:A19,表1[[#This Row],[订单编号]])</f>
        <v>4</v>
      </c>
      <c r="F19" s="2" t="s">
        <v>102</v>
      </c>
      <c r="G19" s="2" t="s">
        <v>78</v>
      </c>
      <c r="H19" s="2">
        <v>24</v>
      </c>
      <c r="I19" s="14">
        <v>0.25</v>
      </c>
      <c r="J19" s="13">
        <f>VLOOKUP(表1[[#This Row],[产品类别]],表4[],2,0)</f>
        <v>12</v>
      </c>
      <c r="K19" s="13">
        <f>表1[[#This Row],[数量]]*表1[[#This Row],[标准售价]]*(1-表1[[#This Row],[折扣率]])</f>
        <v>216</v>
      </c>
      <c r="L19" s="13">
        <f>VLOOKUP(表1[[#This Row],[产品类别]],表4[],3,0)</f>
        <v>8</v>
      </c>
      <c r="M19" s="13">
        <f>表1[[#This Row],[数量]]*表1[[#This Row],[成本单价]]</f>
        <v>192</v>
      </c>
      <c r="N19" s="13">
        <f>表1[[#This Row],[成交金额]]-表1[[#This Row],[成本总额]]</f>
        <v>24</v>
      </c>
    </row>
    <row r="20" spans="1:14">
      <c r="A20" s="2" t="s">
        <v>88</v>
      </c>
      <c r="B20" s="2" t="s">
        <v>48</v>
      </c>
      <c r="C20" s="13" t="str">
        <f>VLOOKUP(表1[[#This Row],[客户编码]],表2[],2,0)</f>
        <v>苏州创新</v>
      </c>
      <c r="D20" s="13" t="str">
        <f>表1[[#This Row],[订单编号]]&amp;表1[[#This Row],[编号]]</f>
        <v>DD-0045</v>
      </c>
      <c r="E20" s="13">
        <f>COUNTIFS($A$1:A20,表1[[#This Row],[订单编号]])</f>
        <v>5</v>
      </c>
      <c r="F20" s="2" t="s">
        <v>98</v>
      </c>
      <c r="G20" s="2" t="s">
        <v>78</v>
      </c>
      <c r="H20" s="2">
        <v>82</v>
      </c>
      <c r="I20" s="14">
        <v>0.17</v>
      </c>
      <c r="J20" s="13">
        <f>VLOOKUP(表1[[#This Row],[产品类别]],表4[],2,0)</f>
        <v>20</v>
      </c>
      <c r="K20" s="13">
        <f>表1[[#This Row],[数量]]*表1[[#This Row],[标准售价]]*(1-表1[[#This Row],[折扣率]])</f>
        <v>1361.2</v>
      </c>
      <c r="L20" s="13">
        <f>VLOOKUP(表1[[#This Row],[产品类别]],表4[],3,0)</f>
        <v>15</v>
      </c>
      <c r="M20" s="13">
        <f>表1[[#This Row],[数量]]*表1[[#This Row],[成本单价]]</f>
        <v>1230</v>
      </c>
      <c r="N20" s="13">
        <f>表1[[#This Row],[成交金额]]-表1[[#This Row],[成本总额]]</f>
        <v>131.20000000000005</v>
      </c>
    </row>
    <row r="21" spans="1:14">
      <c r="A21" s="2" t="s">
        <v>89</v>
      </c>
      <c r="B21" s="2" t="s">
        <v>48</v>
      </c>
      <c r="C21" s="13" t="str">
        <f>VLOOKUP(表1[[#This Row],[客户编码]],表2[],2,0)</f>
        <v>苏州创新</v>
      </c>
      <c r="D21" s="13" t="str">
        <f>表1[[#This Row],[订单编号]]&amp;表1[[#This Row],[编号]]</f>
        <v>DD-0051</v>
      </c>
      <c r="E21" s="13">
        <f>COUNTIFS($A$1:A21,表1[[#This Row],[订单编号]])</f>
        <v>1</v>
      </c>
      <c r="F21" s="2" t="s">
        <v>101</v>
      </c>
      <c r="G21" s="2" t="s">
        <v>78</v>
      </c>
      <c r="H21" s="2">
        <v>38</v>
      </c>
      <c r="I21" s="14">
        <v>0.3</v>
      </c>
      <c r="J21" s="13">
        <f>VLOOKUP(表1[[#This Row],[产品类别]],表4[],2,0)</f>
        <v>5</v>
      </c>
      <c r="K21" s="13">
        <f>表1[[#This Row],[数量]]*表1[[#This Row],[标准售价]]*(1-表1[[#This Row],[折扣率]])</f>
        <v>133</v>
      </c>
      <c r="L21" s="13">
        <f>VLOOKUP(表1[[#This Row],[产品类别]],表4[],3,0)</f>
        <v>3</v>
      </c>
      <c r="M21" s="13">
        <f>表1[[#This Row],[数量]]*表1[[#This Row],[成本单价]]</f>
        <v>114</v>
      </c>
      <c r="N21" s="13">
        <f>表1[[#This Row],[成交金额]]-表1[[#This Row],[成本总额]]</f>
        <v>19</v>
      </c>
    </row>
    <row r="22" spans="1:14">
      <c r="A22" s="2" t="s">
        <v>89</v>
      </c>
      <c r="B22" s="2" t="s">
        <v>48</v>
      </c>
      <c r="C22" s="13" t="str">
        <f>VLOOKUP(表1[[#This Row],[客户编码]],表2[],2,0)</f>
        <v>苏州创新</v>
      </c>
      <c r="D22" s="13" t="str">
        <f>表1[[#This Row],[订单编号]]&amp;表1[[#This Row],[编号]]</f>
        <v>DD-0052</v>
      </c>
      <c r="E22" s="13">
        <f>COUNTIFS($A$1:A22,表1[[#This Row],[订单编号]])</f>
        <v>2</v>
      </c>
      <c r="F22" s="2" t="s">
        <v>99</v>
      </c>
      <c r="G22" s="2" t="s">
        <v>78</v>
      </c>
      <c r="H22" s="2">
        <v>70</v>
      </c>
      <c r="I22" s="14">
        <v>0</v>
      </c>
      <c r="J22" s="13">
        <f>VLOOKUP(表1[[#This Row],[产品类别]],表4[],2,0)</f>
        <v>18</v>
      </c>
      <c r="K22" s="13">
        <f>表1[[#This Row],[数量]]*表1[[#This Row],[标准售价]]*(1-表1[[#This Row],[折扣率]])</f>
        <v>1260</v>
      </c>
      <c r="L22" s="13">
        <f>VLOOKUP(表1[[#This Row],[产品类别]],表4[],3,0)</f>
        <v>13</v>
      </c>
      <c r="M22" s="13">
        <f>表1[[#This Row],[数量]]*表1[[#This Row],[成本单价]]</f>
        <v>910</v>
      </c>
      <c r="N22" s="13">
        <f>表1[[#This Row],[成交金额]]-表1[[#This Row],[成本总额]]</f>
        <v>350</v>
      </c>
    </row>
    <row r="23" spans="1:14">
      <c r="A23" s="2" t="s">
        <v>89</v>
      </c>
      <c r="B23" s="2" t="s">
        <v>48</v>
      </c>
      <c r="C23" s="13" t="str">
        <f>VLOOKUP(表1[[#This Row],[客户编码]],表2[],2,0)</f>
        <v>苏州创新</v>
      </c>
      <c r="D23" s="13" t="str">
        <f>表1[[#This Row],[订单编号]]&amp;表1[[#This Row],[编号]]</f>
        <v>DD-0053</v>
      </c>
      <c r="E23" s="13">
        <f>COUNTIFS($A$1:A23,表1[[#This Row],[订单编号]])</f>
        <v>3</v>
      </c>
      <c r="F23" s="2" t="s">
        <v>100</v>
      </c>
      <c r="G23" s="2" t="s">
        <v>78</v>
      </c>
      <c r="H23" s="2">
        <v>80</v>
      </c>
      <c r="I23" s="14">
        <v>0.02</v>
      </c>
      <c r="J23" s="13">
        <f>VLOOKUP(表1[[#This Row],[产品类别]],表4[],2,0)</f>
        <v>8</v>
      </c>
      <c r="K23" s="13">
        <f>表1[[#This Row],[数量]]*表1[[#This Row],[标准售价]]*(1-表1[[#This Row],[折扣率]])</f>
        <v>627.20000000000005</v>
      </c>
      <c r="L23" s="13">
        <f>VLOOKUP(表1[[#This Row],[产品类别]],表4[],3,0)</f>
        <v>5</v>
      </c>
      <c r="M23" s="13">
        <f>表1[[#This Row],[数量]]*表1[[#This Row],[成本单价]]</f>
        <v>400</v>
      </c>
      <c r="N23" s="13">
        <f>表1[[#This Row],[成交金额]]-表1[[#This Row],[成本总额]]</f>
        <v>227.20000000000005</v>
      </c>
    </row>
    <row r="24" spans="1:14">
      <c r="A24" s="2" t="s">
        <v>90</v>
      </c>
      <c r="B24" s="2" t="s">
        <v>45</v>
      </c>
      <c r="C24" s="13" t="str">
        <f>VLOOKUP(表1[[#This Row],[客户编码]],表2[],2,0)</f>
        <v>北京环宇</v>
      </c>
      <c r="D24" s="13" t="str">
        <f>表1[[#This Row],[订单编号]]&amp;表1[[#This Row],[编号]]</f>
        <v>DD-0061</v>
      </c>
      <c r="E24" s="13">
        <f>COUNTIFS($A$1:A24,表1[[#This Row],[订单编号]])</f>
        <v>1</v>
      </c>
      <c r="F24" s="2" t="s">
        <v>102</v>
      </c>
      <c r="G24" s="2" t="s">
        <v>78</v>
      </c>
      <c r="H24" s="2">
        <v>30</v>
      </c>
      <c r="I24" s="14">
        <v>0.15</v>
      </c>
      <c r="J24" s="13">
        <f>VLOOKUP(表1[[#This Row],[产品类别]],表4[],2,0)</f>
        <v>12</v>
      </c>
      <c r="K24" s="13">
        <f>表1[[#This Row],[数量]]*表1[[#This Row],[标准售价]]*(1-表1[[#This Row],[折扣率]])</f>
        <v>306</v>
      </c>
      <c r="L24" s="13">
        <f>VLOOKUP(表1[[#This Row],[产品类别]],表4[],3,0)</f>
        <v>8</v>
      </c>
      <c r="M24" s="13">
        <f>表1[[#This Row],[数量]]*表1[[#This Row],[成本单价]]</f>
        <v>240</v>
      </c>
      <c r="N24" s="13">
        <f>表1[[#This Row],[成交金额]]-表1[[#This Row],[成本总额]]</f>
        <v>66</v>
      </c>
    </row>
    <row r="25" spans="1:14">
      <c r="A25" s="2" t="s">
        <v>90</v>
      </c>
      <c r="B25" s="2" t="s">
        <v>45</v>
      </c>
      <c r="C25" s="13" t="str">
        <f>VLOOKUP(表1[[#This Row],[客户编码]],表2[],2,0)</f>
        <v>北京环宇</v>
      </c>
      <c r="D25" s="13" t="str">
        <f>表1[[#This Row],[订单编号]]&amp;表1[[#This Row],[编号]]</f>
        <v>DD-0062</v>
      </c>
      <c r="E25" s="13">
        <f>COUNTIFS($A$1:A25,表1[[#This Row],[订单编号]])</f>
        <v>2</v>
      </c>
      <c r="F25" s="2" t="s">
        <v>99</v>
      </c>
      <c r="G25" s="2" t="s">
        <v>78</v>
      </c>
      <c r="H25" s="2">
        <v>41</v>
      </c>
      <c r="I25" s="14">
        <v>0.21</v>
      </c>
      <c r="J25" s="13">
        <f>VLOOKUP(表1[[#This Row],[产品类别]],表4[],2,0)</f>
        <v>18</v>
      </c>
      <c r="K25" s="13">
        <f>表1[[#This Row],[数量]]*表1[[#This Row],[标准售价]]*(1-表1[[#This Row],[折扣率]])</f>
        <v>583.02</v>
      </c>
      <c r="L25" s="13">
        <f>VLOOKUP(表1[[#This Row],[产品类别]],表4[],3,0)</f>
        <v>13</v>
      </c>
      <c r="M25" s="13">
        <f>表1[[#This Row],[数量]]*表1[[#This Row],[成本单价]]</f>
        <v>533</v>
      </c>
      <c r="N25" s="13">
        <f>表1[[#This Row],[成交金额]]-表1[[#This Row],[成本总额]]</f>
        <v>50.019999999999982</v>
      </c>
    </row>
    <row r="26" spans="1:14">
      <c r="A26" s="2" t="s">
        <v>90</v>
      </c>
      <c r="B26" s="2" t="s">
        <v>45</v>
      </c>
      <c r="C26" s="13" t="str">
        <f>VLOOKUP(表1[[#This Row],[客户编码]],表2[],2,0)</f>
        <v>北京环宇</v>
      </c>
      <c r="D26" s="13" t="str">
        <f>表1[[#This Row],[订单编号]]&amp;表1[[#This Row],[编号]]</f>
        <v>DD-0063</v>
      </c>
      <c r="E26" s="13">
        <f>COUNTIFS($A$1:A26,表1[[#This Row],[订单编号]])</f>
        <v>3</v>
      </c>
      <c r="F26" s="2" t="s">
        <v>98</v>
      </c>
      <c r="G26" s="2" t="s">
        <v>78</v>
      </c>
      <c r="H26" s="2">
        <v>23</v>
      </c>
      <c r="I26" s="14">
        <v>0.11</v>
      </c>
      <c r="J26" s="13">
        <f>VLOOKUP(表1[[#This Row],[产品类别]],表4[],2,0)</f>
        <v>20</v>
      </c>
      <c r="K26" s="13">
        <f>表1[[#This Row],[数量]]*表1[[#This Row],[标准售价]]*(1-表1[[#This Row],[折扣率]])</f>
        <v>409.40000000000003</v>
      </c>
      <c r="L26" s="13">
        <f>VLOOKUP(表1[[#This Row],[产品类别]],表4[],3,0)</f>
        <v>15</v>
      </c>
      <c r="M26" s="13">
        <f>表1[[#This Row],[数量]]*表1[[#This Row],[成本单价]]</f>
        <v>345</v>
      </c>
      <c r="N26" s="13">
        <f>表1[[#This Row],[成交金额]]-表1[[#This Row],[成本总额]]</f>
        <v>64.400000000000034</v>
      </c>
    </row>
    <row r="27" spans="1:14">
      <c r="A27" s="2" t="s">
        <v>90</v>
      </c>
      <c r="B27" s="2" t="s">
        <v>45</v>
      </c>
      <c r="C27" s="13" t="str">
        <f>VLOOKUP(表1[[#This Row],[客户编码]],表2[],2,0)</f>
        <v>北京环宇</v>
      </c>
      <c r="D27" s="13" t="str">
        <f>表1[[#This Row],[订单编号]]&amp;表1[[#This Row],[编号]]</f>
        <v>DD-0064</v>
      </c>
      <c r="E27" s="13">
        <f>COUNTIFS($A$1:A27,表1[[#This Row],[订单编号]])</f>
        <v>4</v>
      </c>
      <c r="F27" s="2" t="s">
        <v>98</v>
      </c>
      <c r="G27" s="2" t="s">
        <v>78</v>
      </c>
      <c r="H27" s="2">
        <v>70</v>
      </c>
      <c r="I27" s="14">
        <v>0.05</v>
      </c>
      <c r="J27" s="13">
        <f>VLOOKUP(表1[[#This Row],[产品类别]],表4[],2,0)</f>
        <v>20</v>
      </c>
      <c r="K27" s="13">
        <f>表1[[#This Row],[数量]]*表1[[#This Row],[标准售价]]*(1-表1[[#This Row],[折扣率]])</f>
        <v>1330</v>
      </c>
      <c r="L27" s="13">
        <f>VLOOKUP(表1[[#This Row],[产品类别]],表4[],3,0)</f>
        <v>15</v>
      </c>
      <c r="M27" s="13">
        <f>表1[[#This Row],[数量]]*表1[[#This Row],[成本单价]]</f>
        <v>1050</v>
      </c>
      <c r="N27" s="13">
        <f>表1[[#This Row],[成交金额]]-表1[[#This Row],[成本总额]]</f>
        <v>280</v>
      </c>
    </row>
    <row r="28" spans="1:14">
      <c r="A28" s="2" t="s">
        <v>91</v>
      </c>
      <c r="B28" s="2" t="s">
        <v>45</v>
      </c>
      <c r="C28" s="13" t="str">
        <f>VLOOKUP(表1[[#This Row],[客户编码]],表2[],2,0)</f>
        <v>北京环宇</v>
      </c>
      <c r="D28" s="13" t="str">
        <f>表1[[#This Row],[订单编号]]&amp;表1[[#This Row],[编号]]</f>
        <v>DD-0071</v>
      </c>
      <c r="E28" s="13">
        <f>COUNTIFS($A$1:A28,表1[[#This Row],[订单编号]])</f>
        <v>1</v>
      </c>
      <c r="F28" s="2" t="s">
        <v>101</v>
      </c>
      <c r="G28" s="2" t="s">
        <v>78</v>
      </c>
      <c r="H28" s="2">
        <v>46</v>
      </c>
      <c r="I28" s="14">
        <v>0.01</v>
      </c>
      <c r="J28" s="13">
        <f>VLOOKUP(表1[[#This Row],[产品类别]],表4[],2,0)</f>
        <v>5</v>
      </c>
      <c r="K28" s="13">
        <f>表1[[#This Row],[数量]]*表1[[#This Row],[标准售价]]*(1-表1[[#This Row],[折扣率]])</f>
        <v>227.7</v>
      </c>
      <c r="L28" s="13">
        <f>VLOOKUP(表1[[#This Row],[产品类别]],表4[],3,0)</f>
        <v>3</v>
      </c>
      <c r="M28" s="13">
        <f>表1[[#This Row],[数量]]*表1[[#This Row],[成本单价]]</f>
        <v>138</v>
      </c>
      <c r="N28" s="13">
        <f>表1[[#This Row],[成交金额]]-表1[[#This Row],[成本总额]]</f>
        <v>89.699999999999989</v>
      </c>
    </row>
    <row r="29" spans="1:14">
      <c r="A29" s="2" t="s">
        <v>92</v>
      </c>
      <c r="B29" s="2" t="s">
        <v>43</v>
      </c>
      <c r="C29" s="13" t="str">
        <f>VLOOKUP(表1[[#This Row],[客户编码]],表2[],2,0)</f>
        <v>北京ABC</v>
      </c>
      <c r="D29" s="13" t="str">
        <f>表1[[#This Row],[订单编号]]&amp;表1[[#This Row],[编号]]</f>
        <v>DD-0081</v>
      </c>
      <c r="E29" s="13">
        <f>COUNTIFS($A$1:A29,表1[[#This Row],[订单编号]])</f>
        <v>1</v>
      </c>
      <c r="F29" s="2" t="s">
        <v>101</v>
      </c>
      <c r="G29" s="2" t="s">
        <v>78</v>
      </c>
      <c r="H29" s="2">
        <v>29</v>
      </c>
      <c r="I29" s="14">
        <v>0.17</v>
      </c>
      <c r="J29" s="13">
        <f>VLOOKUP(表1[[#This Row],[产品类别]],表4[],2,0)</f>
        <v>5</v>
      </c>
      <c r="K29" s="13">
        <f>表1[[#This Row],[数量]]*表1[[#This Row],[标准售价]]*(1-表1[[#This Row],[折扣率]])</f>
        <v>120.35</v>
      </c>
      <c r="L29" s="13">
        <f>VLOOKUP(表1[[#This Row],[产品类别]],表4[],3,0)</f>
        <v>3</v>
      </c>
      <c r="M29" s="13">
        <f>表1[[#This Row],[数量]]*表1[[#This Row],[成本单价]]</f>
        <v>87</v>
      </c>
      <c r="N29" s="13">
        <f>表1[[#This Row],[成交金额]]-表1[[#This Row],[成本总额]]</f>
        <v>33.349999999999994</v>
      </c>
    </row>
    <row r="30" spans="1:14">
      <c r="A30" s="2" t="s">
        <v>92</v>
      </c>
      <c r="B30" s="2" t="s">
        <v>43</v>
      </c>
      <c r="C30" s="13" t="str">
        <f>VLOOKUP(表1[[#This Row],[客户编码]],表2[],2,0)</f>
        <v>北京ABC</v>
      </c>
      <c r="D30" s="13" t="str">
        <f>表1[[#This Row],[订单编号]]&amp;表1[[#This Row],[编号]]</f>
        <v>DD-0082</v>
      </c>
      <c r="E30" s="13">
        <f>COUNTIFS($A$1:A30,表1[[#This Row],[订单编号]])</f>
        <v>2</v>
      </c>
      <c r="F30" s="2" t="s">
        <v>102</v>
      </c>
      <c r="G30" s="2" t="s">
        <v>78</v>
      </c>
      <c r="H30" s="2">
        <v>74</v>
      </c>
      <c r="I30" s="14">
        <v>0.24</v>
      </c>
      <c r="J30" s="13">
        <f>VLOOKUP(表1[[#This Row],[产品类别]],表4[],2,0)</f>
        <v>12</v>
      </c>
      <c r="K30" s="13">
        <f>表1[[#This Row],[数量]]*表1[[#This Row],[标准售价]]*(1-表1[[#This Row],[折扣率]])</f>
        <v>674.88</v>
      </c>
      <c r="L30" s="13">
        <f>VLOOKUP(表1[[#This Row],[产品类别]],表4[],3,0)</f>
        <v>8</v>
      </c>
      <c r="M30" s="13">
        <f>表1[[#This Row],[数量]]*表1[[#This Row],[成本单价]]</f>
        <v>592</v>
      </c>
      <c r="N30" s="13">
        <f>表1[[#This Row],[成交金额]]-表1[[#This Row],[成本总额]]</f>
        <v>82.88</v>
      </c>
    </row>
    <row r="31" spans="1:14">
      <c r="A31" s="2" t="s">
        <v>92</v>
      </c>
      <c r="B31" s="2" t="s">
        <v>43</v>
      </c>
      <c r="C31" s="13" t="str">
        <f>VLOOKUP(表1[[#This Row],[客户编码]],表2[],2,0)</f>
        <v>北京ABC</v>
      </c>
      <c r="D31" s="13" t="str">
        <f>表1[[#This Row],[订单编号]]&amp;表1[[#This Row],[编号]]</f>
        <v>DD-0083</v>
      </c>
      <c r="E31" s="13">
        <f>COUNTIFS($A$1:A31,表1[[#This Row],[订单编号]])</f>
        <v>3</v>
      </c>
      <c r="F31" s="2" t="s">
        <v>101</v>
      </c>
      <c r="G31" s="2" t="s">
        <v>78</v>
      </c>
      <c r="H31" s="2">
        <v>22</v>
      </c>
      <c r="I31" s="14">
        <v>0.15</v>
      </c>
      <c r="J31" s="13">
        <f>VLOOKUP(表1[[#This Row],[产品类别]],表4[],2,0)</f>
        <v>5</v>
      </c>
      <c r="K31" s="13">
        <f>表1[[#This Row],[数量]]*表1[[#This Row],[标准售价]]*(1-表1[[#This Row],[折扣率]])</f>
        <v>93.5</v>
      </c>
      <c r="L31" s="13">
        <f>VLOOKUP(表1[[#This Row],[产品类别]],表4[],3,0)</f>
        <v>3</v>
      </c>
      <c r="M31" s="13">
        <f>表1[[#This Row],[数量]]*表1[[#This Row],[成本单价]]</f>
        <v>66</v>
      </c>
      <c r="N31" s="13">
        <f>表1[[#This Row],[成交金额]]-表1[[#This Row],[成本总额]]</f>
        <v>27.5</v>
      </c>
    </row>
    <row r="32" spans="1:14">
      <c r="A32" s="2" t="s">
        <v>92</v>
      </c>
      <c r="B32" s="2" t="s">
        <v>43</v>
      </c>
      <c r="C32" s="13" t="str">
        <f>VLOOKUP(表1[[#This Row],[客户编码]],表2[],2,0)</f>
        <v>北京ABC</v>
      </c>
      <c r="D32" s="13" t="str">
        <f>表1[[#This Row],[订单编号]]&amp;表1[[#This Row],[编号]]</f>
        <v>DD-0084</v>
      </c>
      <c r="E32" s="13">
        <f>COUNTIFS($A$1:A32,表1[[#This Row],[订单编号]])</f>
        <v>4</v>
      </c>
      <c r="F32" s="2" t="s">
        <v>99</v>
      </c>
      <c r="G32" s="2" t="s">
        <v>78</v>
      </c>
      <c r="H32" s="2">
        <v>92</v>
      </c>
      <c r="I32" s="14">
        <v>7.0000000000000007E-2</v>
      </c>
      <c r="J32" s="13">
        <f>VLOOKUP(表1[[#This Row],[产品类别]],表4[],2,0)</f>
        <v>18</v>
      </c>
      <c r="K32" s="13">
        <f>表1[[#This Row],[数量]]*表1[[#This Row],[标准售价]]*(1-表1[[#This Row],[折扣率]])</f>
        <v>1540.08</v>
      </c>
      <c r="L32" s="13">
        <f>VLOOKUP(表1[[#This Row],[产品类别]],表4[],3,0)</f>
        <v>13</v>
      </c>
      <c r="M32" s="13">
        <f>表1[[#This Row],[数量]]*表1[[#This Row],[成本单价]]</f>
        <v>1196</v>
      </c>
      <c r="N32" s="13">
        <f>表1[[#This Row],[成交金额]]-表1[[#This Row],[成本总额]]</f>
        <v>344.07999999999993</v>
      </c>
    </row>
    <row r="33" spans="1:14">
      <c r="A33" s="2" t="s">
        <v>92</v>
      </c>
      <c r="B33" s="2" t="s">
        <v>43</v>
      </c>
      <c r="C33" s="13" t="str">
        <f>VLOOKUP(表1[[#This Row],[客户编码]],表2[],2,0)</f>
        <v>北京ABC</v>
      </c>
      <c r="D33" s="13" t="str">
        <f>表1[[#This Row],[订单编号]]&amp;表1[[#This Row],[编号]]</f>
        <v>DD-0085</v>
      </c>
      <c r="E33" s="13">
        <f>COUNTIFS($A$1:A33,表1[[#This Row],[订单编号]])</f>
        <v>5</v>
      </c>
      <c r="F33" s="2" t="s">
        <v>102</v>
      </c>
      <c r="G33" s="2" t="s">
        <v>78</v>
      </c>
      <c r="H33" s="2">
        <v>87</v>
      </c>
      <c r="I33" s="14">
        <v>0.22</v>
      </c>
      <c r="J33" s="13">
        <f>VLOOKUP(表1[[#This Row],[产品类别]],表4[],2,0)</f>
        <v>12</v>
      </c>
      <c r="K33" s="13">
        <f>表1[[#This Row],[数量]]*表1[[#This Row],[标准售价]]*(1-表1[[#This Row],[折扣率]])</f>
        <v>814.32</v>
      </c>
      <c r="L33" s="13">
        <f>VLOOKUP(表1[[#This Row],[产品类别]],表4[],3,0)</f>
        <v>8</v>
      </c>
      <c r="M33" s="13">
        <f>表1[[#This Row],[数量]]*表1[[#This Row],[成本单价]]</f>
        <v>696</v>
      </c>
      <c r="N33" s="13">
        <f>表1[[#This Row],[成交金额]]-表1[[#This Row],[成本总额]]</f>
        <v>118.32000000000005</v>
      </c>
    </row>
    <row r="34" spans="1:14">
      <c r="A34" s="2" t="s">
        <v>93</v>
      </c>
      <c r="B34" s="2" t="s">
        <v>47</v>
      </c>
      <c r="C34" s="13" t="str">
        <f>VLOOKUP(表1[[#This Row],[客户编码]],表2[],2,0)</f>
        <v>大连海生</v>
      </c>
      <c r="D34" s="13" t="str">
        <f>表1[[#This Row],[订单编号]]&amp;表1[[#This Row],[编号]]</f>
        <v>DD-0091</v>
      </c>
      <c r="E34" s="13">
        <f>COUNTIFS($A$1:A34,表1[[#This Row],[订单编号]])</f>
        <v>1</v>
      </c>
      <c r="F34" s="2" t="s">
        <v>99</v>
      </c>
      <c r="G34" s="2" t="s">
        <v>78</v>
      </c>
      <c r="H34" s="2">
        <v>49</v>
      </c>
      <c r="I34" s="14">
        <v>0.02</v>
      </c>
      <c r="J34" s="13">
        <f>VLOOKUP(表1[[#This Row],[产品类别]],表4[],2,0)</f>
        <v>18</v>
      </c>
      <c r="K34" s="13">
        <f>表1[[#This Row],[数量]]*表1[[#This Row],[标准售价]]*(1-表1[[#This Row],[折扣率]])</f>
        <v>864.36</v>
      </c>
      <c r="L34" s="13">
        <f>VLOOKUP(表1[[#This Row],[产品类别]],表4[],3,0)</f>
        <v>13</v>
      </c>
      <c r="M34" s="13">
        <f>表1[[#This Row],[数量]]*表1[[#This Row],[成本单价]]</f>
        <v>637</v>
      </c>
      <c r="N34" s="13">
        <f>表1[[#This Row],[成交金额]]-表1[[#This Row],[成本总额]]</f>
        <v>227.36</v>
      </c>
    </row>
    <row r="35" spans="1:14">
      <c r="A35" s="2" t="s">
        <v>93</v>
      </c>
      <c r="B35" s="2" t="s">
        <v>47</v>
      </c>
      <c r="C35" s="13" t="str">
        <f>VLOOKUP(表1[[#This Row],[客户编码]],表2[],2,0)</f>
        <v>大连海生</v>
      </c>
      <c r="D35" s="13" t="str">
        <f>表1[[#This Row],[订单编号]]&amp;表1[[#This Row],[编号]]</f>
        <v>DD-0092</v>
      </c>
      <c r="E35" s="13">
        <f>COUNTIFS($A$1:A35,表1[[#This Row],[订单编号]])</f>
        <v>2</v>
      </c>
      <c r="F35" s="2" t="s">
        <v>99</v>
      </c>
      <c r="G35" s="2" t="s">
        <v>78</v>
      </c>
      <c r="H35" s="2">
        <v>91</v>
      </c>
      <c r="I35" s="14">
        <v>7.0000000000000007E-2</v>
      </c>
      <c r="J35" s="13">
        <f>VLOOKUP(表1[[#This Row],[产品类别]],表4[],2,0)</f>
        <v>18</v>
      </c>
      <c r="K35" s="13">
        <f>表1[[#This Row],[数量]]*表1[[#This Row],[标准售价]]*(1-表1[[#This Row],[折扣率]])</f>
        <v>1523.34</v>
      </c>
      <c r="L35" s="13">
        <f>VLOOKUP(表1[[#This Row],[产品类别]],表4[],3,0)</f>
        <v>13</v>
      </c>
      <c r="M35" s="13">
        <f>表1[[#This Row],[数量]]*表1[[#This Row],[成本单价]]</f>
        <v>1183</v>
      </c>
      <c r="N35" s="13">
        <f>表1[[#This Row],[成交金额]]-表1[[#This Row],[成本总额]]</f>
        <v>340.33999999999992</v>
      </c>
    </row>
    <row r="36" spans="1:14">
      <c r="A36" s="2" t="s">
        <v>94</v>
      </c>
      <c r="B36" s="2" t="s">
        <v>47</v>
      </c>
      <c r="C36" s="13" t="str">
        <f>VLOOKUP(表1[[#This Row],[客户编码]],表2[],2,0)</f>
        <v>大连海生</v>
      </c>
      <c r="D36" s="13" t="str">
        <f>表1[[#This Row],[订单编号]]&amp;表1[[#This Row],[编号]]</f>
        <v>DD-0101</v>
      </c>
      <c r="E36" s="13">
        <f>COUNTIFS($A$1:A36,表1[[#This Row],[订单编号]])</f>
        <v>1</v>
      </c>
      <c r="F36" s="2" t="s">
        <v>102</v>
      </c>
      <c r="G36" s="2" t="s">
        <v>76</v>
      </c>
      <c r="H36" s="2">
        <v>24</v>
      </c>
      <c r="I36" s="14">
        <v>0.04</v>
      </c>
      <c r="J36" s="13">
        <f>VLOOKUP(表1[[#This Row],[产品类别]],表4[],2,0)</f>
        <v>12</v>
      </c>
      <c r="K36" s="13">
        <f>表1[[#This Row],[数量]]*表1[[#This Row],[标准售价]]*(1-表1[[#This Row],[折扣率]])</f>
        <v>276.48</v>
      </c>
      <c r="L36" s="13">
        <f>VLOOKUP(表1[[#This Row],[产品类别]],表4[],3,0)</f>
        <v>8</v>
      </c>
      <c r="M36" s="13">
        <f>表1[[#This Row],[数量]]*表1[[#This Row],[成本单价]]</f>
        <v>192</v>
      </c>
      <c r="N36" s="13">
        <f>表1[[#This Row],[成交金额]]-表1[[#This Row],[成本总额]]</f>
        <v>84.480000000000018</v>
      </c>
    </row>
    <row r="37" spans="1:14">
      <c r="A37" s="2" t="s">
        <v>94</v>
      </c>
      <c r="B37" s="2" t="s">
        <v>47</v>
      </c>
      <c r="C37" s="13" t="str">
        <f>VLOOKUP(表1[[#This Row],[客户编码]],表2[],2,0)</f>
        <v>大连海生</v>
      </c>
      <c r="D37" s="13" t="str">
        <f>表1[[#This Row],[订单编号]]&amp;表1[[#This Row],[编号]]</f>
        <v>DD-0102</v>
      </c>
      <c r="E37" s="13">
        <f>COUNTIFS($A$1:A37,表1[[#This Row],[订单编号]])</f>
        <v>2</v>
      </c>
      <c r="F37" s="2" t="s">
        <v>98</v>
      </c>
      <c r="G37" s="2" t="s">
        <v>76</v>
      </c>
      <c r="H37" s="2">
        <v>59</v>
      </c>
      <c r="I37" s="14">
        <v>0.03</v>
      </c>
      <c r="J37" s="13">
        <f>VLOOKUP(表1[[#This Row],[产品类别]],表4[],2,0)</f>
        <v>20</v>
      </c>
      <c r="K37" s="13">
        <f>表1[[#This Row],[数量]]*表1[[#This Row],[标准售价]]*(1-表1[[#This Row],[折扣率]])</f>
        <v>1144.5999999999999</v>
      </c>
      <c r="L37" s="13">
        <f>VLOOKUP(表1[[#This Row],[产品类别]],表4[],3,0)</f>
        <v>15</v>
      </c>
      <c r="M37" s="13">
        <f>表1[[#This Row],[数量]]*表1[[#This Row],[成本单价]]</f>
        <v>885</v>
      </c>
      <c r="N37" s="13">
        <f>表1[[#This Row],[成交金额]]-表1[[#This Row],[成本总额]]</f>
        <v>259.59999999999991</v>
      </c>
    </row>
    <row r="38" spans="1:14">
      <c r="A38" s="2" t="s">
        <v>94</v>
      </c>
      <c r="B38" s="2" t="s">
        <v>47</v>
      </c>
      <c r="C38" s="13" t="str">
        <f>VLOOKUP(表1[[#This Row],[客户编码]],表2[],2,0)</f>
        <v>大连海生</v>
      </c>
      <c r="D38" s="13" t="str">
        <f>表1[[#This Row],[订单编号]]&amp;表1[[#This Row],[编号]]</f>
        <v>DD-0103</v>
      </c>
      <c r="E38" s="13">
        <f>COUNTIFS($A$1:A38,表1[[#This Row],[订单编号]])</f>
        <v>3</v>
      </c>
      <c r="F38" s="2" t="s">
        <v>101</v>
      </c>
      <c r="G38" s="2" t="s">
        <v>76</v>
      </c>
      <c r="H38" s="2">
        <v>61</v>
      </c>
      <c r="I38" s="14">
        <v>0.03</v>
      </c>
      <c r="J38" s="13">
        <f>VLOOKUP(表1[[#This Row],[产品类别]],表4[],2,0)</f>
        <v>5</v>
      </c>
      <c r="K38" s="13">
        <f>表1[[#This Row],[数量]]*表1[[#This Row],[标准售价]]*(1-表1[[#This Row],[折扣率]])</f>
        <v>295.84999999999997</v>
      </c>
      <c r="L38" s="13">
        <f>VLOOKUP(表1[[#This Row],[产品类别]],表4[],3,0)</f>
        <v>3</v>
      </c>
      <c r="M38" s="13">
        <f>表1[[#This Row],[数量]]*表1[[#This Row],[成本单价]]</f>
        <v>183</v>
      </c>
      <c r="N38" s="13">
        <f>表1[[#This Row],[成交金额]]-表1[[#This Row],[成本总额]]</f>
        <v>112.84999999999997</v>
      </c>
    </row>
    <row r="39" spans="1:14">
      <c r="A39" s="2" t="s">
        <v>94</v>
      </c>
      <c r="B39" s="2" t="s">
        <v>47</v>
      </c>
      <c r="C39" s="13" t="str">
        <f>VLOOKUP(表1[[#This Row],[客户编码]],表2[],2,0)</f>
        <v>大连海生</v>
      </c>
      <c r="D39" s="13" t="str">
        <f>表1[[#This Row],[订单编号]]&amp;表1[[#This Row],[编号]]</f>
        <v>DD-0104</v>
      </c>
      <c r="E39" s="13">
        <f>COUNTIFS($A$1:A39,表1[[#This Row],[订单编号]])</f>
        <v>4</v>
      </c>
      <c r="F39" s="2" t="s">
        <v>102</v>
      </c>
      <c r="G39" s="2" t="s">
        <v>76</v>
      </c>
      <c r="H39" s="2">
        <v>21</v>
      </c>
      <c r="I39" s="14">
        <v>0.24</v>
      </c>
      <c r="J39" s="13">
        <f>VLOOKUP(表1[[#This Row],[产品类别]],表4[],2,0)</f>
        <v>12</v>
      </c>
      <c r="K39" s="13">
        <f>表1[[#This Row],[数量]]*表1[[#This Row],[标准售价]]*(1-表1[[#This Row],[折扣率]])</f>
        <v>191.52</v>
      </c>
      <c r="L39" s="13">
        <f>VLOOKUP(表1[[#This Row],[产品类别]],表4[],3,0)</f>
        <v>8</v>
      </c>
      <c r="M39" s="13">
        <f>表1[[#This Row],[数量]]*表1[[#This Row],[成本单价]]</f>
        <v>168</v>
      </c>
      <c r="N39" s="13">
        <f>表1[[#This Row],[成交金额]]-表1[[#This Row],[成本总额]]</f>
        <v>23.52000000000001</v>
      </c>
    </row>
    <row r="40" spans="1:14">
      <c r="A40" s="2" t="s">
        <v>95</v>
      </c>
      <c r="B40" s="2" t="s">
        <v>41</v>
      </c>
      <c r="C40" s="13" t="str">
        <f>VLOOKUP(表1[[#This Row],[客户编码]],表2[],2,0)</f>
        <v>上海富安</v>
      </c>
      <c r="D40" s="13" t="str">
        <f>表1[[#This Row],[订单编号]]&amp;表1[[#This Row],[编号]]</f>
        <v>DD-0111</v>
      </c>
      <c r="E40" s="13">
        <f>COUNTIFS($A$1:A40,表1[[#This Row],[订单编号]])</f>
        <v>1</v>
      </c>
      <c r="F40" s="2" t="s">
        <v>100</v>
      </c>
      <c r="G40" s="2" t="s">
        <v>71</v>
      </c>
      <c r="H40" s="2">
        <v>66</v>
      </c>
      <c r="I40" s="14">
        <v>0.06</v>
      </c>
      <c r="J40" s="13">
        <f>VLOOKUP(表1[[#This Row],[产品类别]],表4[],2,0)</f>
        <v>8</v>
      </c>
      <c r="K40" s="13">
        <f>表1[[#This Row],[数量]]*表1[[#This Row],[标准售价]]*(1-表1[[#This Row],[折扣率]])</f>
        <v>496.32</v>
      </c>
      <c r="L40" s="13">
        <f>VLOOKUP(表1[[#This Row],[产品类别]],表4[],3,0)</f>
        <v>5</v>
      </c>
      <c r="M40" s="13">
        <f>表1[[#This Row],[数量]]*表1[[#This Row],[成本单价]]</f>
        <v>330</v>
      </c>
      <c r="N40" s="13">
        <f>表1[[#This Row],[成交金额]]-表1[[#This Row],[成本总额]]</f>
        <v>166.32</v>
      </c>
    </row>
    <row r="41" spans="1:14">
      <c r="A41" s="2" t="s">
        <v>96</v>
      </c>
      <c r="B41" s="2" t="s">
        <v>43</v>
      </c>
      <c r="C41" s="13" t="str">
        <f>VLOOKUP(表1[[#This Row],[客户编码]],表2[],2,0)</f>
        <v>北京ABC</v>
      </c>
      <c r="D41" s="13" t="str">
        <f>表1[[#This Row],[订单编号]]&amp;表1[[#This Row],[编号]]</f>
        <v>DD-0121</v>
      </c>
      <c r="E41" s="13">
        <f>COUNTIFS($A$1:A41,表1[[#This Row],[订单编号]])</f>
        <v>1</v>
      </c>
      <c r="F41" s="2" t="s">
        <v>101</v>
      </c>
      <c r="G41" s="2" t="s">
        <v>76</v>
      </c>
      <c r="H41" s="2">
        <v>19</v>
      </c>
      <c r="I41" s="14">
        <v>0.21</v>
      </c>
      <c r="J41" s="13">
        <f>VLOOKUP(表1[[#This Row],[产品类别]],表4[],2,0)</f>
        <v>5</v>
      </c>
      <c r="K41" s="13">
        <f>表1[[#This Row],[数量]]*表1[[#This Row],[标准售价]]*(1-表1[[#This Row],[折扣率]])</f>
        <v>75.05</v>
      </c>
      <c r="L41" s="13">
        <f>VLOOKUP(表1[[#This Row],[产品类别]],表4[],3,0)</f>
        <v>3</v>
      </c>
      <c r="M41" s="13">
        <f>表1[[#This Row],[数量]]*表1[[#This Row],[成本单价]]</f>
        <v>57</v>
      </c>
      <c r="N41" s="13">
        <f>表1[[#This Row],[成交金额]]-表1[[#This Row],[成本总额]]</f>
        <v>18.049999999999997</v>
      </c>
    </row>
    <row r="42" spans="1:14">
      <c r="A42" s="2" t="s">
        <v>96</v>
      </c>
      <c r="B42" s="2" t="s">
        <v>43</v>
      </c>
      <c r="C42" s="13" t="str">
        <f>VLOOKUP(表1[[#This Row],[客户编码]],表2[],2,0)</f>
        <v>北京ABC</v>
      </c>
      <c r="D42" s="13" t="str">
        <f>表1[[#This Row],[订单编号]]&amp;表1[[#This Row],[编号]]</f>
        <v>DD-0122</v>
      </c>
      <c r="E42" s="13">
        <f>COUNTIFS($A$1:A42,表1[[#This Row],[订单编号]])</f>
        <v>2</v>
      </c>
      <c r="F42" s="2" t="s">
        <v>99</v>
      </c>
      <c r="G42" s="2" t="s">
        <v>76</v>
      </c>
      <c r="H42" s="2">
        <v>1</v>
      </c>
      <c r="I42" s="14">
        <v>0.2</v>
      </c>
      <c r="J42" s="13">
        <f>VLOOKUP(表1[[#This Row],[产品类别]],表4[],2,0)</f>
        <v>18</v>
      </c>
      <c r="K42" s="13">
        <f>表1[[#This Row],[数量]]*表1[[#This Row],[标准售价]]*(1-表1[[#This Row],[折扣率]])</f>
        <v>14.4</v>
      </c>
      <c r="L42" s="13">
        <f>VLOOKUP(表1[[#This Row],[产品类别]],表4[],3,0)</f>
        <v>13</v>
      </c>
      <c r="M42" s="13">
        <f>表1[[#This Row],[数量]]*表1[[#This Row],[成本单价]]</f>
        <v>13</v>
      </c>
      <c r="N42" s="13">
        <f>表1[[#This Row],[成交金额]]-表1[[#This Row],[成本总额]]</f>
        <v>1.4000000000000004</v>
      </c>
    </row>
    <row r="43" spans="1:14">
      <c r="A43" s="2" t="s">
        <v>96</v>
      </c>
      <c r="B43" s="2" t="s">
        <v>43</v>
      </c>
      <c r="C43" s="13" t="str">
        <f>VLOOKUP(表1[[#This Row],[客户编码]],表2[],2,0)</f>
        <v>北京ABC</v>
      </c>
      <c r="D43" s="13" t="str">
        <f>表1[[#This Row],[订单编号]]&amp;表1[[#This Row],[编号]]</f>
        <v>DD-0123</v>
      </c>
      <c r="E43" s="13">
        <f>COUNTIFS($A$1:A43,表1[[#This Row],[订单编号]])</f>
        <v>3</v>
      </c>
      <c r="F43" s="2" t="s">
        <v>101</v>
      </c>
      <c r="G43" s="2" t="s">
        <v>76</v>
      </c>
      <c r="H43" s="2">
        <v>87</v>
      </c>
      <c r="I43" s="14">
        <v>0.06</v>
      </c>
      <c r="J43" s="13">
        <f>VLOOKUP(表1[[#This Row],[产品类别]],表4[],2,0)</f>
        <v>5</v>
      </c>
      <c r="K43" s="13">
        <f>表1[[#This Row],[数量]]*表1[[#This Row],[标准售价]]*(1-表1[[#This Row],[折扣率]])</f>
        <v>408.9</v>
      </c>
      <c r="L43" s="13">
        <f>VLOOKUP(表1[[#This Row],[产品类别]],表4[],3,0)</f>
        <v>3</v>
      </c>
      <c r="M43" s="13">
        <f>表1[[#This Row],[数量]]*表1[[#This Row],[成本单价]]</f>
        <v>261</v>
      </c>
      <c r="N43" s="13">
        <f>表1[[#This Row],[成交金额]]-表1[[#This Row],[成本总额]]</f>
        <v>147.89999999999998</v>
      </c>
    </row>
    <row r="44" spans="1:14">
      <c r="A44" s="2" t="s">
        <v>97</v>
      </c>
      <c r="B44" s="2" t="s">
        <v>47</v>
      </c>
      <c r="C44" s="13" t="str">
        <f>VLOOKUP(表1[[#This Row],[客户编码]],表2[],2,0)</f>
        <v>大连海生</v>
      </c>
      <c r="D44" s="13" t="str">
        <f>表1[[#This Row],[订单编号]]&amp;表1[[#This Row],[编号]]</f>
        <v>DD-0131</v>
      </c>
      <c r="E44" s="13">
        <f>COUNTIFS($A$1:A44,表1[[#This Row],[订单编号]])</f>
        <v>1</v>
      </c>
      <c r="F44" s="2" t="s">
        <v>100</v>
      </c>
      <c r="G44" s="2" t="s">
        <v>73</v>
      </c>
      <c r="H44" s="2">
        <v>15</v>
      </c>
      <c r="I44" s="14">
        <v>0.05</v>
      </c>
      <c r="J44" s="13">
        <f>VLOOKUP(表1[[#This Row],[产品类别]],表4[],2,0)</f>
        <v>8</v>
      </c>
      <c r="K44" s="13">
        <f>表1[[#This Row],[数量]]*表1[[#This Row],[标准售价]]*(1-表1[[#This Row],[折扣率]])</f>
        <v>114</v>
      </c>
      <c r="L44" s="13">
        <f>VLOOKUP(表1[[#This Row],[产品类别]],表4[],3,0)</f>
        <v>5</v>
      </c>
      <c r="M44" s="13">
        <f>表1[[#This Row],[数量]]*表1[[#This Row],[成本单价]]</f>
        <v>75</v>
      </c>
      <c r="N44" s="13">
        <f>表1[[#This Row],[成交金额]]-表1[[#This Row],[成本总额]]</f>
        <v>39</v>
      </c>
    </row>
    <row r="45" spans="1:14">
      <c r="A45" s="2" t="s">
        <v>97</v>
      </c>
      <c r="B45" s="2" t="s">
        <v>47</v>
      </c>
      <c r="C45" s="13" t="str">
        <f>VLOOKUP(表1[[#This Row],[客户编码]],表2[],2,0)</f>
        <v>大连海生</v>
      </c>
      <c r="D45" s="13" t="str">
        <f>表1[[#This Row],[订单编号]]&amp;表1[[#This Row],[编号]]</f>
        <v>DD-0132</v>
      </c>
      <c r="E45" s="13">
        <f>COUNTIFS($A$1:A45,表1[[#This Row],[订单编号]])</f>
        <v>2</v>
      </c>
      <c r="F45" s="2" t="s">
        <v>100</v>
      </c>
      <c r="G45" s="2" t="s">
        <v>73</v>
      </c>
      <c r="H45" s="2">
        <v>20</v>
      </c>
      <c r="I45" s="14">
        <v>0.04</v>
      </c>
      <c r="J45" s="13">
        <f>VLOOKUP(表1[[#This Row],[产品类别]],表4[],2,0)</f>
        <v>8</v>
      </c>
      <c r="K45" s="13">
        <f>表1[[#This Row],[数量]]*表1[[#This Row],[标准售价]]*(1-表1[[#This Row],[折扣率]])</f>
        <v>153.6</v>
      </c>
      <c r="L45" s="13">
        <f>VLOOKUP(表1[[#This Row],[产品类别]],表4[],3,0)</f>
        <v>5</v>
      </c>
      <c r="M45" s="13">
        <f>表1[[#This Row],[数量]]*表1[[#This Row],[成本单价]]</f>
        <v>100</v>
      </c>
      <c r="N45" s="13">
        <f>表1[[#This Row],[成交金额]]-表1[[#This Row],[成本总额]]</f>
        <v>53.599999999999994</v>
      </c>
    </row>
  </sheetData>
  <phoneticPr fontId="2" type="noConversion"/>
  <dataValidations count="2">
    <dataValidation type="list" allowBlank="1" showInputMessage="1" showErrorMessage="1" sqref="B2:B45" xr:uid="{45FA0E80-D026-44F6-B784-FFB433F07C33}">
      <formula1>INDIRECT("表2[客户编码]")</formula1>
    </dataValidation>
    <dataValidation type="list" allowBlank="1" showInputMessage="1" showErrorMessage="1" sqref="F2:F45" xr:uid="{FF090E20-34BD-4D8D-8934-BED7167D0796}">
      <formula1>INDIRECT("表4[产品类别]")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CDA6-565C-4CF4-9CDD-CE65F2889A2E}">
  <dimension ref="A1:F8"/>
  <sheetViews>
    <sheetView showGridLines="0" workbookViewId="0">
      <selection activeCell="C2" sqref="C2"/>
    </sheetView>
  </sheetViews>
  <sheetFormatPr defaultRowHeight="13.9"/>
  <cols>
    <col min="1" max="2" width="9.265625" customWidth="1"/>
    <col min="3" max="3" width="25.73046875" bestFit="1" customWidth="1"/>
    <col min="4" max="4" width="44" bestFit="1" customWidth="1"/>
    <col min="6" max="6" width="20" customWidth="1"/>
  </cols>
  <sheetData>
    <row r="1" spans="1:6">
      <c r="A1" s="1" t="s">
        <v>11</v>
      </c>
      <c r="B1" s="1" t="s">
        <v>10</v>
      </c>
      <c r="C1" s="1" t="s">
        <v>26</v>
      </c>
      <c r="D1" s="1" t="s">
        <v>27</v>
      </c>
      <c r="E1" s="1" t="s">
        <v>28</v>
      </c>
      <c r="F1" s="1" t="s">
        <v>30</v>
      </c>
    </row>
    <row r="2" spans="1:6">
      <c r="A2" s="1" t="s">
        <v>42</v>
      </c>
      <c r="B2" s="1" t="s">
        <v>56</v>
      </c>
      <c r="C2" s="1" t="s">
        <v>49</v>
      </c>
      <c r="D2" s="1" t="s">
        <v>19</v>
      </c>
      <c r="E2" s="1" t="s">
        <v>8</v>
      </c>
      <c r="F2" s="1" t="s">
        <v>34</v>
      </c>
    </row>
    <row r="3" spans="1:6">
      <c r="A3" s="1" t="s">
        <v>43</v>
      </c>
      <c r="B3" s="1" t="s">
        <v>57</v>
      </c>
      <c r="C3" s="1" t="s">
        <v>50</v>
      </c>
      <c r="D3" s="1" t="s">
        <v>20</v>
      </c>
      <c r="E3" s="1" t="s">
        <v>39</v>
      </c>
      <c r="F3" s="1" t="s">
        <v>35</v>
      </c>
    </row>
    <row r="4" spans="1:6">
      <c r="A4" s="1" t="s">
        <v>44</v>
      </c>
      <c r="B4" s="1" t="s">
        <v>58</v>
      </c>
      <c r="C4" s="1" t="s">
        <v>51</v>
      </c>
      <c r="D4" s="1" t="s">
        <v>21</v>
      </c>
      <c r="E4" s="1" t="s">
        <v>40</v>
      </c>
      <c r="F4" s="1" t="s">
        <v>36</v>
      </c>
    </row>
    <row r="5" spans="1:6">
      <c r="A5" s="1" t="s">
        <v>45</v>
      </c>
      <c r="B5" s="1" t="s">
        <v>59</v>
      </c>
      <c r="C5" s="1" t="s">
        <v>52</v>
      </c>
      <c r="D5" s="1" t="s">
        <v>22</v>
      </c>
      <c r="E5" s="1" t="s">
        <v>31</v>
      </c>
      <c r="F5" s="1" t="s">
        <v>37</v>
      </c>
    </row>
    <row r="6" spans="1:6">
      <c r="A6" s="1" t="s">
        <v>46</v>
      </c>
      <c r="B6" s="1" t="s">
        <v>60</v>
      </c>
      <c r="C6" s="1" t="s">
        <v>53</v>
      </c>
      <c r="D6" s="1" t="s">
        <v>23</v>
      </c>
      <c r="E6" s="1" t="s">
        <v>38</v>
      </c>
      <c r="F6" s="3">
        <v>18870208866</v>
      </c>
    </row>
    <row r="7" spans="1:6">
      <c r="A7" s="1" t="s">
        <v>47</v>
      </c>
      <c r="B7" s="1" t="s">
        <v>61</v>
      </c>
      <c r="C7" s="1" t="s">
        <v>54</v>
      </c>
      <c r="D7" s="1" t="s">
        <v>24</v>
      </c>
      <c r="E7" s="1" t="s">
        <v>32</v>
      </c>
      <c r="F7" s="3">
        <v>16988780123</v>
      </c>
    </row>
    <row r="8" spans="1:6">
      <c r="A8" s="1" t="s">
        <v>48</v>
      </c>
      <c r="B8" s="1" t="s">
        <v>62</v>
      </c>
      <c r="C8" s="1" t="s">
        <v>55</v>
      </c>
      <c r="D8" s="1" t="s">
        <v>25</v>
      </c>
      <c r="E8" s="1" t="s">
        <v>33</v>
      </c>
      <c r="F8" s="3">
        <v>13490091234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B396-5E28-40BB-AD07-083EDD73444E}">
  <dimension ref="A1:F5"/>
  <sheetViews>
    <sheetView showGridLines="0" workbookViewId="0">
      <selection activeCell="E11" sqref="E11"/>
    </sheetView>
  </sheetViews>
  <sheetFormatPr defaultRowHeight="13.9"/>
  <cols>
    <col min="1" max="1" width="8" bestFit="1" customWidth="1"/>
    <col min="2" max="6" width="12.73046875" bestFit="1" customWidth="1"/>
  </cols>
  <sheetData>
    <row r="1" spans="1:6" ht="14.65">
      <c r="A1" s="4" t="s">
        <v>63</v>
      </c>
      <c r="B1" s="7" t="s">
        <v>66</v>
      </c>
      <c r="C1" s="10" t="s">
        <v>67</v>
      </c>
      <c r="D1" s="7" t="s">
        <v>68</v>
      </c>
      <c r="E1" s="10" t="s">
        <v>69</v>
      </c>
      <c r="F1" s="7" t="s">
        <v>70</v>
      </c>
    </row>
    <row r="2" spans="1:6" ht="14.65">
      <c r="A2" s="5" t="s">
        <v>64</v>
      </c>
      <c r="B2" s="8" t="s">
        <v>72</v>
      </c>
      <c r="C2" s="11" t="s">
        <v>74</v>
      </c>
      <c r="D2" s="8" t="s">
        <v>75</v>
      </c>
      <c r="E2" s="11" t="s">
        <v>77</v>
      </c>
      <c r="F2" s="8" t="s">
        <v>79</v>
      </c>
    </row>
    <row r="3" spans="1:6" ht="14.65">
      <c r="A3" s="5" t="s">
        <v>65</v>
      </c>
      <c r="B3" s="8" t="s">
        <v>80</v>
      </c>
      <c r="C3" s="11" t="s">
        <v>80</v>
      </c>
      <c r="D3" s="8" t="s">
        <v>81</v>
      </c>
      <c r="E3" s="11" t="s">
        <v>81</v>
      </c>
      <c r="F3" s="8" t="s">
        <v>81</v>
      </c>
    </row>
    <row r="4" spans="1:6" ht="14.65">
      <c r="A4" s="5" t="s">
        <v>29</v>
      </c>
      <c r="B4" s="8" t="s">
        <v>82</v>
      </c>
      <c r="C4" s="11" t="s">
        <v>83</v>
      </c>
      <c r="D4" s="8" t="s">
        <v>82</v>
      </c>
      <c r="E4" s="11" t="s">
        <v>83</v>
      </c>
      <c r="F4" s="8" t="s">
        <v>84</v>
      </c>
    </row>
    <row r="5" spans="1:6" ht="14.65">
      <c r="A5" s="6" t="s">
        <v>0</v>
      </c>
      <c r="B5" s="9" t="s">
        <v>3</v>
      </c>
      <c r="C5" s="12" t="s">
        <v>4</v>
      </c>
      <c r="D5" s="9" t="s">
        <v>5</v>
      </c>
      <c r="E5" s="12" t="s">
        <v>6</v>
      </c>
      <c r="F5" s="9" t="s">
        <v>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8663-E55B-41AC-BFE6-28AB108B008B}">
  <dimension ref="A1:C6"/>
  <sheetViews>
    <sheetView showGridLines="0" workbookViewId="0">
      <selection activeCell="F23" sqref="F23"/>
    </sheetView>
  </sheetViews>
  <sheetFormatPr defaultRowHeight="13.9"/>
  <cols>
    <col min="1" max="1" width="11" bestFit="1" customWidth="1"/>
    <col min="2" max="2" width="9.265625" customWidth="1"/>
  </cols>
  <sheetData>
    <row r="1" spans="1:3">
      <c r="A1" s="2" t="s">
        <v>13</v>
      </c>
      <c r="B1" s="2" t="s">
        <v>112</v>
      </c>
      <c r="C1" s="2" t="s">
        <v>103</v>
      </c>
    </row>
    <row r="2" spans="1:3">
      <c r="A2" s="2" t="s">
        <v>98</v>
      </c>
      <c r="B2" s="2">
        <v>20</v>
      </c>
      <c r="C2" s="2">
        <v>15</v>
      </c>
    </row>
    <row r="3" spans="1:3">
      <c r="A3" s="2" t="s">
        <v>99</v>
      </c>
      <c r="B3" s="2">
        <v>18</v>
      </c>
      <c r="C3" s="2">
        <v>13</v>
      </c>
    </row>
    <row r="4" spans="1:3">
      <c r="A4" s="2" t="s">
        <v>102</v>
      </c>
      <c r="B4" s="2">
        <v>12</v>
      </c>
      <c r="C4" s="2">
        <v>8</v>
      </c>
    </row>
    <row r="5" spans="1:3">
      <c r="A5" s="2" t="s">
        <v>100</v>
      </c>
      <c r="B5" s="2">
        <v>8</v>
      </c>
      <c r="C5" s="2">
        <v>5</v>
      </c>
    </row>
    <row r="6" spans="1:3">
      <c r="A6" s="2" t="s">
        <v>101</v>
      </c>
      <c r="B6" s="2">
        <v>5</v>
      </c>
      <c r="C6" s="2">
        <v>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1A4BE-8A0A-466D-BAF5-66BC498698BC}">
  <dimension ref="A1:A14"/>
  <sheetViews>
    <sheetView showGridLines="0" workbookViewId="0">
      <selection activeCell="A4" sqref="A4"/>
    </sheetView>
  </sheetViews>
  <sheetFormatPr defaultRowHeight="13.9"/>
  <sheetData>
    <row r="1" spans="1:1" ht="14.65">
      <c r="A1" s="29" t="s">
        <v>9</v>
      </c>
    </row>
    <row r="2" spans="1:1">
      <c r="A2" s="30" t="s">
        <v>85</v>
      </c>
    </row>
    <row r="3" spans="1:1">
      <c r="A3" s="30" t="s">
        <v>86</v>
      </c>
    </row>
    <row r="4" spans="1:1">
      <c r="A4" s="30" t="s">
        <v>87</v>
      </c>
    </row>
    <row r="5" spans="1:1">
      <c r="A5" s="30" t="s">
        <v>88</v>
      </c>
    </row>
    <row r="6" spans="1:1">
      <c r="A6" s="30" t="s">
        <v>89</v>
      </c>
    </row>
    <row r="7" spans="1:1">
      <c r="A7" s="30" t="s">
        <v>90</v>
      </c>
    </row>
    <row r="8" spans="1:1">
      <c r="A8" s="30" t="s">
        <v>91</v>
      </c>
    </row>
    <row r="9" spans="1:1">
      <c r="A9" s="30" t="s">
        <v>92</v>
      </c>
    </row>
    <row r="10" spans="1:1">
      <c r="A10" s="30" t="s">
        <v>93</v>
      </c>
    </row>
    <row r="11" spans="1:1">
      <c r="A11" s="30" t="s">
        <v>94</v>
      </c>
    </row>
    <row r="12" spans="1:1">
      <c r="A12" s="30" t="s">
        <v>95</v>
      </c>
    </row>
    <row r="13" spans="1:1">
      <c r="A13" s="30" t="s">
        <v>96</v>
      </c>
    </row>
    <row r="14" spans="1:1">
      <c r="A14" s="30" t="s">
        <v>97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销售订单模板</vt:lpstr>
      <vt:lpstr>销售清单</vt:lpstr>
      <vt:lpstr>客户档案</vt:lpstr>
      <vt:lpstr>销售员档案</vt:lpstr>
      <vt:lpstr>产品价格表</vt:lpstr>
      <vt:lpstr>订单编号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2020-01-31T02:12:16Z</dcterms:modified>
</cp:coreProperties>
</file>