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5"/>
  </bookViews>
  <sheets>
    <sheet name="工资一览表" sheetId="5" r:id="rId1"/>
    <sheet name="保险" sheetId="7" r:id="rId2"/>
    <sheet name="岗位及工资" sheetId="6" r:id="rId3"/>
  </sheets>
  <definedNames>
    <definedName name="_xlnm._FilterDatabase" localSheetId="0" hidden="1">工资一览表!$D$2:$D$575</definedName>
    <definedName name="工龄">DATEDIF(工资一览表!$G1,TODAY(),"Y")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7" l="1"/>
  <c r="H20" i="7" s="1"/>
  <c r="D25" i="7"/>
  <c r="D24" i="7"/>
  <c r="D23" i="7"/>
  <c r="D22" i="7"/>
  <c r="D21" i="7"/>
  <c r="D20" i="7"/>
  <c r="R2" i="5" l="1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P419" i="5" l="1"/>
  <c r="P451" i="5"/>
  <c r="P572" i="5" l="1"/>
  <c r="P568" i="5"/>
  <c r="P564" i="5"/>
  <c r="P560" i="5"/>
  <c r="P556" i="5"/>
  <c r="P552" i="5"/>
  <c r="P548" i="5"/>
  <c r="P544" i="5"/>
  <c r="P540" i="5"/>
  <c r="P536" i="5"/>
  <c r="P532" i="5"/>
  <c r="P528" i="5"/>
  <c r="P524" i="5"/>
  <c r="P520" i="5"/>
  <c r="P516" i="5"/>
  <c r="P512" i="5"/>
  <c r="P508" i="5"/>
  <c r="P504" i="5"/>
  <c r="P500" i="5"/>
  <c r="P496" i="5"/>
  <c r="P492" i="5"/>
  <c r="P488" i="5"/>
  <c r="P484" i="5"/>
  <c r="P480" i="5"/>
  <c r="P476" i="5"/>
  <c r="P472" i="5"/>
  <c r="P468" i="5"/>
  <c r="P464" i="5"/>
  <c r="P460" i="5"/>
  <c r="P456" i="5"/>
  <c r="P452" i="5"/>
  <c r="P448" i="5"/>
  <c r="P444" i="5"/>
  <c r="P440" i="5"/>
  <c r="P436" i="5"/>
  <c r="P432" i="5"/>
  <c r="P428" i="5"/>
  <c r="P424" i="5"/>
  <c r="P420" i="5"/>
  <c r="P416" i="5"/>
  <c r="P412" i="5"/>
  <c r="P408" i="5"/>
  <c r="P404" i="5"/>
  <c r="P400" i="5"/>
  <c r="P396" i="5"/>
  <c r="P392" i="5"/>
  <c r="P388" i="5"/>
  <c r="P384" i="5"/>
  <c r="P380" i="5"/>
  <c r="P376" i="5"/>
  <c r="P372" i="5"/>
  <c r="P368" i="5"/>
  <c r="P364" i="5"/>
  <c r="P360" i="5"/>
  <c r="P356" i="5"/>
  <c r="P352" i="5"/>
  <c r="P348" i="5"/>
  <c r="P344" i="5"/>
  <c r="P340" i="5"/>
  <c r="P336" i="5"/>
  <c r="P332" i="5"/>
  <c r="P328" i="5"/>
  <c r="P324" i="5"/>
  <c r="P320" i="5"/>
  <c r="P316" i="5"/>
  <c r="P312" i="5"/>
  <c r="P308" i="5"/>
  <c r="P304" i="5"/>
  <c r="P300" i="5"/>
  <c r="P296" i="5"/>
  <c r="P292" i="5"/>
  <c r="P288" i="5"/>
  <c r="P284" i="5"/>
  <c r="P280" i="5"/>
  <c r="P276" i="5"/>
  <c r="P272" i="5"/>
  <c r="P268" i="5"/>
  <c r="P264" i="5"/>
  <c r="P260" i="5"/>
  <c r="P256" i="5"/>
  <c r="P252" i="5"/>
  <c r="P248" i="5"/>
  <c r="P240" i="5"/>
  <c r="P232" i="5"/>
  <c r="P224" i="5"/>
  <c r="P216" i="5"/>
  <c r="P208" i="5"/>
  <c r="P200" i="5"/>
  <c r="P192" i="5"/>
  <c r="P188" i="5"/>
  <c r="P180" i="5"/>
  <c r="P172" i="5"/>
  <c r="P164" i="5"/>
  <c r="P156" i="5"/>
  <c r="P148" i="5"/>
  <c r="P140" i="5"/>
  <c r="P132" i="5"/>
  <c r="P124" i="5"/>
  <c r="P116" i="5"/>
  <c r="P108" i="5"/>
  <c r="P100" i="5"/>
  <c r="P92" i="5"/>
  <c r="P80" i="5"/>
  <c r="P72" i="5"/>
  <c r="P64" i="5"/>
  <c r="P56" i="5"/>
  <c r="P48" i="5"/>
  <c r="P44" i="5"/>
  <c r="P36" i="5"/>
  <c r="P28" i="5"/>
  <c r="P20" i="5"/>
  <c r="P12" i="5"/>
  <c r="P4" i="5"/>
  <c r="P571" i="5"/>
  <c r="P567" i="5"/>
  <c r="P559" i="5"/>
  <c r="P555" i="5"/>
  <c r="P547" i="5"/>
  <c r="P543" i="5"/>
  <c r="P539" i="5"/>
  <c r="P535" i="5"/>
  <c r="P531" i="5"/>
  <c r="P527" i="5"/>
  <c r="P523" i="5"/>
  <c r="P519" i="5"/>
  <c r="P511" i="5"/>
  <c r="P503" i="5"/>
  <c r="P479" i="5"/>
  <c r="P471" i="5"/>
  <c r="P467" i="5"/>
  <c r="P463" i="5"/>
  <c r="P459" i="5"/>
  <c r="P455" i="5"/>
  <c r="P447" i="5"/>
  <c r="P435" i="5"/>
  <c r="P411" i="5"/>
  <c r="P407" i="5"/>
  <c r="P399" i="5"/>
  <c r="P391" i="5"/>
  <c r="P383" i="5"/>
  <c r="P375" i="5"/>
  <c r="P367" i="5"/>
  <c r="P359" i="5"/>
  <c r="P351" i="5"/>
  <c r="P343" i="5"/>
  <c r="P335" i="5"/>
  <c r="P327" i="5"/>
  <c r="P315" i="5"/>
  <c r="P307" i="5"/>
  <c r="P279" i="5"/>
  <c r="P271" i="5"/>
  <c r="P267" i="5"/>
  <c r="P259" i="5"/>
  <c r="P251" i="5"/>
  <c r="P239" i="5"/>
  <c r="P235" i="5"/>
  <c r="P227" i="5"/>
  <c r="P219" i="5"/>
  <c r="P211" i="5"/>
  <c r="P199" i="5"/>
  <c r="P159" i="5"/>
  <c r="P151" i="5"/>
  <c r="P143" i="5"/>
  <c r="P135" i="5"/>
  <c r="P127" i="5"/>
  <c r="P119" i="5"/>
  <c r="P111" i="5"/>
  <c r="P103" i="5"/>
  <c r="P95" i="5"/>
  <c r="P87" i="5"/>
  <c r="P79" i="5"/>
  <c r="P71" i="5"/>
  <c r="P63" i="5"/>
  <c r="P51" i="5"/>
  <c r="P287" i="5"/>
  <c r="P574" i="5"/>
  <c r="P570" i="5"/>
  <c r="P562" i="5"/>
  <c r="P558" i="5"/>
  <c r="P550" i="5"/>
  <c r="P542" i="5"/>
  <c r="P538" i="5"/>
  <c r="P530" i="5"/>
  <c r="P526" i="5"/>
  <c r="P518" i="5"/>
  <c r="P510" i="5"/>
  <c r="P502" i="5"/>
  <c r="P573" i="5"/>
  <c r="P569" i="5"/>
  <c r="P565" i="5"/>
  <c r="P561" i="5"/>
  <c r="P557" i="5"/>
  <c r="P553" i="5"/>
  <c r="P549" i="5"/>
  <c r="P545" i="5"/>
  <c r="P541" i="5"/>
  <c r="P537" i="5"/>
  <c r="P533" i="5"/>
  <c r="P529" i="5"/>
  <c r="P525" i="5"/>
  <c r="P521" i="5"/>
  <c r="P517" i="5"/>
  <c r="P513" i="5"/>
  <c r="P509" i="5"/>
  <c r="P505" i="5"/>
  <c r="P501" i="5"/>
  <c r="P497" i="5"/>
  <c r="P493" i="5"/>
  <c r="P489" i="5"/>
  <c r="P485" i="5"/>
  <c r="P481" i="5"/>
  <c r="P477" i="5"/>
  <c r="P473" i="5"/>
  <c r="P469" i="5"/>
  <c r="P465" i="5"/>
  <c r="P461" i="5"/>
  <c r="P457" i="5"/>
  <c r="P453" i="5"/>
  <c r="P449" i="5"/>
  <c r="P445" i="5"/>
  <c r="P441" i="5"/>
  <c r="P437" i="5"/>
  <c r="P433" i="5"/>
  <c r="P429" i="5"/>
  <c r="P425" i="5"/>
  <c r="P421" i="5"/>
  <c r="P417" i="5"/>
  <c r="P413" i="5"/>
  <c r="P409" i="5"/>
  <c r="P405" i="5"/>
  <c r="P401" i="5"/>
  <c r="P397" i="5"/>
  <c r="P393" i="5"/>
  <c r="P389" i="5"/>
  <c r="P385" i="5"/>
  <c r="P381" i="5"/>
  <c r="P377" i="5"/>
  <c r="P373" i="5"/>
  <c r="P369" i="5"/>
  <c r="P365" i="5"/>
  <c r="P361" i="5"/>
  <c r="P357" i="5"/>
  <c r="P353" i="5"/>
  <c r="P349" i="5"/>
  <c r="P345" i="5"/>
  <c r="P341" i="5"/>
  <c r="P337" i="5"/>
  <c r="P333" i="5"/>
  <c r="P329" i="5"/>
  <c r="P325" i="5"/>
  <c r="P321" i="5"/>
  <c r="P317" i="5"/>
  <c r="P313" i="5"/>
  <c r="P309" i="5"/>
  <c r="P305" i="5"/>
  <c r="P301" i="5"/>
  <c r="P297" i="5"/>
  <c r="P293" i="5"/>
  <c r="P289" i="5"/>
  <c r="P285" i="5"/>
  <c r="P281" i="5"/>
  <c r="P277" i="5"/>
  <c r="P273" i="5"/>
  <c r="P269" i="5"/>
  <c r="P265" i="5"/>
  <c r="P261" i="5"/>
  <c r="P257" i="5"/>
  <c r="P253" i="5"/>
  <c r="P249" i="5"/>
  <c r="P245" i="5"/>
  <c r="P241" i="5"/>
  <c r="P237" i="5"/>
  <c r="P233" i="5"/>
  <c r="P229" i="5"/>
  <c r="P225" i="5"/>
  <c r="P221" i="5"/>
  <c r="P217" i="5"/>
  <c r="P213" i="5"/>
  <c r="P209" i="5"/>
  <c r="P205" i="5"/>
  <c r="P201" i="5"/>
  <c r="P197" i="5"/>
  <c r="P193" i="5"/>
  <c r="P189" i="5"/>
  <c r="P185" i="5"/>
  <c r="P181" i="5"/>
  <c r="P177" i="5"/>
  <c r="P173" i="5"/>
  <c r="P169" i="5"/>
  <c r="P165" i="5"/>
  <c r="P161" i="5"/>
  <c r="P157" i="5"/>
  <c r="P153" i="5"/>
  <c r="P149" i="5"/>
  <c r="P145" i="5"/>
  <c r="P141" i="5"/>
  <c r="P137" i="5"/>
  <c r="P133" i="5"/>
  <c r="P129" i="5"/>
  <c r="P125" i="5"/>
  <c r="P121" i="5"/>
  <c r="P117" i="5"/>
  <c r="P113" i="5"/>
  <c r="P109" i="5"/>
  <c r="P105" i="5"/>
  <c r="P101" i="5"/>
  <c r="P97" i="5"/>
  <c r="P93" i="5"/>
  <c r="P89" i="5"/>
  <c r="P85" i="5"/>
  <c r="P81" i="5"/>
  <c r="P77" i="5"/>
  <c r="P73" i="5"/>
  <c r="P69" i="5"/>
  <c r="P65" i="5"/>
  <c r="P61" i="5"/>
  <c r="P57" i="5"/>
  <c r="P53" i="5"/>
  <c r="P49" i="5"/>
  <c r="P45" i="5"/>
  <c r="P41" i="5"/>
  <c r="P37" i="5"/>
  <c r="P33" i="5"/>
  <c r="P29" i="5"/>
  <c r="P25" i="5"/>
  <c r="P21" i="5"/>
  <c r="P17" i="5"/>
  <c r="P13" i="5"/>
  <c r="P9" i="5"/>
  <c r="P5" i="5"/>
  <c r="P244" i="5"/>
  <c r="P236" i="5"/>
  <c r="P228" i="5"/>
  <c r="P220" i="5"/>
  <c r="P212" i="5"/>
  <c r="P204" i="5"/>
  <c r="P196" i="5"/>
  <c r="P184" i="5"/>
  <c r="P176" i="5"/>
  <c r="P168" i="5"/>
  <c r="P160" i="5"/>
  <c r="P152" i="5"/>
  <c r="P144" i="5"/>
  <c r="P136" i="5"/>
  <c r="P128" i="5"/>
  <c r="P120" i="5"/>
  <c r="P112" i="5"/>
  <c r="P104" i="5"/>
  <c r="P96" i="5"/>
  <c r="P88" i="5"/>
  <c r="P84" i="5"/>
  <c r="P76" i="5"/>
  <c r="P68" i="5"/>
  <c r="P60" i="5"/>
  <c r="P52" i="5"/>
  <c r="P40" i="5"/>
  <c r="P32" i="5"/>
  <c r="P24" i="5"/>
  <c r="P16" i="5"/>
  <c r="P8" i="5"/>
  <c r="P575" i="5"/>
  <c r="P563" i="5"/>
  <c r="P551" i="5"/>
  <c r="P507" i="5"/>
  <c r="P499" i="5"/>
  <c r="P495" i="5"/>
  <c r="P491" i="5"/>
  <c r="P487" i="5"/>
  <c r="P475" i="5"/>
  <c r="P443" i="5"/>
  <c r="P439" i="5"/>
  <c r="P431" i="5"/>
  <c r="P427" i="5"/>
  <c r="P423" i="5"/>
  <c r="P415" i="5"/>
  <c r="P403" i="5"/>
  <c r="P395" i="5"/>
  <c r="P387" i="5"/>
  <c r="P379" i="5"/>
  <c r="P371" i="5"/>
  <c r="P363" i="5"/>
  <c r="P355" i="5"/>
  <c r="P347" i="5"/>
  <c r="P339" i="5"/>
  <c r="P331" i="5"/>
  <c r="P323" i="5"/>
  <c r="P319" i="5"/>
  <c r="P311" i="5"/>
  <c r="P303" i="5"/>
  <c r="P299" i="5"/>
  <c r="P295" i="5"/>
  <c r="P291" i="5"/>
  <c r="P283" i="5"/>
  <c r="P275" i="5"/>
  <c r="P263" i="5"/>
  <c r="P255" i="5"/>
  <c r="P247" i="5"/>
  <c r="P243" i="5"/>
  <c r="P231" i="5"/>
  <c r="P223" i="5"/>
  <c r="P215" i="5"/>
  <c r="P207" i="5"/>
  <c r="P203" i="5"/>
  <c r="P195" i="5"/>
  <c r="P191" i="5"/>
  <c r="P187" i="5"/>
  <c r="P183" i="5"/>
  <c r="P179" i="5"/>
  <c r="P175" i="5"/>
  <c r="P171" i="5"/>
  <c r="P163" i="5"/>
  <c r="P155" i="5"/>
  <c r="P147" i="5"/>
  <c r="P139" i="5"/>
  <c r="P131" i="5"/>
  <c r="P123" i="5"/>
  <c r="P115" i="5"/>
  <c r="P107" i="5"/>
  <c r="P99" i="5"/>
  <c r="P91" i="5"/>
  <c r="P83" i="5"/>
  <c r="P75" i="5"/>
  <c r="P67" i="5"/>
  <c r="P59" i="5"/>
  <c r="P55" i="5"/>
  <c r="P47" i="5"/>
  <c r="P43" i="5"/>
  <c r="P39" i="5"/>
  <c r="P35" i="5"/>
  <c r="P31" i="5"/>
  <c r="P27" i="5"/>
  <c r="P23" i="5"/>
  <c r="P19" i="5"/>
  <c r="P15" i="5"/>
  <c r="P11" i="5"/>
  <c r="P7" i="5"/>
  <c r="P3" i="5"/>
  <c r="P515" i="5"/>
  <c r="P566" i="5"/>
  <c r="P554" i="5"/>
  <c r="P546" i="5"/>
  <c r="P534" i="5"/>
  <c r="P522" i="5"/>
  <c r="P514" i="5"/>
  <c r="P506" i="5"/>
  <c r="P498" i="5"/>
  <c r="P494" i="5"/>
  <c r="P490" i="5"/>
  <c r="P486" i="5"/>
  <c r="P482" i="5"/>
  <c r="P478" i="5"/>
  <c r="P474" i="5"/>
  <c r="P470" i="5"/>
  <c r="P466" i="5"/>
  <c r="P462" i="5"/>
  <c r="P458" i="5"/>
  <c r="P454" i="5"/>
  <c r="P450" i="5"/>
  <c r="P446" i="5"/>
  <c r="P442" i="5"/>
  <c r="P438" i="5"/>
  <c r="P434" i="5"/>
  <c r="P430" i="5"/>
  <c r="P426" i="5"/>
  <c r="P422" i="5"/>
  <c r="P418" i="5"/>
  <c r="P414" i="5"/>
  <c r="P410" i="5"/>
  <c r="P406" i="5"/>
  <c r="P402" i="5"/>
  <c r="P398" i="5"/>
  <c r="P394" i="5"/>
  <c r="P390" i="5"/>
  <c r="P386" i="5"/>
  <c r="P382" i="5"/>
  <c r="P378" i="5"/>
  <c r="P374" i="5"/>
  <c r="P370" i="5"/>
  <c r="P366" i="5"/>
  <c r="P362" i="5"/>
  <c r="P358" i="5"/>
  <c r="P354" i="5"/>
  <c r="P350" i="5"/>
  <c r="P346" i="5"/>
  <c r="P342" i="5"/>
  <c r="P338" i="5"/>
  <c r="P334" i="5"/>
  <c r="P330" i="5"/>
  <c r="P326" i="5"/>
  <c r="P322" i="5"/>
  <c r="P318" i="5"/>
  <c r="P314" i="5"/>
  <c r="P310" i="5"/>
  <c r="P306" i="5"/>
  <c r="P302" i="5"/>
  <c r="P298" i="5"/>
  <c r="P294" i="5"/>
  <c r="P290" i="5"/>
  <c r="P286" i="5"/>
  <c r="P282" i="5"/>
  <c r="P278" i="5"/>
  <c r="P274" i="5"/>
  <c r="P270" i="5"/>
  <c r="P266" i="5"/>
  <c r="P262" i="5"/>
  <c r="P258" i="5"/>
  <c r="P254" i="5"/>
  <c r="P250" i="5"/>
  <c r="P246" i="5"/>
  <c r="P242" i="5"/>
  <c r="P238" i="5"/>
  <c r="P234" i="5"/>
  <c r="P230" i="5"/>
  <c r="P226" i="5"/>
  <c r="P222" i="5"/>
  <c r="P218" i="5"/>
  <c r="P214" i="5"/>
  <c r="P210" i="5"/>
  <c r="P206" i="5"/>
  <c r="P202" i="5"/>
  <c r="P198" i="5"/>
  <c r="P194" i="5"/>
  <c r="P190" i="5"/>
  <c r="P186" i="5"/>
  <c r="P182" i="5"/>
  <c r="P178" i="5"/>
  <c r="P174" i="5"/>
  <c r="P170" i="5"/>
  <c r="P166" i="5"/>
  <c r="P162" i="5"/>
  <c r="P158" i="5"/>
  <c r="P154" i="5"/>
  <c r="P150" i="5"/>
  <c r="P146" i="5"/>
  <c r="P142" i="5"/>
  <c r="P138" i="5"/>
  <c r="P134" i="5"/>
  <c r="P130" i="5"/>
  <c r="P126" i="5"/>
  <c r="P122" i="5"/>
  <c r="P118" i="5"/>
  <c r="P114" i="5"/>
  <c r="P110" i="5"/>
  <c r="P106" i="5"/>
  <c r="P102" i="5"/>
  <c r="P98" i="5"/>
  <c r="P94" i="5"/>
  <c r="P90" i="5"/>
  <c r="P86" i="5"/>
  <c r="P82" i="5"/>
  <c r="P78" i="5"/>
  <c r="P74" i="5"/>
  <c r="P70" i="5"/>
  <c r="P66" i="5"/>
  <c r="P62" i="5"/>
  <c r="P58" i="5"/>
  <c r="P54" i="5"/>
  <c r="P50" i="5"/>
  <c r="P46" i="5"/>
  <c r="P42" i="5"/>
  <c r="P38" i="5"/>
  <c r="P34" i="5"/>
  <c r="P30" i="5"/>
  <c r="P26" i="5"/>
  <c r="P22" i="5"/>
  <c r="P18" i="5"/>
  <c r="P14" i="5"/>
  <c r="P10" i="5"/>
  <c r="P6" i="5"/>
  <c r="P2" i="5"/>
  <c r="P483" i="5"/>
  <c r="P167" i="5"/>
  <c r="I2" i="5"/>
  <c r="I3" i="5"/>
  <c r="I4" i="5"/>
  <c r="I5" i="5"/>
  <c r="I6" i="5"/>
  <c r="I7" i="5"/>
  <c r="I8" i="5"/>
  <c r="M8" i="5" s="1"/>
  <c r="O8" i="5" s="1"/>
  <c r="I9" i="5"/>
  <c r="I10" i="5"/>
  <c r="I11" i="5"/>
  <c r="I12" i="5"/>
  <c r="M12" i="5" s="1"/>
  <c r="O12" i="5" s="1"/>
  <c r="I13" i="5"/>
  <c r="M13" i="5" s="1"/>
  <c r="O13" i="5" s="1"/>
  <c r="I14" i="5"/>
  <c r="I15" i="5"/>
  <c r="I16" i="5"/>
  <c r="M16" i="5" s="1"/>
  <c r="O16" i="5" s="1"/>
  <c r="I17" i="5"/>
  <c r="I18" i="5"/>
  <c r="I19" i="5"/>
  <c r="I20" i="5"/>
  <c r="I21" i="5"/>
  <c r="I22" i="5"/>
  <c r="I23" i="5"/>
  <c r="I24" i="5"/>
  <c r="M24" i="5" s="1"/>
  <c r="O24" i="5" s="1"/>
  <c r="I25" i="5"/>
  <c r="I26" i="5"/>
  <c r="I27" i="5"/>
  <c r="I28" i="5"/>
  <c r="I29" i="5"/>
  <c r="M29" i="5" s="1"/>
  <c r="O29" i="5" s="1"/>
  <c r="I30" i="5"/>
  <c r="I31" i="5"/>
  <c r="I32" i="5"/>
  <c r="I33" i="5"/>
  <c r="I34" i="5"/>
  <c r="I35" i="5"/>
  <c r="I36" i="5"/>
  <c r="I37" i="5"/>
  <c r="M37" i="5" s="1"/>
  <c r="O37" i="5" s="1"/>
  <c r="I38" i="5"/>
  <c r="I39" i="5"/>
  <c r="I40" i="5"/>
  <c r="I41" i="5"/>
  <c r="I42" i="5"/>
  <c r="I43" i="5"/>
  <c r="I44" i="5"/>
  <c r="M44" i="5" s="1"/>
  <c r="O44" i="5" s="1"/>
  <c r="I45" i="5"/>
  <c r="I46" i="5"/>
  <c r="I47" i="5"/>
  <c r="I48" i="5"/>
  <c r="I49" i="5"/>
  <c r="I50" i="5"/>
  <c r="I51" i="5"/>
  <c r="I52" i="5"/>
  <c r="I53" i="5"/>
  <c r="M53" i="5" s="1"/>
  <c r="O53" i="5" s="1"/>
  <c r="I54" i="5"/>
  <c r="I55" i="5"/>
  <c r="I56" i="5"/>
  <c r="I57" i="5"/>
  <c r="I58" i="5"/>
  <c r="I59" i="5"/>
  <c r="I60" i="5"/>
  <c r="M60" i="5" s="1"/>
  <c r="O60" i="5" s="1"/>
  <c r="I61" i="5"/>
  <c r="M61" i="5" s="1"/>
  <c r="O61" i="5" s="1"/>
  <c r="I62" i="5"/>
  <c r="I63" i="5"/>
  <c r="I64" i="5"/>
  <c r="M64" i="5" s="1"/>
  <c r="O64" i="5" s="1"/>
  <c r="I65" i="5"/>
  <c r="I66" i="5"/>
  <c r="I67" i="5"/>
  <c r="I68" i="5"/>
  <c r="M68" i="5" s="1"/>
  <c r="O68" i="5" s="1"/>
  <c r="I69" i="5"/>
  <c r="M69" i="5" s="1"/>
  <c r="O69" i="5" s="1"/>
  <c r="I70" i="5"/>
  <c r="I71" i="5"/>
  <c r="I72" i="5"/>
  <c r="M72" i="5" s="1"/>
  <c r="O72" i="5" s="1"/>
  <c r="I73" i="5"/>
  <c r="I74" i="5"/>
  <c r="I75" i="5"/>
  <c r="I76" i="5"/>
  <c r="M76" i="5" s="1"/>
  <c r="O76" i="5" s="1"/>
  <c r="I77" i="5"/>
  <c r="I78" i="5"/>
  <c r="I79" i="5"/>
  <c r="I80" i="5"/>
  <c r="I81" i="5"/>
  <c r="I82" i="5"/>
  <c r="I83" i="5"/>
  <c r="I84" i="5"/>
  <c r="M84" i="5" s="1"/>
  <c r="O84" i="5" s="1"/>
  <c r="I85" i="5"/>
  <c r="I86" i="5"/>
  <c r="I87" i="5"/>
  <c r="I88" i="5"/>
  <c r="I89" i="5"/>
  <c r="I90" i="5"/>
  <c r="I91" i="5"/>
  <c r="I92" i="5"/>
  <c r="I93" i="5"/>
  <c r="M93" i="5" s="1"/>
  <c r="O93" i="5" s="1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M108" i="5" s="1"/>
  <c r="O108" i="5" s="1"/>
  <c r="I109" i="5"/>
  <c r="I110" i="5"/>
  <c r="I111" i="5"/>
  <c r="I112" i="5"/>
  <c r="M112" i="5" s="1"/>
  <c r="O112" i="5" s="1"/>
  <c r="I113" i="5"/>
  <c r="I114" i="5"/>
  <c r="I115" i="5"/>
  <c r="I116" i="5"/>
  <c r="M116" i="5" s="1"/>
  <c r="O116" i="5" s="1"/>
  <c r="I117" i="5"/>
  <c r="I118" i="5"/>
  <c r="I119" i="5"/>
  <c r="I120" i="5"/>
  <c r="I121" i="5"/>
  <c r="I122" i="5"/>
  <c r="I123" i="5"/>
  <c r="I124" i="5"/>
  <c r="M124" i="5" s="1"/>
  <c r="O124" i="5" s="1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M144" i="5" s="1"/>
  <c r="O144" i="5" s="1"/>
  <c r="I145" i="5"/>
  <c r="I146" i="5"/>
  <c r="I147" i="5"/>
  <c r="I148" i="5"/>
  <c r="I149" i="5"/>
  <c r="M149" i="5" s="1"/>
  <c r="O149" i="5" s="1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M165" i="5" s="1"/>
  <c r="O165" i="5" s="1"/>
  <c r="I166" i="5"/>
  <c r="I167" i="5"/>
  <c r="I168" i="5"/>
  <c r="I169" i="5"/>
  <c r="I170" i="5"/>
  <c r="I171" i="5"/>
  <c r="I172" i="5"/>
  <c r="I173" i="5"/>
  <c r="I174" i="5"/>
  <c r="I175" i="5"/>
  <c r="I176" i="5"/>
  <c r="M176" i="5" s="1"/>
  <c r="O176" i="5" s="1"/>
  <c r="I177" i="5"/>
  <c r="I178" i="5"/>
  <c r="I179" i="5"/>
  <c r="I180" i="5"/>
  <c r="I181" i="5"/>
  <c r="I182" i="5"/>
  <c r="I183" i="5"/>
  <c r="I184" i="5"/>
  <c r="I185" i="5"/>
  <c r="I186" i="5"/>
  <c r="I187" i="5"/>
  <c r="I188" i="5"/>
  <c r="M188" i="5" s="1"/>
  <c r="O188" i="5" s="1"/>
  <c r="I189" i="5"/>
  <c r="I190" i="5"/>
  <c r="I191" i="5"/>
  <c r="I192" i="5"/>
  <c r="I193" i="5"/>
  <c r="I194" i="5"/>
  <c r="I195" i="5"/>
  <c r="I196" i="5"/>
  <c r="I197" i="5"/>
  <c r="M197" i="5" s="1"/>
  <c r="O197" i="5" s="1"/>
  <c r="I198" i="5"/>
  <c r="I199" i="5"/>
  <c r="I200" i="5"/>
  <c r="I201" i="5"/>
  <c r="I202" i="5"/>
  <c r="I203" i="5"/>
  <c r="I204" i="5"/>
  <c r="M204" i="5" s="1"/>
  <c r="O204" i="5" s="1"/>
  <c r="I205" i="5"/>
  <c r="M205" i="5" s="1"/>
  <c r="O205" i="5" s="1"/>
  <c r="I206" i="5"/>
  <c r="I207" i="5"/>
  <c r="I208" i="5"/>
  <c r="I209" i="5"/>
  <c r="I210" i="5"/>
  <c r="I211" i="5"/>
  <c r="I212" i="5"/>
  <c r="I213" i="5"/>
  <c r="I214" i="5"/>
  <c r="I215" i="5"/>
  <c r="I216" i="5"/>
  <c r="M216" i="5" s="1"/>
  <c r="O216" i="5" s="1"/>
  <c r="I217" i="5"/>
  <c r="I218" i="5"/>
  <c r="I219" i="5"/>
  <c r="I220" i="5"/>
  <c r="I221" i="5"/>
  <c r="M221" i="5" s="1"/>
  <c r="O221" i="5" s="1"/>
  <c r="I222" i="5"/>
  <c r="I223" i="5"/>
  <c r="I224" i="5"/>
  <c r="I225" i="5"/>
  <c r="I226" i="5"/>
  <c r="I227" i="5"/>
  <c r="I228" i="5"/>
  <c r="M228" i="5" s="1"/>
  <c r="O228" i="5" s="1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M260" i="5" s="1"/>
  <c r="O260" i="5" s="1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M280" i="5" s="1"/>
  <c r="O280" i="5" s="1"/>
  <c r="I281" i="5"/>
  <c r="I282" i="5"/>
  <c r="I283" i="5"/>
  <c r="I284" i="5"/>
  <c r="M284" i="5" s="1"/>
  <c r="O284" i="5" s="1"/>
  <c r="I285" i="5"/>
  <c r="I286" i="5"/>
  <c r="I287" i="5"/>
  <c r="I288" i="5"/>
  <c r="M288" i="5" s="1"/>
  <c r="O288" i="5" s="1"/>
  <c r="I289" i="5"/>
  <c r="I290" i="5"/>
  <c r="I291" i="5"/>
  <c r="I292" i="5"/>
  <c r="M292" i="5" s="1"/>
  <c r="O292" i="5" s="1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M308" i="5" s="1"/>
  <c r="O308" i="5" s="1"/>
  <c r="I309" i="5"/>
  <c r="I310" i="5"/>
  <c r="I311" i="5"/>
  <c r="I312" i="5"/>
  <c r="I313" i="5"/>
  <c r="I314" i="5"/>
  <c r="I315" i="5"/>
  <c r="I316" i="5"/>
  <c r="M316" i="5" s="1"/>
  <c r="O316" i="5" s="1"/>
  <c r="I317" i="5"/>
  <c r="M317" i="5" s="1"/>
  <c r="O317" i="5" s="1"/>
  <c r="I318" i="5"/>
  <c r="I319" i="5"/>
  <c r="I320" i="5"/>
  <c r="I321" i="5"/>
  <c r="I322" i="5"/>
  <c r="I323" i="5"/>
  <c r="I324" i="5"/>
  <c r="M324" i="5" s="1"/>
  <c r="O324" i="5" s="1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M352" i="5" s="1"/>
  <c r="O352" i="5" s="1"/>
  <c r="I353" i="5"/>
  <c r="I354" i="5"/>
  <c r="I355" i="5"/>
  <c r="I356" i="5"/>
  <c r="I357" i="5"/>
  <c r="I358" i="5"/>
  <c r="I359" i="5"/>
  <c r="I360" i="5"/>
  <c r="M360" i="5" s="1"/>
  <c r="O360" i="5" s="1"/>
  <c r="I361" i="5"/>
  <c r="I362" i="5"/>
  <c r="I363" i="5"/>
  <c r="I364" i="5"/>
  <c r="M364" i="5" s="1"/>
  <c r="O364" i="5" s="1"/>
  <c r="I365" i="5"/>
  <c r="I366" i="5"/>
  <c r="I367" i="5"/>
  <c r="I368" i="5"/>
  <c r="I369" i="5"/>
  <c r="I370" i="5"/>
  <c r="I371" i="5"/>
  <c r="I372" i="5"/>
  <c r="I373" i="5"/>
  <c r="I374" i="5"/>
  <c r="I375" i="5"/>
  <c r="I376" i="5"/>
  <c r="M376" i="5" s="1"/>
  <c r="O376" i="5" s="1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M392" i="5" s="1"/>
  <c r="O392" i="5" s="1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M412" i="5" s="1"/>
  <c r="O412" i="5" s="1"/>
  <c r="I413" i="5"/>
  <c r="I414" i="5"/>
  <c r="I415" i="5"/>
  <c r="I416" i="5"/>
  <c r="M416" i="5" s="1"/>
  <c r="O416" i="5" s="1"/>
  <c r="I417" i="5"/>
  <c r="I418" i="5"/>
  <c r="I419" i="5"/>
  <c r="I420" i="5"/>
  <c r="I421" i="5"/>
  <c r="I422" i="5"/>
  <c r="I423" i="5"/>
  <c r="I424" i="5"/>
  <c r="I425" i="5"/>
  <c r="I426" i="5"/>
  <c r="I427" i="5"/>
  <c r="I428" i="5"/>
  <c r="M428" i="5" s="1"/>
  <c r="O428" i="5" s="1"/>
  <c r="I429" i="5"/>
  <c r="I430" i="5"/>
  <c r="I431" i="5"/>
  <c r="I432" i="5"/>
  <c r="M432" i="5" s="1"/>
  <c r="O432" i="5" s="1"/>
  <c r="I433" i="5"/>
  <c r="I434" i="5"/>
  <c r="I435" i="5"/>
  <c r="I436" i="5"/>
  <c r="M436" i="5" s="1"/>
  <c r="O436" i="5" s="1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M452" i="5" s="1"/>
  <c r="O452" i="5" s="1"/>
  <c r="I453" i="5"/>
  <c r="I454" i="5"/>
  <c r="I455" i="5"/>
  <c r="I456" i="5"/>
  <c r="I457" i="5"/>
  <c r="I458" i="5"/>
  <c r="I459" i="5"/>
  <c r="I460" i="5"/>
  <c r="M460" i="5" s="1"/>
  <c r="O460" i="5" s="1"/>
  <c r="I461" i="5"/>
  <c r="M461" i="5" s="1"/>
  <c r="O461" i="5" s="1"/>
  <c r="I462" i="5"/>
  <c r="I463" i="5"/>
  <c r="I464" i="5"/>
  <c r="I465" i="5"/>
  <c r="I466" i="5"/>
  <c r="I467" i="5"/>
  <c r="I468" i="5"/>
  <c r="M468" i="5" s="1"/>
  <c r="O468" i="5" s="1"/>
  <c r="I469" i="5"/>
  <c r="I470" i="5"/>
  <c r="I471" i="5"/>
  <c r="I472" i="5"/>
  <c r="M472" i="5" s="1"/>
  <c r="O472" i="5" s="1"/>
  <c r="I473" i="5"/>
  <c r="I474" i="5"/>
  <c r="I475" i="5"/>
  <c r="I476" i="5"/>
  <c r="I477" i="5"/>
  <c r="M477" i="5" s="1"/>
  <c r="O477" i="5" s="1"/>
  <c r="I478" i="5"/>
  <c r="I479" i="5"/>
  <c r="I480" i="5"/>
  <c r="M480" i="5" s="1"/>
  <c r="O480" i="5" s="1"/>
  <c r="I481" i="5"/>
  <c r="I482" i="5"/>
  <c r="I483" i="5"/>
  <c r="I484" i="5"/>
  <c r="I485" i="5"/>
  <c r="I486" i="5"/>
  <c r="I487" i="5"/>
  <c r="I488" i="5"/>
  <c r="M488" i="5" s="1"/>
  <c r="O488" i="5" s="1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M501" i="5" s="1"/>
  <c r="O501" i="5" s="1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M541" i="5" s="1"/>
  <c r="O541" i="5" s="1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M557" i="5" s="1"/>
  <c r="O557" i="5" s="1"/>
  <c r="I558" i="5"/>
  <c r="I559" i="5"/>
  <c r="I560" i="5"/>
  <c r="I561" i="5"/>
  <c r="I562" i="5"/>
  <c r="I563" i="5"/>
  <c r="I564" i="5"/>
  <c r="M564" i="5" s="1"/>
  <c r="O564" i="5" s="1"/>
  <c r="I565" i="5"/>
  <c r="M565" i="5" s="1"/>
  <c r="O565" i="5" s="1"/>
  <c r="I566" i="5"/>
  <c r="I567" i="5"/>
  <c r="I568" i="5"/>
  <c r="I569" i="5"/>
  <c r="I570" i="5"/>
  <c r="I571" i="5"/>
  <c r="I572" i="5"/>
  <c r="I573" i="5"/>
  <c r="M573" i="5" s="1"/>
  <c r="O573" i="5" s="1"/>
  <c r="I574" i="5"/>
  <c r="I575" i="5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M549" i="5" l="1"/>
  <c r="O549" i="5" s="1"/>
  <c r="M533" i="5"/>
  <c r="O533" i="5" s="1"/>
  <c r="M525" i="5"/>
  <c r="O525" i="5" s="1"/>
  <c r="M469" i="5"/>
  <c r="O469" i="5" s="1"/>
  <c r="M453" i="5"/>
  <c r="O453" i="5" s="1"/>
  <c r="M445" i="5"/>
  <c r="O445" i="5" s="1"/>
  <c r="M429" i="5"/>
  <c r="O429" i="5" s="1"/>
  <c r="M509" i="5"/>
  <c r="O509" i="5" s="1"/>
  <c r="M493" i="5"/>
  <c r="O493" i="5" s="1"/>
  <c r="M485" i="5"/>
  <c r="O485" i="5" s="1"/>
  <c r="M405" i="5"/>
  <c r="O405" i="5" s="1"/>
  <c r="M389" i="5"/>
  <c r="O389" i="5" s="1"/>
  <c r="M381" i="5"/>
  <c r="O381" i="5" s="1"/>
  <c r="M373" i="5"/>
  <c r="O373" i="5" s="1"/>
  <c r="M341" i="5"/>
  <c r="O341" i="5" s="1"/>
  <c r="M333" i="5"/>
  <c r="O333" i="5" s="1"/>
  <c r="M325" i="5"/>
  <c r="O325" i="5" s="1"/>
  <c r="M309" i="5"/>
  <c r="O309" i="5" s="1"/>
  <c r="M301" i="5"/>
  <c r="O301" i="5" s="1"/>
  <c r="M293" i="5"/>
  <c r="O293" i="5" s="1"/>
  <c r="M285" i="5"/>
  <c r="O285" i="5" s="1"/>
  <c r="M277" i="5"/>
  <c r="O277" i="5" s="1"/>
  <c r="M269" i="5"/>
  <c r="O269" i="5" s="1"/>
  <c r="M261" i="5"/>
  <c r="O261" i="5" s="1"/>
  <c r="M253" i="5"/>
  <c r="O253" i="5" s="1"/>
  <c r="M245" i="5"/>
  <c r="O245" i="5" s="1"/>
  <c r="M237" i="5"/>
  <c r="O237" i="5" s="1"/>
  <c r="M229" i="5"/>
  <c r="O229" i="5" s="1"/>
  <c r="M213" i="5"/>
  <c r="O213" i="5" s="1"/>
  <c r="M189" i="5"/>
  <c r="O189" i="5" s="1"/>
  <c r="M181" i="5"/>
  <c r="O181" i="5" s="1"/>
  <c r="M157" i="5"/>
  <c r="O157" i="5" s="1"/>
  <c r="M141" i="5"/>
  <c r="O141" i="5" s="1"/>
  <c r="M117" i="5"/>
  <c r="O117" i="5" s="1"/>
  <c r="M109" i="5"/>
  <c r="O109" i="5" s="1"/>
  <c r="M101" i="5"/>
  <c r="O101" i="5" s="1"/>
  <c r="M85" i="5"/>
  <c r="O85" i="5" s="1"/>
  <c r="M77" i="5"/>
  <c r="O77" i="5" s="1"/>
  <c r="M45" i="5"/>
  <c r="O45" i="5" s="1"/>
  <c r="M517" i="5"/>
  <c r="O517" i="5" s="1"/>
  <c r="M437" i="5"/>
  <c r="O437" i="5" s="1"/>
  <c r="M421" i="5"/>
  <c r="O421" i="5" s="1"/>
  <c r="M413" i="5"/>
  <c r="O413" i="5" s="1"/>
  <c r="M397" i="5"/>
  <c r="O397" i="5" s="1"/>
  <c r="M365" i="5"/>
  <c r="O365" i="5" s="1"/>
  <c r="M357" i="5"/>
  <c r="O357" i="5" s="1"/>
  <c r="M349" i="5"/>
  <c r="O349" i="5" s="1"/>
  <c r="M173" i="5"/>
  <c r="O173" i="5" s="1"/>
  <c r="M133" i="5"/>
  <c r="O133" i="5" s="1"/>
  <c r="M125" i="5"/>
  <c r="O125" i="5" s="1"/>
  <c r="M21" i="5"/>
  <c r="O21" i="5" s="1"/>
  <c r="M572" i="5"/>
  <c r="O572" i="5" s="1"/>
  <c r="M556" i="5"/>
  <c r="O556" i="5" s="1"/>
  <c r="M544" i="5"/>
  <c r="O544" i="5" s="1"/>
  <c r="M540" i="5"/>
  <c r="O540" i="5" s="1"/>
  <c r="M528" i="5"/>
  <c r="O528" i="5" s="1"/>
  <c r="M492" i="5"/>
  <c r="O492" i="5" s="1"/>
  <c r="M568" i="5"/>
  <c r="O568" i="5" s="1"/>
  <c r="M560" i="5"/>
  <c r="O560" i="5" s="1"/>
  <c r="M552" i="5"/>
  <c r="O552" i="5" s="1"/>
  <c r="M532" i="5"/>
  <c r="O532" i="5" s="1"/>
  <c r="M520" i="5"/>
  <c r="O520" i="5" s="1"/>
  <c r="M512" i="5"/>
  <c r="O512" i="5" s="1"/>
  <c r="M504" i="5"/>
  <c r="O504" i="5" s="1"/>
  <c r="M448" i="5"/>
  <c r="O448" i="5" s="1"/>
  <c r="M440" i="5"/>
  <c r="O440" i="5" s="1"/>
  <c r="M356" i="5"/>
  <c r="O356" i="5" s="1"/>
  <c r="M348" i="5"/>
  <c r="O348" i="5" s="1"/>
  <c r="M340" i="5"/>
  <c r="O340" i="5" s="1"/>
  <c r="M328" i="5"/>
  <c r="O328" i="5" s="1"/>
  <c r="M312" i="5"/>
  <c r="O312" i="5" s="1"/>
  <c r="M304" i="5"/>
  <c r="O304" i="5" s="1"/>
  <c r="M296" i="5"/>
  <c r="O296" i="5" s="1"/>
  <c r="M272" i="5"/>
  <c r="O272" i="5" s="1"/>
  <c r="M264" i="5"/>
  <c r="O264" i="5" s="1"/>
  <c r="M256" i="5"/>
  <c r="O256" i="5" s="1"/>
  <c r="M248" i="5"/>
  <c r="O248" i="5" s="1"/>
  <c r="M240" i="5"/>
  <c r="O240" i="5" s="1"/>
  <c r="M220" i="5"/>
  <c r="O220" i="5" s="1"/>
  <c r="M212" i="5"/>
  <c r="O212" i="5" s="1"/>
  <c r="M208" i="5"/>
  <c r="O208" i="5" s="1"/>
  <c r="M200" i="5"/>
  <c r="O200" i="5" s="1"/>
  <c r="M192" i="5"/>
  <c r="O192" i="5" s="1"/>
  <c r="M184" i="5"/>
  <c r="O184" i="5" s="1"/>
  <c r="M168" i="5"/>
  <c r="O168" i="5" s="1"/>
  <c r="M160" i="5"/>
  <c r="O160" i="5" s="1"/>
  <c r="M152" i="5"/>
  <c r="O152" i="5" s="1"/>
  <c r="M136" i="5"/>
  <c r="O136" i="5" s="1"/>
  <c r="M128" i="5"/>
  <c r="O128" i="5" s="1"/>
  <c r="M120" i="5"/>
  <c r="O120" i="5" s="1"/>
  <c r="M104" i="5"/>
  <c r="O104" i="5" s="1"/>
  <c r="M96" i="5"/>
  <c r="O96" i="5" s="1"/>
  <c r="M88" i="5"/>
  <c r="O88" i="5" s="1"/>
  <c r="M80" i="5"/>
  <c r="O80" i="5" s="1"/>
  <c r="M56" i="5"/>
  <c r="O56" i="5" s="1"/>
  <c r="M36" i="5"/>
  <c r="O36" i="5" s="1"/>
  <c r="M4" i="5"/>
  <c r="O4" i="5" s="1"/>
  <c r="M571" i="5"/>
  <c r="O571" i="5" s="1"/>
  <c r="M563" i="5"/>
  <c r="O563" i="5" s="1"/>
  <c r="M555" i="5"/>
  <c r="O555" i="5" s="1"/>
  <c r="M547" i="5"/>
  <c r="O547" i="5" s="1"/>
  <c r="M535" i="5"/>
  <c r="O535" i="5" s="1"/>
  <c r="M527" i="5"/>
  <c r="O527" i="5" s="1"/>
  <c r="M519" i="5"/>
  <c r="O519" i="5" s="1"/>
  <c r="M511" i="5"/>
  <c r="O511" i="5" s="1"/>
  <c r="M503" i="5"/>
  <c r="O503" i="5" s="1"/>
  <c r="M495" i="5"/>
  <c r="O495" i="5" s="1"/>
  <c r="M487" i="5"/>
  <c r="O487" i="5" s="1"/>
  <c r="M479" i="5"/>
  <c r="O479" i="5" s="1"/>
  <c r="M467" i="5"/>
  <c r="O467" i="5" s="1"/>
  <c r="M459" i="5"/>
  <c r="O459" i="5" s="1"/>
  <c r="M451" i="5"/>
  <c r="O451" i="5" s="1"/>
  <c r="M443" i="5"/>
  <c r="O443" i="5" s="1"/>
  <c r="M431" i="5"/>
  <c r="O431" i="5" s="1"/>
  <c r="M423" i="5"/>
  <c r="O423" i="5" s="1"/>
  <c r="M411" i="5"/>
  <c r="O411" i="5" s="1"/>
  <c r="M403" i="5"/>
  <c r="O403" i="5" s="1"/>
  <c r="M395" i="5"/>
  <c r="O395" i="5" s="1"/>
  <c r="M387" i="5"/>
  <c r="O387" i="5" s="1"/>
  <c r="M383" i="5"/>
  <c r="O383" i="5" s="1"/>
  <c r="M375" i="5"/>
  <c r="O375" i="5" s="1"/>
  <c r="M371" i="5"/>
  <c r="O371" i="5" s="1"/>
  <c r="M367" i="5"/>
  <c r="O367" i="5" s="1"/>
  <c r="M363" i="5"/>
  <c r="O363" i="5" s="1"/>
  <c r="M359" i="5"/>
  <c r="O359" i="5" s="1"/>
  <c r="M355" i="5"/>
  <c r="O355" i="5" s="1"/>
  <c r="M351" i="5"/>
  <c r="O351" i="5" s="1"/>
  <c r="M347" i="5"/>
  <c r="O347" i="5" s="1"/>
  <c r="M343" i="5"/>
  <c r="O343" i="5" s="1"/>
  <c r="M5" i="5"/>
  <c r="O5" i="5" s="1"/>
  <c r="M548" i="5"/>
  <c r="O548" i="5" s="1"/>
  <c r="M536" i="5"/>
  <c r="O536" i="5" s="1"/>
  <c r="M524" i="5"/>
  <c r="O524" i="5" s="1"/>
  <c r="M516" i="5"/>
  <c r="O516" i="5" s="1"/>
  <c r="M508" i="5"/>
  <c r="O508" i="5" s="1"/>
  <c r="M500" i="5"/>
  <c r="O500" i="5" s="1"/>
  <c r="M496" i="5"/>
  <c r="O496" i="5" s="1"/>
  <c r="M484" i="5"/>
  <c r="O484" i="5" s="1"/>
  <c r="M476" i="5"/>
  <c r="O476" i="5" s="1"/>
  <c r="M464" i="5"/>
  <c r="O464" i="5" s="1"/>
  <c r="M456" i="5"/>
  <c r="O456" i="5" s="1"/>
  <c r="M444" i="5"/>
  <c r="O444" i="5" s="1"/>
  <c r="M424" i="5"/>
  <c r="O424" i="5" s="1"/>
  <c r="M420" i="5"/>
  <c r="O420" i="5" s="1"/>
  <c r="M408" i="5"/>
  <c r="O408" i="5" s="1"/>
  <c r="M404" i="5"/>
  <c r="O404" i="5" s="1"/>
  <c r="M400" i="5"/>
  <c r="O400" i="5" s="1"/>
  <c r="M396" i="5"/>
  <c r="O396" i="5" s="1"/>
  <c r="M388" i="5"/>
  <c r="O388" i="5" s="1"/>
  <c r="M384" i="5"/>
  <c r="O384" i="5" s="1"/>
  <c r="M380" i="5"/>
  <c r="O380" i="5" s="1"/>
  <c r="M372" i="5"/>
  <c r="O372" i="5" s="1"/>
  <c r="M368" i="5"/>
  <c r="O368" i="5" s="1"/>
  <c r="M344" i="5"/>
  <c r="O344" i="5" s="1"/>
  <c r="M336" i="5"/>
  <c r="O336" i="5" s="1"/>
  <c r="M332" i="5"/>
  <c r="O332" i="5" s="1"/>
  <c r="M320" i="5"/>
  <c r="O320" i="5" s="1"/>
  <c r="M300" i="5"/>
  <c r="O300" i="5" s="1"/>
  <c r="M276" i="5"/>
  <c r="O276" i="5" s="1"/>
  <c r="M268" i="5"/>
  <c r="O268" i="5" s="1"/>
  <c r="M252" i="5"/>
  <c r="O252" i="5" s="1"/>
  <c r="M244" i="5"/>
  <c r="O244" i="5" s="1"/>
  <c r="M236" i="5"/>
  <c r="O236" i="5" s="1"/>
  <c r="M232" i="5"/>
  <c r="O232" i="5" s="1"/>
  <c r="M224" i="5"/>
  <c r="O224" i="5" s="1"/>
  <c r="M196" i="5"/>
  <c r="O196" i="5" s="1"/>
  <c r="M180" i="5"/>
  <c r="O180" i="5" s="1"/>
  <c r="M172" i="5"/>
  <c r="O172" i="5" s="1"/>
  <c r="M164" i="5"/>
  <c r="O164" i="5" s="1"/>
  <c r="M156" i="5"/>
  <c r="O156" i="5" s="1"/>
  <c r="M148" i="5"/>
  <c r="O148" i="5" s="1"/>
  <c r="M140" i="5"/>
  <c r="O140" i="5" s="1"/>
  <c r="M132" i="5"/>
  <c r="O132" i="5" s="1"/>
  <c r="M100" i="5"/>
  <c r="O100" i="5" s="1"/>
  <c r="M92" i="5"/>
  <c r="O92" i="5" s="1"/>
  <c r="M52" i="5"/>
  <c r="O52" i="5" s="1"/>
  <c r="M48" i="5"/>
  <c r="O48" i="5" s="1"/>
  <c r="M40" i="5"/>
  <c r="O40" i="5" s="1"/>
  <c r="M32" i="5"/>
  <c r="O32" i="5" s="1"/>
  <c r="M28" i="5"/>
  <c r="O28" i="5" s="1"/>
  <c r="M20" i="5"/>
  <c r="O20" i="5" s="1"/>
  <c r="M575" i="5"/>
  <c r="O575" i="5" s="1"/>
  <c r="M567" i="5"/>
  <c r="O567" i="5" s="1"/>
  <c r="M559" i="5"/>
  <c r="O559" i="5" s="1"/>
  <c r="M551" i="5"/>
  <c r="O551" i="5" s="1"/>
  <c r="M543" i="5"/>
  <c r="O543" i="5" s="1"/>
  <c r="M539" i="5"/>
  <c r="O539" i="5" s="1"/>
  <c r="M531" i="5"/>
  <c r="O531" i="5" s="1"/>
  <c r="M523" i="5"/>
  <c r="O523" i="5" s="1"/>
  <c r="M515" i="5"/>
  <c r="O515" i="5" s="1"/>
  <c r="M507" i="5"/>
  <c r="O507" i="5" s="1"/>
  <c r="M499" i="5"/>
  <c r="O499" i="5" s="1"/>
  <c r="M491" i="5"/>
  <c r="O491" i="5" s="1"/>
  <c r="M483" i="5"/>
  <c r="O483" i="5" s="1"/>
  <c r="M475" i="5"/>
  <c r="O475" i="5" s="1"/>
  <c r="M471" i="5"/>
  <c r="O471" i="5" s="1"/>
  <c r="M463" i="5"/>
  <c r="O463" i="5" s="1"/>
  <c r="M455" i="5"/>
  <c r="O455" i="5" s="1"/>
  <c r="M447" i="5"/>
  <c r="O447" i="5" s="1"/>
  <c r="M439" i="5"/>
  <c r="O439" i="5" s="1"/>
  <c r="M435" i="5"/>
  <c r="O435" i="5" s="1"/>
  <c r="M427" i="5"/>
  <c r="O427" i="5" s="1"/>
  <c r="M419" i="5"/>
  <c r="O419" i="5" s="1"/>
  <c r="M415" i="5"/>
  <c r="O415" i="5" s="1"/>
  <c r="M407" i="5"/>
  <c r="O407" i="5" s="1"/>
  <c r="M399" i="5"/>
  <c r="O399" i="5" s="1"/>
  <c r="M391" i="5"/>
  <c r="O391" i="5" s="1"/>
  <c r="M379" i="5"/>
  <c r="O379" i="5" s="1"/>
  <c r="M574" i="5"/>
  <c r="O574" i="5" s="1"/>
  <c r="M562" i="5"/>
  <c r="O562" i="5" s="1"/>
  <c r="M550" i="5"/>
  <c r="O550" i="5" s="1"/>
  <c r="M538" i="5"/>
  <c r="O538" i="5" s="1"/>
  <c r="M526" i="5"/>
  <c r="O526" i="5" s="1"/>
  <c r="M510" i="5"/>
  <c r="O510" i="5" s="1"/>
  <c r="M339" i="5"/>
  <c r="O339" i="5" s="1"/>
  <c r="M335" i="5"/>
  <c r="O335" i="5" s="1"/>
  <c r="M331" i="5"/>
  <c r="O331" i="5" s="1"/>
  <c r="M327" i="5"/>
  <c r="O327" i="5" s="1"/>
  <c r="M323" i="5"/>
  <c r="O323" i="5" s="1"/>
  <c r="M319" i="5"/>
  <c r="O319" i="5" s="1"/>
  <c r="M315" i="5"/>
  <c r="O315" i="5" s="1"/>
  <c r="M311" i="5"/>
  <c r="O311" i="5" s="1"/>
  <c r="M307" i="5"/>
  <c r="O307" i="5" s="1"/>
  <c r="M303" i="5"/>
  <c r="O303" i="5" s="1"/>
  <c r="M299" i="5"/>
  <c r="O299" i="5" s="1"/>
  <c r="M295" i="5"/>
  <c r="O295" i="5" s="1"/>
  <c r="M291" i="5"/>
  <c r="O291" i="5" s="1"/>
  <c r="M287" i="5"/>
  <c r="O287" i="5" s="1"/>
  <c r="M283" i="5"/>
  <c r="O283" i="5" s="1"/>
  <c r="M279" i="5"/>
  <c r="O279" i="5" s="1"/>
  <c r="M275" i="5"/>
  <c r="O275" i="5" s="1"/>
  <c r="M271" i="5"/>
  <c r="O271" i="5" s="1"/>
  <c r="M267" i="5"/>
  <c r="O267" i="5" s="1"/>
  <c r="M263" i="5"/>
  <c r="O263" i="5" s="1"/>
  <c r="M259" i="5"/>
  <c r="O259" i="5" s="1"/>
  <c r="M255" i="5"/>
  <c r="O255" i="5" s="1"/>
  <c r="M251" i="5"/>
  <c r="O251" i="5" s="1"/>
  <c r="M247" i="5"/>
  <c r="O247" i="5" s="1"/>
  <c r="M243" i="5"/>
  <c r="O243" i="5" s="1"/>
  <c r="M239" i="5"/>
  <c r="O239" i="5" s="1"/>
  <c r="M235" i="5"/>
  <c r="O235" i="5" s="1"/>
  <c r="M231" i="5"/>
  <c r="O231" i="5" s="1"/>
  <c r="M227" i="5"/>
  <c r="O227" i="5" s="1"/>
  <c r="M223" i="5"/>
  <c r="O223" i="5" s="1"/>
  <c r="M219" i="5"/>
  <c r="O219" i="5" s="1"/>
  <c r="M215" i="5"/>
  <c r="O215" i="5" s="1"/>
  <c r="M211" i="5"/>
  <c r="O211" i="5" s="1"/>
  <c r="M207" i="5"/>
  <c r="O207" i="5" s="1"/>
  <c r="M203" i="5"/>
  <c r="O203" i="5" s="1"/>
  <c r="M199" i="5"/>
  <c r="O199" i="5" s="1"/>
  <c r="M195" i="5"/>
  <c r="O195" i="5" s="1"/>
  <c r="M191" i="5"/>
  <c r="O191" i="5" s="1"/>
  <c r="M187" i="5"/>
  <c r="O187" i="5" s="1"/>
  <c r="M183" i="5"/>
  <c r="O183" i="5" s="1"/>
  <c r="M179" i="5"/>
  <c r="O179" i="5" s="1"/>
  <c r="M175" i="5"/>
  <c r="O175" i="5" s="1"/>
  <c r="M171" i="5"/>
  <c r="O171" i="5" s="1"/>
  <c r="M167" i="5"/>
  <c r="O167" i="5" s="1"/>
  <c r="M163" i="5"/>
  <c r="O163" i="5" s="1"/>
  <c r="M159" i="5"/>
  <c r="O159" i="5" s="1"/>
  <c r="M155" i="5"/>
  <c r="O155" i="5" s="1"/>
  <c r="M151" i="5"/>
  <c r="O151" i="5" s="1"/>
  <c r="M147" i="5"/>
  <c r="O147" i="5" s="1"/>
  <c r="M143" i="5"/>
  <c r="O143" i="5" s="1"/>
  <c r="M139" i="5"/>
  <c r="O139" i="5" s="1"/>
  <c r="M135" i="5"/>
  <c r="O135" i="5" s="1"/>
  <c r="M131" i="5"/>
  <c r="O131" i="5" s="1"/>
  <c r="M127" i="5"/>
  <c r="O127" i="5" s="1"/>
  <c r="M123" i="5"/>
  <c r="O123" i="5" s="1"/>
  <c r="M119" i="5"/>
  <c r="O119" i="5" s="1"/>
  <c r="M115" i="5"/>
  <c r="O115" i="5" s="1"/>
  <c r="M111" i="5"/>
  <c r="O111" i="5" s="1"/>
  <c r="M107" i="5"/>
  <c r="O107" i="5" s="1"/>
  <c r="M103" i="5"/>
  <c r="O103" i="5" s="1"/>
  <c r="M99" i="5"/>
  <c r="O99" i="5" s="1"/>
  <c r="M95" i="5"/>
  <c r="O95" i="5" s="1"/>
  <c r="M91" i="5"/>
  <c r="O91" i="5" s="1"/>
  <c r="M87" i="5"/>
  <c r="O87" i="5" s="1"/>
  <c r="M83" i="5"/>
  <c r="O83" i="5" s="1"/>
  <c r="M79" i="5"/>
  <c r="O79" i="5" s="1"/>
  <c r="M75" i="5"/>
  <c r="O75" i="5" s="1"/>
  <c r="M71" i="5"/>
  <c r="O71" i="5" s="1"/>
  <c r="M67" i="5"/>
  <c r="O67" i="5" s="1"/>
  <c r="M63" i="5"/>
  <c r="O63" i="5" s="1"/>
  <c r="M59" i="5"/>
  <c r="O59" i="5" s="1"/>
  <c r="M55" i="5"/>
  <c r="O55" i="5" s="1"/>
  <c r="M51" i="5"/>
  <c r="O51" i="5" s="1"/>
  <c r="M47" i="5"/>
  <c r="O47" i="5" s="1"/>
  <c r="M43" i="5"/>
  <c r="O43" i="5" s="1"/>
  <c r="M39" i="5"/>
  <c r="O39" i="5" s="1"/>
  <c r="M35" i="5"/>
  <c r="O35" i="5" s="1"/>
  <c r="M31" i="5"/>
  <c r="O31" i="5" s="1"/>
  <c r="M27" i="5"/>
  <c r="O27" i="5" s="1"/>
  <c r="M23" i="5"/>
  <c r="O23" i="5" s="1"/>
  <c r="M19" i="5"/>
  <c r="O19" i="5" s="1"/>
  <c r="M15" i="5"/>
  <c r="O15" i="5" s="1"/>
  <c r="M11" i="5"/>
  <c r="O11" i="5" s="1"/>
  <c r="M7" i="5"/>
  <c r="O7" i="5" s="1"/>
  <c r="M3" i="5"/>
  <c r="O3" i="5" s="1"/>
  <c r="M374" i="5"/>
  <c r="O374" i="5" s="1"/>
  <c r="M278" i="5"/>
  <c r="O278" i="5" s="1"/>
  <c r="M270" i="5"/>
  <c r="O270" i="5" s="1"/>
  <c r="M262" i="5"/>
  <c r="O262" i="5" s="1"/>
  <c r="M254" i="5"/>
  <c r="O254" i="5" s="1"/>
  <c r="M246" i="5"/>
  <c r="O246" i="5" s="1"/>
  <c r="M238" i="5"/>
  <c r="O238" i="5" s="1"/>
  <c r="M230" i="5"/>
  <c r="O230" i="5" s="1"/>
  <c r="M222" i="5"/>
  <c r="O222" i="5" s="1"/>
  <c r="M214" i="5"/>
  <c r="O214" i="5" s="1"/>
  <c r="M206" i="5"/>
  <c r="O206" i="5" s="1"/>
  <c r="M198" i="5"/>
  <c r="O198" i="5" s="1"/>
  <c r="M190" i="5"/>
  <c r="O190" i="5" s="1"/>
  <c r="M182" i="5"/>
  <c r="O182" i="5" s="1"/>
  <c r="M174" i="5"/>
  <c r="O174" i="5" s="1"/>
  <c r="M166" i="5"/>
  <c r="O166" i="5" s="1"/>
  <c r="M158" i="5"/>
  <c r="O158" i="5" s="1"/>
  <c r="M150" i="5"/>
  <c r="O150" i="5" s="1"/>
  <c r="M142" i="5"/>
  <c r="O142" i="5" s="1"/>
  <c r="M134" i="5"/>
  <c r="O134" i="5" s="1"/>
  <c r="M126" i="5"/>
  <c r="O126" i="5" s="1"/>
  <c r="M118" i="5"/>
  <c r="O118" i="5" s="1"/>
  <c r="M110" i="5"/>
  <c r="O110" i="5" s="1"/>
  <c r="M102" i="5"/>
  <c r="O102" i="5" s="1"/>
  <c r="M94" i="5"/>
  <c r="O94" i="5" s="1"/>
  <c r="M86" i="5"/>
  <c r="O86" i="5" s="1"/>
  <c r="M78" i="5"/>
  <c r="O78" i="5" s="1"/>
  <c r="M70" i="5"/>
  <c r="O70" i="5" s="1"/>
  <c r="M62" i="5"/>
  <c r="O62" i="5" s="1"/>
  <c r="M54" i="5"/>
  <c r="O54" i="5" s="1"/>
  <c r="M46" i="5"/>
  <c r="O46" i="5" s="1"/>
  <c r="M38" i="5"/>
  <c r="O38" i="5" s="1"/>
  <c r="M30" i="5"/>
  <c r="O30" i="5" s="1"/>
  <c r="M22" i="5"/>
  <c r="O22" i="5" s="1"/>
  <c r="M14" i="5"/>
  <c r="O14" i="5" s="1"/>
  <c r="M6" i="5"/>
  <c r="O6" i="5" s="1"/>
  <c r="L55" i="5"/>
  <c r="T55" i="5" s="1"/>
  <c r="W55" i="5" s="1"/>
  <c r="L283" i="5"/>
  <c r="T283" i="5" s="1"/>
  <c r="L563" i="5"/>
  <c r="T563" i="5" s="1"/>
  <c r="W563" i="5" s="1"/>
  <c r="L405" i="5"/>
  <c r="T405" i="5" s="1"/>
  <c r="V405" i="5" s="1"/>
  <c r="L335" i="5"/>
  <c r="T335" i="5" s="1"/>
  <c r="L115" i="5"/>
  <c r="T115" i="5" s="1"/>
  <c r="V115" i="5" s="1"/>
  <c r="L331" i="5"/>
  <c r="T331" i="5" s="1"/>
  <c r="L21" i="5"/>
  <c r="T21" i="5" s="1"/>
  <c r="V21" i="5" s="1"/>
  <c r="L533" i="5"/>
  <c r="T533" i="5" s="1"/>
  <c r="L111" i="5"/>
  <c r="L399" i="5"/>
  <c r="T399" i="5" s="1"/>
  <c r="L175" i="5"/>
  <c r="L395" i="5"/>
  <c r="T395" i="5" s="1"/>
  <c r="V395" i="5" s="1"/>
  <c r="L491" i="5"/>
  <c r="T491" i="5" s="1"/>
  <c r="L149" i="5"/>
  <c r="T149" i="5" s="1"/>
  <c r="V149" i="5" s="1"/>
  <c r="L527" i="5"/>
  <c r="T527" i="5" s="1"/>
  <c r="V527" i="5" s="1"/>
  <c r="L19" i="5"/>
  <c r="T19" i="5" s="1"/>
  <c r="V19" i="5" s="1"/>
  <c r="L215" i="5"/>
  <c r="T215" i="5" s="1"/>
  <c r="L451" i="5"/>
  <c r="L277" i="5"/>
  <c r="T277" i="5" s="1"/>
  <c r="U277" i="5" s="1"/>
  <c r="L251" i="5"/>
  <c r="T251" i="5" s="1"/>
  <c r="V251" i="5" s="1"/>
  <c r="L455" i="5"/>
  <c r="T455" i="5" s="1"/>
  <c r="L567" i="5"/>
  <c r="T567" i="5" s="1"/>
  <c r="W567" i="5" s="1"/>
  <c r="L184" i="5"/>
  <c r="L116" i="5"/>
  <c r="T116" i="5" s="1"/>
  <c r="V116" i="5" s="1"/>
  <c r="L308" i="5"/>
  <c r="T308" i="5" s="1"/>
  <c r="L372" i="5"/>
  <c r="L436" i="5"/>
  <c r="T436" i="5" s="1"/>
  <c r="V436" i="5" s="1"/>
  <c r="L27" i="5"/>
  <c r="T27" i="5" s="1"/>
  <c r="V27" i="5" s="1"/>
  <c r="L67" i="5"/>
  <c r="T67" i="5" s="1"/>
  <c r="V67" i="5" s="1"/>
  <c r="L131" i="5"/>
  <c r="T131" i="5" s="1"/>
  <c r="V131" i="5" s="1"/>
  <c r="L183" i="5"/>
  <c r="T183" i="5" s="1"/>
  <c r="W183" i="5" s="1"/>
  <c r="L231" i="5"/>
  <c r="T231" i="5" s="1"/>
  <c r="U231" i="5" s="1"/>
  <c r="L295" i="5"/>
  <c r="T295" i="5" s="1"/>
  <c r="V295" i="5" s="1"/>
  <c r="L347" i="5"/>
  <c r="L415" i="5"/>
  <c r="L499" i="5"/>
  <c r="T499" i="5" s="1"/>
  <c r="W499" i="5" s="1"/>
  <c r="L8" i="5"/>
  <c r="T8" i="5" s="1"/>
  <c r="L76" i="5"/>
  <c r="T76" i="5" s="1"/>
  <c r="L136" i="5"/>
  <c r="L204" i="5"/>
  <c r="T204" i="5" s="1"/>
  <c r="L117" i="5"/>
  <c r="T117" i="5" s="1"/>
  <c r="L245" i="5"/>
  <c r="T245" i="5" s="1"/>
  <c r="L373" i="5"/>
  <c r="T373" i="5" s="1"/>
  <c r="U373" i="5" s="1"/>
  <c r="L501" i="5"/>
  <c r="T501" i="5" s="1"/>
  <c r="V501" i="5" s="1"/>
  <c r="L63" i="5"/>
  <c r="L127" i="5"/>
  <c r="L199" i="5"/>
  <c r="T199" i="5" s="1"/>
  <c r="U199" i="5" s="1"/>
  <c r="L267" i="5"/>
  <c r="T267" i="5" s="1"/>
  <c r="V267" i="5" s="1"/>
  <c r="L351" i="5"/>
  <c r="T351" i="5" s="1"/>
  <c r="L411" i="5"/>
  <c r="L463" i="5"/>
  <c r="T463" i="5" s="1"/>
  <c r="V463" i="5" s="1"/>
  <c r="L535" i="5"/>
  <c r="T535" i="5" s="1"/>
  <c r="L4" i="5"/>
  <c r="T4" i="5" s="1"/>
  <c r="L64" i="5"/>
  <c r="T64" i="5" s="1"/>
  <c r="L132" i="5"/>
  <c r="T132" i="5" s="1"/>
  <c r="V132" i="5" s="1"/>
  <c r="L192" i="5"/>
  <c r="T192" i="5" s="1"/>
  <c r="X192" i="5" s="1"/>
  <c r="L252" i="5"/>
  <c r="T252" i="5" s="1"/>
  <c r="L284" i="5"/>
  <c r="T284" i="5" s="1"/>
  <c r="V284" i="5" s="1"/>
  <c r="L316" i="5"/>
  <c r="T316" i="5" s="1"/>
  <c r="V316" i="5" s="1"/>
  <c r="L348" i="5"/>
  <c r="T348" i="5" s="1"/>
  <c r="V348" i="5" s="1"/>
  <c r="L380" i="5"/>
  <c r="T380" i="5" s="1"/>
  <c r="L412" i="5"/>
  <c r="T412" i="5" s="1"/>
  <c r="V412" i="5" s="1"/>
  <c r="L444" i="5"/>
  <c r="T444" i="5" s="1"/>
  <c r="V444" i="5" s="1"/>
  <c r="L476" i="5"/>
  <c r="T476" i="5" s="1"/>
  <c r="V476" i="5" s="1"/>
  <c r="L508" i="5"/>
  <c r="T508" i="5" s="1"/>
  <c r="L540" i="5"/>
  <c r="T540" i="5" s="1"/>
  <c r="L564" i="5"/>
  <c r="T564" i="5" s="1"/>
  <c r="L60" i="5"/>
  <c r="T60" i="5" s="1"/>
  <c r="V60" i="5" s="1"/>
  <c r="L240" i="5"/>
  <c r="T240" i="5" s="1"/>
  <c r="L340" i="5"/>
  <c r="T340" i="5" s="1"/>
  <c r="L468" i="5"/>
  <c r="T468" i="5" s="1"/>
  <c r="V468" i="5" s="1"/>
  <c r="L500" i="5"/>
  <c r="T500" i="5" s="1"/>
  <c r="L532" i="5"/>
  <c r="T532" i="5" s="1"/>
  <c r="L11" i="5"/>
  <c r="T11" i="5" s="1"/>
  <c r="V11" i="5" s="1"/>
  <c r="L43" i="5"/>
  <c r="T43" i="5" s="1"/>
  <c r="U43" i="5" s="1"/>
  <c r="L99" i="5"/>
  <c r="T99" i="5" s="1"/>
  <c r="V99" i="5" s="1"/>
  <c r="L163" i="5"/>
  <c r="T163" i="5" s="1"/>
  <c r="V163" i="5" s="1"/>
  <c r="L203" i="5"/>
  <c r="T203" i="5" s="1"/>
  <c r="V203" i="5" s="1"/>
  <c r="L263" i="5"/>
  <c r="T263" i="5" s="1"/>
  <c r="U263" i="5" s="1"/>
  <c r="L319" i="5"/>
  <c r="T319" i="5" s="1"/>
  <c r="L379" i="5"/>
  <c r="L439" i="5"/>
  <c r="L475" i="5"/>
  <c r="T475" i="5" s="1"/>
  <c r="U475" i="5" s="1"/>
  <c r="L40" i="5"/>
  <c r="T40" i="5" s="1"/>
  <c r="L104" i="5"/>
  <c r="T104" i="5" s="1"/>
  <c r="L168" i="5"/>
  <c r="T168" i="5" s="1"/>
  <c r="L236" i="5"/>
  <c r="T236" i="5" s="1"/>
  <c r="L53" i="5"/>
  <c r="T53" i="5" s="1"/>
  <c r="V53" i="5" s="1"/>
  <c r="L181" i="5"/>
  <c r="T181" i="5" s="1"/>
  <c r="L309" i="5"/>
  <c r="T309" i="5" s="1"/>
  <c r="L437" i="5"/>
  <c r="T437" i="5" s="1"/>
  <c r="V437" i="5" s="1"/>
  <c r="L565" i="5"/>
  <c r="T565" i="5" s="1"/>
  <c r="L95" i="5"/>
  <c r="L159" i="5"/>
  <c r="L235" i="5"/>
  <c r="T235" i="5" s="1"/>
  <c r="U235" i="5" s="1"/>
  <c r="L315" i="5"/>
  <c r="T315" i="5" s="1"/>
  <c r="L383" i="5"/>
  <c r="L435" i="5"/>
  <c r="T435" i="5" s="1"/>
  <c r="W435" i="5" s="1"/>
  <c r="L483" i="5"/>
  <c r="T483" i="5" s="1"/>
  <c r="U483" i="5" s="1"/>
  <c r="L519" i="5"/>
  <c r="T519" i="5" s="1"/>
  <c r="L555" i="5"/>
  <c r="L36" i="5"/>
  <c r="L100" i="5"/>
  <c r="T100" i="5" s="1"/>
  <c r="V100" i="5" s="1"/>
  <c r="L164" i="5"/>
  <c r="T164" i="5" s="1"/>
  <c r="L224" i="5"/>
  <c r="T224" i="5" s="1"/>
  <c r="L268" i="5"/>
  <c r="L300" i="5"/>
  <c r="T300" i="5" s="1"/>
  <c r="X300" i="5" s="1"/>
  <c r="L332" i="5"/>
  <c r="T332" i="5" s="1"/>
  <c r="L364" i="5"/>
  <c r="T364" i="5" s="1"/>
  <c r="L396" i="5"/>
  <c r="L428" i="5"/>
  <c r="T428" i="5" s="1"/>
  <c r="L460" i="5"/>
  <c r="T460" i="5" s="1"/>
  <c r="L492" i="5"/>
  <c r="T492" i="5" s="1"/>
  <c r="L524" i="5"/>
  <c r="T524" i="5" s="1"/>
  <c r="L120" i="5"/>
  <c r="T120" i="5" s="1"/>
  <c r="L48" i="5"/>
  <c r="T48" i="5" s="1"/>
  <c r="L180" i="5"/>
  <c r="T180" i="5" s="1"/>
  <c r="L276" i="5"/>
  <c r="T276" i="5" s="1"/>
  <c r="L404" i="5"/>
  <c r="T404" i="5" s="1"/>
  <c r="V404" i="5" s="1"/>
  <c r="L3" i="5"/>
  <c r="T3" i="5" s="1"/>
  <c r="V3" i="5" s="1"/>
  <c r="L35" i="5"/>
  <c r="T35" i="5" s="1"/>
  <c r="V35" i="5" s="1"/>
  <c r="L83" i="5"/>
  <c r="T83" i="5" s="1"/>
  <c r="V83" i="5" s="1"/>
  <c r="L147" i="5"/>
  <c r="T147" i="5" s="1"/>
  <c r="U147" i="5" s="1"/>
  <c r="L191" i="5"/>
  <c r="T191" i="5" s="1"/>
  <c r="U191" i="5" s="1"/>
  <c r="L247" i="5"/>
  <c r="T247" i="5" s="1"/>
  <c r="L303" i="5"/>
  <c r="L363" i="5"/>
  <c r="L427" i="5"/>
  <c r="T427" i="5" s="1"/>
  <c r="L515" i="5"/>
  <c r="T515" i="5" s="1"/>
  <c r="V515" i="5" s="1"/>
  <c r="L24" i="5"/>
  <c r="T24" i="5" s="1"/>
  <c r="L88" i="5"/>
  <c r="T88" i="5" s="1"/>
  <c r="L152" i="5"/>
  <c r="T152" i="5" s="1"/>
  <c r="L220" i="5"/>
  <c r="T220" i="5" s="1"/>
  <c r="V220" i="5" s="1"/>
  <c r="L85" i="5"/>
  <c r="T85" i="5" s="1"/>
  <c r="L213" i="5"/>
  <c r="T213" i="5" s="1"/>
  <c r="V213" i="5" s="1"/>
  <c r="L341" i="5"/>
  <c r="T341" i="5" s="1"/>
  <c r="L469" i="5"/>
  <c r="L79" i="5"/>
  <c r="L143" i="5"/>
  <c r="L219" i="5"/>
  <c r="T219" i="5" s="1"/>
  <c r="V219" i="5" s="1"/>
  <c r="L279" i="5"/>
  <c r="T279" i="5" s="1"/>
  <c r="L367" i="5"/>
  <c r="T367" i="5" s="1"/>
  <c r="L471" i="5"/>
  <c r="L503" i="5"/>
  <c r="T503" i="5" s="1"/>
  <c r="L543" i="5"/>
  <c r="T543" i="5" s="1"/>
  <c r="L20" i="5"/>
  <c r="T20" i="5" s="1"/>
  <c r="L80" i="5"/>
  <c r="T80" i="5" s="1"/>
  <c r="L148" i="5"/>
  <c r="T148" i="5" s="1"/>
  <c r="V148" i="5" s="1"/>
  <c r="L208" i="5"/>
  <c r="T208" i="5" s="1"/>
  <c r="L260" i="5"/>
  <c r="T260" i="5" s="1"/>
  <c r="L292" i="5"/>
  <c r="T292" i="5" s="1"/>
  <c r="V292" i="5" s="1"/>
  <c r="L324" i="5"/>
  <c r="T324" i="5" s="1"/>
  <c r="L356" i="5"/>
  <c r="T356" i="5" s="1"/>
  <c r="L388" i="5"/>
  <c r="T388" i="5" s="1"/>
  <c r="L420" i="5"/>
  <c r="L452" i="5"/>
  <c r="T452" i="5" s="1"/>
  <c r="L484" i="5"/>
  <c r="T484" i="5" s="1"/>
  <c r="L516" i="5"/>
  <c r="T516" i="5" s="1"/>
  <c r="L548" i="5"/>
  <c r="T548" i="5" s="1"/>
  <c r="M570" i="5"/>
  <c r="O570" i="5" s="1"/>
  <c r="L570" i="5"/>
  <c r="M558" i="5"/>
  <c r="O558" i="5" s="1"/>
  <c r="L558" i="5"/>
  <c r="M534" i="5"/>
  <c r="O534" i="5" s="1"/>
  <c r="L534" i="5"/>
  <c r="M522" i="5"/>
  <c r="O522" i="5" s="1"/>
  <c r="L522" i="5"/>
  <c r="M502" i="5"/>
  <c r="O502" i="5" s="1"/>
  <c r="L502" i="5"/>
  <c r="M490" i="5"/>
  <c r="O490" i="5" s="1"/>
  <c r="L490" i="5"/>
  <c r="M478" i="5"/>
  <c r="O478" i="5" s="1"/>
  <c r="L478" i="5"/>
  <c r="M466" i="5"/>
  <c r="O466" i="5" s="1"/>
  <c r="L466" i="5"/>
  <c r="M458" i="5"/>
  <c r="O458" i="5" s="1"/>
  <c r="L458" i="5"/>
  <c r="M446" i="5"/>
  <c r="O446" i="5" s="1"/>
  <c r="L446" i="5"/>
  <c r="M438" i="5"/>
  <c r="O438" i="5" s="1"/>
  <c r="L438" i="5"/>
  <c r="M426" i="5"/>
  <c r="O426" i="5" s="1"/>
  <c r="L426" i="5"/>
  <c r="M418" i="5"/>
  <c r="O418" i="5" s="1"/>
  <c r="L418" i="5"/>
  <c r="M406" i="5"/>
  <c r="O406" i="5" s="1"/>
  <c r="L406" i="5"/>
  <c r="M390" i="5"/>
  <c r="O390" i="5" s="1"/>
  <c r="L390" i="5"/>
  <c r="M378" i="5"/>
  <c r="O378" i="5" s="1"/>
  <c r="L378" i="5"/>
  <c r="M366" i="5"/>
  <c r="O366" i="5" s="1"/>
  <c r="L366" i="5"/>
  <c r="M350" i="5"/>
  <c r="O350" i="5" s="1"/>
  <c r="L350" i="5"/>
  <c r="M334" i="5"/>
  <c r="O334" i="5" s="1"/>
  <c r="L334" i="5"/>
  <c r="M322" i="5"/>
  <c r="O322" i="5" s="1"/>
  <c r="L322" i="5"/>
  <c r="M310" i="5"/>
  <c r="O310" i="5" s="1"/>
  <c r="L310" i="5"/>
  <c r="M294" i="5"/>
  <c r="O294" i="5" s="1"/>
  <c r="L294" i="5"/>
  <c r="M266" i="5"/>
  <c r="O266" i="5" s="1"/>
  <c r="L266" i="5"/>
  <c r="M234" i="5"/>
  <c r="O234" i="5" s="1"/>
  <c r="L234" i="5"/>
  <c r="M210" i="5"/>
  <c r="O210" i="5" s="1"/>
  <c r="L210" i="5"/>
  <c r="M202" i="5"/>
  <c r="O202" i="5" s="1"/>
  <c r="L202" i="5"/>
  <c r="M194" i="5"/>
  <c r="O194" i="5" s="1"/>
  <c r="L194" i="5"/>
  <c r="M170" i="5"/>
  <c r="O170" i="5" s="1"/>
  <c r="L170" i="5"/>
  <c r="M154" i="5"/>
  <c r="O154" i="5" s="1"/>
  <c r="L154" i="5"/>
  <c r="M146" i="5"/>
  <c r="O146" i="5" s="1"/>
  <c r="L146" i="5"/>
  <c r="M138" i="5"/>
  <c r="O138" i="5" s="1"/>
  <c r="L138" i="5"/>
  <c r="M106" i="5"/>
  <c r="O106" i="5" s="1"/>
  <c r="L106" i="5"/>
  <c r="M90" i="5"/>
  <c r="O90" i="5" s="1"/>
  <c r="L90" i="5"/>
  <c r="M42" i="5"/>
  <c r="O42" i="5" s="1"/>
  <c r="L42" i="5"/>
  <c r="M34" i="5"/>
  <c r="O34" i="5" s="1"/>
  <c r="L34" i="5"/>
  <c r="M18" i="5"/>
  <c r="O18" i="5" s="1"/>
  <c r="L18" i="5"/>
  <c r="M10" i="5"/>
  <c r="O10" i="5" s="1"/>
  <c r="L10" i="5"/>
  <c r="M2" i="5"/>
  <c r="O2" i="5" s="1"/>
  <c r="L2" i="5"/>
  <c r="L70" i="5"/>
  <c r="T70" i="5" s="1"/>
  <c r="W70" i="5" s="1"/>
  <c r="L134" i="5"/>
  <c r="T134" i="5" s="1"/>
  <c r="L198" i="5"/>
  <c r="T198" i="5" s="1"/>
  <c r="W198" i="5" s="1"/>
  <c r="L262" i="5"/>
  <c r="T262" i="5" s="1"/>
  <c r="U262" i="5" s="1"/>
  <c r="L538" i="5"/>
  <c r="T538" i="5" s="1"/>
  <c r="U538" i="5" s="1"/>
  <c r="M545" i="5"/>
  <c r="O545" i="5" s="1"/>
  <c r="L545" i="5"/>
  <c r="M497" i="5"/>
  <c r="O497" i="5" s="1"/>
  <c r="L497" i="5"/>
  <c r="M489" i="5"/>
  <c r="O489" i="5" s="1"/>
  <c r="L489" i="5"/>
  <c r="M465" i="5"/>
  <c r="O465" i="5" s="1"/>
  <c r="L465" i="5"/>
  <c r="M425" i="5"/>
  <c r="O425" i="5" s="1"/>
  <c r="L425" i="5"/>
  <c r="M417" i="5"/>
  <c r="O417" i="5" s="1"/>
  <c r="L417" i="5"/>
  <c r="M393" i="5"/>
  <c r="O393" i="5" s="1"/>
  <c r="L393" i="5"/>
  <c r="M385" i="5"/>
  <c r="O385" i="5" s="1"/>
  <c r="L385" i="5"/>
  <c r="M345" i="5"/>
  <c r="O345" i="5" s="1"/>
  <c r="L345" i="5"/>
  <c r="M313" i="5"/>
  <c r="O313" i="5" s="1"/>
  <c r="L313" i="5"/>
  <c r="M305" i="5"/>
  <c r="O305" i="5" s="1"/>
  <c r="L305" i="5"/>
  <c r="M233" i="5"/>
  <c r="O233" i="5" s="1"/>
  <c r="L233" i="5"/>
  <c r="M225" i="5"/>
  <c r="O225" i="5" s="1"/>
  <c r="L225" i="5"/>
  <c r="M217" i="5"/>
  <c r="O217" i="5" s="1"/>
  <c r="L217" i="5"/>
  <c r="M209" i="5"/>
  <c r="O209" i="5" s="1"/>
  <c r="L209" i="5"/>
  <c r="M193" i="5"/>
  <c r="O193" i="5" s="1"/>
  <c r="L193" i="5"/>
  <c r="M185" i="5"/>
  <c r="O185" i="5" s="1"/>
  <c r="L185" i="5"/>
  <c r="M177" i="5"/>
  <c r="O177" i="5" s="1"/>
  <c r="L177" i="5"/>
  <c r="M169" i="5"/>
  <c r="O169" i="5" s="1"/>
  <c r="L169" i="5"/>
  <c r="M161" i="5"/>
  <c r="O161" i="5" s="1"/>
  <c r="L161" i="5"/>
  <c r="M153" i="5"/>
  <c r="O153" i="5" s="1"/>
  <c r="L153" i="5"/>
  <c r="M145" i="5"/>
  <c r="O145" i="5" s="1"/>
  <c r="L145" i="5"/>
  <c r="M121" i="5"/>
  <c r="O121" i="5" s="1"/>
  <c r="L121" i="5"/>
  <c r="M105" i="5"/>
  <c r="O105" i="5" s="1"/>
  <c r="L105" i="5"/>
  <c r="M89" i="5"/>
  <c r="O89" i="5" s="1"/>
  <c r="L89" i="5"/>
  <c r="M81" i="5"/>
  <c r="O81" i="5" s="1"/>
  <c r="L81" i="5"/>
  <c r="M73" i="5"/>
  <c r="O73" i="5" s="1"/>
  <c r="L73" i="5"/>
  <c r="M57" i="5"/>
  <c r="O57" i="5" s="1"/>
  <c r="L57" i="5"/>
  <c r="M41" i="5"/>
  <c r="O41" i="5" s="1"/>
  <c r="L41" i="5"/>
  <c r="M33" i="5"/>
  <c r="O33" i="5" s="1"/>
  <c r="L33" i="5"/>
  <c r="M25" i="5"/>
  <c r="O25" i="5" s="1"/>
  <c r="L25" i="5"/>
  <c r="M9" i="5"/>
  <c r="O9" i="5" s="1"/>
  <c r="L9" i="5"/>
  <c r="L62" i="5"/>
  <c r="L190" i="5"/>
  <c r="L13" i="5"/>
  <c r="T13" i="5" s="1"/>
  <c r="U13" i="5" s="1"/>
  <c r="L109" i="5"/>
  <c r="T109" i="5" s="1"/>
  <c r="L141" i="5"/>
  <c r="T141" i="5" s="1"/>
  <c r="L205" i="5"/>
  <c r="T205" i="5" s="1"/>
  <c r="V205" i="5" s="1"/>
  <c r="L237" i="5"/>
  <c r="T237" i="5" s="1"/>
  <c r="L301" i="5"/>
  <c r="T301" i="5" s="1"/>
  <c r="V301" i="5" s="1"/>
  <c r="L397" i="5"/>
  <c r="L461" i="5"/>
  <c r="T461" i="5" s="1"/>
  <c r="L525" i="5"/>
  <c r="T525" i="5" s="1"/>
  <c r="U525" i="5" s="1"/>
  <c r="L526" i="5"/>
  <c r="T526" i="5" s="1"/>
  <c r="V526" i="5" s="1"/>
  <c r="L22" i="5"/>
  <c r="T22" i="5" s="1"/>
  <c r="L54" i="5"/>
  <c r="T54" i="5" s="1"/>
  <c r="W54" i="5" s="1"/>
  <c r="L86" i="5"/>
  <c r="T86" i="5" s="1"/>
  <c r="W86" i="5" s="1"/>
  <c r="L118" i="5"/>
  <c r="T118" i="5" s="1"/>
  <c r="W118" i="5" s="1"/>
  <c r="L182" i="5"/>
  <c r="T182" i="5" s="1"/>
  <c r="L214" i="5"/>
  <c r="T214" i="5" s="1"/>
  <c r="W214" i="5" s="1"/>
  <c r="L246" i="5"/>
  <c r="T246" i="5" s="1"/>
  <c r="U246" i="5" s="1"/>
  <c r="L278" i="5"/>
  <c r="T278" i="5" s="1"/>
  <c r="U278" i="5" s="1"/>
  <c r="L5" i="5"/>
  <c r="T5" i="5" s="1"/>
  <c r="L37" i="5"/>
  <c r="T37" i="5" s="1"/>
  <c r="L69" i="5"/>
  <c r="T69" i="5" s="1"/>
  <c r="V69" i="5" s="1"/>
  <c r="L101" i="5"/>
  <c r="T101" i="5" s="1"/>
  <c r="V101" i="5" s="1"/>
  <c r="L133" i="5"/>
  <c r="T133" i="5" s="1"/>
  <c r="L165" i="5"/>
  <c r="T165" i="5" s="1"/>
  <c r="L197" i="5"/>
  <c r="T197" i="5" s="1"/>
  <c r="V197" i="5" s="1"/>
  <c r="L229" i="5"/>
  <c r="L261" i="5"/>
  <c r="L293" i="5"/>
  <c r="L325" i="5"/>
  <c r="T325" i="5" s="1"/>
  <c r="U325" i="5" s="1"/>
  <c r="L357" i="5"/>
  <c r="T357" i="5" s="1"/>
  <c r="V357" i="5" s="1"/>
  <c r="L389" i="5"/>
  <c r="L421" i="5"/>
  <c r="T421" i="5" s="1"/>
  <c r="L453" i="5"/>
  <c r="T453" i="5" s="1"/>
  <c r="U453" i="5" s="1"/>
  <c r="L485" i="5"/>
  <c r="T485" i="5" s="1"/>
  <c r="V485" i="5" s="1"/>
  <c r="L517" i="5"/>
  <c r="L549" i="5"/>
  <c r="T549" i="5" s="1"/>
  <c r="V549" i="5" s="1"/>
  <c r="L510" i="5"/>
  <c r="T510" i="5" s="1"/>
  <c r="U510" i="5" s="1"/>
  <c r="L562" i="5"/>
  <c r="T562" i="5" s="1"/>
  <c r="U562" i="5" s="1"/>
  <c r="M566" i="5"/>
  <c r="O566" i="5" s="1"/>
  <c r="L566" i="5"/>
  <c r="M554" i="5"/>
  <c r="O554" i="5" s="1"/>
  <c r="L554" i="5"/>
  <c r="M546" i="5"/>
  <c r="O546" i="5" s="1"/>
  <c r="L546" i="5"/>
  <c r="M514" i="5"/>
  <c r="O514" i="5" s="1"/>
  <c r="L514" i="5"/>
  <c r="M498" i="5"/>
  <c r="O498" i="5" s="1"/>
  <c r="L498" i="5"/>
  <c r="M482" i="5"/>
  <c r="O482" i="5" s="1"/>
  <c r="L482" i="5"/>
  <c r="M470" i="5"/>
  <c r="O470" i="5" s="1"/>
  <c r="L470" i="5"/>
  <c r="M454" i="5"/>
  <c r="O454" i="5" s="1"/>
  <c r="L454" i="5"/>
  <c r="M442" i="5"/>
  <c r="O442" i="5" s="1"/>
  <c r="L442" i="5"/>
  <c r="M430" i="5"/>
  <c r="O430" i="5" s="1"/>
  <c r="L430" i="5"/>
  <c r="M414" i="5"/>
  <c r="O414" i="5" s="1"/>
  <c r="L414" i="5"/>
  <c r="M398" i="5"/>
  <c r="O398" i="5" s="1"/>
  <c r="L398" i="5"/>
  <c r="M386" i="5"/>
  <c r="O386" i="5" s="1"/>
  <c r="L386" i="5"/>
  <c r="M362" i="5"/>
  <c r="O362" i="5" s="1"/>
  <c r="L362" i="5"/>
  <c r="M354" i="5"/>
  <c r="O354" i="5" s="1"/>
  <c r="L354" i="5"/>
  <c r="M342" i="5"/>
  <c r="O342" i="5" s="1"/>
  <c r="L342" i="5"/>
  <c r="M330" i="5"/>
  <c r="O330" i="5" s="1"/>
  <c r="L330" i="5"/>
  <c r="M318" i="5"/>
  <c r="O318" i="5" s="1"/>
  <c r="L318" i="5"/>
  <c r="M306" i="5"/>
  <c r="O306" i="5" s="1"/>
  <c r="L306" i="5"/>
  <c r="M298" i="5"/>
  <c r="O298" i="5" s="1"/>
  <c r="L298" i="5"/>
  <c r="M290" i="5"/>
  <c r="O290" i="5" s="1"/>
  <c r="L290" i="5"/>
  <c r="M282" i="5"/>
  <c r="O282" i="5" s="1"/>
  <c r="L282" i="5"/>
  <c r="M258" i="5"/>
  <c r="O258" i="5" s="1"/>
  <c r="L258" i="5"/>
  <c r="M186" i="5"/>
  <c r="O186" i="5" s="1"/>
  <c r="L186" i="5"/>
  <c r="M162" i="5"/>
  <c r="O162" i="5" s="1"/>
  <c r="L162" i="5"/>
  <c r="M130" i="5"/>
  <c r="O130" i="5" s="1"/>
  <c r="L130" i="5"/>
  <c r="M122" i="5"/>
  <c r="O122" i="5" s="1"/>
  <c r="L122" i="5"/>
  <c r="M114" i="5"/>
  <c r="O114" i="5" s="1"/>
  <c r="L114" i="5"/>
  <c r="M98" i="5"/>
  <c r="O98" i="5" s="1"/>
  <c r="L98" i="5"/>
  <c r="M82" i="5"/>
  <c r="O82" i="5" s="1"/>
  <c r="L82" i="5"/>
  <c r="M74" i="5"/>
  <c r="O74" i="5" s="1"/>
  <c r="L74" i="5"/>
  <c r="M66" i="5"/>
  <c r="O66" i="5" s="1"/>
  <c r="L66" i="5"/>
  <c r="M58" i="5"/>
  <c r="O58" i="5" s="1"/>
  <c r="L58" i="5"/>
  <c r="M50" i="5"/>
  <c r="O50" i="5" s="1"/>
  <c r="L50" i="5"/>
  <c r="M26" i="5"/>
  <c r="O26" i="5" s="1"/>
  <c r="L26" i="5"/>
  <c r="L6" i="5"/>
  <c r="T6" i="5" s="1"/>
  <c r="L38" i="5"/>
  <c r="T38" i="5" s="1"/>
  <c r="W38" i="5" s="1"/>
  <c r="L102" i="5"/>
  <c r="T102" i="5" s="1"/>
  <c r="L166" i="5"/>
  <c r="T166" i="5" s="1"/>
  <c r="W166" i="5" s="1"/>
  <c r="L230" i="5"/>
  <c r="T230" i="5" s="1"/>
  <c r="M569" i="5"/>
  <c r="O569" i="5" s="1"/>
  <c r="L569" i="5"/>
  <c r="M561" i="5"/>
  <c r="O561" i="5" s="1"/>
  <c r="L561" i="5"/>
  <c r="M553" i="5"/>
  <c r="O553" i="5" s="1"/>
  <c r="L553" i="5"/>
  <c r="M537" i="5"/>
  <c r="O537" i="5" s="1"/>
  <c r="L537" i="5"/>
  <c r="M529" i="5"/>
  <c r="O529" i="5" s="1"/>
  <c r="L529" i="5"/>
  <c r="M521" i="5"/>
  <c r="O521" i="5" s="1"/>
  <c r="L521" i="5"/>
  <c r="M513" i="5"/>
  <c r="O513" i="5" s="1"/>
  <c r="L513" i="5"/>
  <c r="M505" i="5"/>
  <c r="O505" i="5" s="1"/>
  <c r="L505" i="5"/>
  <c r="M481" i="5"/>
  <c r="O481" i="5" s="1"/>
  <c r="L481" i="5"/>
  <c r="M473" i="5"/>
  <c r="O473" i="5" s="1"/>
  <c r="L473" i="5"/>
  <c r="M457" i="5"/>
  <c r="O457" i="5" s="1"/>
  <c r="L457" i="5"/>
  <c r="M449" i="5"/>
  <c r="O449" i="5" s="1"/>
  <c r="L449" i="5"/>
  <c r="M441" i="5"/>
  <c r="O441" i="5" s="1"/>
  <c r="L441" i="5"/>
  <c r="M433" i="5"/>
  <c r="O433" i="5" s="1"/>
  <c r="L433" i="5"/>
  <c r="M409" i="5"/>
  <c r="O409" i="5" s="1"/>
  <c r="L409" i="5"/>
  <c r="M401" i="5"/>
  <c r="O401" i="5" s="1"/>
  <c r="L401" i="5"/>
  <c r="M377" i="5"/>
  <c r="O377" i="5" s="1"/>
  <c r="L377" i="5"/>
  <c r="M369" i="5"/>
  <c r="O369" i="5" s="1"/>
  <c r="L369" i="5"/>
  <c r="M361" i="5"/>
  <c r="O361" i="5" s="1"/>
  <c r="L361" i="5"/>
  <c r="M353" i="5"/>
  <c r="O353" i="5" s="1"/>
  <c r="L353" i="5"/>
  <c r="M337" i="5"/>
  <c r="O337" i="5" s="1"/>
  <c r="L337" i="5"/>
  <c r="M329" i="5"/>
  <c r="O329" i="5" s="1"/>
  <c r="L329" i="5"/>
  <c r="M321" i="5"/>
  <c r="O321" i="5" s="1"/>
  <c r="L321" i="5"/>
  <c r="M297" i="5"/>
  <c r="O297" i="5" s="1"/>
  <c r="L297" i="5"/>
  <c r="M289" i="5"/>
  <c r="O289" i="5" s="1"/>
  <c r="L289" i="5"/>
  <c r="M281" i="5"/>
  <c r="O281" i="5" s="1"/>
  <c r="L281" i="5"/>
  <c r="M273" i="5"/>
  <c r="O273" i="5" s="1"/>
  <c r="L273" i="5"/>
  <c r="M265" i="5"/>
  <c r="O265" i="5" s="1"/>
  <c r="L265" i="5"/>
  <c r="M257" i="5"/>
  <c r="O257" i="5" s="1"/>
  <c r="L257" i="5"/>
  <c r="M249" i="5"/>
  <c r="O249" i="5" s="1"/>
  <c r="L249" i="5"/>
  <c r="M241" i="5"/>
  <c r="O241" i="5" s="1"/>
  <c r="L241" i="5"/>
  <c r="M201" i="5"/>
  <c r="O201" i="5" s="1"/>
  <c r="L201" i="5"/>
  <c r="M137" i="5"/>
  <c r="O137" i="5" s="1"/>
  <c r="L137" i="5"/>
  <c r="M129" i="5"/>
  <c r="O129" i="5" s="1"/>
  <c r="L129" i="5"/>
  <c r="M113" i="5"/>
  <c r="O113" i="5" s="1"/>
  <c r="L113" i="5"/>
  <c r="M97" i="5"/>
  <c r="O97" i="5" s="1"/>
  <c r="L97" i="5"/>
  <c r="M65" i="5"/>
  <c r="O65" i="5" s="1"/>
  <c r="L65" i="5"/>
  <c r="M49" i="5"/>
  <c r="O49" i="5" s="1"/>
  <c r="L49" i="5"/>
  <c r="M17" i="5"/>
  <c r="O17" i="5" s="1"/>
  <c r="L17" i="5"/>
  <c r="L30" i="5"/>
  <c r="L94" i="5"/>
  <c r="L126" i="5"/>
  <c r="T126" i="5" s="1"/>
  <c r="L158" i="5"/>
  <c r="L222" i="5"/>
  <c r="L254" i="5"/>
  <c r="L45" i="5"/>
  <c r="T45" i="5" s="1"/>
  <c r="L77" i="5"/>
  <c r="T77" i="5" s="1"/>
  <c r="L173" i="5"/>
  <c r="L269" i="5"/>
  <c r="T269" i="5" s="1"/>
  <c r="L333" i="5"/>
  <c r="L365" i="5"/>
  <c r="T365" i="5" s="1"/>
  <c r="L429" i="5"/>
  <c r="T429" i="5" s="1"/>
  <c r="L493" i="5"/>
  <c r="T493" i="5" s="1"/>
  <c r="L557" i="5"/>
  <c r="T557" i="5" s="1"/>
  <c r="L574" i="5"/>
  <c r="T574" i="5" s="1"/>
  <c r="L150" i="5"/>
  <c r="T150" i="5" s="1"/>
  <c r="X150" i="5" s="1"/>
  <c r="L14" i="5"/>
  <c r="T14" i="5" s="1"/>
  <c r="L46" i="5"/>
  <c r="T46" i="5" s="1"/>
  <c r="V46" i="5" s="1"/>
  <c r="L78" i="5"/>
  <c r="T78" i="5" s="1"/>
  <c r="L110" i="5"/>
  <c r="T110" i="5" s="1"/>
  <c r="V110" i="5" s="1"/>
  <c r="L142" i="5"/>
  <c r="T142" i="5" s="1"/>
  <c r="L174" i="5"/>
  <c r="T174" i="5" s="1"/>
  <c r="V174" i="5" s="1"/>
  <c r="L206" i="5"/>
  <c r="T206" i="5" s="1"/>
  <c r="L238" i="5"/>
  <c r="T238" i="5" s="1"/>
  <c r="V238" i="5" s="1"/>
  <c r="L270" i="5"/>
  <c r="T270" i="5" s="1"/>
  <c r="L374" i="5"/>
  <c r="T374" i="5" s="1"/>
  <c r="L29" i="5"/>
  <c r="T29" i="5" s="1"/>
  <c r="L61" i="5"/>
  <c r="T61" i="5" s="1"/>
  <c r="L93" i="5"/>
  <c r="T93" i="5" s="1"/>
  <c r="L125" i="5"/>
  <c r="T125" i="5" s="1"/>
  <c r="L157" i="5"/>
  <c r="L189" i="5"/>
  <c r="T189" i="5" s="1"/>
  <c r="L221" i="5"/>
  <c r="T221" i="5" s="1"/>
  <c r="L253" i="5"/>
  <c r="T253" i="5" s="1"/>
  <c r="L285" i="5"/>
  <c r="T285" i="5" s="1"/>
  <c r="L317" i="5"/>
  <c r="T317" i="5" s="1"/>
  <c r="L349" i="5"/>
  <c r="T349" i="5" s="1"/>
  <c r="V349" i="5" s="1"/>
  <c r="L381" i="5"/>
  <c r="T381" i="5" s="1"/>
  <c r="L413" i="5"/>
  <c r="T413" i="5" s="1"/>
  <c r="L445" i="5"/>
  <c r="T445" i="5" s="1"/>
  <c r="L477" i="5"/>
  <c r="T477" i="5" s="1"/>
  <c r="L509" i="5"/>
  <c r="T509" i="5" s="1"/>
  <c r="L541" i="5"/>
  <c r="T541" i="5" s="1"/>
  <c r="L573" i="5"/>
  <c r="T573" i="5" s="1"/>
  <c r="L550" i="5"/>
  <c r="T550" i="5" s="1"/>
  <c r="V550" i="5" s="1"/>
  <c r="M542" i="5"/>
  <c r="O542" i="5" s="1"/>
  <c r="L542" i="5"/>
  <c r="M530" i="5"/>
  <c r="O530" i="5" s="1"/>
  <c r="L530" i="5"/>
  <c r="M518" i="5"/>
  <c r="O518" i="5" s="1"/>
  <c r="L518" i="5"/>
  <c r="M506" i="5"/>
  <c r="O506" i="5" s="1"/>
  <c r="L506" i="5"/>
  <c r="M494" i="5"/>
  <c r="O494" i="5" s="1"/>
  <c r="L494" i="5"/>
  <c r="M486" i="5"/>
  <c r="O486" i="5" s="1"/>
  <c r="L486" i="5"/>
  <c r="M474" i="5"/>
  <c r="O474" i="5" s="1"/>
  <c r="L474" i="5"/>
  <c r="M462" i="5"/>
  <c r="O462" i="5" s="1"/>
  <c r="L462" i="5"/>
  <c r="M450" i="5"/>
  <c r="O450" i="5" s="1"/>
  <c r="L450" i="5"/>
  <c r="M434" i="5"/>
  <c r="O434" i="5" s="1"/>
  <c r="L434" i="5"/>
  <c r="M422" i="5"/>
  <c r="O422" i="5" s="1"/>
  <c r="L422" i="5"/>
  <c r="M410" i="5"/>
  <c r="O410" i="5" s="1"/>
  <c r="L410" i="5"/>
  <c r="M402" i="5"/>
  <c r="O402" i="5" s="1"/>
  <c r="L402" i="5"/>
  <c r="M394" i="5"/>
  <c r="O394" i="5" s="1"/>
  <c r="L394" i="5"/>
  <c r="M382" i="5"/>
  <c r="O382" i="5" s="1"/>
  <c r="L382" i="5"/>
  <c r="M370" i="5"/>
  <c r="O370" i="5" s="1"/>
  <c r="L370" i="5"/>
  <c r="M358" i="5"/>
  <c r="O358" i="5" s="1"/>
  <c r="L358" i="5"/>
  <c r="M346" i="5"/>
  <c r="O346" i="5" s="1"/>
  <c r="L346" i="5"/>
  <c r="M338" i="5"/>
  <c r="O338" i="5" s="1"/>
  <c r="L338" i="5"/>
  <c r="M326" i="5"/>
  <c r="O326" i="5" s="1"/>
  <c r="L326" i="5"/>
  <c r="M314" i="5"/>
  <c r="O314" i="5" s="1"/>
  <c r="L314" i="5"/>
  <c r="M302" i="5"/>
  <c r="O302" i="5" s="1"/>
  <c r="L302" i="5"/>
  <c r="M286" i="5"/>
  <c r="O286" i="5" s="1"/>
  <c r="L286" i="5"/>
  <c r="M274" i="5"/>
  <c r="O274" i="5" s="1"/>
  <c r="L274" i="5"/>
  <c r="M250" i="5"/>
  <c r="O250" i="5" s="1"/>
  <c r="L250" i="5"/>
  <c r="M242" i="5"/>
  <c r="O242" i="5" s="1"/>
  <c r="L242" i="5"/>
  <c r="M226" i="5"/>
  <c r="O226" i="5" s="1"/>
  <c r="L226" i="5"/>
  <c r="M218" i="5"/>
  <c r="O218" i="5" s="1"/>
  <c r="L218" i="5"/>
  <c r="M178" i="5"/>
  <c r="O178" i="5" s="1"/>
  <c r="L178" i="5"/>
  <c r="L487" i="5"/>
  <c r="L495" i="5"/>
  <c r="T495" i="5" s="1"/>
  <c r="L507" i="5"/>
  <c r="T507" i="5" s="1"/>
  <c r="L51" i="5"/>
  <c r="T51" i="5" s="1"/>
  <c r="L71" i="5"/>
  <c r="T71" i="5" s="1"/>
  <c r="L87" i="5"/>
  <c r="T87" i="5" s="1"/>
  <c r="L103" i="5"/>
  <c r="T103" i="5" s="1"/>
  <c r="L119" i="5"/>
  <c r="T119" i="5" s="1"/>
  <c r="L135" i="5"/>
  <c r="T135" i="5" s="1"/>
  <c r="L151" i="5"/>
  <c r="T151" i="5" s="1"/>
  <c r="L167" i="5"/>
  <c r="T167" i="5" s="1"/>
  <c r="L307" i="5"/>
  <c r="T307" i="5" s="1"/>
  <c r="L327" i="5"/>
  <c r="T327" i="5" s="1"/>
  <c r="L343" i="5"/>
  <c r="T343" i="5" s="1"/>
  <c r="L359" i="5"/>
  <c r="T359" i="5" s="1"/>
  <c r="L375" i="5"/>
  <c r="T375" i="5" s="1"/>
  <c r="L391" i="5"/>
  <c r="T391" i="5" s="1"/>
  <c r="V391" i="5" s="1"/>
  <c r="L407" i="5"/>
  <c r="T407" i="5" s="1"/>
  <c r="L419" i="5"/>
  <c r="T419" i="5" s="1"/>
  <c r="L511" i="5"/>
  <c r="T511" i="5" s="1"/>
  <c r="L523" i="5"/>
  <c r="T523" i="5" s="1"/>
  <c r="L531" i="5"/>
  <c r="L539" i="5"/>
  <c r="T539" i="5" s="1"/>
  <c r="L547" i="5"/>
  <c r="T547" i="5" s="1"/>
  <c r="L559" i="5"/>
  <c r="L571" i="5"/>
  <c r="T571" i="5" s="1"/>
  <c r="L12" i="5"/>
  <c r="T12" i="5" s="1"/>
  <c r="L28" i="5"/>
  <c r="L44" i="5"/>
  <c r="T44" i="5" s="1"/>
  <c r="L56" i="5"/>
  <c r="T56" i="5" s="1"/>
  <c r="L72" i="5"/>
  <c r="T72" i="5" s="1"/>
  <c r="L92" i="5"/>
  <c r="T92" i="5" s="1"/>
  <c r="L108" i="5"/>
  <c r="T108" i="5" s="1"/>
  <c r="L124" i="5"/>
  <c r="T124" i="5" s="1"/>
  <c r="L140" i="5"/>
  <c r="T140" i="5" s="1"/>
  <c r="L156" i="5"/>
  <c r="T156" i="5" s="1"/>
  <c r="L172" i="5"/>
  <c r="L188" i="5"/>
  <c r="T188" i="5" s="1"/>
  <c r="V188" i="5" s="1"/>
  <c r="L200" i="5"/>
  <c r="T200" i="5" s="1"/>
  <c r="L216" i="5"/>
  <c r="T216" i="5" s="1"/>
  <c r="L232" i="5"/>
  <c r="L248" i="5"/>
  <c r="T248" i="5" s="1"/>
  <c r="L256" i="5"/>
  <c r="T256" i="5" s="1"/>
  <c r="L264" i="5"/>
  <c r="T264" i="5" s="1"/>
  <c r="L272" i="5"/>
  <c r="T272" i="5" s="1"/>
  <c r="L280" i="5"/>
  <c r="T280" i="5" s="1"/>
  <c r="L288" i="5"/>
  <c r="T288" i="5" s="1"/>
  <c r="L296" i="5"/>
  <c r="T296" i="5" s="1"/>
  <c r="L304" i="5"/>
  <c r="L312" i="5"/>
  <c r="T312" i="5" s="1"/>
  <c r="L320" i="5"/>
  <c r="T320" i="5" s="1"/>
  <c r="L328" i="5"/>
  <c r="T328" i="5" s="1"/>
  <c r="L336" i="5"/>
  <c r="T336" i="5" s="1"/>
  <c r="L344" i="5"/>
  <c r="T344" i="5" s="1"/>
  <c r="L352" i="5"/>
  <c r="T352" i="5" s="1"/>
  <c r="L360" i="5"/>
  <c r="T360" i="5" s="1"/>
  <c r="L368" i="5"/>
  <c r="T368" i="5" s="1"/>
  <c r="X368" i="5" s="1"/>
  <c r="L376" i="5"/>
  <c r="T376" i="5" s="1"/>
  <c r="L384" i="5"/>
  <c r="T384" i="5" s="1"/>
  <c r="L392" i="5"/>
  <c r="T392" i="5" s="1"/>
  <c r="L400" i="5"/>
  <c r="T400" i="5" s="1"/>
  <c r="L408" i="5"/>
  <c r="T408" i="5" s="1"/>
  <c r="L416" i="5"/>
  <c r="T416" i="5" s="1"/>
  <c r="L424" i="5"/>
  <c r="T424" i="5" s="1"/>
  <c r="L432" i="5"/>
  <c r="T432" i="5" s="1"/>
  <c r="L440" i="5"/>
  <c r="T440" i="5" s="1"/>
  <c r="L448" i="5"/>
  <c r="T448" i="5" s="1"/>
  <c r="L456" i="5"/>
  <c r="T456" i="5" s="1"/>
  <c r="L464" i="5"/>
  <c r="L472" i="5"/>
  <c r="T472" i="5" s="1"/>
  <c r="L480" i="5"/>
  <c r="T480" i="5" s="1"/>
  <c r="L488" i="5"/>
  <c r="T488" i="5" s="1"/>
  <c r="L496" i="5"/>
  <c r="T496" i="5" s="1"/>
  <c r="L504" i="5"/>
  <c r="L512" i="5"/>
  <c r="T512" i="5" s="1"/>
  <c r="V512" i="5" s="1"/>
  <c r="L520" i="5"/>
  <c r="T520" i="5" s="1"/>
  <c r="L528" i="5"/>
  <c r="L536" i="5"/>
  <c r="L544" i="5"/>
  <c r="T544" i="5" s="1"/>
  <c r="L552" i="5"/>
  <c r="L560" i="5"/>
  <c r="T560" i="5" s="1"/>
  <c r="L568" i="5"/>
  <c r="T568" i="5" s="1"/>
  <c r="L7" i="5"/>
  <c r="T7" i="5" s="1"/>
  <c r="L15" i="5"/>
  <c r="L23" i="5"/>
  <c r="T23" i="5" s="1"/>
  <c r="X23" i="5" s="1"/>
  <c r="L31" i="5"/>
  <c r="L39" i="5"/>
  <c r="T39" i="5" s="1"/>
  <c r="L47" i="5"/>
  <c r="L59" i="5"/>
  <c r="T59" i="5" s="1"/>
  <c r="V59" i="5" s="1"/>
  <c r="L75" i="5"/>
  <c r="T75" i="5" s="1"/>
  <c r="L91" i="5"/>
  <c r="T91" i="5" s="1"/>
  <c r="V91" i="5" s="1"/>
  <c r="L107" i="5"/>
  <c r="T107" i="5" s="1"/>
  <c r="L123" i="5"/>
  <c r="T123" i="5" s="1"/>
  <c r="V123" i="5" s="1"/>
  <c r="L139" i="5"/>
  <c r="T139" i="5" s="1"/>
  <c r="L155" i="5"/>
  <c r="T155" i="5" s="1"/>
  <c r="V155" i="5" s="1"/>
  <c r="L171" i="5"/>
  <c r="T171" i="5" s="1"/>
  <c r="L179" i="5"/>
  <c r="T179" i="5" s="1"/>
  <c r="L187" i="5"/>
  <c r="T187" i="5" s="1"/>
  <c r="V187" i="5" s="1"/>
  <c r="L195" i="5"/>
  <c r="T195" i="5" s="1"/>
  <c r="V195" i="5" s="1"/>
  <c r="L207" i="5"/>
  <c r="L223" i="5"/>
  <c r="L243" i="5"/>
  <c r="T243" i="5" s="1"/>
  <c r="L255" i="5"/>
  <c r="T255" i="5" s="1"/>
  <c r="L275" i="5"/>
  <c r="T275" i="5" s="1"/>
  <c r="L291" i="5"/>
  <c r="T291" i="5" s="1"/>
  <c r="L299" i="5"/>
  <c r="T299" i="5" s="1"/>
  <c r="L311" i="5"/>
  <c r="T311" i="5" s="1"/>
  <c r="L323" i="5"/>
  <c r="T323" i="5" s="1"/>
  <c r="L339" i="5"/>
  <c r="T339" i="5" s="1"/>
  <c r="L355" i="5"/>
  <c r="T355" i="5" s="1"/>
  <c r="L371" i="5"/>
  <c r="T371" i="5" s="1"/>
  <c r="L387" i="5"/>
  <c r="T387" i="5" s="1"/>
  <c r="L403" i="5"/>
  <c r="T403" i="5" s="1"/>
  <c r="L423" i="5"/>
  <c r="T423" i="5" s="1"/>
  <c r="L431" i="5"/>
  <c r="T431" i="5" s="1"/>
  <c r="L443" i="5"/>
  <c r="T443" i="5" s="1"/>
  <c r="L551" i="5"/>
  <c r="T551" i="5" s="1"/>
  <c r="L575" i="5"/>
  <c r="T575" i="5" s="1"/>
  <c r="V575" i="5" s="1"/>
  <c r="L16" i="5"/>
  <c r="T16" i="5" s="1"/>
  <c r="L32" i="5"/>
  <c r="T32" i="5" s="1"/>
  <c r="L52" i="5"/>
  <c r="L68" i="5"/>
  <c r="T68" i="5" s="1"/>
  <c r="L84" i="5"/>
  <c r="T84" i="5" s="1"/>
  <c r="L96" i="5"/>
  <c r="L112" i="5"/>
  <c r="T112" i="5" s="1"/>
  <c r="L128" i="5"/>
  <c r="T128" i="5" s="1"/>
  <c r="L144" i="5"/>
  <c r="T144" i="5" s="1"/>
  <c r="L160" i="5"/>
  <c r="T160" i="5" s="1"/>
  <c r="L176" i="5"/>
  <c r="T176" i="5" s="1"/>
  <c r="L196" i="5"/>
  <c r="T196" i="5" s="1"/>
  <c r="L212" i="5"/>
  <c r="T212" i="5" s="1"/>
  <c r="L228" i="5"/>
  <c r="T228" i="5" s="1"/>
  <c r="L244" i="5"/>
  <c r="T244" i="5" s="1"/>
  <c r="L211" i="5"/>
  <c r="T211" i="5" s="1"/>
  <c r="L227" i="5"/>
  <c r="T227" i="5" s="1"/>
  <c r="V227" i="5" s="1"/>
  <c r="L239" i="5"/>
  <c r="L259" i="5"/>
  <c r="T259" i="5" s="1"/>
  <c r="V259" i="5" s="1"/>
  <c r="L271" i="5"/>
  <c r="L287" i="5"/>
  <c r="T287" i="5" s="1"/>
  <c r="L447" i="5"/>
  <c r="T447" i="5" s="1"/>
  <c r="L459" i="5"/>
  <c r="T459" i="5" s="1"/>
  <c r="L467" i="5"/>
  <c r="T467" i="5" s="1"/>
  <c r="L479" i="5"/>
  <c r="T479" i="5" s="1"/>
  <c r="L556" i="5"/>
  <c r="T556" i="5" s="1"/>
  <c r="V556" i="5" s="1"/>
  <c r="L572" i="5"/>
  <c r="T31" i="5" l="1"/>
  <c r="T536" i="5"/>
  <c r="T504" i="5"/>
  <c r="T531" i="5"/>
  <c r="U531" i="5" s="1"/>
  <c r="T254" i="5"/>
  <c r="V254" i="5" s="1"/>
  <c r="T94" i="5"/>
  <c r="T50" i="5"/>
  <c r="T66" i="5"/>
  <c r="T82" i="5"/>
  <c r="T114" i="5"/>
  <c r="T130" i="5"/>
  <c r="T186" i="5"/>
  <c r="T282" i="5"/>
  <c r="T298" i="5"/>
  <c r="T420" i="5"/>
  <c r="V420" i="5" s="1"/>
  <c r="T471" i="5"/>
  <c r="T143" i="5"/>
  <c r="T363" i="5"/>
  <c r="U363" i="5" s="1"/>
  <c r="T136" i="5"/>
  <c r="T415" i="5"/>
  <c r="U415" i="5" s="1"/>
  <c r="T184" i="5"/>
  <c r="T175" i="5"/>
  <c r="U175" i="5" s="1"/>
  <c r="T271" i="5"/>
  <c r="X271" i="5" s="1"/>
  <c r="T572" i="5"/>
  <c r="X572" i="5" s="1"/>
  <c r="T52" i="5"/>
  <c r="T223" i="5"/>
  <c r="T528" i="5"/>
  <c r="T464" i="5"/>
  <c r="U464" i="5" s="1"/>
  <c r="T304" i="5"/>
  <c r="T232" i="5"/>
  <c r="T172" i="5"/>
  <c r="T559" i="5"/>
  <c r="W559" i="5" s="1"/>
  <c r="T487" i="5"/>
  <c r="T173" i="5"/>
  <c r="T222" i="5"/>
  <c r="T30" i="5"/>
  <c r="V30" i="5" s="1"/>
  <c r="T293" i="5"/>
  <c r="T190" i="5"/>
  <c r="V190" i="5" s="1"/>
  <c r="T79" i="5"/>
  <c r="T303" i="5"/>
  <c r="U303" i="5" s="1"/>
  <c r="T396" i="5"/>
  <c r="T268" i="5"/>
  <c r="T36" i="5"/>
  <c r="T159" i="5"/>
  <c r="W159" i="5" s="1"/>
  <c r="T439" i="5"/>
  <c r="X439" i="5" s="1"/>
  <c r="T411" i="5"/>
  <c r="T127" i="5"/>
  <c r="T347" i="5"/>
  <c r="W347" i="5" s="1"/>
  <c r="T372" i="5"/>
  <c r="T451" i="5"/>
  <c r="V451" i="5" s="1"/>
  <c r="T333" i="5"/>
  <c r="W333" i="5" s="1"/>
  <c r="T229" i="5"/>
  <c r="U229" i="5" s="1"/>
  <c r="T239" i="5"/>
  <c r="T96" i="5"/>
  <c r="T207" i="5"/>
  <c r="W207" i="5" s="1"/>
  <c r="T47" i="5"/>
  <c r="V47" i="5" s="1"/>
  <c r="T15" i="5"/>
  <c r="T552" i="5"/>
  <c r="T28" i="5"/>
  <c r="X28" i="5" s="1"/>
  <c r="T157" i="5"/>
  <c r="W157" i="5" s="1"/>
  <c r="T158" i="5"/>
  <c r="T517" i="5"/>
  <c r="T389" i="5"/>
  <c r="W389" i="5" s="1"/>
  <c r="T261" i="5"/>
  <c r="W261" i="5" s="1"/>
  <c r="T397" i="5"/>
  <c r="V397" i="5" s="1"/>
  <c r="T62" i="5"/>
  <c r="V62" i="5" s="1"/>
  <c r="T469" i="5"/>
  <c r="X469" i="5" s="1"/>
  <c r="T555" i="5"/>
  <c r="U555" i="5" s="1"/>
  <c r="T383" i="5"/>
  <c r="T95" i="5"/>
  <c r="T379" i="5"/>
  <c r="X379" i="5" s="1"/>
  <c r="T63" i="5"/>
  <c r="W63" i="5" s="1"/>
  <c r="T111" i="5"/>
  <c r="T318" i="5"/>
  <c r="T342" i="5"/>
  <c r="T362" i="5"/>
  <c r="V362" i="5" s="1"/>
  <c r="T398" i="5"/>
  <c r="W398" i="5" s="1"/>
  <c r="T430" i="5"/>
  <c r="T454" i="5"/>
  <c r="T482" i="5"/>
  <c r="W482" i="5" s="1"/>
  <c r="T514" i="5"/>
  <c r="W514" i="5" s="1"/>
  <c r="T554" i="5"/>
  <c r="T9" i="5"/>
  <c r="T33" i="5"/>
  <c r="V33" i="5" s="1"/>
  <c r="T26" i="5"/>
  <c r="X26" i="5" s="1"/>
  <c r="T58" i="5"/>
  <c r="T74" i="5"/>
  <c r="T98" i="5"/>
  <c r="W98" i="5" s="1"/>
  <c r="T122" i="5"/>
  <c r="X122" i="5" s="1"/>
  <c r="T162" i="5"/>
  <c r="T258" i="5"/>
  <c r="T290" i="5"/>
  <c r="U290" i="5" s="1"/>
  <c r="T306" i="5"/>
  <c r="X306" i="5" s="1"/>
  <c r="T330" i="5"/>
  <c r="T354" i="5"/>
  <c r="T386" i="5"/>
  <c r="W386" i="5" s="1"/>
  <c r="T414" i="5"/>
  <c r="X414" i="5" s="1"/>
  <c r="T442" i="5"/>
  <c r="T470" i="5"/>
  <c r="T498" i="5"/>
  <c r="V498" i="5" s="1"/>
  <c r="T546" i="5"/>
  <c r="X546" i="5" s="1"/>
  <c r="T178" i="5"/>
  <c r="T226" i="5"/>
  <c r="W226" i="5" s="1"/>
  <c r="T250" i="5"/>
  <c r="X250" i="5" s="1"/>
  <c r="T286" i="5"/>
  <c r="W286" i="5" s="1"/>
  <c r="T314" i="5"/>
  <c r="X314" i="5" s="1"/>
  <c r="T338" i="5"/>
  <c r="W338" i="5" s="1"/>
  <c r="T358" i="5"/>
  <c r="U358" i="5" s="1"/>
  <c r="T382" i="5"/>
  <c r="X382" i="5" s="1"/>
  <c r="T402" i="5"/>
  <c r="W402" i="5" s="1"/>
  <c r="T422" i="5"/>
  <c r="W422" i="5" s="1"/>
  <c r="T450" i="5"/>
  <c r="U450" i="5" s="1"/>
  <c r="T474" i="5"/>
  <c r="W474" i="5" s="1"/>
  <c r="T494" i="5"/>
  <c r="X494" i="5" s="1"/>
  <c r="T518" i="5"/>
  <c r="W518" i="5" s="1"/>
  <c r="T542" i="5"/>
  <c r="W542" i="5" s="1"/>
  <c r="T17" i="5"/>
  <c r="U17" i="5" s="1"/>
  <c r="T65" i="5"/>
  <c r="W65" i="5" s="1"/>
  <c r="T113" i="5"/>
  <c r="W113" i="5" s="1"/>
  <c r="T137" i="5"/>
  <c r="X137" i="5" s="1"/>
  <c r="T241" i="5"/>
  <c r="X241" i="5" s="1"/>
  <c r="T257" i="5"/>
  <c r="V257" i="5" s="1"/>
  <c r="T273" i="5"/>
  <c r="W273" i="5" s="1"/>
  <c r="T218" i="5"/>
  <c r="W218" i="5" s="1"/>
  <c r="T242" i="5"/>
  <c r="V242" i="5" s="1"/>
  <c r="T274" i="5"/>
  <c r="X274" i="5" s="1"/>
  <c r="T302" i="5"/>
  <c r="X302" i="5" s="1"/>
  <c r="T326" i="5"/>
  <c r="U326" i="5" s="1"/>
  <c r="T346" i="5"/>
  <c r="W346" i="5" s="1"/>
  <c r="T370" i="5"/>
  <c r="X370" i="5" s="1"/>
  <c r="T394" i="5"/>
  <c r="X394" i="5" s="1"/>
  <c r="T410" i="5"/>
  <c r="V410" i="5" s="1"/>
  <c r="T2" i="5"/>
  <c r="W2" i="5" s="1"/>
  <c r="T18" i="5"/>
  <c r="W18" i="5" s="1"/>
  <c r="T42" i="5"/>
  <c r="U42" i="5" s="1"/>
  <c r="T106" i="5"/>
  <c r="X106" i="5" s="1"/>
  <c r="T146" i="5"/>
  <c r="U146" i="5" s="1"/>
  <c r="T170" i="5"/>
  <c r="W170" i="5" s="1"/>
  <c r="T202" i="5"/>
  <c r="W202" i="5" s="1"/>
  <c r="T234" i="5"/>
  <c r="W234" i="5" s="1"/>
  <c r="T294" i="5"/>
  <c r="U294" i="5" s="1"/>
  <c r="T322" i="5"/>
  <c r="W322" i="5" s="1"/>
  <c r="T350" i="5"/>
  <c r="W350" i="5" s="1"/>
  <c r="T378" i="5"/>
  <c r="W378" i="5" s="1"/>
  <c r="T406" i="5"/>
  <c r="X406" i="5" s="1"/>
  <c r="T426" i="5"/>
  <c r="W426" i="5" s="1"/>
  <c r="T446" i="5"/>
  <c r="W446" i="5" s="1"/>
  <c r="T466" i="5"/>
  <c r="U466" i="5" s="1"/>
  <c r="T490" i="5"/>
  <c r="X490" i="5" s="1"/>
  <c r="T522" i="5"/>
  <c r="W522" i="5" s="1"/>
  <c r="T566" i="5"/>
  <c r="W566" i="5" s="1"/>
  <c r="T25" i="5"/>
  <c r="W25" i="5" s="1"/>
  <c r="T41" i="5"/>
  <c r="W41" i="5" s="1"/>
  <c r="T73" i="5"/>
  <c r="U73" i="5" s="1"/>
  <c r="T89" i="5"/>
  <c r="X89" i="5" s="1"/>
  <c r="T121" i="5"/>
  <c r="W121" i="5" s="1"/>
  <c r="T153" i="5"/>
  <c r="W153" i="5" s="1"/>
  <c r="T169" i="5"/>
  <c r="U169" i="5" s="1"/>
  <c r="T185" i="5"/>
  <c r="V185" i="5" s="1"/>
  <c r="T209" i="5"/>
  <c r="X209" i="5" s="1"/>
  <c r="T225" i="5"/>
  <c r="W225" i="5" s="1"/>
  <c r="T305" i="5"/>
  <c r="V305" i="5" s="1"/>
  <c r="T345" i="5"/>
  <c r="U345" i="5" s="1"/>
  <c r="T393" i="5"/>
  <c r="V393" i="5" s="1"/>
  <c r="T425" i="5"/>
  <c r="V425" i="5" s="1"/>
  <c r="T489" i="5"/>
  <c r="U489" i="5" s="1"/>
  <c r="T545" i="5"/>
  <c r="W545" i="5" s="1"/>
  <c r="T289" i="5"/>
  <c r="X289" i="5" s="1"/>
  <c r="T321" i="5"/>
  <c r="V321" i="5" s="1"/>
  <c r="T337" i="5"/>
  <c r="U337" i="5" s="1"/>
  <c r="T361" i="5"/>
  <c r="X361" i="5" s="1"/>
  <c r="T377" i="5"/>
  <c r="X377" i="5" s="1"/>
  <c r="T409" i="5"/>
  <c r="W409" i="5" s="1"/>
  <c r="T441" i="5"/>
  <c r="U441" i="5" s="1"/>
  <c r="T457" i="5"/>
  <c r="X457" i="5" s="1"/>
  <c r="V43" i="5"/>
  <c r="V453" i="5"/>
  <c r="V563" i="5"/>
  <c r="V435" i="5"/>
  <c r="V499" i="5"/>
  <c r="V13" i="5"/>
  <c r="X101" i="5"/>
  <c r="X86" i="5"/>
  <c r="X499" i="5"/>
  <c r="V363" i="5"/>
  <c r="V483" i="5"/>
  <c r="V147" i="5"/>
  <c r="V235" i="5"/>
  <c r="X214" i="5"/>
  <c r="U30" i="5"/>
  <c r="X447" i="5"/>
  <c r="W447" i="5"/>
  <c r="U447" i="5"/>
  <c r="V447" i="5"/>
  <c r="X228" i="5"/>
  <c r="W228" i="5"/>
  <c r="U228" i="5"/>
  <c r="V228" i="5"/>
  <c r="W160" i="5"/>
  <c r="X160" i="5"/>
  <c r="V160" i="5"/>
  <c r="U160" i="5"/>
  <c r="W96" i="5"/>
  <c r="X96" i="5"/>
  <c r="V96" i="5"/>
  <c r="U96" i="5"/>
  <c r="W32" i="5"/>
  <c r="X32" i="5"/>
  <c r="V32" i="5"/>
  <c r="U32" i="5"/>
  <c r="X443" i="5"/>
  <c r="W443" i="5"/>
  <c r="V443" i="5"/>
  <c r="U443" i="5"/>
  <c r="W387" i="5"/>
  <c r="X387" i="5"/>
  <c r="V387" i="5"/>
  <c r="U387" i="5"/>
  <c r="W323" i="5"/>
  <c r="X323" i="5"/>
  <c r="U323" i="5"/>
  <c r="V323" i="5"/>
  <c r="X275" i="5"/>
  <c r="W275" i="5"/>
  <c r="U275" i="5"/>
  <c r="V207" i="5"/>
  <c r="U207" i="5"/>
  <c r="X171" i="5"/>
  <c r="W171" i="5"/>
  <c r="U171" i="5"/>
  <c r="X107" i="5"/>
  <c r="W107" i="5"/>
  <c r="U107" i="5"/>
  <c r="X47" i="5"/>
  <c r="W15" i="5"/>
  <c r="X15" i="5"/>
  <c r="V15" i="5"/>
  <c r="U15" i="5"/>
  <c r="X552" i="5"/>
  <c r="W552" i="5"/>
  <c r="U552" i="5"/>
  <c r="X520" i="5"/>
  <c r="W520" i="5"/>
  <c r="U520" i="5"/>
  <c r="X488" i="5"/>
  <c r="W488" i="5"/>
  <c r="V488" i="5"/>
  <c r="U488" i="5"/>
  <c r="X456" i="5"/>
  <c r="W456" i="5"/>
  <c r="V456" i="5"/>
  <c r="U456" i="5"/>
  <c r="X424" i="5"/>
  <c r="W424" i="5"/>
  <c r="V424" i="5"/>
  <c r="U424" i="5"/>
  <c r="X392" i="5"/>
  <c r="W392" i="5"/>
  <c r="V392" i="5"/>
  <c r="U392" i="5"/>
  <c r="X360" i="5"/>
  <c r="W360" i="5"/>
  <c r="V360" i="5"/>
  <c r="U360" i="5"/>
  <c r="X328" i="5"/>
  <c r="W328" i="5"/>
  <c r="V328" i="5"/>
  <c r="U328" i="5"/>
  <c r="X296" i="5"/>
  <c r="W296" i="5"/>
  <c r="V296" i="5"/>
  <c r="U296" i="5"/>
  <c r="X264" i="5"/>
  <c r="W264" i="5"/>
  <c r="V264" i="5"/>
  <c r="U264" i="5"/>
  <c r="X216" i="5"/>
  <c r="W216" i="5"/>
  <c r="V216" i="5"/>
  <c r="U216" i="5"/>
  <c r="W156" i="5"/>
  <c r="U156" i="5"/>
  <c r="X156" i="5"/>
  <c r="W92" i="5"/>
  <c r="U92" i="5"/>
  <c r="X92" i="5"/>
  <c r="W28" i="5"/>
  <c r="U28" i="5"/>
  <c r="W547" i="5"/>
  <c r="X547" i="5"/>
  <c r="U547" i="5"/>
  <c r="X511" i="5"/>
  <c r="W511" i="5"/>
  <c r="U511" i="5"/>
  <c r="V511" i="5"/>
  <c r="W375" i="5"/>
  <c r="U375" i="5"/>
  <c r="X375" i="5"/>
  <c r="V375" i="5"/>
  <c r="W307" i="5"/>
  <c r="U307" i="5"/>
  <c r="X307" i="5"/>
  <c r="W119" i="5"/>
  <c r="V119" i="5"/>
  <c r="X119" i="5"/>
  <c r="U119" i="5"/>
  <c r="X51" i="5"/>
  <c r="W51" i="5"/>
  <c r="U51" i="5"/>
  <c r="W541" i="5"/>
  <c r="U541" i="5"/>
  <c r="X541" i="5"/>
  <c r="W413" i="5"/>
  <c r="X413" i="5"/>
  <c r="V413" i="5"/>
  <c r="U413" i="5"/>
  <c r="W285" i="5"/>
  <c r="X285" i="5"/>
  <c r="V285" i="5"/>
  <c r="U285" i="5"/>
  <c r="U157" i="5"/>
  <c r="W29" i="5"/>
  <c r="X29" i="5"/>
  <c r="V29" i="5"/>
  <c r="U29" i="5"/>
  <c r="X206" i="5"/>
  <c r="W206" i="5"/>
  <c r="U206" i="5"/>
  <c r="X78" i="5"/>
  <c r="W78" i="5"/>
  <c r="U78" i="5"/>
  <c r="W574" i="5"/>
  <c r="X574" i="5"/>
  <c r="U574" i="5"/>
  <c r="X365" i="5"/>
  <c r="W365" i="5"/>
  <c r="V365" i="5"/>
  <c r="U365" i="5"/>
  <c r="X77" i="5"/>
  <c r="W77" i="5"/>
  <c r="V77" i="5"/>
  <c r="U77" i="5"/>
  <c r="X158" i="5"/>
  <c r="W158" i="5"/>
  <c r="U158" i="5"/>
  <c r="W102" i="5"/>
  <c r="V102" i="5"/>
  <c r="X102" i="5"/>
  <c r="U102" i="5"/>
  <c r="W517" i="5"/>
  <c r="X517" i="5"/>
  <c r="V517" i="5"/>
  <c r="U517" i="5"/>
  <c r="X389" i="5"/>
  <c r="V389" i="5"/>
  <c r="W133" i="5"/>
  <c r="V133" i="5"/>
  <c r="X133" i="5"/>
  <c r="U133" i="5"/>
  <c r="X5" i="5"/>
  <c r="U5" i="5"/>
  <c r="W5" i="5"/>
  <c r="V5" i="5"/>
  <c r="W182" i="5"/>
  <c r="X182" i="5"/>
  <c r="V182" i="5"/>
  <c r="U182" i="5"/>
  <c r="W22" i="5"/>
  <c r="V22" i="5"/>
  <c r="U22" i="5"/>
  <c r="X397" i="5"/>
  <c r="W397" i="5"/>
  <c r="U397" i="5"/>
  <c r="X141" i="5"/>
  <c r="V141" i="5"/>
  <c r="W141" i="5"/>
  <c r="U141" i="5"/>
  <c r="X62" i="5"/>
  <c r="W62" i="5"/>
  <c r="U62" i="5"/>
  <c r="W134" i="5"/>
  <c r="V134" i="5"/>
  <c r="X134" i="5"/>
  <c r="U134" i="5"/>
  <c r="X484" i="5"/>
  <c r="W484" i="5"/>
  <c r="U484" i="5"/>
  <c r="V484" i="5"/>
  <c r="X356" i="5"/>
  <c r="W356" i="5"/>
  <c r="U356" i="5"/>
  <c r="V356" i="5"/>
  <c r="W208" i="5"/>
  <c r="V208" i="5"/>
  <c r="X208" i="5"/>
  <c r="U208" i="5"/>
  <c r="X543" i="5"/>
  <c r="W543" i="5"/>
  <c r="U543" i="5"/>
  <c r="V543" i="5"/>
  <c r="X279" i="5"/>
  <c r="W279" i="5"/>
  <c r="U279" i="5"/>
  <c r="V279" i="5"/>
  <c r="V469" i="5"/>
  <c r="U469" i="5"/>
  <c r="W220" i="5"/>
  <c r="U220" i="5"/>
  <c r="X220" i="5"/>
  <c r="W515" i="5"/>
  <c r="X515" i="5"/>
  <c r="U515" i="5"/>
  <c r="W247" i="5"/>
  <c r="V247" i="5"/>
  <c r="X247" i="5"/>
  <c r="U247" i="5"/>
  <c r="X35" i="5"/>
  <c r="W35" i="5"/>
  <c r="U35" i="5"/>
  <c r="X180" i="5"/>
  <c r="W180" i="5"/>
  <c r="U180" i="5"/>
  <c r="V180" i="5"/>
  <c r="W492" i="5"/>
  <c r="X492" i="5"/>
  <c r="U492" i="5"/>
  <c r="V492" i="5"/>
  <c r="X364" i="5"/>
  <c r="U364" i="5"/>
  <c r="W364" i="5"/>
  <c r="V364" i="5"/>
  <c r="W224" i="5"/>
  <c r="X224" i="5"/>
  <c r="V224" i="5"/>
  <c r="U224" i="5"/>
  <c r="W555" i="5"/>
  <c r="V555" i="5"/>
  <c r="X383" i="5"/>
  <c r="W383" i="5"/>
  <c r="V383" i="5"/>
  <c r="U383" i="5"/>
  <c r="W95" i="5"/>
  <c r="X95" i="5"/>
  <c r="V95" i="5"/>
  <c r="U95" i="5"/>
  <c r="X181" i="5"/>
  <c r="W181" i="5"/>
  <c r="V181" i="5"/>
  <c r="U181" i="5"/>
  <c r="X104" i="5"/>
  <c r="W104" i="5"/>
  <c r="V104" i="5"/>
  <c r="U104" i="5"/>
  <c r="W379" i="5"/>
  <c r="U379" i="5"/>
  <c r="X163" i="5"/>
  <c r="W163" i="5"/>
  <c r="U163" i="5"/>
  <c r="X532" i="5"/>
  <c r="W532" i="5"/>
  <c r="U532" i="5"/>
  <c r="X240" i="5"/>
  <c r="V240" i="5"/>
  <c r="W240" i="5"/>
  <c r="U240" i="5"/>
  <c r="W508" i="5"/>
  <c r="X508" i="5"/>
  <c r="V508" i="5"/>
  <c r="U508" i="5"/>
  <c r="X380" i="5"/>
  <c r="W380" i="5"/>
  <c r="U380" i="5"/>
  <c r="W252" i="5"/>
  <c r="X252" i="5"/>
  <c r="U252" i="5"/>
  <c r="X4" i="5"/>
  <c r="W4" i="5"/>
  <c r="U4" i="5"/>
  <c r="V4" i="5"/>
  <c r="X351" i="5"/>
  <c r="W351" i="5"/>
  <c r="U351" i="5"/>
  <c r="V351" i="5"/>
  <c r="V63" i="5"/>
  <c r="U63" i="5"/>
  <c r="X117" i="5"/>
  <c r="W117" i="5"/>
  <c r="U117" i="5"/>
  <c r="X8" i="5"/>
  <c r="W8" i="5"/>
  <c r="V8" i="5"/>
  <c r="U8" i="5"/>
  <c r="X295" i="5"/>
  <c r="W295" i="5"/>
  <c r="U295" i="5"/>
  <c r="X67" i="5"/>
  <c r="W67" i="5"/>
  <c r="U67" i="5"/>
  <c r="X308" i="5"/>
  <c r="W308" i="5"/>
  <c r="U308" i="5"/>
  <c r="V308" i="5"/>
  <c r="W455" i="5"/>
  <c r="V455" i="5"/>
  <c r="X455" i="5"/>
  <c r="U455" i="5"/>
  <c r="W215" i="5"/>
  <c r="X215" i="5"/>
  <c r="V215" i="5"/>
  <c r="U215" i="5"/>
  <c r="X491" i="5"/>
  <c r="W491" i="5"/>
  <c r="V491" i="5"/>
  <c r="U491" i="5"/>
  <c r="W111" i="5"/>
  <c r="X111" i="5"/>
  <c r="V111" i="5"/>
  <c r="U111" i="5"/>
  <c r="X115" i="5"/>
  <c r="W115" i="5"/>
  <c r="U115" i="5"/>
  <c r="W283" i="5"/>
  <c r="V283" i="5"/>
  <c r="V379" i="5"/>
  <c r="V157" i="5"/>
  <c r="U283" i="5"/>
  <c r="X283" i="5"/>
  <c r="W239" i="5"/>
  <c r="X239" i="5"/>
  <c r="V239" i="5"/>
  <c r="U239" i="5"/>
  <c r="X287" i="5"/>
  <c r="W287" i="5"/>
  <c r="U287" i="5"/>
  <c r="V287" i="5"/>
  <c r="X212" i="5"/>
  <c r="W212" i="5"/>
  <c r="U212" i="5"/>
  <c r="V212" i="5"/>
  <c r="X84" i="5"/>
  <c r="W84" i="5"/>
  <c r="U84" i="5"/>
  <c r="V84" i="5"/>
  <c r="X431" i="5"/>
  <c r="W431" i="5"/>
  <c r="V431" i="5"/>
  <c r="U431" i="5"/>
  <c r="X311" i="5"/>
  <c r="W311" i="5"/>
  <c r="V311" i="5"/>
  <c r="U311" i="5"/>
  <c r="X155" i="5"/>
  <c r="W155" i="5"/>
  <c r="U155" i="5"/>
  <c r="W39" i="5"/>
  <c r="X39" i="5"/>
  <c r="V39" i="5"/>
  <c r="U39" i="5"/>
  <c r="W544" i="5"/>
  <c r="X544" i="5"/>
  <c r="V544" i="5"/>
  <c r="U544" i="5"/>
  <c r="W480" i="5"/>
  <c r="V480" i="5"/>
  <c r="X480" i="5"/>
  <c r="U480" i="5"/>
  <c r="W416" i="5"/>
  <c r="V416" i="5"/>
  <c r="X416" i="5"/>
  <c r="U416" i="5"/>
  <c r="W352" i="5"/>
  <c r="V352" i="5"/>
  <c r="X352" i="5"/>
  <c r="U352" i="5"/>
  <c r="X288" i="5"/>
  <c r="W288" i="5"/>
  <c r="V288" i="5"/>
  <c r="U288" i="5"/>
  <c r="X256" i="5"/>
  <c r="W256" i="5"/>
  <c r="V256" i="5"/>
  <c r="U256" i="5"/>
  <c r="W140" i="5"/>
  <c r="X140" i="5"/>
  <c r="U140" i="5"/>
  <c r="V140" i="5"/>
  <c r="X539" i="5"/>
  <c r="W539" i="5"/>
  <c r="V539" i="5"/>
  <c r="U539" i="5"/>
  <c r="W359" i="5"/>
  <c r="U359" i="5"/>
  <c r="X359" i="5"/>
  <c r="V359" i="5"/>
  <c r="W103" i="5"/>
  <c r="X103" i="5"/>
  <c r="V103" i="5"/>
  <c r="U103" i="5"/>
  <c r="X507" i="5"/>
  <c r="W507" i="5"/>
  <c r="V507" i="5"/>
  <c r="U507" i="5"/>
  <c r="W509" i="5"/>
  <c r="V509" i="5"/>
  <c r="X509" i="5"/>
  <c r="U509" i="5"/>
  <c r="W253" i="5"/>
  <c r="X253" i="5"/>
  <c r="U253" i="5"/>
  <c r="W374" i="5"/>
  <c r="X374" i="5"/>
  <c r="U374" i="5"/>
  <c r="X46" i="5"/>
  <c r="W46" i="5"/>
  <c r="U46" i="5"/>
  <c r="X333" i="5"/>
  <c r="U333" i="5"/>
  <c r="V92" i="5"/>
  <c r="W467" i="5"/>
  <c r="X467" i="5"/>
  <c r="U467" i="5"/>
  <c r="W271" i="5"/>
  <c r="U271" i="5"/>
  <c r="X211" i="5"/>
  <c r="W211" i="5"/>
  <c r="U211" i="5"/>
  <c r="X196" i="5"/>
  <c r="W196" i="5"/>
  <c r="U196" i="5"/>
  <c r="V196" i="5"/>
  <c r="W128" i="5"/>
  <c r="V128" i="5"/>
  <c r="U128" i="5"/>
  <c r="X128" i="5"/>
  <c r="X68" i="5"/>
  <c r="W68" i="5"/>
  <c r="U68" i="5"/>
  <c r="V68" i="5"/>
  <c r="W575" i="5"/>
  <c r="X575" i="5"/>
  <c r="U575" i="5"/>
  <c r="W423" i="5"/>
  <c r="X423" i="5"/>
  <c r="U423" i="5"/>
  <c r="W355" i="5"/>
  <c r="V355" i="5"/>
  <c r="X355" i="5"/>
  <c r="U355" i="5"/>
  <c r="W299" i="5"/>
  <c r="X299" i="5"/>
  <c r="U299" i="5"/>
  <c r="V299" i="5"/>
  <c r="X243" i="5"/>
  <c r="W243" i="5"/>
  <c r="U243" i="5"/>
  <c r="X187" i="5"/>
  <c r="W187" i="5"/>
  <c r="U187" i="5"/>
  <c r="X139" i="5"/>
  <c r="W139" i="5"/>
  <c r="U139" i="5"/>
  <c r="X75" i="5"/>
  <c r="W75" i="5"/>
  <c r="U75" i="5"/>
  <c r="W31" i="5"/>
  <c r="X31" i="5"/>
  <c r="V31" i="5"/>
  <c r="U31" i="5"/>
  <c r="X568" i="5"/>
  <c r="W568" i="5"/>
  <c r="V568" i="5"/>
  <c r="U568" i="5"/>
  <c r="X536" i="5"/>
  <c r="W536" i="5"/>
  <c r="U536" i="5"/>
  <c r="V536" i="5"/>
  <c r="X504" i="5"/>
  <c r="W504" i="5"/>
  <c r="U504" i="5"/>
  <c r="V504" i="5"/>
  <c r="X472" i="5"/>
  <c r="W472" i="5"/>
  <c r="V472" i="5"/>
  <c r="U472" i="5"/>
  <c r="X440" i="5"/>
  <c r="W440" i="5"/>
  <c r="V440" i="5"/>
  <c r="U440" i="5"/>
  <c r="X408" i="5"/>
  <c r="W408" i="5"/>
  <c r="V408" i="5"/>
  <c r="U408" i="5"/>
  <c r="X376" i="5"/>
  <c r="W376" i="5"/>
  <c r="V376" i="5"/>
  <c r="U376" i="5"/>
  <c r="X344" i="5"/>
  <c r="W344" i="5"/>
  <c r="V344" i="5"/>
  <c r="U344" i="5"/>
  <c r="X312" i="5"/>
  <c r="W312" i="5"/>
  <c r="V312" i="5"/>
  <c r="U312" i="5"/>
  <c r="X280" i="5"/>
  <c r="W280" i="5"/>
  <c r="V280" i="5"/>
  <c r="U280" i="5"/>
  <c r="X248" i="5"/>
  <c r="W248" i="5"/>
  <c r="V248" i="5"/>
  <c r="U248" i="5"/>
  <c r="W188" i="5"/>
  <c r="X188" i="5"/>
  <c r="U188" i="5"/>
  <c r="W124" i="5"/>
  <c r="X124" i="5"/>
  <c r="U124" i="5"/>
  <c r="X56" i="5"/>
  <c r="W56" i="5"/>
  <c r="V56" i="5"/>
  <c r="U56" i="5"/>
  <c r="X571" i="5"/>
  <c r="W571" i="5"/>
  <c r="V571" i="5"/>
  <c r="U571" i="5"/>
  <c r="W531" i="5"/>
  <c r="X531" i="5"/>
  <c r="W407" i="5"/>
  <c r="X407" i="5"/>
  <c r="U407" i="5"/>
  <c r="W343" i="5"/>
  <c r="X343" i="5"/>
  <c r="V343" i="5"/>
  <c r="U343" i="5"/>
  <c r="W151" i="5"/>
  <c r="V151" i="5"/>
  <c r="U151" i="5"/>
  <c r="W87" i="5"/>
  <c r="X87" i="5"/>
  <c r="V87" i="5"/>
  <c r="U87" i="5"/>
  <c r="X495" i="5"/>
  <c r="W495" i="5"/>
  <c r="U495" i="5"/>
  <c r="V495" i="5"/>
  <c r="W550" i="5"/>
  <c r="X550" i="5"/>
  <c r="U550" i="5"/>
  <c r="W477" i="5"/>
  <c r="X477" i="5"/>
  <c r="V477" i="5"/>
  <c r="U477" i="5"/>
  <c r="W349" i="5"/>
  <c r="X349" i="5"/>
  <c r="U349" i="5"/>
  <c r="W221" i="5"/>
  <c r="X221" i="5"/>
  <c r="V221" i="5"/>
  <c r="U221" i="5"/>
  <c r="W93" i="5"/>
  <c r="X93" i="5"/>
  <c r="V93" i="5"/>
  <c r="U93" i="5"/>
  <c r="W270" i="5"/>
  <c r="X270" i="5"/>
  <c r="U270" i="5"/>
  <c r="X142" i="5"/>
  <c r="W142" i="5"/>
  <c r="U142" i="5"/>
  <c r="X14" i="5"/>
  <c r="W14" i="5"/>
  <c r="U14" i="5"/>
  <c r="X493" i="5"/>
  <c r="W493" i="5"/>
  <c r="U493" i="5"/>
  <c r="V493" i="5"/>
  <c r="X269" i="5"/>
  <c r="W269" i="5"/>
  <c r="V269" i="5"/>
  <c r="U269" i="5"/>
  <c r="W254" i="5"/>
  <c r="X254" i="5"/>
  <c r="U254" i="5"/>
  <c r="X94" i="5"/>
  <c r="W94" i="5"/>
  <c r="U94" i="5"/>
  <c r="X230" i="5"/>
  <c r="W230" i="5"/>
  <c r="V230" i="5"/>
  <c r="U230" i="5"/>
  <c r="W6" i="5"/>
  <c r="V6" i="5"/>
  <c r="X6" i="5"/>
  <c r="U6" i="5"/>
  <c r="W143" i="5"/>
  <c r="X143" i="5"/>
  <c r="V143" i="5"/>
  <c r="U143" i="5"/>
  <c r="W428" i="5"/>
  <c r="X428" i="5"/>
  <c r="U428" i="5"/>
  <c r="V428" i="5"/>
  <c r="V14" i="5"/>
  <c r="V78" i="5"/>
  <c r="V142" i="5"/>
  <c r="V206" i="5"/>
  <c r="V270" i="5"/>
  <c r="V574" i="5"/>
  <c r="V407" i="5"/>
  <c r="V467" i="5"/>
  <c r="V253" i="5"/>
  <c r="V75" i="5"/>
  <c r="V107" i="5"/>
  <c r="V139" i="5"/>
  <c r="V171" i="5"/>
  <c r="V307" i="5"/>
  <c r="V541" i="5"/>
  <c r="V124" i="5"/>
  <c r="V252" i="5"/>
  <c r="V380" i="5"/>
  <c r="V520" i="5"/>
  <c r="X22" i="5"/>
  <c r="W556" i="5"/>
  <c r="X556" i="5"/>
  <c r="U556" i="5"/>
  <c r="X479" i="5"/>
  <c r="W479" i="5"/>
  <c r="U479" i="5"/>
  <c r="V479" i="5"/>
  <c r="X227" i="5"/>
  <c r="W227" i="5"/>
  <c r="U227" i="5"/>
  <c r="W144" i="5"/>
  <c r="V144" i="5"/>
  <c r="X144" i="5"/>
  <c r="U144" i="5"/>
  <c r="W16" i="5"/>
  <c r="V16" i="5"/>
  <c r="X16" i="5"/>
  <c r="U16" i="5"/>
  <c r="W371" i="5"/>
  <c r="X371" i="5"/>
  <c r="V371" i="5"/>
  <c r="U371" i="5"/>
  <c r="W255" i="5"/>
  <c r="X255" i="5"/>
  <c r="V255" i="5"/>
  <c r="U255" i="5"/>
  <c r="X195" i="5"/>
  <c r="W195" i="5"/>
  <c r="U195" i="5"/>
  <c r="X91" i="5"/>
  <c r="W91" i="5"/>
  <c r="U91" i="5"/>
  <c r="W7" i="5"/>
  <c r="X7" i="5"/>
  <c r="V7" i="5"/>
  <c r="U7" i="5"/>
  <c r="W512" i="5"/>
  <c r="X512" i="5"/>
  <c r="U512" i="5"/>
  <c r="W448" i="5"/>
  <c r="V448" i="5"/>
  <c r="X448" i="5"/>
  <c r="U448" i="5"/>
  <c r="W384" i="5"/>
  <c r="V384" i="5"/>
  <c r="X384" i="5"/>
  <c r="U384" i="5"/>
  <c r="X320" i="5"/>
  <c r="W320" i="5"/>
  <c r="V320" i="5"/>
  <c r="U320" i="5"/>
  <c r="X200" i="5"/>
  <c r="W200" i="5"/>
  <c r="V200" i="5"/>
  <c r="U200" i="5"/>
  <c r="X72" i="5"/>
  <c r="W72" i="5"/>
  <c r="V72" i="5"/>
  <c r="U72" i="5"/>
  <c r="W12" i="5"/>
  <c r="X12" i="5"/>
  <c r="U12" i="5"/>
  <c r="V12" i="5"/>
  <c r="W419" i="5"/>
  <c r="V419" i="5"/>
  <c r="X419" i="5"/>
  <c r="U419" i="5"/>
  <c r="W167" i="5"/>
  <c r="X167" i="5"/>
  <c r="V167" i="5"/>
  <c r="U167" i="5"/>
  <c r="W381" i="5"/>
  <c r="X381" i="5"/>
  <c r="V381" i="5"/>
  <c r="U381" i="5"/>
  <c r="W125" i="5"/>
  <c r="X125" i="5"/>
  <c r="V125" i="5"/>
  <c r="U125" i="5"/>
  <c r="X174" i="5"/>
  <c r="W174" i="5"/>
  <c r="U174" i="5"/>
  <c r="X557" i="5"/>
  <c r="W557" i="5"/>
  <c r="V557" i="5"/>
  <c r="U557" i="5"/>
  <c r="X45" i="5"/>
  <c r="W45" i="5"/>
  <c r="V45" i="5"/>
  <c r="U45" i="5"/>
  <c r="X126" i="5"/>
  <c r="W126" i="5"/>
  <c r="U126" i="5"/>
  <c r="V126" i="5"/>
  <c r="W572" i="5"/>
  <c r="U572" i="5"/>
  <c r="X459" i="5"/>
  <c r="W459" i="5"/>
  <c r="V459" i="5"/>
  <c r="U459" i="5"/>
  <c r="X259" i="5"/>
  <c r="W259" i="5"/>
  <c r="U259" i="5"/>
  <c r="X244" i="5"/>
  <c r="W244" i="5"/>
  <c r="U244" i="5"/>
  <c r="V244" i="5"/>
  <c r="W176" i="5"/>
  <c r="V176" i="5"/>
  <c r="X176" i="5"/>
  <c r="U176" i="5"/>
  <c r="W112" i="5"/>
  <c r="V112" i="5"/>
  <c r="X112" i="5"/>
  <c r="U112" i="5"/>
  <c r="X52" i="5"/>
  <c r="W52" i="5"/>
  <c r="U52" i="5"/>
  <c r="V52" i="5"/>
  <c r="W551" i="5"/>
  <c r="V551" i="5"/>
  <c r="X551" i="5"/>
  <c r="U551" i="5"/>
  <c r="W403" i="5"/>
  <c r="X403" i="5"/>
  <c r="V403" i="5"/>
  <c r="U403" i="5"/>
  <c r="W339" i="5"/>
  <c r="X339" i="5"/>
  <c r="U339" i="5"/>
  <c r="W291" i="5"/>
  <c r="X291" i="5"/>
  <c r="V291" i="5"/>
  <c r="U291" i="5"/>
  <c r="W223" i="5"/>
  <c r="X223" i="5"/>
  <c r="V223" i="5"/>
  <c r="U223" i="5"/>
  <c r="X179" i="5"/>
  <c r="W179" i="5"/>
  <c r="U179" i="5"/>
  <c r="X123" i="5"/>
  <c r="W123" i="5"/>
  <c r="U123" i="5"/>
  <c r="X59" i="5"/>
  <c r="W59" i="5"/>
  <c r="U59" i="5"/>
  <c r="W23" i="5"/>
  <c r="V23" i="5"/>
  <c r="U23" i="5"/>
  <c r="W560" i="5"/>
  <c r="U560" i="5"/>
  <c r="V560" i="5"/>
  <c r="X560" i="5"/>
  <c r="W528" i="5"/>
  <c r="X528" i="5"/>
  <c r="V528" i="5"/>
  <c r="U528" i="5"/>
  <c r="W496" i="5"/>
  <c r="X496" i="5"/>
  <c r="V496" i="5"/>
  <c r="U496" i="5"/>
  <c r="X464" i="5"/>
  <c r="V464" i="5"/>
  <c r="W432" i="5"/>
  <c r="V432" i="5"/>
  <c r="U432" i="5"/>
  <c r="X432" i="5"/>
  <c r="W400" i="5"/>
  <c r="X400" i="5"/>
  <c r="V400" i="5"/>
  <c r="U400" i="5"/>
  <c r="W368" i="5"/>
  <c r="V368" i="5"/>
  <c r="U368" i="5"/>
  <c r="W336" i="5"/>
  <c r="X336" i="5"/>
  <c r="V336" i="5"/>
  <c r="U336" i="5"/>
  <c r="X304" i="5"/>
  <c r="V304" i="5"/>
  <c r="W304" i="5"/>
  <c r="U304" i="5"/>
  <c r="X272" i="5"/>
  <c r="V272" i="5"/>
  <c r="U272" i="5"/>
  <c r="W272" i="5"/>
  <c r="X232" i="5"/>
  <c r="W232" i="5"/>
  <c r="V232" i="5"/>
  <c r="U232" i="5"/>
  <c r="W172" i="5"/>
  <c r="U172" i="5"/>
  <c r="V172" i="5"/>
  <c r="X172" i="5"/>
  <c r="W108" i="5"/>
  <c r="U108" i="5"/>
  <c r="V108" i="5"/>
  <c r="W44" i="5"/>
  <c r="U44" i="5"/>
  <c r="V44" i="5"/>
  <c r="X44" i="5"/>
  <c r="X559" i="5"/>
  <c r="V559" i="5"/>
  <c r="X523" i="5"/>
  <c r="W523" i="5"/>
  <c r="V523" i="5"/>
  <c r="U523" i="5"/>
  <c r="W391" i="5"/>
  <c r="X391" i="5"/>
  <c r="U391" i="5"/>
  <c r="W327" i="5"/>
  <c r="V327" i="5"/>
  <c r="X327" i="5"/>
  <c r="U327" i="5"/>
  <c r="W135" i="5"/>
  <c r="X135" i="5"/>
  <c r="V135" i="5"/>
  <c r="U135" i="5"/>
  <c r="W71" i="5"/>
  <c r="X71" i="5"/>
  <c r="V71" i="5"/>
  <c r="U71" i="5"/>
  <c r="W487" i="5"/>
  <c r="V487" i="5"/>
  <c r="X487" i="5"/>
  <c r="U487" i="5"/>
  <c r="T434" i="5"/>
  <c r="W434" i="5" s="1"/>
  <c r="T462" i="5"/>
  <c r="W462" i="5" s="1"/>
  <c r="T486" i="5"/>
  <c r="X486" i="5" s="1"/>
  <c r="T506" i="5"/>
  <c r="U506" i="5" s="1"/>
  <c r="T530" i="5"/>
  <c r="U530" i="5" s="1"/>
  <c r="W573" i="5"/>
  <c r="X573" i="5"/>
  <c r="V573" i="5"/>
  <c r="U573" i="5"/>
  <c r="W445" i="5"/>
  <c r="X445" i="5"/>
  <c r="U445" i="5"/>
  <c r="V445" i="5"/>
  <c r="W317" i="5"/>
  <c r="X317" i="5"/>
  <c r="V317" i="5"/>
  <c r="U317" i="5"/>
  <c r="W189" i="5"/>
  <c r="X189" i="5"/>
  <c r="V189" i="5"/>
  <c r="U189" i="5"/>
  <c r="W61" i="5"/>
  <c r="X61" i="5"/>
  <c r="U61" i="5"/>
  <c r="V61" i="5"/>
  <c r="W238" i="5"/>
  <c r="X238" i="5"/>
  <c r="U238" i="5"/>
  <c r="X110" i="5"/>
  <c r="W110" i="5"/>
  <c r="U110" i="5"/>
  <c r="W150" i="5"/>
  <c r="V150" i="5"/>
  <c r="U150" i="5"/>
  <c r="X429" i="5"/>
  <c r="W429" i="5"/>
  <c r="V429" i="5"/>
  <c r="U429" i="5"/>
  <c r="X173" i="5"/>
  <c r="W173" i="5"/>
  <c r="V173" i="5"/>
  <c r="U173" i="5"/>
  <c r="W222" i="5"/>
  <c r="X222" i="5"/>
  <c r="U222" i="5"/>
  <c r="T49" i="5"/>
  <c r="W49" i="5" s="1"/>
  <c r="T97" i="5"/>
  <c r="V97" i="5" s="1"/>
  <c r="T129" i="5"/>
  <c r="U129" i="5" s="1"/>
  <c r="T201" i="5"/>
  <c r="W201" i="5" s="1"/>
  <c r="T249" i="5"/>
  <c r="W249" i="5" s="1"/>
  <c r="T265" i="5"/>
  <c r="W265" i="5" s="1"/>
  <c r="T281" i="5"/>
  <c r="W281" i="5" s="1"/>
  <c r="T297" i="5"/>
  <c r="V297" i="5" s="1"/>
  <c r="T329" i="5"/>
  <c r="W329" i="5" s="1"/>
  <c r="T353" i="5"/>
  <c r="W353" i="5" s="1"/>
  <c r="T369" i="5"/>
  <c r="X369" i="5" s="1"/>
  <c r="T401" i="5"/>
  <c r="X401" i="5" s="1"/>
  <c r="T433" i="5"/>
  <c r="W433" i="5" s="1"/>
  <c r="T449" i="5"/>
  <c r="X449" i="5" s="1"/>
  <c r="T473" i="5"/>
  <c r="U473" i="5" s="1"/>
  <c r="T505" i="5"/>
  <c r="W505" i="5" s="1"/>
  <c r="T521" i="5"/>
  <c r="W521" i="5" s="1"/>
  <c r="V94" i="5"/>
  <c r="V158" i="5"/>
  <c r="V222" i="5"/>
  <c r="V374" i="5"/>
  <c r="V423" i="5"/>
  <c r="V547" i="5"/>
  <c r="V532" i="5"/>
  <c r="V117" i="5"/>
  <c r="V51" i="5"/>
  <c r="V179" i="5"/>
  <c r="V211" i="5"/>
  <c r="V243" i="5"/>
  <c r="V275" i="5"/>
  <c r="V339" i="5"/>
  <c r="V552" i="5"/>
  <c r="V28" i="5"/>
  <c r="V156" i="5"/>
  <c r="X108" i="5"/>
  <c r="X151" i="5"/>
  <c r="T537" i="5"/>
  <c r="X537" i="5" s="1"/>
  <c r="T561" i="5"/>
  <c r="X561" i="5" s="1"/>
  <c r="W549" i="5"/>
  <c r="X549" i="5"/>
  <c r="W421" i="5"/>
  <c r="V421" i="5"/>
  <c r="U421" i="5"/>
  <c r="W293" i="5"/>
  <c r="U293" i="5"/>
  <c r="W165" i="5"/>
  <c r="X165" i="5"/>
  <c r="U165" i="5"/>
  <c r="W37" i="5"/>
  <c r="X37" i="5"/>
  <c r="V37" i="5"/>
  <c r="U37" i="5"/>
  <c r="X461" i="5"/>
  <c r="W461" i="5"/>
  <c r="V461" i="5"/>
  <c r="U461" i="5"/>
  <c r="W205" i="5"/>
  <c r="X205" i="5"/>
  <c r="X190" i="5"/>
  <c r="W190" i="5"/>
  <c r="T558" i="5"/>
  <c r="X558" i="5" s="1"/>
  <c r="X516" i="5"/>
  <c r="W516" i="5"/>
  <c r="U516" i="5"/>
  <c r="X388" i="5"/>
  <c r="W388" i="5"/>
  <c r="U388" i="5"/>
  <c r="X260" i="5"/>
  <c r="W260" i="5"/>
  <c r="U260" i="5"/>
  <c r="X20" i="5"/>
  <c r="W20" i="5"/>
  <c r="U20" i="5"/>
  <c r="X367" i="5"/>
  <c r="W367" i="5"/>
  <c r="V367" i="5"/>
  <c r="U367" i="5"/>
  <c r="W79" i="5"/>
  <c r="X79" i="5"/>
  <c r="X85" i="5"/>
  <c r="W85" i="5"/>
  <c r="V85" i="5"/>
  <c r="U85" i="5"/>
  <c r="X24" i="5"/>
  <c r="W24" i="5"/>
  <c r="V24" i="5"/>
  <c r="U24" i="5"/>
  <c r="X303" i="5"/>
  <c r="W303" i="5"/>
  <c r="X83" i="5"/>
  <c r="W83" i="5"/>
  <c r="X276" i="5"/>
  <c r="W276" i="5"/>
  <c r="U276" i="5"/>
  <c r="W524" i="5"/>
  <c r="X524" i="5"/>
  <c r="X396" i="5"/>
  <c r="U396" i="5"/>
  <c r="W268" i="5"/>
  <c r="X268" i="5"/>
  <c r="U268" i="5"/>
  <c r="X36" i="5"/>
  <c r="W36" i="5"/>
  <c r="U36" i="5"/>
  <c r="X309" i="5"/>
  <c r="W309" i="5"/>
  <c r="U309" i="5"/>
  <c r="X168" i="5"/>
  <c r="W168" i="5"/>
  <c r="V168" i="5"/>
  <c r="U168" i="5"/>
  <c r="W439" i="5"/>
  <c r="V439" i="5"/>
  <c r="U439" i="5"/>
  <c r="X203" i="5"/>
  <c r="W203" i="5"/>
  <c r="X11" i="5"/>
  <c r="W11" i="5"/>
  <c r="X340" i="5"/>
  <c r="W340" i="5"/>
  <c r="U340" i="5"/>
  <c r="W540" i="5"/>
  <c r="X540" i="5"/>
  <c r="V540" i="5"/>
  <c r="U540" i="5"/>
  <c r="W412" i="5"/>
  <c r="X412" i="5"/>
  <c r="U412" i="5"/>
  <c r="W284" i="5"/>
  <c r="U284" i="5"/>
  <c r="X284" i="5"/>
  <c r="W64" i="5"/>
  <c r="V64" i="5"/>
  <c r="U64" i="5"/>
  <c r="X411" i="5"/>
  <c r="W411" i="5"/>
  <c r="U411" i="5"/>
  <c r="W127" i="5"/>
  <c r="X127" i="5"/>
  <c r="X245" i="5"/>
  <c r="W245" i="5"/>
  <c r="U245" i="5"/>
  <c r="W76" i="5"/>
  <c r="X76" i="5"/>
  <c r="U76" i="5"/>
  <c r="X347" i="5"/>
  <c r="U347" i="5"/>
  <c r="X131" i="5"/>
  <c r="W131" i="5"/>
  <c r="X372" i="5"/>
  <c r="W372" i="5"/>
  <c r="U372" i="5"/>
  <c r="W451" i="5"/>
  <c r="X451" i="5"/>
  <c r="X149" i="5"/>
  <c r="W149" i="5"/>
  <c r="U149" i="5"/>
  <c r="X399" i="5"/>
  <c r="W399" i="5"/>
  <c r="X331" i="5"/>
  <c r="W331" i="5"/>
  <c r="U331" i="5"/>
  <c r="U38" i="5"/>
  <c r="U54" i="5"/>
  <c r="U70" i="5"/>
  <c r="U86" i="5"/>
  <c r="U118" i="5"/>
  <c r="U166" i="5"/>
  <c r="U198" i="5"/>
  <c r="U214" i="5"/>
  <c r="U399" i="5"/>
  <c r="U567" i="5"/>
  <c r="U524" i="5"/>
  <c r="U55" i="5"/>
  <c r="U79" i="5"/>
  <c r="U127" i="5"/>
  <c r="U159" i="5"/>
  <c r="U183" i="5"/>
  <c r="V303" i="5"/>
  <c r="V331" i="5"/>
  <c r="V516" i="5"/>
  <c r="V293" i="5"/>
  <c r="V20" i="5"/>
  <c r="V276" i="5"/>
  <c r="V340" i="5"/>
  <c r="V372" i="5"/>
  <c r="X70" i="5"/>
  <c r="X198" i="5"/>
  <c r="X435" i="5"/>
  <c r="T481" i="5"/>
  <c r="W481" i="5" s="1"/>
  <c r="T513" i="5"/>
  <c r="V513" i="5" s="1"/>
  <c r="T529" i="5"/>
  <c r="V529" i="5" s="1"/>
  <c r="T553" i="5"/>
  <c r="W553" i="5" s="1"/>
  <c r="T569" i="5"/>
  <c r="U569" i="5" s="1"/>
  <c r="X562" i="5"/>
  <c r="W562" i="5"/>
  <c r="W485" i="5"/>
  <c r="X485" i="5"/>
  <c r="W357" i="5"/>
  <c r="X357" i="5"/>
  <c r="U357" i="5"/>
  <c r="X229" i="5"/>
  <c r="W229" i="5"/>
  <c r="W101" i="5"/>
  <c r="U101" i="5"/>
  <c r="X278" i="5"/>
  <c r="W278" i="5"/>
  <c r="W526" i="5"/>
  <c r="X526" i="5"/>
  <c r="X301" i="5"/>
  <c r="W301" i="5"/>
  <c r="X109" i="5"/>
  <c r="W109" i="5"/>
  <c r="U109" i="5"/>
  <c r="X538" i="5"/>
  <c r="W538" i="5"/>
  <c r="T10" i="5"/>
  <c r="W10" i="5" s="1"/>
  <c r="T34" i="5"/>
  <c r="W34" i="5" s="1"/>
  <c r="T90" i="5"/>
  <c r="W90" i="5" s="1"/>
  <c r="T138" i="5"/>
  <c r="V138" i="5" s="1"/>
  <c r="T154" i="5"/>
  <c r="W154" i="5" s="1"/>
  <c r="T194" i="5"/>
  <c r="X194" i="5" s="1"/>
  <c r="T210" i="5"/>
  <c r="W210" i="5" s="1"/>
  <c r="T266" i="5"/>
  <c r="V266" i="5" s="1"/>
  <c r="T310" i="5"/>
  <c r="W310" i="5" s="1"/>
  <c r="T334" i="5"/>
  <c r="U334" i="5" s="1"/>
  <c r="T366" i="5"/>
  <c r="X366" i="5" s="1"/>
  <c r="T390" i="5"/>
  <c r="V390" i="5" s="1"/>
  <c r="T418" i="5"/>
  <c r="X418" i="5" s="1"/>
  <c r="T438" i="5"/>
  <c r="W438" i="5" s="1"/>
  <c r="T458" i="5"/>
  <c r="V458" i="5" s="1"/>
  <c r="T478" i="5"/>
  <c r="V478" i="5" s="1"/>
  <c r="T502" i="5"/>
  <c r="X502" i="5" s="1"/>
  <c r="T534" i="5"/>
  <c r="W534" i="5" s="1"/>
  <c r="T570" i="5"/>
  <c r="V570" i="5" s="1"/>
  <c r="X452" i="5"/>
  <c r="W452" i="5"/>
  <c r="U452" i="5"/>
  <c r="X324" i="5"/>
  <c r="W324" i="5"/>
  <c r="U324" i="5"/>
  <c r="X148" i="5"/>
  <c r="W148" i="5"/>
  <c r="U148" i="5"/>
  <c r="W503" i="5"/>
  <c r="V503" i="5"/>
  <c r="U503" i="5"/>
  <c r="X219" i="5"/>
  <c r="W219" i="5"/>
  <c r="X341" i="5"/>
  <c r="W341" i="5"/>
  <c r="U341" i="5"/>
  <c r="X152" i="5"/>
  <c r="W152" i="5"/>
  <c r="V152" i="5"/>
  <c r="U152" i="5"/>
  <c r="X427" i="5"/>
  <c r="W427" i="5"/>
  <c r="U427" i="5"/>
  <c r="W191" i="5"/>
  <c r="X191" i="5"/>
  <c r="X3" i="5"/>
  <c r="W3" i="5"/>
  <c r="W48" i="5"/>
  <c r="V48" i="5"/>
  <c r="X48" i="5"/>
  <c r="U48" i="5"/>
  <c r="W460" i="5"/>
  <c r="X460" i="5"/>
  <c r="U460" i="5"/>
  <c r="X332" i="5"/>
  <c r="W332" i="5"/>
  <c r="U332" i="5"/>
  <c r="X164" i="5"/>
  <c r="W164" i="5"/>
  <c r="U164" i="5"/>
  <c r="W519" i="5"/>
  <c r="V519" i="5"/>
  <c r="X519" i="5"/>
  <c r="U519" i="5"/>
  <c r="W315" i="5"/>
  <c r="U315" i="5"/>
  <c r="X565" i="5"/>
  <c r="W565" i="5"/>
  <c r="V565" i="5"/>
  <c r="U565" i="5"/>
  <c r="X53" i="5"/>
  <c r="W53" i="5"/>
  <c r="X40" i="5"/>
  <c r="W40" i="5"/>
  <c r="V40" i="5"/>
  <c r="U40" i="5"/>
  <c r="X319" i="5"/>
  <c r="W319" i="5"/>
  <c r="V319" i="5"/>
  <c r="U319" i="5"/>
  <c r="X99" i="5"/>
  <c r="W99" i="5"/>
  <c r="X500" i="5"/>
  <c r="W500" i="5"/>
  <c r="V500" i="5"/>
  <c r="U500" i="5"/>
  <c r="W60" i="5"/>
  <c r="X60" i="5"/>
  <c r="U60" i="5"/>
  <c r="W476" i="5"/>
  <c r="X476" i="5"/>
  <c r="U476" i="5"/>
  <c r="X348" i="5"/>
  <c r="W348" i="5"/>
  <c r="U348" i="5"/>
  <c r="W192" i="5"/>
  <c r="V192" i="5"/>
  <c r="U192" i="5"/>
  <c r="W535" i="5"/>
  <c r="X535" i="5"/>
  <c r="V535" i="5"/>
  <c r="U535" i="5"/>
  <c r="X267" i="5"/>
  <c r="W267" i="5"/>
  <c r="X501" i="5"/>
  <c r="W501" i="5"/>
  <c r="U501" i="5"/>
  <c r="W204" i="5"/>
  <c r="X204" i="5"/>
  <c r="U204" i="5"/>
  <c r="W231" i="5"/>
  <c r="X231" i="5"/>
  <c r="X27" i="5"/>
  <c r="W27" i="5"/>
  <c r="X116" i="5"/>
  <c r="W116" i="5"/>
  <c r="U116" i="5"/>
  <c r="X251" i="5"/>
  <c r="W251" i="5"/>
  <c r="X19" i="5"/>
  <c r="W19" i="5"/>
  <c r="X395" i="5"/>
  <c r="W395" i="5"/>
  <c r="X533" i="5"/>
  <c r="W533" i="5"/>
  <c r="U533" i="5"/>
  <c r="X335" i="5"/>
  <c r="W335" i="5"/>
  <c r="V335" i="5"/>
  <c r="U335" i="5"/>
  <c r="U190" i="5"/>
  <c r="U526" i="5"/>
  <c r="U395" i="5"/>
  <c r="U435" i="5"/>
  <c r="U451" i="5"/>
  <c r="U499" i="5"/>
  <c r="Y499" i="5" s="1"/>
  <c r="U563" i="5"/>
  <c r="U53" i="5"/>
  <c r="U205" i="5"/>
  <c r="U301" i="5"/>
  <c r="U485" i="5"/>
  <c r="U549" i="5"/>
  <c r="U3" i="5"/>
  <c r="U11" i="5"/>
  <c r="U19" i="5"/>
  <c r="U27" i="5"/>
  <c r="U83" i="5"/>
  <c r="U99" i="5"/>
  <c r="U131" i="5"/>
  <c r="U203" i="5"/>
  <c r="U219" i="5"/>
  <c r="U251" i="5"/>
  <c r="U267" i="5"/>
  <c r="V315" i="5"/>
  <c r="V411" i="5"/>
  <c r="V36" i="5"/>
  <c r="V164" i="5"/>
  <c r="V260" i="5"/>
  <c r="V324" i="5"/>
  <c r="V388" i="5"/>
  <c r="V452" i="5"/>
  <c r="V109" i="5"/>
  <c r="V309" i="5"/>
  <c r="X38" i="5"/>
  <c r="X166" i="5"/>
  <c r="X503" i="5"/>
  <c r="X293" i="5"/>
  <c r="X55" i="5"/>
  <c r="X183" i="5"/>
  <c r="X315" i="5"/>
  <c r="X567" i="5"/>
  <c r="X510" i="5"/>
  <c r="W510" i="5"/>
  <c r="W453" i="5"/>
  <c r="X453" i="5"/>
  <c r="W325" i="5"/>
  <c r="X325" i="5"/>
  <c r="X197" i="5"/>
  <c r="W197" i="5"/>
  <c r="U197" i="5"/>
  <c r="W69" i="5"/>
  <c r="U69" i="5"/>
  <c r="X69" i="5"/>
  <c r="X246" i="5"/>
  <c r="W246" i="5"/>
  <c r="X525" i="5"/>
  <c r="W525" i="5"/>
  <c r="W237" i="5"/>
  <c r="X237" i="5"/>
  <c r="V237" i="5"/>
  <c r="U237" i="5"/>
  <c r="W13" i="5"/>
  <c r="X13" i="5"/>
  <c r="T57" i="5"/>
  <c r="X57" i="5" s="1"/>
  <c r="T81" i="5"/>
  <c r="U81" i="5" s="1"/>
  <c r="T105" i="5"/>
  <c r="X105" i="5" s="1"/>
  <c r="T145" i="5"/>
  <c r="W145" i="5" s="1"/>
  <c r="T161" i="5"/>
  <c r="U161" i="5" s="1"/>
  <c r="T177" i="5"/>
  <c r="W177" i="5" s="1"/>
  <c r="T193" i="5"/>
  <c r="X193" i="5" s="1"/>
  <c r="T217" i="5"/>
  <c r="X217" i="5" s="1"/>
  <c r="T233" i="5"/>
  <c r="W233" i="5" s="1"/>
  <c r="T313" i="5"/>
  <c r="V313" i="5" s="1"/>
  <c r="T385" i="5"/>
  <c r="W385" i="5" s="1"/>
  <c r="T417" i="5"/>
  <c r="W417" i="5" s="1"/>
  <c r="T465" i="5"/>
  <c r="W465" i="5" s="1"/>
  <c r="T497" i="5"/>
  <c r="U497" i="5" s="1"/>
  <c r="X262" i="5"/>
  <c r="W262" i="5"/>
  <c r="X548" i="5"/>
  <c r="W548" i="5"/>
  <c r="V548" i="5"/>
  <c r="U548" i="5"/>
  <c r="X420" i="5"/>
  <c r="W420" i="5"/>
  <c r="U420" i="5"/>
  <c r="X292" i="5"/>
  <c r="W292" i="5"/>
  <c r="U292" i="5"/>
  <c r="W80" i="5"/>
  <c r="V80" i="5"/>
  <c r="X80" i="5"/>
  <c r="U80" i="5"/>
  <c r="W471" i="5"/>
  <c r="X471" i="5"/>
  <c r="V471" i="5"/>
  <c r="U471" i="5"/>
  <c r="X213" i="5"/>
  <c r="W213" i="5"/>
  <c r="U213" i="5"/>
  <c r="X88" i="5"/>
  <c r="W88" i="5"/>
  <c r="V88" i="5"/>
  <c r="U88" i="5"/>
  <c r="X363" i="5"/>
  <c r="W363" i="5"/>
  <c r="X147" i="5"/>
  <c r="W147" i="5"/>
  <c r="X404" i="5"/>
  <c r="W404" i="5"/>
  <c r="U404" i="5"/>
  <c r="X120" i="5"/>
  <c r="W120" i="5"/>
  <c r="V120" i="5"/>
  <c r="U120" i="5"/>
  <c r="W300" i="5"/>
  <c r="U300" i="5"/>
  <c r="X100" i="5"/>
  <c r="W100" i="5"/>
  <c r="U100" i="5"/>
  <c r="W483" i="5"/>
  <c r="X483" i="5"/>
  <c r="X235" i="5"/>
  <c r="W235" i="5"/>
  <c r="X437" i="5"/>
  <c r="W437" i="5"/>
  <c r="U437" i="5"/>
  <c r="W236" i="5"/>
  <c r="U236" i="5"/>
  <c r="X475" i="5"/>
  <c r="W475" i="5"/>
  <c r="W263" i="5"/>
  <c r="X263" i="5"/>
  <c r="X43" i="5"/>
  <c r="W43" i="5"/>
  <c r="X468" i="5"/>
  <c r="W468" i="5"/>
  <c r="U468" i="5"/>
  <c r="X564" i="5"/>
  <c r="W564" i="5"/>
  <c r="V564" i="5"/>
  <c r="U564" i="5"/>
  <c r="W444" i="5"/>
  <c r="X444" i="5"/>
  <c r="U444" i="5"/>
  <c r="W316" i="5"/>
  <c r="X316" i="5"/>
  <c r="U316" i="5"/>
  <c r="X132" i="5"/>
  <c r="W132" i="5"/>
  <c r="U132" i="5"/>
  <c r="X463" i="5"/>
  <c r="W463" i="5"/>
  <c r="U463" i="5"/>
  <c r="W199" i="5"/>
  <c r="X199" i="5"/>
  <c r="X373" i="5"/>
  <c r="W373" i="5"/>
  <c r="X136" i="5"/>
  <c r="W136" i="5"/>
  <c r="V136" i="5"/>
  <c r="U136" i="5"/>
  <c r="X415" i="5"/>
  <c r="W415" i="5"/>
  <c r="X436" i="5"/>
  <c r="W436" i="5"/>
  <c r="U436" i="5"/>
  <c r="X184" i="5"/>
  <c r="W184" i="5"/>
  <c r="V184" i="5"/>
  <c r="U184" i="5"/>
  <c r="X277" i="5"/>
  <c r="W277" i="5"/>
  <c r="X527" i="5"/>
  <c r="W527" i="5"/>
  <c r="U527" i="5"/>
  <c r="W175" i="5"/>
  <c r="X175" i="5"/>
  <c r="X21" i="5"/>
  <c r="W21" i="5"/>
  <c r="U21" i="5"/>
  <c r="X405" i="5"/>
  <c r="W405" i="5"/>
  <c r="U405" i="5"/>
  <c r="V38" i="5"/>
  <c r="V54" i="5"/>
  <c r="V70" i="5"/>
  <c r="V86" i="5"/>
  <c r="V118" i="5"/>
  <c r="V166" i="5"/>
  <c r="V198" i="5"/>
  <c r="V214" i="5"/>
  <c r="V246" i="5"/>
  <c r="V262" i="5"/>
  <c r="V278" i="5"/>
  <c r="V510" i="5"/>
  <c r="V538" i="5"/>
  <c r="V562" i="5"/>
  <c r="V399" i="5"/>
  <c r="V415" i="5"/>
  <c r="V475" i="5"/>
  <c r="V567" i="5"/>
  <c r="V524" i="5"/>
  <c r="V229" i="5"/>
  <c r="V277" i="5"/>
  <c r="V325" i="5"/>
  <c r="V373" i="5"/>
  <c r="V525" i="5"/>
  <c r="V55" i="5"/>
  <c r="V79" i="5"/>
  <c r="V127" i="5"/>
  <c r="V159" i="5"/>
  <c r="V175" i="5"/>
  <c r="V183" i="5"/>
  <c r="V191" i="5"/>
  <c r="V199" i="5"/>
  <c r="V231" i="5"/>
  <c r="V263" i="5"/>
  <c r="V427" i="5"/>
  <c r="V245" i="5"/>
  <c r="V76" i="5"/>
  <c r="V204" i="5"/>
  <c r="V236" i="5"/>
  <c r="V268" i="5"/>
  <c r="V300" i="5"/>
  <c r="V332" i="5"/>
  <c r="V396" i="5"/>
  <c r="V460" i="5"/>
  <c r="V165" i="5"/>
  <c r="V341" i="5"/>
  <c r="V533" i="5"/>
  <c r="X54" i="5"/>
  <c r="X118" i="5"/>
  <c r="X563" i="5"/>
  <c r="X236" i="5"/>
  <c r="X421" i="5"/>
  <c r="X64" i="5"/>
  <c r="W396" i="5"/>
  <c r="W66" i="5"/>
  <c r="X66" i="5"/>
  <c r="W114" i="5"/>
  <c r="X114" i="5"/>
  <c r="W186" i="5"/>
  <c r="X186" i="5"/>
  <c r="W298" i="5"/>
  <c r="X298" i="5"/>
  <c r="W342" i="5"/>
  <c r="X342" i="5"/>
  <c r="W454" i="5"/>
  <c r="X454" i="5"/>
  <c r="W9" i="5"/>
  <c r="X9" i="5"/>
  <c r="W302" i="5"/>
  <c r="W410" i="5"/>
  <c r="W50" i="5"/>
  <c r="X50" i="5"/>
  <c r="W82" i="5"/>
  <c r="X82" i="5"/>
  <c r="W130" i="5"/>
  <c r="X130" i="5"/>
  <c r="W282" i="5"/>
  <c r="X282" i="5"/>
  <c r="W318" i="5"/>
  <c r="X318" i="5"/>
  <c r="X362" i="5"/>
  <c r="W430" i="5"/>
  <c r="X430" i="5"/>
  <c r="X482" i="5"/>
  <c r="W554" i="5"/>
  <c r="X554" i="5"/>
  <c r="X33" i="5"/>
  <c r="W26" i="5"/>
  <c r="W58" i="5"/>
  <c r="X58" i="5"/>
  <c r="W74" i="5"/>
  <c r="X74" i="5"/>
  <c r="W162" i="5"/>
  <c r="X162" i="5"/>
  <c r="W258" i="5"/>
  <c r="X258" i="5"/>
  <c r="W290" i="5"/>
  <c r="W330" i="5"/>
  <c r="X330" i="5"/>
  <c r="W354" i="5"/>
  <c r="X354" i="5"/>
  <c r="W442" i="5"/>
  <c r="X442" i="5"/>
  <c r="W470" i="5"/>
  <c r="X470" i="5"/>
  <c r="W498" i="5"/>
  <c r="W73" i="5"/>
  <c r="W169" i="5"/>
  <c r="W305" i="5"/>
  <c r="W178" i="5"/>
  <c r="X178" i="5"/>
  <c r="W314" i="5"/>
  <c r="X402" i="5"/>
  <c r="W494" i="5"/>
  <c r="X257" i="5"/>
  <c r="W337" i="5"/>
  <c r="W441" i="5"/>
  <c r="U258" i="5"/>
  <c r="V258" i="5"/>
  <c r="U470" i="5"/>
  <c r="V470" i="5"/>
  <c r="U178" i="5"/>
  <c r="V178" i="5"/>
  <c r="U402" i="5"/>
  <c r="V402" i="5"/>
  <c r="U518" i="5"/>
  <c r="U65" i="5"/>
  <c r="U257" i="5"/>
  <c r="U58" i="5"/>
  <c r="V58" i="5"/>
  <c r="U354" i="5"/>
  <c r="V354" i="5"/>
  <c r="U442" i="5"/>
  <c r="V442" i="5"/>
  <c r="U494" i="5"/>
  <c r="U50" i="5"/>
  <c r="V50" i="5"/>
  <c r="U66" i="5"/>
  <c r="V66" i="5"/>
  <c r="U82" i="5"/>
  <c r="V82" i="5"/>
  <c r="U114" i="5"/>
  <c r="V114" i="5"/>
  <c r="U130" i="5"/>
  <c r="V130" i="5"/>
  <c r="U186" i="5"/>
  <c r="V186" i="5"/>
  <c r="U282" i="5"/>
  <c r="V282" i="5"/>
  <c r="U298" i="5"/>
  <c r="V298" i="5"/>
  <c r="U318" i="5"/>
  <c r="V318" i="5"/>
  <c r="U342" i="5"/>
  <c r="V342" i="5"/>
  <c r="U430" i="5"/>
  <c r="V430" i="5"/>
  <c r="U454" i="5"/>
  <c r="V454" i="5"/>
  <c r="V482" i="5"/>
  <c r="U554" i="5"/>
  <c r="V554" i="5"/>
  <c r="U9" i="5"/>
  <c r="V9" i="5"/>
  <c r="U74" i="5"/>
  <c r="V74" i="5"/>
  <c r="U162" i="5"/>
  <c r="V162" i="5"/>
  <c r="U330" i="5"/>
  <c r="V330" i="5"/>
  <c r="V169" i="5"/>
  <c r="V302" i="5"/>
  <c r="V370" i="5"/>
  <c r="U18" i="5"/>
  <c r="U170" i="5"/>
  <c r="U322" i="5"/>
  <c r="U426" i="5"/>
  <c r="U261" i="5" l="1"/>
  <c r="X157" i="5"/>
  <c r="W47" i="5"/>
  <c r="W30" i="5"/>
  <c r="V347" i="5"/>
  <c r="X159" i="5"/>
  <c r="U559" i="5"/>
  <c r="W464" i="5"/>
  <c r="Y464" i="5" s="1"/>
  <c r="Z464" i="5" s="1"/>
  <c r="AA464" i="5" s="1"/>
  <c r="AC464" i="5" s="1"/>
  <c r="V572" i="5"/>
  <c r="V271" i="5"/>
  <c r="V333" i="5"/>
  <c r="V261" i="5"/>
  <c r="X63" i="5"/>
  <c r="X555" i="5"/>
  <c r="W469" i="5"/>
  <c r="X261" i="5"/>
  <c r="U389" i="5"/>
  <c r="U47" i="5"/>
  <c r="X207" i="5"/>
  <c r="X30" i="5"/>
  <c r="V531" i="5"/>
  <c r="U498" i="5"/>
  <c r="U33" i="5"/>
  <c r="U362" i="5"/>
  <c r="U386" i="5"/>
  <c r="U98" i="5"/>
  <c r="X498" i="5"/>
  <c r="X290" i="5"/>
  <c r="U482" i="5"/>
  <c r="V290" i="5"/>
  <c r="X386" i="5"/>
  <c r="X98" i="5"/>
  <c r="W33" i="5"/>
  <c r="W362" i="5"/>
  <c r="V386" i="5"/>
  <c r="V98" i="5"/>
  <c r="V398" i="5"/>
  <c r="V306" i="5"/>
  <c r="W546" i="5"/>
  <c r="V514" i="5"/>
  <c r="W122" i="5"/>
  <c r="U122" i="5"/>
  <c r="W306" i="5"/>
  <c r="W414" i="5"/>
  <c r="U514" i="5"/>
  <c r="U398" i="5"/>
  <c r="U306" i="5"/>
  <c r="X514" i="5"/>
  <c r="X398" i="5"/>
  <c r="V414" i="5"/>
  <c r="V546" i="5"/>
  <c r="V26" i="5"/>
  <c r="U414" i="5"/>
  <c r="V122" i="5"/>
  <c r="U546" i="5"/>
  <c r="Y546" i="5" s="1"/>
  <c r="Z546" i="5" s="1"/>
  <c r="AA546" i="5" s="1"/>
  <c r="AC546" i="5" s="1"/>
  <c r="U26" i="5"/>
  <c r="Y26" i="5" s="1"/>
  <c r="Z26" i="5" s="1"/>
  <c r="AA26" i="5" s="1"/>
  <c r="AC26" i="5" s="1"/>
  <c r="U289" i="5"/>
  <c r="X446" i="5"/>
  <c r="W457" i="5"/>
  <c r="X566" i="5"/>
  <c r="V42" i="5"/>
  <c r="U425" i="5"/>
  <c r="W490" i="5"/>
  <c r="U242" i="5"/>
  <c r="W241" i="5"/>
  <c r="X286" i="5"/>
  <c r="X346" i="5"/>
  <c r="V394" i="5"/>
  <c r="U457" i="5"/>
  <c r="X113" i="5"/>
  <c r="X226" i="5"/>
  <c r="X345" i="5"/>
  <c r="V446" i="5"/>
  <c r="U446" i="5"/>
  <c r="U545" i="5"/>
  <c r="U566" i="5"/>
  <c r="V361" i="5"/>
  <c r="X273" i="5"/>
  <c r="X518" i="5"/>
  <c r="X338" i="5"/>
  <c r="W345" i="5"/>
  <c r="U350" i="5"/>
  <c r="U302" i="5"/>
  <c r="Y302" i="5" s="1"/>
  <c r="U273" i="5"/>
  <c r="V345" i="5"/>
  <c r="X422" i="5"/>
  <c r="X545" i="5"/>
  <c r="W185" i="5"/>
  <c r="X202" i="5"/>
  <c r="V346" i="5"/>
  <c r="V474" i="5"/>
  <c r="V153" i="5"/>
  <c r="U321" i="5"/>
  <c r="V241" i="5"/>
  <c r="X321" i="5"/>
  <c r="W382" i="5"/>
  <c r="X425" i="5"/>
  <c r="X146" i="5"/>
  <c r="U382" i="5"/>
  <c r="V409" i="5"/>
  <c r="V41" i="5"/>
  <c r="X17" i="5"/>
  <c r="X474" i="5"/>
  <c r="W425" i="5"/>
  <c r="W406" i="5"/>
  <c r="W146" i="5"/>
  <c r="X242" i="5"/>
  <c r="V490" i="5"/>
  <c r="V2" i="5"/>
  <c r="U225" i="5"/>
  <c r="U490" i="5"/>
  <c r="V406" i="5"/>
  <c r="V146" i="5"/>
  <c r="V286" i="5"/>
  <c r="U409" i="5"/>
  <c r="V17" i="5"/>
  <c r="U41" i="5"/>
  <c r="W17" i="5"/>
  <c r="X294" i="5"/>
  <c r="X450" i="5"/>
  <c r="W358" i="5"/>
  <c r="X121" i="5"/>
  <c r="V326" i="5"/>
  <c r="U218" i="5"/>
  <c r="U25" i="5"/>
  <c r="W289" i="5"/>
  <c r="W393" i="5"/>
  <c r="X466" i="5"/>
  <c r="X218" i="5"/>
  <c r="V121" i="5"/>
  <c r="V378" i="5"/>
  <c r="W326" i="5"/>
  <c r="V522" i="5"/>
  <c r="U406" i="5"/>
  <c r="V294" i="5"/>
  <c r="U2" i="5"/>
  <c r="U346" i="5"/>
  <c r="V274" i="5"/>
  <c r="U474" i="5"/>
  <c r="Y474" i="5" s="1"/>
  <c r="U286" i="5"/>
  <c r="U153" i="5"/>
  <c r="U241" i="5"/>
  <c r="V314" i="5"/>
  <c r="X409" i="5"/>
  <c r="W321" i="5"/>
  <c r="W257" i="5"/>
  <c r="X65" i="5"/>
  <c r="X225" i="5"/>
  <c r="X153" i="5"/>
  <c r="X41" i="5"/>
  <c r="W294" i="5"/>
  <c r="X2" i="5"/>
  <c r="W242" i="5"/>
  <c r="U522" i="5"/>
  <c r="V225" i="5"/>
  <c r="V494" i="5"/>
  <c r="V382" i="5"/>
  <c r="V73" i="5"/>
  <c r="V65" i="5"/>
  <c r="Y65" i="5" s="1"/>
  <c r="Z65" i="5" s="1"/>
  <c r="AA65" i="5" s="1"/>
  <c r="AC65" i="5" s="1"/>
  <c r="U314" i="5"/>
  <c r="W489" i="5"/>
  <c r="U106" i="5"/>
  <c r="V466" i="5"/>
  <c r="U378" i="5"/>
  <c r="U49" i="5"/>
  <c r="U234" i="5"/>
  <c r="V106" i="5"/>
  <c r="U410" i="5"/>
  <c r="V218" i="5"/>
  <c r="U393" i="5"/>
  <c r="V25" i="5"/>
  <c r="U377" i="5"/>
  <c r="V289" i="5"/>
  <c r="U137" i="5"/>
  <c r="U209" i="5"/>
  <c r="W377" i="5"/>
  <c r="W137" i="5"/>
  <c r="X358" i="5"/>
  <c r="W250" i="5"/>
  <c r="X393" i="5"/>
  <c r="W209" i="5"/>
  <c r="W106" i="5"/>
  <c r="X410" i="5"/>
  <c r="X326" i="5"/>
  <c r="V542" i="5"/>
  <c r="V450" i="5"/>
  <c r="V358" i="5"/>
  <c r="V250" i="5"/>
  <c r="U121" i="5"/>
  <c r="X542" i="5"/>
  <c r="W450" i="5"/>
  <c r="X25" i="5"/>
  <c r="W466" i="5"/>
  <c r="X378" i="5"/>
  <c r="X234" i="5"/>
  <c r="V234" i="5"/>
  <c r="U542" i="5"/>
  <c r="V377" i="5"/>
  <c r="V137" i="5"/>
  <c r="U250" i="5"/>
  <c r="V209" i="5"/>
  <c r="X462" i="5"/>
  <c r="V350" i="5"/>
  <c r="U202" i="5"/>
  <c r="V545" i="5"/>
  <c r="U89" i="5"/>
  <c r="U113" i="5"/>
  <c r="U422" i="5"/>
  <c r="U338" i="5"/>
  <c r="U226" i="5"/>
  <c r="U185" i="5"/>
  <c r="V566" i="5"/>
  <c r="V457" i="5"/>
  <c r="V273" i="5"/>
  <c r="V518" i="5"/>
  <c r="Y518" i="5" s="1"/>
  <c r="W361" i="5"/>
  <c r="X185" i="5"/>
  <c r="W89" i="5"/>
  <c r="X350" i="5"/>
  <c r="X42" i="5"/>
  <c r="W394" i="5"/>
  <c r="W42" i="5"/>
  <c r="V202" i="5"/>
  <c r="U394" i="5"/>
  <c r="V89" i="5"/>
  <c r="V113" i="5"/>
  <c r="V422" i="5"/>
  <c r="V338" i="5"/>
  <c r="V226" i="5"/>
  <c r="U361" i="5"/>
  <c r="V426" i="5"/>
  <c r="V322" i="5"/>
  <c r="V170" i="5"/>
  <c r="V18" i="5"/>
  <c r="U305" i="5"/>
  <c r="X441" i="5"/>
  <c r="X337" i="5"/>
  <c r="X489" i="5"/>
  <c r="X305" i="5"/>
  <c r="X169" i="5"/>
  <c r="Y169" i="5" s="1"/>
  <c r="X73" i="5"/>
  <c r="W370" i="5"/>
  <c r="W274" i="5"/>
  <c r="U370" i="5"/>
  <c r="U274" i="5"/>
  <c r="V441" i="5"/>
  <c r="V337" i="5"/>
  <c r="V489" i="5"/>
  <c r="X522" i="5"/>
  <c r="X426" i="5"/>
  <c r="X322" i="5"/>
  <c r="X170" i="5"/>
  <c r="X18" i="5"/>
  <c r="U481" i="5"/>
  <c r="W297" i="5"/>
  <c r="V530" i="5"/>
  <c r="V177" i="5"/>
  <c r="V210" i="5"/>
  <c r="W570" i="5"/>
  <c r="X434" i="5"/>
  <c r="U570" i="5"/>
  <c r="V401" i="5"/>
  <c r="X513" i="5"/>
  <c r="Y118" i="5"/>
  <c r="Z118" i="5" s="1"/>
  <c r="AA118" i="5" s="1"/>
  <c r="AC118" i="5" s="1"/>
  <c r="X458" i="5"/>
  <c r="X177" i="5"/>
  <c r="X530" i="5"/>
  <c r="Y229" i="5"/>
  <c r="Z229" i="5" s="1"/>
  <c r="AA229" i="5" s="1"/>
  <c r="AC229" i="5" s="1"/>
  <c r="U401" i="5"/>
  <c r="U177" i="5"/>
  <c r="U210" i="5"/>
  <c r="U297" i="5"/>
  <c r="U434" i="5"/>
  <c r="V366" i="5"/>
  <c r="V90" i="5"/>
  <c r="W366" i="5"/>
  <c r="W401" i="5"/>
  <c r="W530" i="5"/>
  <c r="V434" i="5"/>
  <c r="U458" i="5"/>
  <c r="V505" i="5"/>
  <c r="U313" i="5"/>
  <c r="U366" i="5"/>
  <c r="U513" i="5"/>
  <c r="X570" i="5"/>
  <c r="X210" i="5"/>
  <c r="X297" i="5"/>
  <c r="X497" i="5"/>
  <c r="Y562" i="5"/>
  <c r="Z562" i="5" s="1"/>
  <c r="AA562" i="5" s="1"/>
  <c r="AC562" i="5" s="1"/>
  <c r="X266" i="5"/>
  <c r="X385" i="5"/>
  <c r="X478" i="5"/>
  <c r="U521" i="5"/>
  <c r="V249" i="5"/>
  <c r="X529" i="5"/>
  <c r="Y203" i="5"/>
  <c r="Z203" i="5" s="1"/>
  <c r="AA203" i="5" s="1"/>
  <c r="AC203" i="5" s="1"/>
  <c r="X81" i="5"/>
  <c r="X265" i="5"/>
  <c r="X313" i="5"/>
  <c r="Y11" i="5"/>
  <c r="Z11" i="5" s="1"/>
  <c r="AA11" i="5" s="1"/>
  <c r="AC11" i="5" s="1"/>
  <c r="W129" i="5"/>
  <c r="Y69" i="5"/>
  <c r="Z69" i="5" s="1"/>
  <c r="AA69" i="5" s="1"/>
  <c r="AC69" i="5" s="1"/>
  <c r="Y403" i="5"/>
  <c r="Z403" i="5" s="1"/>
  <c r="AA403" i="5" s="1"/>
  <c r="AC403" i="5" s="1"/>
  <c r="U265" i="5"/>
  <c r="V506" i="5"/>
  <c r="W418" i="5"/>
  <c r="X10" i="5"/>
  <c r="V161" i="5"/>
  <c r="Y548" i="5"/>
  <c r="Z548" i="5" s="1"/>
  <c r="AA548" i="5" s="1"/>
  <c r="AC548" i="5" s="1"/>
  <c r="Y110" i="5"/>
  <c r="Z110" i="5" s="1"/>
  <c r="AA110" i="5" s="1"/>
  <c r="AC110" i="5" s="1"/>
  <c r="Y28" i="5"/>
  <c r="Z28" i="5" s="1"/>
  <c r="AA28" i="5" s="1"/>
  <c r="AC28" i="5" s="1"/>
  <c r="U561" i="5"/>
  <c r="U449" i="5"/>
  <c r="U353" i="5"/>
  <c r="U553" i="5"/>
  <c r="W97" i="5"/>
  <c r="Y70" i="5"/>
  <c r="Z70" i="5" s="1"/>
  <c r="AA70" i="5" s="1"/>
  <c r="AC70" i="5" s="1"/>
  <c r="U502" i="5"/>
  <c r="W561" i="5"/>
  <c r="V561" i="5"/>
  <c r="V449" i="5"/>
  <c r="V353" i="5"/>
  <c r="U486" i="5"/>
  <c r="W502" i="5"/>
  <c r="X145" i="5"/>
  <c r="X353" i="5"/>
  <c r="W486" i="5"/>
  <c r="V265" i="5"/>
  <c r="U97" i="5"/>
  <c r="V486" i="5"/>
  <c r="V417" i="5"/>
  <c r="U217" i="5"/>
  <c r="V145" i="5"/>
  <c r="V418" i="5"/>
  <c r="V310" i="5"/>
  <c r="V154" i="5"/>
  <c r="U10" i="5"/>
  <c r="X310" i="5"/>
  <c r="X154" i="5"/>
  <c r="X553" i="5"/>
  <c r="W449" i="5"/>
  <c r="X417" i="5"/>
  <c r="W217" i="5"/>
  <c r="U417" i="5"/>
  <c r="U145" i="5"/>
  <c r="Y145" i="5" s="1"/>
  <c r="Z145" i="5" s="1"/>
  <c r="AA145" i="5" s="1"/>
  <c r="AC145" i="5" s="1"/>
  <c r="V502" i="5"/>
  <c r="U418" i="5"/>
  <c r="U310" i="5"/>
  <c r="U154" i="5"/>
  <c r="V553" i="5"/>
  <c r="X97" i="5"/>
  <c r="Y199" i="5"/>
  <c r="Z199" i="5" s="1"/>
  <c r="AA199" i="5" s="1"/>
  <c r="AC199" i="5" s="1"/>
  <c r="Y159" i="5"/>
  <c r="Z159" i="5" s="1"/>
  <c r="AA159" i="5" s="1"/>
  <c r="AC159" i="5" s="1"/>
  <c r="Y415" i="5"/>
  <c r="Z415" i="5" s="1"/>
  <c r="AA415" i="5" s="1"/>
  <c r="AC415" i="5" s="1"/>
  <c r="Y147" i="5"/>
  <c r="Z147" i="5" s="1"/>
  <c r="AA147" i="5" s="1"/>
  <c r="AC147" i="5" s="1"/>
  <c r="Y27" i="5"/>
  <c r="Z27" i="5" s="1"/>
  <c r="AA27" i="5" s="1"/>
  <c r="AC27" i="5" s="1"/>
  <c r="Y148" i="5"/>
  <c r="Z148" i="5" s="1"/>
  <c r="AA148" i="5" s="1"/>
  <c r="AC148" i="5" s="1"/>
  <c r="Y451" i="5"/>
  <c r="Z451" i="5" s="1"/>
  <c r="AA451" i="5" s="1"/>
  <c r="AC451" i="5" s="1"/>
  <c r="Y189" i="5"/>
  <c r="Z189" i="5" s="1"/>
  <c r="AA189" i="5" s="1"/>
  <c r="AC189" i="5" s="1"/>
  <c r="Y563" i="5"/>
  <c r="Z563" i="5" s="1"/>
  <c r="AA563" i="5" s="1"/>
  <c r="AC563" i="5" s="1"/>
  <c r="V217" i="5"/>
  <c r="V10" i="5"/>
  <c r="Y332" i="5"/>
  <c r="Z332" i="5" s="1"/>
  <c r="AA332" i="5" s="1"/>
  <c r="AC332" i="5" s="1"/>
  <c r="Y325" i="5"/>
  <c r="Z325" i="5" s="1"/>
  <c r="AA325" i="5" s="1"/>
  <c r="AC325" i="5" s="1"/>
  <c r="Y262" i="5"/>
  <c r="Z262" i="5" s="1"/>
  <c r="AA262" i="5" s="1"/>
  <c r="AC262" i="5" s="1"/>
  <c r="Y175" i="5"/>
  <c r="Z175" i="5" s="1"/>
  <c r="AA175" i="5" s="1"/>
  <c r="AC175" i="5" s="1"/>
  <c r="Y436" i="5"/>
  <c r="Z436" i="5" s="1"/>
  <c r="AA436" i="5" s="1"/>
  <c r="AC436" i="5" s="1"/>
  <c r="Y373" i="5"/>
  <c r="Z373" i="5" s="1"/>
  <c r="AA373" i="5" s="1"/>
  <c r="AC373" i="5" s="1"/>
  <c r="Y132" i="5"/>
  <c r="Z132" i="5" s="1"/>
  <c r="AA132" i="5" s="1"/>
  <c r="AC132" i="5" s="1"/>
  <c r="Y43" i="5"/>
  <c r="Z43" i="5" s="1"/>
  <c r="AA43" i="5" s="1"/>
  <c r="AC43" i="5" s="1"/>
  <c r="Y475" i="5"/>
  <c r="Z475" i="5" s="1"/>
  <c r="AA475" i="5" s="1"/>
  <c r="AC475" i="5" s="1"/>
  <c r="Y437" i="5"/>
  <c r="Z437" i="5" s="1"/>
  <c r="AA437" i="5" s="1"/>
  <c r="AC437" i="5" s="1"/>
  <c r="Y404" i="5"/>
  <c r="Z404" i="5" s="1"/>
  <c r="AA404" i="5" s="1"/>
  <c r="AC404" i="5" s="1"/>
  <c r="Y363" i="5"/>
  <c r="Z363" i="5" s="1"/>
  <c r="AA363" i="5" s="1"/>
  <c r="AC363" i="5" s="1"/>
  <c r="Y13" i="5"/>
  <c r="Z13" i="5" s="1"/>
  <c r="AA13" i="5" s="1"/>
  <c r="AC13" i="5" s="1"/>
  <c r="Y526" i="5"/>
  <c r="Z526" i="5" s="1"/>
  <c r="AA526" i="5" s="1"/>
  <c r="AC526" i="5" s="1"/>
  <c r="Y19" i="5"/>
  <c r="Z19" i="5" s="1"/>
  <c r="AA19" i="5" s="1"/>
  <c r="AC19" i="5" s="1"/>
  <c r="Y116" i="5"/>
  <c r="Z116" i="5" s="1"/>
  <c r="AA116" i="5" s="1"/>
  <c r="AC116" i="5" s="1"/>
  <c r="Y267" i="5"/>
  <c r="Z267" i="5" s="1"/>
  <c r="AA267" i="5" s="1"/>
  <c r="AC267" i="5" s="1"/>
  <c r="Y60" i="5"/>
  <c r="Z60" i="5" s="1"/>
  <c r="AA60" i="5" s="1"/>
  <c r="AC60" i="5" s="1"/>
  <c r="Y357" i="5"/>
  <c r="Z357" i="5" s="1"/>
  <c r="AA357" i="5" s="1"/>
  <c r="AC357" i="5" s="1"/>
  <c r="Y149" i="5"/>
  <c r="Z149" i="5" s="1"/>
  <c r="AA149" i="5" s="1"/>
  <c r="AC149" i="5" s="1"/>
  <c r="Y284" i="5"/>
  <c r="Z284" i="5" s="1"/>
  <c r="AA284" i="5" s="1"/>
  <c r="AC284" i="5" s="1"/>
  <c r="Y23" i="5"/>
  <c r="Z23" i="5" s="1"/>
  <c r="AA23" i="5" s="1"/>
  <c r="AC23" i="5" s="1"/>
  <c r="Y91" i="5"/>
  <c r="Z91" i="5" s="1"/>
  <c r="AA91" i="5" s="1"/>
  <c r="AC91" i="5" s="1"/>
  <c r="Y254" i="5"/>
  <c r="Z254" i="5" s="1"/>
  <c r="AA254" i="5" s="1"/>
  <c r="AC254" i="5" s="1"/>
  <c r="Y349" i="5"/>
  <c r="Z349" i="5" s="1"/>
  <c r="AA349" i="5" s="1"/>
  <c r="AC349" i="5" s="1"/>
  <c r="Y67" i="5"/>
  <c r="Z67" i="5" s="1"/>
  <c r="AA67" i="5" s="1"/>
  <c r="AC67" i="5" s="1"/>
  <c r="Y35" i="5"/>
  <c r="Z35" i="5" s="1"/>
  <c r="AA35" i="5" s="1"/>
  <c r="AC35" i="5" s="1"/>
  <c r="Y397" i="5"/>
  <c r="Z397" i="5" s="1"/>
  <c r="AA397" i="5" s="1"/>
  <c r="AC397" i="5" s="1"/>
  <c r="V473" i="5"/>
  <c r="V369" i="5"/>
  <c r="V281" i="5"/>
  <c r="V129" i="5"/>
  <c r="U57" i="5"/>
  <c r="U194" i="5"/>
  <c r="Y236" i="5"/>
  <c r="Z236" i="5" s="1"/>
  <c r="AA236" i="5" s="1"/>
  <c r="AC236" i="5" s="1"/>
  <c r="Y453" i="5"/>
  <c r="Z453" i="5" s="1"/>
  <c r="AA453" i="5" s="1"/>
  <c r="AC453" i="5" s="1"/>
  <c r="Y190" i="5"/>
  <c r="Z190" i="5" s="1"/>
  <c r="AA190" i="5" s="1"/>
  <c r="AC190" i="5" s="1"/>
  <c r="Y340" i="5"/>
  <c r="Z340" i="5" s="1"/>
  <c r="AA340" i="5" s="1"/>
  <c r="AC340" i="5" s="1"/>
  <c r="Y108" i="5"/>
  <c r="Z108" i="5" s="1"/>
  <c r="AA108" i="5" s="1"/>
  <c r="AC108" i="5" s="1"/>
  <c r="Y428" i="5"/>
  <c r="Z428" i="5" s="1"/>
  <c r="AA428" i="5" s="1"/>
  <c r="AC428" i="5" s="1"/>
  <c r="Y243" i="5"/>
  <c r="Z243" i="5" s="1"/>
  <c r="AA243" i="5" s="1"/>
  <c r="AC243" i="5" s="1"/>
  <c r="Y575" i="5"/>
  <c r="Z575" i="5" s="1"/>
  <c r="AA575" i="5" s="1"/>
  <c r="AC575" i="5" s="1"/>
  <c r="Y103" i="5"/>
  <c r="Z103" i="5" s="1"/>
  <c r="AA103" i="5" s="1"/>
  <c r="AC103" i="5" s="1"/>
  <c r="Y8" i="5"/>
  <c r="Z8" i="5" s="1"/>
  <c r="AA8" i="5" s="1"/>
  <c r="AC8" i="5" s="1"/>
  <c r="Y574" i="5"/>
  <c r="Z574" i="5" s="1"/>
  <c r="AA574" i="5" s="1"/>
  <c r="AC574" i="5" s="1"/>
  <c r="X438" i="5"/>
  <c r="W334" i="5"/>
  <c r="X281" i="5"/>
  <c r="W161" i="5"/>
  <c r="U438" i="5"/>
  <c r="X481" i="5"/>
  <c r="Y263" i="5"/>
  <c r="Z263" i="5" s="1"/>
  <c r="AA263" i="5" s="1"/>
  <c r="AC263" i="5" s="1"/>
  <c r="Y468" i="5"/>
  <c r="Z468" i="5" s="1"/>
  <c r="AA468" i="5" s="1"/>
  <c r="AC468" i="5" s="1"/>
  <c r="Y246" i="5"/>
  <c r="Z246" i="5" s="1"/>
  <c r="AA246" i="5" s="1"/>
  <c r="AC246" i="5" s="1"/>
  <c r="Y197" i="5"/>
  <c r="Z197" i="5" s="1"/>
  <c r="AA197" i="5" s="1"/>
  <c r="AC197" i="5" s="1"/>
  <c r="Y38" i="5"/>
  <c r="Z38" i="5" s="1"/>
  <c r="AA38" i="5" s="1"/>
  <c r="AC38" i="5" s="1"/>
  <c r="Y301" i="5"/>
  <c r="Z301" i="5" s="1"/>
  <c r="AA301" i="5" s="1"/>
  <c r="AC301" i="5" s="1"/>
  <c r="Y231" i="5"/>
  <c r="Z231" i="5" s="1"/>
  <c r="AA231" i="5" s="1"/>
  <c r="AC231" i="5" s="1"/>
  <c r="Y192" i="5"/>
  <c r="Z192" i="5" s="1"/>
  <c r="AA192" i="5" s="1"/>
  <c r="AC192" i="5" s="1"/>
  <c r="Y191" i="5"/>
  <c r="Z191" i="5" s="1"/>
  <c r="AA191" i="5" s="1"/>
  <c r="AC191" i="5" s="1"/>
  <c r="Y219" i="5"/>
  <c r="Z219" i="5" s="1"/>
  <c r="AA219" i="5" s="1"/>
  <c r="AC219" i="5" s="1"/>
  <c r="Y324" i="5"/>
  <c r="Z324" i="5" s="1"/>
  <c r="AA324" i="5" s="1"/>
  <c r="AC324" i="5" s="1"/>
  <c r="Y538" i="5"/>
  <c r="Z538" i="5" s="1"/>
  <c r="AA538" i="5" s="1"/>
  <c r="AC538" i="5" s="1"/>
  <c r="Y198" i="5"/>
  <c r="Z198" i="5" s="1"/>
  <c r="AA198" i="5" s="1"/>
  <c r="AC198" i="5" s="1"/>
  <c r="Y127" i="5"/>
  <c r="Z127" i="5" s="1"/>
  <c r="AA127" i="5" s="1"/>
  <c r="AC127" i="5" s="1"/>
  <c r="Y131" i="5"/>
  <c r="Z131" i="5" s="1"/>
  <c r="AA131" i="5" s="1"/>
  <c r="AC131" i="5" s="1"/>
  <c r="Y309" i="5"/>
  <c r="Z309" i="5" s="1"/>
  <c r="AA309" i="5" s="1"/>
  <c r="AC309" i="5" s="1"/>
  <c r="Y524" i="5"/>
  <c r="Z524" i="5" s="1"/>
  <c r="AA524" i="5" s="1"/>
  <c r="AC524" i="5" s="1"/>
  <c r="Y303" i="5"/>
  <c r="Z303" i="5" s="1"/>
  <c r="AA303" i="5" s="1"/>
  <c r="AC303" i="5" s="1"/>
  <c r="Y205" i="5"/>
  <c r="Z205" i="5" s="1"/>
  <c r="AA205" i="5" s="1"/>
  <c r="AC205" i="5" s="1"/>
  <c r="Y291" i="5"/>
  <c r="Z291" i="5" s="1"/>
  <c r="AA291" i="5" s="1"/>
  <c r="AC291" i="5" s="1"/>
  <c r="Y167" i="5"/>
  <c r="Z167" i="5" s="1"/>
  <c r="AA167" i="5" s="1"/>
  <c r="AC167" i="5" s="1"/>
  <c r="Y448" i="5"/>
  <c r="Z448" i="5" s="1"/>
  <c r="AA448" i="5" s="1"/>
  <c r="AC448" i="5" s="1"/>
  <c r="Y493" i="5"/>
  <c r="Z493" i="5" s="1"/>
  <c r="AA493" i="5" s="1"/>
  <c r="AC493" i="5" s="1"/>
  <c r="Y221" i="5"/>
  <c r="Z221" i="5" s="1"/>
  <c r="AA221" i="5" s="1"/>
  <c r="AC221" i="5" s="1"/>
  <c r="Y531" i="5"/>
  <c r="Z531" i="5" s="1"/>
  <c r="AA531" i="5" s="1"/>
  <c r="AC531" i="5" s="1"/>
  <c r="Y139" i="5"/>
  <c r="Z139" i="5" s="1"/>
  <c r="AA139" i="5" s="1"/>
  <c r="AC139" i="5" s="1"/>
  <c r="Y295" i="5"/>
  <c r="Z295" i="5" s="1"/>
  <c r="AA295" i="5" s="1"/>
  <c r="AC295" i="5" s="1"/>
  <c r="Y51" i="5"/>
  <c r="Z51" i="5" s="1"/>
  <c r="AA51" i="5" s="1"/>
  <c r="AC51" i="5" s="1"/>
  <c r="Y264" i="5"/>
  <c r="Z264" i="5" s="1"/>
  <c r="AA264" i="5" s="1"/>
  <c r="AC264" i="5" s="1"/>
  <c r="Y447" i="5"/>
  <c r="Z447" i="5" s="1"/>
  <c r="AA447" i="5" s="1"/>
  <c r="AC447" i="5" s="1"/>
  <c r="V329" i="5"/>
  <c r="U249" i="5"/>
  <c r="V537" i="5"/>
  <c r="U505" i="5"/>
  <c r="V433" i="5"/>
  <c r="U329" i="5"/>
  <c r="V201" i="5"/>
  <c r="V462" i="5"/>
  <c r="V497" i="5"/>
  <c r="V385" i="5"/>
  <c r="V81" i="5"/>
  <c r="U90" i="5"/>
  <c r="W458" i="5"/>
  <c r="X390" i="5"/>
  <c r="X90" i="5"/>
  <c r="W513" i="5"/>
  <c r="W81" i="5"/>
  <c r="X505" i="5"/>
  <c r="X433" i="5"/>
  <c r="X201" i="5"/>
  <c r="W497" i="5"/>
  <c r="W313" i="5"/>
  <c r="Y525" i="5"/>
  <c r="Z525" i="5" s="1"/>
  <c r="AA525" i="5" s="1"/>
  <c r="AC525" i="5" s="1"/>
  <c r="Y21" i="5"/>
  <c r="Z21" i="5" s="1"/>
  <c r="AA21" i="5" s="1"/>
  <c r="AC21" i="5" s="1"/>
  <c r="Y277" i="5"/>
  <c r="Z277" i="5" s="1"/>
  <c r="AA277" i="5" s="1"/>
  <c r="AC277" i="5" s="1"/>
  <c r="Y136" i="5"/>
  <c r="Z136" i="5" s="1"/>
  <c r="AA136" i="5" s="1"/>
  <c r="AC136" i="5" s="1"/>
  <c r="Y444" i="5"/>
  <c r="Z444" i="5" s="1"/>
  <c r="AA444" i="5" s="1"/>
  <c r="AC444" i="5" s="1"/>
  <c r="Y235" i="5"/>
  <c r="Z235" i="5" s="1"/>
  <c r="AA235" i="5" s="1"/>
  <c r="AC235" i="5" s="1"/>
  <c r="Y300" i="5"/>
  <c r="Z300" i="5" s="1"/>
  <c r="AA300" i="5" s="1"/>
  <c r="AC300" i="5" s="1"/>
  <c r="V105" i="5"/>
  <c r="X138" i="5"/>
  <c r="X521" i="5"/>
  <c r="X249" i="5"/>
  <c r="V558" i="5"/>
  <c r="V521" i="5"/>
  <c r="U433" i="5"/>
  <c r="U201" i="5"/>
  <c r="V49" i="5"/>
  <c r="U462" i="5"/>
  <c r="V193" i="5"/>
  <c r="X329" i="5"/>
  <c r="X49" i="5"/>
  <c r="Y213" i="5"/>
  <c r="Z213" i="5" s="1"/>
  <c r="AA213" i="5" s="1"/>
  <c r="AC213" i="5" s="1"/>
  <c r="Y471" i="5"/>
  <c r="Z471" i="5" s="1"/>
  <c r="AA471" i="5" s="1"/>
  <c r="AC471" i="5" s="1"/>
  <c r="Y292" i="5"/>
  <c r="Z292" i="5" s="1"/>
  <c r="AA292" i="5" s="1"/>
  <c r="AC292" i="5" s="1"/>
  <c r="Y237" i="5"/>
  <c r="Z237" i="5" s="1"/>
  <c r="AA237" i="5" s="1"/>
  <c r="AC237" i="5" s="1"/>
  <c r="Y549" i="5"/>
  <c r="Z549" i="5" s="1"/>
  <c r="AA549" i="5" s="1"/>
  <c r="AC549" i="5" s="1"/>
  <c r="Y435" i="5"/>
  <c r="Z435" i="5" s="1"/>
  <c r="AA435" i="5" s="1"/>
  <c r="AC435" i="5" s="1"/>
  <c r="Y335" i="5"/>
  <c r="Z335" i="5" s="1"/>
  <c r="AA335" i="5" s="1"/>
  <c r="AC335" i="5" s="1"/>
  <c r="Y395" i="5"/>
  <c r="Z395" i="5" s="1"/>
  <c r="AA395" i="5" s="1"/>
  <c r="AC395" i="5" s="1"/>
  <c r="Y501" i="5"/>
  <c r="Z501" i="5" s="1"/>
  <c r="AA501" i="5" s="1"/>
  <c r="AC501" i="5" s="1"/>
  <c r="Y535" i="5"/>
  <c r="Z535" i="5" s="1"/>
  <c r="AA535" i="5" s="1"/>
  <c r="AC535" i="5" s="1"/>
  <c r="Y348" i="5"/>
  <c r="Z348" i="5" s="1"/>
  <c r="AA348" i="5" s="1"/>
  <c r="AC348" i="5" s="1"/>
  <c r="Y315" i="5"/>
  <c r="Z315" i="5" s="1"/>
  <c r="AA315" i="5" s="1"/>
  <c r="AC315" i="5" s="1"/>
  <c r="Y3" i="5"/>
  <c r="Z3" i="5" s="1"/>
  <c r="AA3" i="5" s="1"/>
  <c r="AC3" i="5" s="1"/>
  <c r="Y427" i="5"/>
  <c r="Z427" i="5" s="1"/>
  <c r="AA427" i="5" s="1"/>
  <c r="AC427" i="5" s="1"/>
  <c r="Y503" i="5"/>
  <c r="Z503" i="5" s="1"/>
  <c r="AA503" i="5" s="1"/>
  <c r="AC503" i="5" s="1"/>
  <c r="Y278" i="5"/>
  <c r="Z278" i="5" s="1"/>
  <c r="AA278" i="5" s="1"/>
  <c r="AC278" i="5" s="1"/>
  <c r="Y485" i="5"/>
  <c r="Z485" i="5" s="1"/>
  <c r="AA485" i="5" s="1"/>
  <c r="AC485" i="5" s="1"/>
  <c r="Y214" i="5"/>
  <c r="Z214" i="5" s="1"/>
  <c r="AA214" i="5" s="1"/>
  <c r="AC214" i="5" s="1"/>
  <c r="Y86" i="5"/>
  <c r="Z86" i="5" s="1"/>
  <c r="AA86" i="5" s="1"/>
  <c r="AC86" i="5" s="1"/>
  <c r="Y399" i="5"/>
  <c r="Z399" i="5" s="1"/>
  <c r="AA399" i="5" s="1"/>
  <c r="AC399" i="5" s="1"/>
  <c r="Y76" i="5"/>
  <c r="Z76" i="5" s="1"/>
  <c r="AA76" i="5" s="1"/>
  <c r="AC76" i="5" s="1"/>
  <c r="Y411" i="5"/>
  <c r="Z411" i="5" s="1"/>
  <c r="AA411" i="5" s="1"/>
  <c r="AC411" i="5" s="1"/>
  <c r="Y64" i="5"/>
  <c r="Z64" i="5" s="1"/>
  <c r="AA64" i="5" s="1"/>
  <c r="AC64" i="5" s="1"/>
  <c r="Y396" i="5"/>
  <c r="Z396" i="5" s="1"/>
  <c r="AA396" i="5" s="1"/>
  <c r="AC396" i="5" s="1"/>
  <c r="Y83" i="5"/>
  <c r="Z83" i="5" s="1"/>
  <c r="AA83" i="5" s="1"/>
  <c r="AC83" i="5" s="1"/>
  <c r="Y516" i="5"/>
  <c r="Z516" i="5" s="1"/>
  <c r="AA516" i="5" s="1"/>
  <c r="AC516" i="5" s="1"/>
  <c r="Y165" i="5"/>
  <c r="Z165" i="5" s="1"/>
  <c r="AA165" i="5" s="1"/>
  <c r="AC165" i="5" s="1"/>
  <c r="Y179" i="5"/>
  <c r="Z179" i="5" s="1"/>
  <c r="AA179" i="5" s="1"/>
  <c r="AC179" i="5" s="1"/>
  <c r="Y158" i="5"/>
  <c r="Z158" i="5" s="1"/>
  <c r="AA158" i="5" s="1"/>
  <c r="AC158" i="5" s="1"/>
  <c r="Y222" i="5"/>
  <c r="Z222" i="5" s="1"/>
  <c r="AA222" i="5" s="1"/>
  <c r="AC222" i="5" s="1"/>
  <c r="Y173" i="5"/>
  <c r="Z173" i="5" s="1"/>
  <c r="AA173" i="5" s="1"/>
  <c r="AC173" i="5" s="1"/>
  <c r="Y71" i="5"/>
  <c r="Z71" i="5" s="1"/>
  <c r="AA71" i="5" s="1"/>
  <c r="AC71" i="5" s="1"/>
  <c r="Y135" i="5"/>
  <c r="Z135" i="5" s="1"/>
  <c r="AA135" i="5" s="1"/>
  <c r="AC135" i="5" s="1"/>
  <c r="Y523" i="5"/>
  <c r="Z523" i="5" s="1"/>
  <c r="AA523" i="5" s="1"/>
  <c r="AC523" i="5" s="1"/>
  <c r="Y528" i="5"/>
  <c r="Z528" i="5" s="1"/>
  <c r="AA528" i="5" s="1"/>
  <c r="AC528" i="5" s="1"/>
  <c r="Y560" i="5"/>
  <c r="Z560" i="5" s="1"/>
  <c r="AA560" i="5" s="1"/>
  <c r="AC560" i="5" s="1"/>
  <c r="Y123" i="5"/>
  <c r="Z123" i="5" s="1"/>
  <c r="AA123" i="5" s="1"/>
  <c r="AC123" i="5" s="1"/>
  <c r="Y52" i="5"/>
  <c r="Z52" i="5" s="1"/>
  <c r="AA52" i="5" s="1"/>
  <c r="AC52" i="5" s="1"/>
  <c r="Y459" i="5"/>
  <c r="Z459" i="5" s="1"/>
  <c r="AA459" i="5" s="1"/>
  <c r="AC459" i="5" s="1"/>
  <c r="Y174" i="5"/>
  <c r="Z174" i="5" s="1"/>
  <c r="AA174" i="5" s="1"/>
  <c r="AC174" i="5" s="1"/>
  <c r="Y72" i="5"/>
  <c r="Z72" i="5" s="1"/>
  <c r="AA72" i="5" s="1"/>
  <c r="AC72" i="5" s="1"/>
  <c r="Y200" i="5"/>
  <c r="Z200" i="5" s="1"/>
  <c r="AA200" i="5" s="1"/>
  <c r="AC200" i="5" s="1"/>
  <c r="Y320" i="5"/>
  <c r="Z320" i="5" s="1"/>
  <c r="AA320" i="5" s="1"/>
  <c r="AC320" i="5" s="1"/>
  <c r="Y384" i="5"/>
  <c r="Z384" i="5" s="1"/>
  <c r="AA384" i="5" s="1"/>
  <c r="AC384" i="5" s="1"/>
  <c r="Y7" i="5"/>
  <c r="Z7" i="5" s="1"/>
  <c r="AA7" i="5" s="1"/>
  <c r="AC7" i="5" s="1"/>
  <c r="Y227" i="5"/>
  <c r="Z227" i="5" s="1"/>
  <c r="AA227" i="5" s="1"/>
  <c r="AC227" i="5" s="1"/>
  <c r="Y171" i="5"/>
  <c r="Z171" i="5" s="1"/>
  <c r="AA171" i="5" s="1"/>
  <c r="AC171" i="5" s="1"/>
  <c r="Y6" i="5"/>
  <c r="Z6" i="5" s="1"/>
  <c r="AA6" i="5" s="1"/>
  <c r="AC6" i="5" s="1"/>
  <c r="Y142" i="5"/>
  <c r="Z142" i="5" s="1"/>
  <c r="AA142" i="5" s="1"/>
  <c r="AC142" i="5" s="1"/>
  <c r="Y151" i="5"/>
  <c r="Z151" i="5" s="1"/>
  <c r="AA151" i="5" s="1"/>
  <c r="AC151" i="5" s="1"/>
  <c r="Y571" i="5"/>
  <c r="Z571" i="5" s="1"/>
  <c r="AA571" i="5" s="1"/>
  <c r="AC571" i="5" s="1"/>
  <c r="Y188" i="5"/>
  <c r="Z188" i="5" s="1"/>
  <c r="AA188" i="5" s="1"/>
  <c r="AC188" i="5" s="1"/>
  <c r="Y504" i="5"/>
  <c r="Z504" i="5" s="1"/>
  <c r="AA504" i="5" s="1"/>
  <c r="AC504" i="5" s="1"/>
  <c r="Y128" i="5"/>
  <c r="Z128" i="5" s="1"/>
  <c r="AA128" i="5" s="1"/>
  <c r="AC128" i="5" s="1"/>
  <c r="Y211" i="5"/>
  <c r="Z211" i="5" s="1"/>
  <c r="AA211" i="5" s="1"/>
  <c r="AC211" i="5" s="1"/>
  <c r="Y46" i="5"/>
  <c r="Z46" i="5" s="1"/>
  <c r="AA46" i="5" s="1"/>
  <c r="AC46" i="5" s="1"/>
  <c r="Y374" i="5"/>
  <c r="Z374" i="5" s="1"/>
  <c r="AA374" i="5" s="1"/>
  <c r="AC374" i="5" s="1"/>
  <c r="Y256" i="5"/>
  <c r="Z256" i="5" s="1"/>
  <c r="AA256" i="5" s="1"/>
  <c r="AC256" i="5" s="1"/>
  <c r="Y39" i="5"/>
  <c r="Z39" i="5" s="1"/>
  <c r="AA39" i="5" s="1"/>
  <c r="AC39" i="5" s="1"/>
  <c r="Y283" i="5"/>
  <c r="Z283" i="5" s="1"/>
  <c r="AA283" i="5" s="1"/>
  <c r="AC283" i="5" s="1"/>
  <c r="Y115" i="5"/>
  <c r="Z115" i="5" s="1"/>
  <c r="AA115" i="5" s="1"/>
  <c r="AC115" i="5" s="1"/>
  <c r="Y308" i="5"/>
  <c r="Z308" i="5" s="1"/>
  <c r="AA308" i="5" s="1"/>
  <c r="AC308" i="5" s="1"/>
  <c r="Y163" i="5"/>
  <c r="Z163" i="5" s="1"/>
  <c r="AA163" i="5" s="1"/>
  <c r="AC163" i="5" s="1"/>
  <c r="Y220" i="5"/>
  <c r="Z220" i="5" s="1"/>
  <c r="AA220" i="5" s="1"/>
  <c r="AC220" i="5" s="1"/>
  <c r="Y469" i="5"/>
  <c r="Z469" i="5" s="1"/>
  <c r="AA469" i="5" s="1"/>
  <c r="AC469" i="5" s="1"/>
  <c r="Y356" i="5"/>
  <c r="Z356" i="5" s="1"/>
  <c r="AA356" i="5" s="1"/>
  <c r="AC356" i="5" s="1"/>
  <c r="Y134" i="5"/>
  <c r="Z134" i="5" s="1"/>
  <c r="AA134" i="5" s="1"/>
  <c r="AC134" i="5" s="1"/>
  <c r="Y141" i="5"/>
  <c r="Z141" i="5" s="1"/>
  <c r="AA141" i="5" s="1"/>
  <c r="AC141" i="5" s="1"/>
  <c r="Y389" i="5"/>
  <c r="Z389" i="5" s="1"/>
  <c r="AA389" i="5" s="1"/>
  <c r="AC389" i="5" s="1"/>
  <c r="Y517" i="5"/>
  <c r="Z517" i="5" s="1"/>
  <c r="AA517" i="5" s="1"/>
  <c r="AC517" i="5" s="1"/>
  <c r="Y365" i="5"/>
  <c r="Z365" i="5" s="1"/>
  <c r="AA365" i="5" s="1"/>
  <c r="AC365" i="5" s="1"/>
  <c r="Y78" i="5"/>
  <c r="Z78" i="5" s="1"/>
  <c r="AA78" i="5" s="1"/>
  <c r="AC78" i="5" s="1"/>
  <c r="Y157" i="5"/>
  <c r="Z157" i="5" s="1"/>
  <c r="AA157" i="5" s="1"/>
  <c r="AC157" i="5" s="1"/>
  <c r="Y307" i="5"/>
  <c r="Z307" i="5" s="1"/>
  <c r="AA307" i="5" s="1"/>
  <c r="AC307" i="5" s="1"/>
  <c r="Y375" i="5"/>
  <c r="Z375" i="5" s="1"/>
  <c r="AA375" i="5" s="1"/>
  <c r="AC375" i="5" s="1"/>
  <c r="Y511" i="5"/>
  <c r="Z511" i="5" s="1"/>
  <c r="AA511" i="5" s="1"/>
  <c r="AC511" i="5" s="1"/>
  <c r="Y92" i="5"/>
  <c r="Z92" i="5" s="1"/>
  <c r="AA92" i="5" s="1"/>
  <c r="AC92" i="5" s="1"/>
  <c r="Y156" i="5"/>
  <c r="Z156" i="5" s="1"/>
  <c r="AA156" i="5" s="1"/>
  <c r="AC156" i="5" s="1"/>
  <c r="Y328" i="5"/>
  <c r="Z328" i="5" s="1"/>
  <c r="AA328" i="5" s="1"/>
  <c r="AC328" i="5" s="1"/>
  <c r="Y392" i="5"/>
  <c r="Z392" i="5" s="1"/>
  <c r="AA392" i="5" s="1"/>
  <c r="AC392" i="5" s="1"/>
  <c r="Y456" i="5"/>
  <c r="Z456" i="5" s="1"/>
  <c r="AA456" i="5" s="1"/>
  <c r="AC456" i="5" s="1"/>
  <c r="Y275" i="5"/>
  <c r="Z275" i="5" s="1"/>
  <c r="AA275" i="5" s="1"/>
  <c r="AC275" i="5" s="1"/>
  <c r="Y228" i="5"/>
  <c r="Z228" i="5" s="1"/>
  <c r="AA228" i="5" s="1"/>
  <c r="AC228" i="5" s="1"/>
  <c r="V465" i="5"/>
  <c r="U233" i="5"/>
  <c r="U534" i="5"/>
  <c r="U34" i="5"/>
  <c r="W569" i="5"/>
  <c r="X465" i="5"/>
  <c r="X473" i="5"/>
  <c r="W369" i="5"/>
  <c r="X506" i="5"/>
  <c r="W57" i="5"/>
  <c r="Y79" i="5"/>
  <c r="Z79" i="5" s="1"/>
  <c r="AA79" i="5" s="1"/>
  <c r="AC79" i="5" s="1"/>
  <c r="U465" i="5"/>
  <c r="V57" i="5"/>
  <c r="V438" i="5"/>
  <c r="V194" i="5"/>
  <c r="V481" i="5"/>
  <c r="X334" i="5"/>
  <c r="W194" i="5"/>
  <c r="W473" i="5"/>
  <c r="X129" i="5"/>
  <c r="W506" i="5"/>
  <c r="X161" i="5"/>
  <c r="U369" i="5"/>
  <c r="U281" i="5"/>
  <c r="V233" i="5"/>
  <c r="V534" i="5"/>
  <c r="V334" i="5"/>
  <c r="V34" i="5"/>
  <c r="V569" i="5"/>
  <c r="X534" i="5"/>
  <c r="X34" i="5"/>
  <c r="X569" i="5"/>
  <c r="X233" i="5"/>
  <c r="Y204" i="5"/>
  <c r="Z204" i="5" s="1"/>
  <c r="AA204" i="5" s="1"/>
  <c r="AC204" i="5" s="1"/>
  <c r="Y183" i="5"/>
  <c r="Z183" i="5" s="1"/>
  <c r="AA183" i="5" s="1"/>
  <c r="AC183" i="5" s="1"/>
  <c r="Y405" i="5"/>
  <c r="Z405" i="5" s="1"/>
  <c r="AA405" i="5" s="1"/>
  <c r="AC405" i="5" s="1"/>
  <c r="Y527" i="5"/>
  <c r="Z527" i="5" s="1"/>
  <c r="AA527" i="5" s="1"/>
  <c r="AC527" i="5" s="1"/>
  <c r="Y184" i="5"/>
  <c r="Z184" i="5" s="1"/>
  <c r="AA184" i="5" s="1"/>
  <c r="AC184" i="5" s="1"/>
  <c r="Y463" i="5"/>
  <c r="Z463" i="5" s="1"/>
  <c r="AA463" i="5" s="1"/>
  <c r="AC463" i="5" s="1"/>
  <c r="Y316" i="5"/>
  <c r="Z316" i="5" s="1"/>
  <c r="AA316" i="5" s="1"/>
  <c r="AC316" i="5" s="1"/>
  <c r="Y564" i="5"/>
  <c r="Z564" i="5" s="1"/>
  <c r="AA564" i="5" s="1"/>
  <c r="AC564" i="5" s="1"/>
  <c r="Y483" i="5"/>
  <c r="Y100" i="5"/>
  <c r="Z100" i="5" s="1"/>
  <c r="AA100" i="5" s="1"/>
  <c r="AC100" i="5" s="1"/>
  <c r="Y120" i="5"/>
  <c r="Z120" i="5" s="1"/>
  <c r="AA120" i="5" s="1"/>
  <c r="AC120" i="5" s="1"/>
  <c r="Y88" i="5"/>
  <c r="Z88" i="5" s="1"/>
  <c r="AA88" i="5" s="1"/>
  <c r="AC88" i="5" s="1"/>
  <c r="Y80" i="5"/>
  <c r="Z80" i="5" s="1"/>
  <c r="AA80" i="5" s="1"/>
  <c r="AC80" i="5" s="1"/>
  <c r="Y420" i="5"/>
  <c r="Z420" i="5" s="1"/>
  <c r="AA420" i="5" s="1"/>
  <c r="AC420" i="5" s="1"/>
  <c r="Y510" i="5"/>
  <c r="Z510" i="5" s="1"/>
  <c r="AA510" i="5" s="1"/>
  <c r="AC510" i="5" s="1"/>
  <c r="Y55" i="5"/>
  <c r="Z55" i="5" s="1"/>
  <c r="AA55" i="5" s="1"/>
  <c r="AC55" i="5" s="1"/>
  <c r="Y388" i="5"/>
  <c r="Z388" i="5" s="1"/>
  <c r="AA388" i="5" s="1"/>
  <c r="AC388" i="5" s="1"/>
  <c r="Y251" i="5"/>
  <c r="Z251" i="5" s="1"/>
  <c r="AA251" i="5" s="1"/>
  <c r="AC251" i="5" s="1"/>
  <c r="Y99" i="5"/>
  <c r="Z99" i="5" s="1"/>
  <c r="AA99" i="5" s="1"/>
  <c r="AC99" i="5" s="1"/>
  <c r="Y533" i="5"/>
  <c r="Z533" i="5" s="1"/>
  <c r="AA533" i="5" s="1"/>
  <c r="AC533" i="5" s="1"/>
  <c r="Y476" i="5"/>
  <c r="Z476" i="5" s="1"/>
  <c r="AA476" i="5" s="1"/>
  <c r="AC476" i="5" s="1"/>
  <c r="Y500" i="5"/>
  <c r="Z500" i="5" s="1"/>
  <c r="AA500" i="5" s="1"/>
  <c r="AC500" i="5" s="1"/>
  <c r="Y319" i="5"/>
  <c r="Z319" i="5" s="1"/>
  <c r="AA319" i="5" s="1"/>
  <c r="AC319" i="5" s="1"/>
  <c r="Y40" i="5"/>
  <c r="Z40" i="5" s="1"/>
  <c r="AA40" i="5" s="1"/>
  <c r="AC40" i="5" s="1"/>
  <c r="Y53" i="5"/>
  <c r="Z53" i="5" s="1"/>
  <c r="AA53" i="5" s="1"/>
  <c r="AC53" i="5" s="1"/>
  <c r="Y565" i="5"/>
  <c r="Z565" i="5" s="1"/>
  <c r="AA565" i="5" s="1"/>
  <c r="AC565" i="5" s="1"/>
  <c r="Y519" i="5"/>
  <c r="Z519" i="5" s="1"/>
  <c r="AA519" i="5" s="1"/>
  <c r="AC519" i="5" s="1"/>
  <c r="Y164" i="5"/>
  <c r="Z164" i="5" s="1"/>
  <c r="AA164" i="5" s="1"/>
  <c r="AC164" i="5" s="1"/>
  <c r="Y460" i="5"/>
  <c r="Z460" i="5" s="1"/>
  <c r="AA460" i="5" s="1"/>
  <c r="AC460" i="5" s="1"/>
  <c r="Y48" i="5"/>
  <c r="Z48" i="5" s="1"/>
  <c r="AA48" i="5" s="1"/>
  <c r="AC48" i="5" s="1"/>
  <c r="Y152" i="5"/>
  <c r="Z152" i="5" s="1"/>
  <c r="AA152" i="5" s="1"/>
  <c r="AC152" i="5" s="1"/>
  <c r="Y341" i="5"/>
  <c r="Z341" i="5" s="1"/>
  <c r="AA341" i="5" s="1"/>
  <c r="AC341" i="5" s="1"/>
  <c r="Y452" i="5"/>
  <c r="Z452" i="5" s="1"/>
  <c r="AA452" i="5" s="1"/>
  <c r="AC452" i="5" s="1"/>
  <c r="Y109" i="5"/>
  <c r="Z109" i="5" s="1"/>
  <c r="AA109" i="5" s="1"/>
  <c r="AC109" i="5" s="1"/>
  <c r="Y101" i="5"/>
  <c r="Z101" i="5" s="1"/>
  <c r="AA101" i="5" s="1"/>
  <c r="AC101" i="5" s="1"/>
  <c r="Y276" i="5"/>
  <c r="Z276" i="5" s="1"/>
  <c r="AA276" i="5" s="1"/>
  <c r="AC276" i="5" s="1"/>
  <c r="Y331" i="5"/>
  <c r="Z331" i="5" s="1"/>
  <c r="AA331" i="5" s="1"/>
  <c r="AC331" i="5" s="1"/>
  <c r="Y567" i="5"/>
  <c r="Z567" i="5" s="1"/>
  <c r="AA567" i="5" s="1"/>
  <c r="AC567" i="5" s="1"/>
  <c r="Y166" i="5"/>
  <c r="Z166" i="5" s="1"/>
  <c r="AA166" i="5" s="1"/>
  <c r="AC166" i="5" s="1"/>
  <c r="Y54" i="5"/>
  <c r="Z54" i="5" s="1"/>
  <c r="AA54" i="5" s="1"/>
  <c r="AC54" i="5" s="1"/>
  <c r="Y372" i="5"/>
  <c r="Z372" i="5" s="1"/>
  <c r="AA372" i="5" s="1"/>
  <c r="AC372" i="5" s="1"/>
  <c r="Y347" i="5"/>
  <c r="Z347" i="5" s="1"/>
  <c r="AA347" i="5" s="1"/>
  <c r="AC347" i="5" s="1"/>
  <c r="Y245" i="5"/>
  <c r="Z245" i="5" s="1"/>
  <c r="AA245" i="5" s="1"/>
  <c r="AC245" i="5" s="1"/>
  <c r="Y412" i="5"/>
  <c r="Z412" i="5" s="1"/>
  <c r="AA412" i="5" s="1"/>
  <c r="AC412" i="5" s="1"/>
  <c r="Y540" i="5"/>
  <c r="Z540" i="5" s="1"/>
  <c r="AA540" i="5" s="1"/>
  <c r="AC540" i="5" s="1"/>
  <c r="Y439" i="5"/>
  <c r="Z439" i="5" s="1"/>
  <c r="AA439" i="5" s="1"/>
  <c r="AC439" i="5" s="1"/>
  <c r="Y168" i="5"/>
  <c r="Z168" i="5" s="1"/>
  <c r="AA168" i="5" s="1"/>
  <c r="AC168" i="5" s="1"/>
  <c r="Y36" i="5"/>
  <c r="Z36" i="5" s="1"/>
  <c r="AA36" i="5" s="1"/>
  <c r="AC36" i="5" s="1"/>
  <c r="Y268" i="5"/>
  <c r="Z268" i="5" s="1"/>
  <c r="AA268" i="5" s="1"/>
  <c r="AC268" i="5" s="1"/>
  <c r="Y24" i="5"/>
  <c r="Z24" i="5" s="1"/>
  <c r="AA24" i="5" s="1"/>
  <c r="AC24" i="5" s="1"/>
  <c r="Y85" i="5"/>
  <c r="Z85" i="5" s="1"/>
  <c r="AA85" i="5" s="1"/>
  <c r="AC85" i="5" s="1"/>
  <c r="Y367" i="5"/>
  <c r="Z367" i="5" s="1"/>
  <c r="AA367" i="5" s="1"/>
  <c r="AC367" i="5" s="1"/>
  <c r="Y20" i="5"/>
  <c r="Z20" i="5" s="1"/>
  <c r="AA20" i="5" s="1"/>
  <c r="AC20" i="5" s="1"/>
  <c r="Y260" i="5"/>
  <c r="Z260" i="5" s="1"/>
  <c r="AA260" i="5" s="1"/>
  <c r="AC260" i="5" s="1"/>
  <c r="Y461" i="5"/>
  <c r="Z461" i="5" s="1"/>
  <c r="AA461" i="5" s="1"/>
  <c r="AC461" i="5" s="1"/>
  <c r="Y37" i="5"/>
  <c r="Z37" i="5" s="1"/>
  <c r="AA37" i="5" s="1"/>
  <c r="AC37" i="5" s="1"/>
  <c r="Y293" i="5"/>
  <c r="Z293" i="5" s="1"/>
  <c r="AA293" i="5" s="1"/>
  <c r="AC293" i="5" s="1"/>
  <c r="Y421" i="5"/>
  <c r="Z421" i="5" s="1"/>
  <c r="AA421" i="5" s="1"/>
  <c r="AC421" i="5" s="1"/>
  <c r="Y117" i="5"/>
  <c r="Z117" i="5" s="1"/>
  <c r="AA117" i="5" s="1"/>
  <c r="AC117" i="5" s="1"/>
  <c r="Y429" i="5"/>
  <c r="Z429" i="5" s="1"/>
  <c r="AA429" i="5" s="1"/>
  <c r="AC429" i="5" s="1"/>
  <c r="Y150" i="5"/>
  <c r="Z150" i="5" s="1"/>
  <c r="AA150" i="5" s="1"/>
  <c r="AC150" i="5" s="1"/>
  <c r="Y238" i="5"/>
  <c r="Z238" i="5" s="1"/>
  <c r="AA238" i="5" s="1"/>
  <c r="AC238" i="5" s="1"/>
  <c r="Y61" i="5"/>
  <c r="Z61" i="5" s="1"/>
  <c r="AA61" i="5" s="1"/>
  <c r="AC61" i="5" s="1"/>
  <c r="Y317" i="5"/>
  <c r="Z317" i="5" s="1"/>
  <c r="AA317" i="5" s="1"/>
  <c r="AC317" i="5" s="1"/>
  <c r="Y445" i="5"/>
  <c r="Z445" i="5" s="1"/>
  <c r="AA445" i="5" s="1"/>
  <c r="AC445" i="5" s="1"/>
  <c r="Y573" i="5"/>
  <c r="Z573" i="5" s="1"/>
  <c r="AA573" i="5" s="1"/>
  <c r="AC573" i="5" s="1"/>
  <c r="Y487" i="5"/>
  <c r="Z487" i="5" s="1"/>
  <c r="AA487" i="5" s="1"/>
  <c r="AC487" i="5" s="1"/>
  <c r="Y327" i="5"/>
  <c r="Z327" i="5" s="1"/>
  <c r="AA327" i="5" s="1"/>
  <c r="AC327" i="5" s="1"/>
  <c r="Y391" i="5"/>
  <c r="Z391" i="5" s="1"/>
  <c r="AA391" i="5" s="1"/>
  <c r="AC391" i="5" s="1"/>
  <c r="Y559" i="5"/>
  <c r="Z559" i="5" s="1"/>
  <c r="AA559" i="5" s="1"/>
  <c r="AC559" i="5" s="1"/>
  <c r="Y44" i="5"/>
  <c r="Z44" i="5" s="1"/>
  <c r="AA44" i="5" s="1"/>
  <c r="AC44" i="5" s="1"/>
  <c r="Y172" i="5"/>
  <c r="Z172" i="5" s="1"/>
  <c r="AA172" i="5" s="1"/>
  <c r="AC172" i="5" s="1"/>
  <c r="Y232" i="5"/>
  <c r="Z232" i="5" s="1"/>
  <c r="AA232" i="5" s="1"/>
  <c r="AC232" i="5" s="1"/>
  <c r="Y272" i="5"/>
  <c r="Z272" i="5" s="1"/>
  <c r="AA272" i="5" s="1"/>
  <c r="AC272" i="5" s="1"/>
  <c r="Y304" i="5"/>
  <c r="Z304" i="5" s="1"/>
  <c r="AA304" i="5" s="1"/>
  <c r="AC304" i="5" s="1"/>
  <c r="Y336" i="5"/>
  <c r="Z336" i="5" s="1"/>
  <c r="AA336" i="5" s="1"/>
  <c r="AC336" i="5" s="1"/>
  <c r="Y368" i="5"/>
  <c r="Z368" i="5" s="1"/>
  <c r="AA368" i="5" s="1"/>
  <c r="AC368" i="5" s="1"/>
  <c r="Y400" i="5"/>
  <c r="Z400" i="5" s="1"/>
  <c r="AA400" i="5" s="1"/>
  <c r="AC400" i="5" s="1"/>
  <c r="Y432" i="5"/>
  <c r="Z432" i="5" s="1"/>
  <c r="AA432" i="5" s="1"/>
  <c r="AC432" i="5" s="1"/>
  <c r="Y496" i="5"/>
  <c r="Z496" i="5" s="1"/>
  <c r="AA496" i="5" s="1"/>
  <c r="AC496" i="5" s="1"/>
  <c r="Y59" i="5"/>
  <c r="Z59" i="5" s="1"/>
  <c r="AA59" i="5" s="1"/>
  <c r="AC59" i="5" s="1"/>
  <c r="Y223" i="5"/>
  <c r="Z223" i="5" s="1"/>
  <c r="AA223" i="5" s="1"/>
  <c r="AC223" i="5" s="1"/>
  <c r="Y339" i="5"/>
  <c r="Z339" i="5" s="1"/>
  <c r="AA339" i="5" s="1"/>
  <c r="AC339" i="5" s="1"/>
  <c r="Y551" i="5"/>
  <c r="Z551" i="5" s="1"/>
  <c r="AA551" i="5" s="1"/>
  <c r="AC551" i="5" s="1"/>
  <c r="Y112" i="5"/>
  <c r="Z112" i="5" s="1"/>
  <c r="AA112" i="5" s="1"/>
  <c r="AC112" i="5" s="1"/>
  <c r="Y176" i="5"/>
  <c r="Z176" i="5" s="1"/>
  <c r="AA176" i="5" s="1"/>
  <c r="AC176" i="5" s="1"/>
  <c r="Y244" i="5"/>
  <c r="Z244" i="5" s="1"/>
  <c r="AA244" i="5" s="1"/>
  <c r="AC244" i="5" s="1"/>
  <c r="Y259" i="5"/>
  <c r="Z259" i="5" s="1"/>
  <c r="AA259" i="5" s="1"/>
  <c r="AC259" i="5" s="1"/>
  <c r="Y572" i="5"/>
  <c r="Z572" i="5" s="1"/>
  <c r="AA572" i="5" s="1"/>
  <c r="AC572" i="5" s="1"/>
  <c r="Y126" i="5"/>
  <c r="Z126" i="5" s="1"/>
  <c r="AA126" i="5" s="1"/>
  <c r="AC126" i="5" s="1"/>
  <c r="Y45" i="5"/>
  <c r="Z45" i="5" s="1"/>
  <c r="AA45" i="5" s="1"/>
  <c r="AC45" i="5" s="1"/>
  <c r="Y557" i="5"/>
  <c r="Z557" i="5" s="1"/>
  <c r="AA557" i="5" s="1"/>
  <c r="AC557" i="5" s="1"/>
  <c r="Y125" i="5"/>
  <c r="Z125" i="5" s="1"/>
  <c r="AA125" i="5" s="1"/>
  <c r="AC125" i="5" s="1"/>
  <c r="Y381" i="5"/>
  <c r="Z381" i="5" s="1"/>
  <c r="AA381" i="5" s="1"/>
  <c r="AC381" i="5" s="1"/>
  <c r="Y419" i="5"/>
  <c r="Z419" i="5" s="1"/>
  <c r="AA419" i="5" s="1"/>
  <c r="AC419" i="5" s="1"/>
  <c r="Y12" i="5"/>
  <c r="Z12" i="5" s="1"/>
  <c r="AA12" i="5" s="1"/>
  <c r="AC12" i="5" s="1"/>
  <c r="Y512" i="5"/>
  <c r="Z512" i="5" s="1"/>
  <c r="AA512" i="5" s="1"/>
  <c r="AC512" i="5" s="1"/>
  <c r="Y195" i="5"/>
  <c r="Z195" i="5" s="1"/>
  <c r="AA195" i="5" s="1"/>
  <c r="AC195" i="5" s="1"/>
  <c r="Y255" i="5"/>
  <c r="Z255" i="5" s="1"/>
  <c r="AA255" i="5" s="1"/>
  <c r="AC255" i="5" s="1"/>
  <c r="Y371" i="5"/>
  <c r="Z371" i="5" s="1"/>
  <c r="AA371" i="5" s="1"/>
  <c r="AC371" i="5" s="1"/>
  <c r="Y16" i="5"/>
  <c r="Z16" i="5" s="1"/>
  <c r="AA16" i="5" s="1"/>
  <c r="AC16" i="5" s="1"/>
  <c r="Y144" i="5"/>
  <c r="Z144" i="5" s="1"/>
  <c r="AA144" i="5" s="1"/>
  <c r="AC144" i="5" s="1"/>
  <c r="Y479" i="5"/>
  <c r="Z479" i="5" s="1"/>
  <c r="AA479" i="5" s="1"/>
  <c r="AC479" i="5" s="1"/>
  <c r="Y556" i="5"/>
  <c r="Z556" i="5" s="1"/>
  <c r="AA556" i="5" s="1"/>
  <c r="AC556" i="5" s="1"/>
  <c r="Y107" i="5"/>
  <c r="Z107" i="5" s="1"/>
  <c r="AA107" i="5" s="1"/>
  <c r="AC107" i="5" s="1"/>
  <c r="Y467" i="5"/>
  <c r="Z467" i="5" s="1"/>
  <c r="AA467" i="5" s="1"/>
  <c r="AC467" i="5" s="1"/>
  <c r="Y206" i="5"/>
  <c r="Z206" i="5" s="1"/>
  <c r="AA206" i="5" s="1"/>
  <c r="AC206" i="5" s="1"/>
  <c r="Y143" i="5"/>
  <c r="Z143" i="5" s="1"/>
  <c r="AA143" i="5" s="1"/>
  <c r="AC143" i="5" s="1"/>
  <c r="Y230" i="5"/>
  <c r="Z230" i="5" s="1"/>
  <c r="AA230" i="5" s="1"/>
  <c r="AC230" i="5" s="1"/>
  <c r="Y94" i="5"/>
  <c r="Z94" i="5" s="1"/>
  <c r="AA94" i="5" s="1"/>
  <c r="AC94" i="5" s="1"/>
  <c r="Y269" i="5"/>
  <c r="Z269" i="5" s="1"/>
  <c r="AA269" i="5" s="1"/>
  <c r="AC269" i="5" s="1"/>
  <c r="Y14" i="5"/>
  <c r="Z14" i="5" s="1"/>
  <c r="AA14" i="5" s="1"/>
  <c r="AC14" i="5" s="1"/>
  <c r="Y270" i="5"/>
  <c r="Z270" i="5" s="1"/>
  <c r="AA270" i="5" s="1"/>
  <c r="AC270" i="5" s="1"/>
  <c r="Y93" i="5"/>
  <c r="Z93" i="5" s="1"/>
  <c r="AA93" i="5" s="1"/>
  <c r="AC93" i="5" s="1"/>
  <c r="Y477" i="5"/>
  <c r="Z477" i="5" s="1"/>
  <c r="AA477" i="5" s="1"/>
  <c r="AC477" i="5" s="1"/>
  <c r="Y550" i="5"/>
  <c r="Z550" i="5" s="1"/>
  <c r="AA550" i="5" s="1"/>
  <c r="AC550" i="5" s="1"/>
  <c r="Y495" i="5"/>
  <c r="Z495" i="5" s="1"/>
  <c r="AA495" i="5" s="1"/>
  <c r="AC495" i="5" s="1"/>
  <c r="Y87" i="5"/>
  <c r="Z87" i="5" s="1"/>
  <c r="AA87" i="5" s="1"/>
  <c r="AC87" i="5" s="1"/>
  <c r="Y343" i="5"/>
  <c r="Z343" i="5" s="1"/>
  <c r="AA343" i="5" s="1"/>
  <c r="AC343" i="5" s="1"/>
  <c r="Y407" i="5"/>
  <c r="Z407" i="5" s="1"/>
  <c r="AA407" i="5" s="1"/>
  <c r="AC407" i="5" s="1"/>
  <c r="Y56" i="5"/>
  <c r="Z56" i="5" s="1"/>
  <c r="AA56" i="5" s="1"/>
  <c r="AC56" i="5" s="1"/>
  <c r="Y124" i="5"/>
  <c r="Z124" i="5" s="1"/>
  <c r="AA124" i="5" s="1"/>
  <c r="AC124" i="5" s="1"/>
  <c r="Y248" i="5"/>
  <c r="Z248" i="5" s="1"/>
  <c r="AA248" i="5" s="1"/>
  <c r="AC248" i="5" s="1"/>
  <c r="Y280" i="5"/>
  <c r="Z280" i="5" s="1"/>
  <c r="AA280" i="5" s="1"/>
  <c r="AC280" i="5" s="1"/>
  <c r="Y312" i="5"/>
  <c r="Z312" i="5" s="1"/>
  <c r="AA312" i="5" s="1"/>
  <c r="AC312" i="5" s="1"/>
  <c r="Y344" i="5"/>
  <c r="Z344" i="5" s="1"/>
  <c r="AA344" i="5" s="1"/>
  <c r="AC344" i="5" s="1"/>
  <c r="Y376" i="5"/>
  <c r="Z376" i="5" s="1"/>
  <c r="AA376" i="5" s="1"/>
  <c r="AC376" i="5" s="1"/>
  <c r="Y408" i="5"/>
  <c r="Z408" i="5" s="1"/>
  <c r="AA408" i="5" s="1"/>
  <c r="AC408" i="5" s="1"/>
  <c r="Y440" i="5"/>
  <c r="Z440" i="5" s="1"/>
  <c r="AA440" i="5" s="1"/>
  <c r="AC440" i="5" s="1"/>
  <c r="Y472" i="5"/>
  <c r="Z472" i="5" s="1"/>
  <c r="AA472" i="5" s="1"/>
  <c r="AC472" i="5" s="1"/>
  <c r="Y536" i="5"/>
  <c r="Z536" i="5" s="1"/>
  <c r="AA536" i="5" s="1"/>
  <c r="AC536" i="5" s="1"/>
  <c r="Y568" i="5"/>
  <c r="Z568" i="5" s="1"/>
  <c r="AA568" i="5" s="1"/>
  <c r="AC568" i="5" s="1"/>
  <c r="Y31" i="5"/>
  <c r="Z31" i="5" s="1"/>
  <c r="AA31" i="5" s="1"/>
  <c r="AC31" i="5" s="1"/>
  <c r="Y75" i="5"/>
  <c r="Z75" i="5" s="1"/>
  <c r="AA75" i="5" s="1"/>
  <c r="AC75" i="5" s="1"/>
  <c r="Y187" i="5"/>
  <c r="Z187" i="5" s="1"/>
  <c r="AA187" i="5" s="1"/>
  <c r="AC187" i="5" s="1"/>
  <c r="Y299" i="5"/>
  <c r="Z299" i="5" s="1"/>
  <c r="AA299" i="5" s="1"/>
  <c r="AC299" i="5" s="1"/>
  <c r="Y355" i="5"/>
  <c r="Z355" i="5" s="1"/>
  <c r="AA355" i="5" s="1"/>
  <c r="AC355" i="5" s="1"/>
  <c r="Y423" i="5"/>
  <c r="Z423" i="5" s="1"/>
  <c r="AA423" i="5" s="1"/>
  <c r="AC423" i="5" s="1"/>
  <c r="Y68" i="5"/>
  <c r="Z68" i="5" s="1"/>
  <c r="AA68" i="5" s="1"/>
  <c r="AC68" i="5" s="1"/>
  <c r="Y196" i="5"/>
  <c r="Z196" i="5" s="1"/>
  <c r="AA196" i="5" s="1"/>
  <c r="AC196" i="5" s="1"/>
  <c r="Y271" i="5"/>
  <c r="Z271" i="5" s="1"/>
  <c r="AA271" i="5" s="1"/>
  <c r="AC271" i="5" s="1"/>
  <c r="Y333" i="5"/>
  <c r="Z333" i="5" s="1"/>
  <c r="AA333" i="5" s="1"/>
  <c r="AC333" i="5" s="1"/>
  <c r="Y253" i="5"/>
  <c r="Z253" i="5" s="1"/>
  <c r="AA253" i="5" s="1"/>
  <c r="AC253" i="5" s="1"/>
  <c r="Y509" i="5"/>
  <c r="Z509" i="5" s="1"/>
  <c r="AA509" i="5" s="1"/>
  <c r="AC509" i="5" s="1"/>
  <c r="Y507" i="5"/>
  <c r="Z507" i="5" s="1"/>
  <c r="AA507" i="5" s="1"/>
  <c r="AC507" i="5" s="1"/>
  <c r="Y359" i="5"/>
  <c r="Z359" i="5" s="1"/>
  <c r="AA359" i="5" s="1"/>
  <c r="AC359" i="5" s="1"/>
  <c r="Y539" i="5"/>
  <c r="Z539" i="5" s="1"/>
  <c r="AA539" i="5" s="1"/>
  <c r="AC539" i="5" s="1"/>
  <c r="Y140" i="5"/>
  <c r="Z140" i="5" s="1"/>
  <c r="AA140" i="5" s="1"/>
  <c r="AC140" i="5" s="1"/>
  <c r="Y288" i="5"/>
  <c r="Z288" i="5" s="1"/>
  <c r="AA288" i="5" s="1"/>
  <c r="AC288" i="5" s="1"/>
  <c r="Y352" i="5"/>
  <c r="Z352" i="5" s="1"/>
  <c r="AA352" i="5" s="1"/>
  <c r="AC352" i="5" s="1"/>
  <c r="Y416" i="5"/>
  <c r="Z416" i="5" s="1"/>
  <c r="AA416" i="5" s="1"/>
  <c r="AC416" i="5" s="1"/>
  <c r="Y480" i="5"/>
  <c r="Z480" i="5" s="1"/>
  <c r="AA480" i="5" s="1"/>
  <c r="AC480" i="5" s="1"/>
  <c r="Y544" i="5"/>
  <c r="Z544" i="5" s="1"/>
  <c r="AA544" i="5" s="1"/>
  <c r="AC544" i="5" s="1"/>
  <c r="Y155" i="5"/>
  <c r="Z155" i="5" s="1"/>
  <c r="AA155" i="5" s="1"/>
  <c r="AC155" i="5" s="1"/>
  <c r="Y311" i="5"/>
  <c r="Z311" i="5" s="1"/>
  <c r="AA311" i="5" s="1"/>
  <c r="AC311" i="5" s="1"/>
  <c r="Y431" i="5"/>
  <c r="Z431" i="5" s="1"/>
  <c r="AA431" i="5" s="1"/>
  <c r="AC431" i="5" s="1"/>
  <c r="Y84" i="5"/>
  <c r="Z84" i="5" s="1"/>
  <c r="AA84" i="5" s="1"/>
  <c r="AC84" i="5" s="1"/>
  <c r="Y212" i="5"/>
  <c r="Z212" i="5" s="1"/>
  <c r="AA212" i="5" s="1"/>
  <c r="AC212" i="5" s="1"/>
  <c r="Y287" i="5"/>
  <c r="Z287" i="5" s="1"/>
  <c r="AA287" i="5" s="1"/>
  <c r="AC287" i="5" s="1"/>
  <c r="Y239" i="5"/>
  <c r="Z239" i="5" s="1"/>
  <c r="AA239" i="5" s="1"/>
  <c r="AC239" i="5" s="1"/>
  <c r="Y111" i="5"/>
  <c r="Z111" i="5" s="1"/>
  <c r="AA111" i="5" s="1"/>
  <c r="AC111" i="5" s="1"/>
  <c r="Y491" i="5"/>
  <c r="Z491" i="5" s="1"/>
  <c r="AA491" i="5" s="1"/>
  <c r="AC491" i="5" s="1"/>
  <c r="Y215" i="5"/>
  <c r="Z215" i="5" s="1"/>
  <c r="AA215" i="5" s="1"/>
  <c r="AC215" i="5" s="1"/>
  <c r="Y455" i="5"/>
  <c r="Z455" i="5" s="1"/>
  <c r="AA455" i="5" s="1"/>
  <c r="AC455" i="5" s="1"/>
  <c r="Y63" i="5"/>
  <c r="Z63" i="5" s="1"/>
  <c r="AA63" i="5" s="1"/>
  <c r="AC63" i="5" s="1"/>
  <c r="Y351" i="5"/>
  <c r="Z351" i="5" s="1"/>
  <c r="AA351" i="5" s="1"/>
  <c r="AC351" i="5" s="1"/>
  <c r="Y4" i="5"/>
  <c r="Z4" i="5" s="1"/>
  <c r="AA4" i="5" s="1"/>
  <c r="AC4" i="5" s="1"/>
  <c r="Y252" i="5"/>
  <c r="Z252" i="5" s="1"/>
  <c r="AA252" i="5" s="1"/>
  <c r="AC252" i="5" s="1"/>
  <c r="Y380" i="5"/>
  <c r="Z380" i="5" s="1"/>
  <c r="AA380" i="5" s="1"/>
  <c r="AC380" i="5" s="1"/>
  <c r="Y508" i="5"/>
  <c r="Z508" i="5" s="1"/>
  <c r="AA508" i="5" s="1"/>
  <c r="AC508" i="5" s="1"/>
  <c r="Y240" i="5"/>
  <c r="Z240" i="5" s="1"/>
  <c r="AA240" i="5" s="1"/>
  <c r="AC240" i="5" s="1"/>
  <c r="Y532" i="5"/>
  <c r="Z532" i="5" s="1"/>
  <c r="AA532" i="5" s="1"/>
  <c r="AC532" i="5" s="1"/>
  <c r="Y379" i="5"/>
  <c r="Z379" i="5" s="1"/>
  <c r="AA379" i="5" s="1"/>
  <c r="AC379" i="5" s="1"/>
  <c r="Y104" i="5"/>
  <c r="Z104" i="5" s="1"/>
  <c r="AA104" i="5" s="1"/>
  <c r="AC104" i="5" s="1"/>
  <c r="Y181" i="5"/>
  <c r="Z181" i="5" s="1"/>
  <c r="AA181" i="5" s="1"/>
  <c r="AC181" i="5" s="1"/>
  <c r="Y95" i="5"/>
  <c r="Z95" i="5" s="1"/>
  <c r="AA95" i="5" s="1"/>
  <c r="AC95" i="5" s="1"/>
  <c r="Y383" i="5"/>
  <c r="Z383" i="5" s="1"/>
  <c r="AA383" i="5" s="1"/>
  <c r="AC383" i="5" s="1"/>
  <c r="Y555" i="5"/>
  <c r="Z555" i="5" s="1"/>
  <c r="AA555" i="5" s="1"/>
  <c r="AC555" i="5" s="1"/>
  <c r="Y224" i="5"/>
  <c r="Z224" i="5" s="1"/>
  <c r="AA224" i="5" s="1"/>
  <c r="AC224" i="5" s="1"/>
  <c r="Y364" i="5"/>
  <c r="Z364" i="5" s="1"/>
  <c r="AA364" i="5" s="1"/>
  <c r="AC364" i="5" s="1"/>
  <c r="Y492" i="5"/>
  <c r="Z492" i="5" s="1"/>
  <c r="AA492" i="5" s="1"/>
  <c r="AC492" i="5" s="1"/>
  <c r="Y180" i="5"/>
  <c r="Z180" i="5" s="1"/>
  <c r="AA180" i="5" s="1"/>
  <c r="AC180" i="5" s="1"/>
  <c r="Y247" i="5"/>
  <c r="Z247" i="5" s="1"/>
  <c r="AA247" i="5" s="1"/>
  <c r="AC247" i="5" s="1"/>
  <c r="Y515" i="5"/>
  <c r="Z515" i="5" s="1"/>
  <c r="AA515" i="5" s="1"/>
  <c r="AC515" i="5" s="1"/>
  <c r="Y279" i="5"/>
  <c r="Z279" i="5" s="1"/>
  <c r="AA279" i="5" s="1"/>
  <c r="AC279" i="5" s="1"/>
  <c r="Y543" i="5"/>
  <c r="Z543" i="5" s="1"/>
  <c r="AA543" i="5" s="1"/>
  <c r="AC543" i="5" s="1"/>
  <c r="Y208" i="5"/>
  <c r="Z208" i="5" s="1"/>
  <c r="AA208" i="5" s="1"/>
  <c r="AC208" i="5" s="1"/>
  <c r="Y484" i="5"/>
  <c r="Z484" i="5" s="1"/>
  <c r="AA484" i="5" s="1"/>
  <c r="AC484" i="5" s="1"/>
  <c r="Y62" i="5"/>
  <c r="Z62" i="5" s="1"/>
  <c r="AA62" i="5" s="1"/>
  <c r="AC62" i="5" s="1"/>
  <c r="Y22" i="5"/>
  <c r="Z22" i="5" s="1"/>
  <c r="AA22" i="5" s="1"/>
  <c r="AC22" i="5" s="1"/>
  <c r="Y182" i="5"/>
  <c r="Z182" i="5" s="1"/>
  <c r="AA182" i="5" s="1"/>
  <c r="AC182" i="5" s="1"/>
  <c r="Y5" i="5"/>
  <c r="Z5" i="5" s="1"/>
  <c r="AA5" i="5" s="1"/>
  <c r="AC5" i="5" s="1"/>
  <c r="Y133" i="5"/>
  <c r="Z133" i="5" s="1"/>
  <c r="AA133" i="5" s="1"/>
  <c r="AC133" i="5" s="1"/>
  <c r="Y102" i="5"/>
  <c r="Z102" i="5" s="1"/>
  <c r="AA102" i="5" s="1"/>
  <c r="AC102" i="5" s="1"/>
  <c r="Y77" i="5"/>
  <c r="Z77" i="5" s="1"/>
  <c r="AA77" i="5" s="1"/>
  <c r="AC77" i="5" s="1"/>
  <c r="Y29" i="5"/>
  <c r="Z29" i="5" s="1"/>
  <c r="AA29" i="5" s="1"/>
  <c r="AC29" i="5" s="1"/>
  <c r="Y285" i="5"/>
  <c r="Z285" i="5" s="1"/>
  <c r="AA285" i="5" s="1"/>
  <c r="AC285" i="5" s="1"/>
  <c r="Y413" i="5"/>
  <c r="Z413" i="5" s="1"/>
  <c r="AA413" i="5" s="1"/>
  <c r="AC413" i="5" s="1"/>
  <c r="Y541" i="5"/>
  <c r="Z541" i="5" s="1"/>
  <c r="AA541" i="5" s="1"/>
  <c r="AC541" i="5" s="1"/>
  <c r="Y119" i="5"/>
  <c r="Z119" i="5" s="1"/>
  <c r="AA119" i="5" s="1"/>
  <c r="AC119" i="5" s="1"/>
  <c r="Y547" i="5"/>
  <c r="Z547" i="5" s="1"/>
  <c r="AA547" i="5" s="1"/>
  <c r="AC547" i="5" s="1"/>
  <c r="Y216" i="5"/>
  <c r="Z216" i="5" s="1"/>
  <c r="AA216" i="5" s="1"/>
  <c r="AC216" i="5" s="1"/>
  <c r="Y296" i="5"/>
  <c r="Z296" i="5" s="1"/>
  <c r="AA296" i="5" s="1"/>
  <c r="AC296" i="5" s="1"/>
  <c r="Y360" i="5"/>
  <c r="Z360" i="5" s="1"/>
  <c r="AA360" i="5" s="1"/>
  <c r="AC360" i="5" s="1"/>
  <c r="Y424" i="5"/>
  <c r="Z424" i="5" s="1"/>
  <c r="AA424" i="5" s="1"/>
  <c r="AC424" i="5" s="1"/>
  <c r="Y488" i="5"/>
  <c r="Z488" i="5" s="1"/>
  <c r="AA488" i="5" s="1"/>
  <c r="AC488" i="5" s="1"/>
  <c r="Y520" i="5"/>
  <c r="Z520" i="5" s="1"/>
  <c r="AA520" i="5" s="1"/>
  <c r="AC520" i="5" s="1"/>
  <c r="Y552" i="5"/>
  <c r="Z552" i="5" s="1"/>
  <c r="AA552" i="5" s="1"/>
  <c r="AC552" i="5" s="1"/>
  <c r="Y15" i="5"/>
  <c r="Z15" i="5" s="1"/>
  <c r="AA15" i="5" s="1"/>
  <c r="AC15" i="5" s="1"/>
  <c r="Y47" i="5"/>
  <c r="Z47" i="5" s="1"/>
  <c r="AA47" i="5" s="1"/>
  <c r="AC47" i="5" s="1"/>
  <c r="Y207" i="5"/>
  <c r="Z207" i="5" s="1"/>
  <c r="AA207" i="5" s="1"/>
  <c r="AC207" i="5" s="1"/>
  <c r="Y323" i="5"/>
  <c r="Z323" i="5" s="1"/>
  <c r="AA323" i="5" s="1"/>
  <c r="AC323" i="5" s="1"/>
  <c r="Y387" i="5"/>
  <c r="Z387" i="5" s="1"/>
  <c r="AA387" i="5" s="1"/>
  <c r="AC387" i="5" s="1"/>
  <c r="Y443" i="5"/>
  <c r="Z443" i="5" s="1"/>
  <c r="AA443" i="5" s="1"/>
  <c r="AC443" i="5" s="1"/>
  <c r="Y32" i="5"/>
  <c r="Z32" i="5" s="1"/>
  <c r="AA32" i="5" s="1"/>
  <c r="AC32" i="5" s="1"/>
  <c r="Y96" i="5"/>
  <c r="Z96" i="5" s="1"/>
  <c r="AA96" i="5" s="1"/>
  <c r="AC96" i="5" s="1"/>
  <c r="Y160" i="5"/>
  <c r="Z160" i="5" s="1"/>
  <c r="AA160" i="5" s="1"/>
  <c r="AC160" i="5" s="1"/>
  <c r="U478" i="5"/>
  <c r="U390" i="5"/>
  <c r="U266" i="5"/>
  <c r="U138" i="5"/>
  <c r="U529" i="5"/>
  <c r="W558" i="5"/>
  <c r="W537" i="5"/>
  <c r="W193" i="5"/>
  <c r="W105" i="5"/>
  <c r="U558" i="5"/>
  <c r="U537" i="5"/>
  <c r="U385" i="5"/>
  <c r="U193" i="5"/>
  <c r="U105" i="5"/>
  <c r="W478" i="5"/>
  <c r="W390" i="5"/>
  <c r="W266" i="5"/>
  <c r="W138" i="5"/>
  <c r="W529" i="5"/>
  <c r="Y74" i="5"/>
  <c r="Z74" i="5" s="1"/>
  <c r="AA74" i="5" s="1"/>
  <c r="AC74" i="5" s="1"/>
  <c r="Y298" i="5"/>
  <c r="Z298" i="5" s="1"/>
  <c r="AA298" i="5" s="1"/>
  <c r="AC298" i="5" s="1"/>
  <c r="Y114" i="5"/>
  <c r="Z114" i="5" s="1"/>
  <c r="AA114" i="5" s="1"/>
  <c r="AC114" i="5" s="1"/>
  <c r="Y494" i="5"/>
  <c r="Z494" i="5" s="1"/>
  <c r="AA494" i="5" s="1"/>
  <c r="AC494" i="5" s="1"/>
  <c r="Y305" i="5"/>
  <c r="Z305" i="5" s="1"/>
  <c r="AA305" i="5" s="1"/>
  <c r="AC305" i="5" s="1"/>
  <c r="Y354" i="5"/>
  <c r="Z354" i="5" s="1"/>
  <c r="AA354" i="5" s="1"/>
  <c r="AC354" i="5" s="1"/>
  <c r="Y402" i="5"/>
  <c r="Z402" i="5" s="1"/>
  <c r="AA402" i="5" s="1"/>
  <c r="AC402" i="5" s="1"/>
  <c r="Y178" i="5"/>
  <c r="Z178" i="5" s="1"/>
  <c r="AA178" i="5" s="1"/>
  <c r="AC178" i="5" s="1"/>
  <c r="Y258" i="5"/>
  <c r="Z258" i="5" s="1"/>
  <c r="AA258" i="5" s="1"/>
  <c r="AC258" i="5" s="1"/>
  <c r="Y162" i="5"/>
  <c r="Z162" i="5" s="1"/>
  <c r="AA162" i="5" s="1"/>
  <c r="AC162" i="5" s="1"/>
  <c r="Y33" i="5"/>
  <c r="Z33" i="5" s="1"/>
  <c r="AA33" i="5" s="1"/>
  <c r="AC33" i="5" s="1"/>
  <c r="Y482" i="5"/>
  <c r="Z482" i="5" s="1"/>
  <c r="Y362" i="5"/>
  <c r="Z362" i="5" s="1"/>
  <c r="AA362" i="5" s="1"/>
  <c r="AC362" i="5" s="1"/>
  <c r="Y282" i="5"/>
  <c r="Z282" i="5" s="1"/>
  <c r="AA282" i="5" s="1"/>
  <c r="AC282" i="5" s="1"/>
  <c r="Y82" i="5"/>
  <c r="Z82" i="5" s="1"/>
  <c r="AA82" i="5" s="1"/>
  <c r="AC82" i="5" s="1"/>
  <c r="Y442" i="5"/>
  <c r="Z442" i="5" s="1"/>
  <c r="Y290" i="5"/>
  <c r="Z290" i="5" s="1"/>
  <c r="AA290" i="5" s="1"/>
  <c r="AC290" i="5" s="1"/>
  <c r="Y58" i="5"/>
  <c r="Z58" i="5" s="1"/>
  <c r="AA58" i="5" s="1"/>
  <c r="AC58" i="5" s="1"/>
  <c r="Y98" i="5"/>
  <c r="Z98" i="5" s="1"/>
  <c r="AA98" i="5" s="1"/>
  <c r="AC98" i="5" s="1"/>
  <c r="Z483" i="5"/>
  <c r="AA483" i="5" s="1"/>
  <c r="AC483" i="5" s="1"/>
  <c r="Y554" i="5"/>
  <c r="Y318" i="5"/>
  <c r="Y130" i="5"/>
  <c r="Y50" i="5"/>
  <c r="Y257" i="5"/>
  <c r="Z499" i="5"/>
  <c r="AA499" i="5" s="1"/>
  <c r="AC499" i="5" s="1"/>
  <c r="Y430" i="5"/>
  <c r="Y470" i="5"/>
  <c r="Y306" i="5"/>
  <c r="Y498" i="5"/>
  <c r="Y386" i="5"/>
  <c r="Y330" i="5"/>
  <c r="Y9" i="5"/>
  <c r="Y454" i="5"/>
  <c r="Y342" i="5"/>
  <c r="Y186" i="5"/>
  <c r="Y66" i="5"/>
  <c r="Y261" i="5" l="1"/>
  <c r="Z261" i="5" s="1"/>
  <c r="AA261" i="5" s="1"/>
  <c r="AC261" i="5" s="1"/>
  <c r="Y30" i="5"/>
  <c r="Z30" i="5" s="1"/>
  <c r="AA30" i="5" s="1"/>
  <c r="AC30" i="5" s="1"/>
  <c r="Y566" i="5"/>
  <c r="Y170" i="5"/>
  <c r="Y425" i="5"/>
  <c r="Z425" i="5" s="1"/>
  <c r="AA425" i="5" s="1"/>
  <c r="AC425" i="5" s="1"/>
  <c r="Y345" i="5"/>
  <c r="Z345" i="5" s="1"/>
  <c r="AA345" i="5" s="1"/>
  <c r="AC345" i="5" s="1"/>
  <c r="Y446" i="5"/>
  <c r="Y241" i="5"/>
  <c r="Z241" i="5" s="1"/>
  <c r="AA241" i="5" s="1"/>
  <c r="AC241" i="5" s="1"/>
  <c r="Y414" i="5"/>
  <c r="Z414" i="5" s="1"/>
  <c r="AA414" i="5" s="1"/>
  <c r="AC414" i="5" s="1"/>
  <c r="Y398" i="5"/>
  <c r="Z398" i="5" s="1"/>
  <c r="AA398" i="5" s="1"/>
  <c r="AC398" i="5" s="1"/>
  <c r="Y514" i="5"/>
  <c r="Z514" i="5" s="1"/>
  <c r="AA514" i="5" s="1"/>
  <c r="AC514" i="5" s="1"/>
  <c r="Y122" i="5"/>
  <c r="Z122" i="5" s="1"/>
  <c r="AA122" i="5" s="1"/>
  <c r="AC122" i="5" s="1"/>
  <c r="Y289" i="5"/>
  <c r="Y370" i="5"/>
  <c r="Z370" i="5" s="1"/>
  <c r="AA370" i="5" s="1"/>
  <c r="AC370" i="5" s="1"/>
  <c r="Y2" i="5"/>
  <c r="Z2" i="5" s="1"/>
  <c r="AA2" i="5" s="1"/>
  <c r="AC2" i="5" s="1"/>
  <c r="Y409" i="5"/>
  <c r="Y490" i="5"/>
  <c r="Z490" i="5" s="1"/>
  <c r="AA490" i="5" s="1"/>
  <c r="AC490" i="5" s="1"/>
  <c r="Y513" i="5"/>
  <c r="Z513" i="5" s="1"/>
  <c r="AA513" i="5" s="1"/>
  <c r="AC513" i="5" s="1"/>
  <c r="Y382" i="5"/>
  <c r="Z382" i="5" s="1"/>
  <c r="AA382" i="5" s="1"/>
  <c r="AC382" i="5" s="1"/>
  <c r="Y457" i="5"/>
  <c r="Z457" i="5" s="1"/>
  <c r="AA457" i="5" s="1"/>
  <c r="AC457" i="5" s="1"/>
  <c r="Y153" i="5"/>
  <c r="Z153" i="5" s="1"/>
  <c r="AA153" i="5" s="1"/>
  <c r="AC153" i="5" s="1"/>
  <c r="Y346" i="5"/>
  <c r="Z346" i="5" s="1"/>
  <c r="AA346" i="5" s="1"/>
  <c r="AC346" i="5" s="1"/>
  <c r="Y322" i="5"/>
  <c r="Z322" i="5" s="1"/>
  <c r="AA322" i="5" s="1"/>
  <c r="AC322" i="5" s="1"/>
  <c r="Y202" i="5"/>
  <c r="Z202" i="5" s="1"/>
  <c r="AA202" i="5" s="1"/>
  <c r="AC202" i="5" s="1"/>
  <c r="Y410" i="5"/>
  <c r="Y177" i="5"/>
  <c r="Z177" i="5" s="1"/>
  <c r="AA177" i="5" s="1"/>
  <c r="AC177" i="5" s="1"/>
  <c r="Y401" i="5"/>
  <c r="Z401" i="5" s="1"/>
  <c r="AA401" i="5" s="1"/>
  <c r="AC401" i="5" s="1"/>
  <c r="Y441" i="5"/>
  <c r="Z441" i="5" s="1"/>
  <c r="AA441" i="5" s="1"/>
  <c r="AC441" i="5" s="1"/>
  <c r="Y361" i="5"/>
  <c r="Z361" i="5" s="1"/>
  <c r="AA361" i="5" s="1"/>
  <c r="AC361" i="5" s="1"/>
  <c r="Y42" i="5"/>
  <c r="Z42" i="5" s="1"/>
  <c r="AA42" i="5" s="1"/>
  <c r="AC42" i="5" s="1"/>
  <c r="Y273" i="5"/>
  <c r="Z273" i="5" s="1"/>
  <c r="AA273" i="5" s="1"/>
  <c r="AC273" i="5" s="1"/>
  <c r="Y89" i="5"/>
  <c r="Z89" i="5" s="1"/>
  <c r="AA89" i="5" s="1"/>
  <c r="AC89" i="5" s="1"/>
  <c r="Y377" i="5"/>
  <c r="Z377" i="5" s="1"/>
  <c r="AA377" i="5" s="1"/>
  <c r="AC377" i="5" s="1"/>
  <c r="Y393" i="5"/>
  <c r="Z393" i="5" s="1"/>
  <c r="AA393" i="5" s="1"/>
  <c r="AC393" i="5" s="1"/>
  <c r="Y73" i="5"/>
  <c r="Z73" i="5" s="1"/>
  <c r="AA73" i="5" s="1"/>
  <c r="AC73" i="5" s="1"/>
  <c r="Y17" i="5"/>
  <c r="Z17" i="5" s="1"/>
  <c r="Y146" i="5"/>
  <c r="Z146" i="5" s="1"/>
  <c r="AA146" i="5" s="1"/>
  <c r="AC146" i="5" s="1"/>
  <c r="Y286" i="5"/>
  <c r="Z286" i="5" s="1"/>
  <c r="Y366" i="5"/>
  <c r="Z366" i="5" s="1"/>
  <c r="AA366" i="5" s="1"/>
  <c r="AC366" i="5" s="1"/>
  <c r="Y530" i="5"/>
  <c r="Z530" i="5" s="1"/>
  <c r="AA530" i="5" s="1"/>
  <c r="AC530" i="5" s="1"/>
  <c r="Y426" i="5"/>
  <c r="Z426" i="5" s="1"/>
  <c r="AA426" i="5" s="1"/>
  <c r="AC426" i="5" s="1"/>
  <c r="Y422" i="5"/>
  <c r="Z422" i="5" s="1"/>
  <c r="AA422" i="5" s="1"/>
  <c r="AC422" i="5" s="1"/>
  <c r="Y113" i="5"/>
  <c r="Z113" i="5" s="1"/>
  <c r="AA113" i="5" s="1"/>
  <c r="AC113" i="5" s="1"/>
  <c r="Y234" i="5"/>
  <c r="Z234" i="5" s="1"/>
  <c r="AA234" i="5" s="1"/>
  <c r="AC234" i="5" s="1"/>
  <c r="Y450" i="5"/>
  <c r="Z450" i="5" s="1"/>
  <c r="AA450" i="5" s="1"/>
  <c r="AC450" i="5" s="1"/>
  <c r="Y250" i="5"/>
  <c r="Z250" i="5" s="1"/>
  <c r="AA250" i="5" s="1"/>
  <c r="AC250" i="5" s="1"/>
  <c r="Y106" i="5"/>
  <c r="Y225" i="5"/>
  <c r="Z225" i="5" s="1"/>
  <c r="AA225" i="5" s="1"/>
  <c r="AC225" i="5" s="1"/>
  <c r="Y314" i="5"/>
  <c r="Z314" i="5" s="1"/>
  <c r="AA314" i="5" s="1"/>
  <c r="AC314" i="5" s="1"/>
  <c r="Y326" i="5"/>
  <c r="Z326" i="5" s="1"/>
  <c r="AA326" i="5" s="1"/>
  <c r="AC326" i="5" s="1"/>
  <c r="Y321" i="5"/>
  <c r="Z321" i="5" s="1"/>
  <c r="AA321" i="5" s="1"/>
  <c r="AC321" i="5" s="1"/>
  <c r="Y545" i="5"/>
  <c r="Z545" i="5" s="1"/>
  <c r="AA545" i="5" s="1"/>
  <c r="AC545" i="5" s="1"/>
  <c r="Y226" i="5"/>
  <c r="Z226" i="5" s="1"/>
  <c r="AA226" i="5" s="1"/>
  <c r="AC226" i="5" s="1"/>
  <c r="Y18" i="5"/>
  <c r="Z18" i="5" s="1"/>
  <c r="AA18" i="5" s="1"/>
  <c r="AC18" i="5" s="1"/>
  <c r="Y522" i="5"/>
  <c r="Z522" i="5" s="1"/>
  <c r="AA522" i="5" s="1"/>
  <c r="AC522" i="5" s="1"/>
  <c r="Y394" i="5"/>
  <c r="Z394" i="5" s="1"/>
  <c r="AA394" i="5" s="1"/>
  <c r="AC394" i="5" s="1"/>
  <c r="Y338" i="5"/>
  <c r="Z338" i="5" s="1"/>
  <c r="AA338" i="5" s="1"/>
  <c r="AC338" i="5" s="1"/>
  <c r="Y542" i="5"/>
  <c r="Z542" i="5" s="1"/>
  <c r="AA542" i="5" s="1"/>
  <c r="AC542" i="5" s="1"/>
  <c r="Y121" i="5"/>
  <c r="Z121" i="5" s="1"/>
  <c r="AA121" i="5" s="1"/>
  <c r="AC121" i="5" s="1"/>
  <c r="Y218" i="5"/>
  <c r="Z218" i="5" s="1"/>
  <c r="AA218" i="5" s="1"/>
  <c r="AC218" i="5" s="1"/>
  <c r="Y489" i="5"/>
  <c r="Z489" i="5" s="1"/>
  <c r="AA489" i="5" s="1"/>
  <c r="AC489" i="5" s="1"/>
  <c r="Y41" i="5"/>
  <c r="Z41" i="5" s="1"/>
  <c r="AA41" i="5" s="1"/>
  <c r="AC41" i="5" s="1"/>
  <c r="Y406" i="5"/>
  <c r="Z406" i="5" s="1"/>
  <c r="AA406" i="5" s="1"/>
  <c r="AC406" i="5" s="1"/>
  <c r="Y242" i="5"/>
  <c r="Z242" i="5" s="1"/>
  <c r="AA242" i="5" s="1"/>
  <c r="AC242" i="5" s="1"/>
  <c r="Y337" i="5"/>
  <c r="Z337" i="5" s="1"/>
  <c r="AA337" i="5" s="1"/>
  <c r="AC337" i="5" s="1"/>
  <c r="Y274" i="5"/>
  <c r="Z274" i="5" s="1"/>
  <c r="AA274" i="5" s="1"/>
  <c r="AC274" i="5" s="1"/>
  <c r="Y350" i="5"/>
  <c r="Z350" i="5" s="1"/>
  <c r="AA350" i="5" s="1"/>
  <c r="AC350" i="5" s="1"/>
  <c r="Y358" i="5"/>
  <c r="Z358" i="5" s="1"/>
  <c r="AA358" i="5" s="1"/>
  <c r="AC358" i="5" s="1"/>
  <c r="Y209" i="5"/>
  <c r="Z209" i="5" s="1"/>
  <c r="AA209" i="5" s="1"/>
  <c r="AC209" i="5" s="1"/>
  <c r="Y25" i="5"/>
  <c r="Z25" i="5" s="1"/>
  <c r="AA25" i="5" s="1"/>
  <c r="AC25" i="5" s="1"/>
  <c r="Y466" i="5"/>
  <c r="Z466" i="5" s="1"/>
  <c r="AA466" i="5" s="1"/>
  <c r="AC466" i="5" s="1"/>
  <c r="Y294" i="5"/>
  <c r="Z294" i="5" s="1"/>
  <c r="AA294" i="5" s="1"/>
  <c r="AC294" i="5" s="1"/>
  <c r="Y378" i="5"/>
  <c r="Z378" i="5" s="1"/>
  <c r="AA378" i="5" s="1"/>
  <c r="AC378" i="5" s="1"/>
  <c r="Y297" i="5"/>
  <c r="Z297" i="5" s="1"/>
  <c r="AA297" i="5" s="1"/>
  <c r="AC297" i="5" s="1"/>
  <c r="Y385" i="5"/>
  <c r="Z385" i="5" s="1"/>
  <c r="AA385" i="5" s="1"/>
  <c r="AC385" i="5" s="1"/>
  <c r="Y449" i="5"/>
  <c r="Z449" i="5" s="1"/>
  <c r="AA449" i="5" s="1"/>
  <c r="AC449" i="5" s="1"/>
  <c r="Y570" i="5"/>
  <c r="Z570" i="5" s="1"/>
  <c r="AA570" i="5" s="1"/>
  <c r="AC570" i="5" s="1"/>
  <c r="Y185" i="5"/>
  <c r="Z185" i="5" s="1"/>
  <c r="AA185" i="5" s="1"/>
  <c r="AC185" i="5" s="1"/>
  <c r="Y137" i="5"/>
  <c r="Z137" i="5" s="1"/>
  <c r="AA137" i="5" s="1"/>
  <c r="AC137" i="5" s="1"/>
  <c r="Y458" i="5"/>
  <c r="Z458" i="5" s="1"/>
  <c r="AA458" i="5" s="1"/>
  <c r="AC458" i="5" s="1"/>
  <c r="Y506" i="5"/>
  <c r="Z506" i="5" s="1"/>
  <c r="AA506" i="5" s="1"/>
  <c r="AC506" i="5" s="1"/>
  <c r="Y334" i="5"/>
  <c r="Z334" i="5" s="1"/>
  <c r="AA334" i="5" s="1"/>
  <c r="AC334" i="5" s="1"/>
  <c r="Y481" i="5"/>
  <c r="Z481" i="5" s="1"/>
  <c r="AA481" i="5" s="1"/>
  <c r="AC481" i="5" s="1"/>
  <c r="Y329" i="5"/>
  <c r="Z329" i="5" s="1"/>
  <c r="AA329" i="5" s="1"/>
  <c r="AC329" i="5" s="1"/>
  <c r="Y434" i="5"/>
  <c r="Z434" i="5" s="1"/>
  <c r="AA434" i="5" s="1"/>
  <c r="AC434" i="5" s="1"/>
  <c r="Y210" i="5"/>
  <c r="Z210" i="5" s="1"/>
  <c r="AA210" i="5" s="1"/>
  <c r="AC210" i="5" s="1"/>
  <c r="Y313" i="5"/>
  <c r="Z313" i="5" s="1"/>
  <c r="AA313" i="5" s="1"/>
  <c r="AC313" i="5" s="1"/>
  <c r="Y505" i="5"/>
  <c r="Z505" i="5" s="1"/>
  <c r="AA505" i="5" s="1"/>
  <c r="AC505" i="5" s="1"/>
  <c r="Y497" i="5"/>
  <c r="Z497" i="5" s="1"/>
  <c r="AA497" i="5" s="1"/>
  <c r="AC497" i="5" s="1"/>
  <c r="Y438" i="5"/>
  <c r="Z438" i="5" s="1"/>
  <c r="AA438" i="5" s="1"/>
  <c r="AC438" i="5" s="1"/>
  <c r="Y194" i="5"/>
  <c r="Z194" i="5" s="1"/>
  <c r="AA194" i="5" s="1"/>
  <c r="AC194" i="5" s="1"/>
  <c r="Y534" i="5"/>
  <c r="Z534" i="5" s="1"/>
  <c r="AA534" i="5" s="1"/>
  <c r="AC534" i="5" s="1"/>
  <c r="Y266" i="5"/>
  <c r="Z266" i="5" s="1"/>
  <c r="AA266" i="5" s="1"/>
  <c r="AC266" i="5" s="1"/>
  <c r="Y81" i="5"/>
  <c r="Z81" i="5" s="1"/>
  <c r="AA81" i="5" s="1"/>
  <c r="AC81" i="5" s="1"/>
  <c r="Y265" i="5"/>
  <c r="Z265" i="5" s="1"/>
  <c r="AA265" i="5" s="1"/>
  <c r="AC265" i="5" s="1"/>
  <c r="Y57" i="5"/>
  <c r="Z57" i="5" s="1"/>
  <c r="AA57" i="5" s="1"/>
  <c r="AC57" i="5" s="1"/>
  <c r="Y561" i="5"/>
  <c r="Z561" i="5" s="1"/>
  <c r="AA561" i="5" s="1"/>
  <c r="AC561" i="5" s="1"/>
  <c r="Y249" i="5"/>
  <c r="Z249" i="5" s="1"/>
  <c r="AA249" i="5" s="1"/>
  <c r="AC249" i="5" s="1"/>
  <c r="Y10" i="5"/>
  <c r="Z10" i="5" s="1"/>
  <c r="AA10" i="5" s="1"/>
  <c r="AC10" i="5" s="1"/>
  <c r="Y502" i="5"/>
  <c r="Z502" i="5" s="1"/>
  <c r="AA502" i="5" s="1"/>
  <c r="AC502" i="5" s="1"/>
  <c r="Y353" i="5"/>
  <c r="Z353" i="5" s="1"/>
  <c r="AA353" i="5" s="1"/>
  <c r="AC353" i="5" s="1"/>
  <c r="Y553" i="5"/>
  <c r="Z553" i="5" s="1"/>
  <c r="AA553" i="5" s="1"/>
  <c r="AC553" i="5" s="1"/>
  <c r="Y569" i="5"/>
  <c r="Z569" i="5" s="1"/>
  <c r="AA569" i="5" s="1"/>
  <c r="AC569" i="5" s="1"/>
  <c r="Y233" i="5"/>
  <c r="Z233" i="5" s="1"/>
  <c r="AA233" i="5" s="1"/>
  <c r="AC233" i="5" s="1"/>
  <c r="Y462" i="5"/>
  <c r="Z462" i="5" s="1"/>
  <c r="AA462" i="5" s="1"/>
  <c r="AC462" i="5" s="1"/>
  <c r="Y161" i="5"/>
  <c r="Z161" i="5" s="1"/>
  <c r="AA161" i="5" s="1"/>
  <c r="AC161" i="5" s="1"/>
  <c r="Y97" i="5"/>
  <c r="Z97" i="5" s="1"/>
  <c r="AA97" i="5" s="1"/>
  <c r="AC97" i="5" s="1"/>
  <c r="Y217" i="5"/>
  <c r="Z217" i="5" s="1"/>
  <c r="AA217" i="5" s="1"/>
  <c r="AC217" i="5" s="1"/>
  <c r="Y154" i="5"/>
  <c r="Z154" i="5" s="1"/>
  <c r="AA154" i="5" s="1"/>
  <c r="AC154" i="5" s="1"/>
  <c r="Y465" i="5"/>
  <c r="Z465" i="5" s="1"/>
  <c r="AA465" i="5" s="1"/>
  <c r="AC465" i="5" s="1"/>
  <c r="Y521" i="5"/>
  <c r="Z521" i="5" s="1"/>
  <c r="AA521" i="5" s="1"/>
  <c r="AC521" i="5" s="1"/>
  <c r="Y433" i="5"/>
  <c r="Z433" i="5" s="1"/>
  <c r="AA433" i="5" s="1"/>
  <c r="AC433" i="5" s="1"/>
  <c r="Y90" i="5"/>
  <c r="Z90" i="5" s="1"/>
  <c r="AA90" i="5" s="1"/>
  <c r="AC90" i="5" s="1"/>
  <c r="Y201" i="5"/>
  <c r="Z201" i="5" s="1"/>
  <c r="AA201" i="5" s="1"/>
  <c r="AC201" i="5" s="1"/>
  <c r="Y129" i="5"/>
  <c r="Z129" i="5" s="1"/>
  <c r="AA129" i="5" s="1"/>
  <c r="AC129" i="5" s="1"/>
  <c r="Y417" i="5"/>
  <c r="Z417" i="5" s="1"/>
  <c r="AA417" i="5" s="1"/>
  <c r="AC417" i="5" s="1"/>
  <c r="Y310" i="5"/>
  <c r="Z310" i="5" s="1"/>
  <c r="AA310" i="5" s="1"/>
  <c r="AC310" i="5" s="1"/>
  <c r="Y418" i="5"/>
  <c r="Z418" i="5" s="1"/>
  <c r="AA418" i="5" s="1"/>
  <c r="AC418" i="5" s="1"/>
  <c r="Y486" i="5"/>
  <c r="Z486" i="5" s="1"/>
  <c r="AA486" i="5" s="1"/>
  <c r="AC486" i="5" s="1"/>
  <c r="Y390" i="5"/>
  <c r="Z390" i="5" s="1"/>
  <c r="AA390" i="5" s="1"/>
  <c r="AC390" i="5" s="1"/>
  <c r="Y473" i="5"/>
  <c r="Z473" i="5" s="1"/>
  <c r="AA473" i="5" s="1"/>
  <c r="AC473" i="5" s="1"/>
  <c r="Y193" i="5"/>
  <c r="Z193" i="5" s="1"/>
  <c r="AA193" i="5" s="1"/>
  <c r="AC193" i="5" s="1"/>
  <c r="Y138" i="5"/>
  <c r="Z138" i="5" s="1"/>
  <c r="AA138" i="5" s="1"/>
  <c r="AC138" i="5" s="1"/>
  <c r="Y34" i="5"/>
  <c r="Z34" i="5" s="1"/>
  <c r="AA34" i="5" s="1"/>
  <c r="AC34" i="5" s="1"/>
  <c r="Y369" i="5"/>
  <c r="Z369" i="5" s="1"/>
  <c r="AA369" i="5" s="1"/>
  <c r="AC369" i="5" s="1"/>
  <c r="Y49" i="5"/>
  <c r="Z49" i="5" s="1"/>
  <c r="AA49" i="5" s="1"/>
  <c r="AC49" i="5" s="1"/>
  <c r="Y558" i="5"/>
  <c r="Z558" i="5" s="1"/>
  <c r="AA558" i="5" s="1"/>
  <c r="AC558" i="5" s="1"/>
  <c r="Y105" i="5"/>
  <c r="Z105" i="5" s="1"/>
  <c r="AA105" i="5" s="1"/>
  <c r="AC105" i="5" s="1"/>
  <c r="Y281" i="5"/>
  <c r="Z281" i="5" s="1"/>
  <c r="AA281" i="5" s="1"/>
  <c r="AC281" i="5" s="1"/>
  <c r="Y537" i="5"/>
  <c r="Z537" i="5" s="1"/>
  <c r="AA537" i="5" s="1"/>
  <c r="AC537" i="5" s="1"/>
  <c r="Y529" i="5"/>
  <c r="Z529" i="5" s="1"/>
  <c r="AA529" i="5" s="1"/>
  <c r="AC529" i="5" s="1"/>
  <c r="Y478" i="5"/>
  <c r="Z478" i="5" s="1"/>
  <c r="AA478" i="5" s="1"/>
  <c r="AC478" i="5" s="1"/>
  <c r="AA482" i="5"/>
  <c r="AC482" i="5" s="1"/>
  <c r="Z474" i="5"/>
  <c r="AA474" i="5" s="1"/>
  <c r="AC474" i="5" s="1"/>
  <c r="AA442" i="5"/>
  <c r="AC442" i="5" s="1"/>
  <c r="Z342" i="5"/>
  <c r="AA342" i="5" s="1"/>
  <c r="AC342" i="5" s="1"/>
  <c r="Z169" i="5"/>
  <c r="AA169" i="5" s="1"/>
  <c r="AC169" i="5" s="1"/>
  <c r="Z518" i="5"/>
  <c r="AA518" i="5" s="1"/>
  <c r="AC518" i="5" s="1"/>
  <c r="Z454" i="5"/>
  <c r="AA454" i="5" s="1"/>
  <c r="AC454" i="5" s="1"/>
  <c r="Z330" i="5"/>
  <c r="AA330" i="5" s="1"/>
  <c r="AC330" i="5" s="1"/>
  <c r="Z498" i="5"/>
  <c r="AA498" i="5" s="1"/>
  <c r="AC498" i="5" s="1"/>
  <c r="Z306" i="5"/>
  <c r="AA306" i="5" s="1"/>
  <c r="AC306" i="5" s="1"/>
  <c r="Z289" i="5"/>
  <c r="AA289" i="5" s="1"/>
  <c r="AC289" i="5" s="1"/>
  <c r="Z430" i="5"/>
  <c r="AA430" i="5" s="1"/>
  <c r="AC430" i="5" s="1"/>
  <c r="Z318" i="5"/>
  <c r="AA318" i="5" s="1"/>
  <c r="AC318" i="5" s="1"/>
  <c r="Z566" i="5"/>
  <c r="AA566" i="5" s="1"/>
  <c r="AC566" i="5" s="1"/>
  <c r="Z9" i="5"/>
  <c r="AA9" i="5" s="1"/>
  <c r="AC9" i="5" s="1"/>
  <c r="Z302" i="5"/>
  <c r="AA302" i="5" s="1"/>
  <c r="AC302" i="5" s="1"/>
  <c r="Z409" i="5"/>
  <c r="AA409" i="5" s="1"/>
  <c r="AC409" i="5" s="1"/>
  <c r="Z470" i="5"/>
  <c r="AA470" i="5" s="1"/>
  <c r="AC470" i="5" s="1"/>
  <c r="Z66" i="5"/>
  <c r="AA66" i="5" s="1"/>
  <c r="AC66" i="5" s="1"/>
  <c r="Z446" i="5"/>
  <c r="AA446" i="5" s="1"/>
  <c r="AC446" i="5" s="1"/>
  <c r="Z186" i="5"/>
  <c r="AA186" i="5" s="1"/>
  <c r="AC186" i="5" s="1"/>
  <c r="Z50" i="5"/>
  <c r="AA50" i="5" s="1"/>
  <c r="AC50" i="5" s="1"/>
  <c r="Z386" i="5"/>
  <c r="AA386" i="5" s="1"/>
  <c r="AC386" i="5" s="1"/>
  <c r="Z257" i="5"/>
  <c r="AA257" i="5" s="1"/>
  <c r="AC257" i="5" s="1"/>
  <c r="Z130" i="5"/>
  <c r="AA130" i="5" s="1"/>
  <c r="AC130" i="5" s="1"/>
  <c r="Z554" i="5"/>
  <c r="AA554" i="5" s="1"/>
  <c r="AC554" i="5" s="1"/>
  <c r="Z410" i="5"/>
  <c r="AA410" i="5" s="1"/>
  <c r="AC410" i="5" s="1"/>
  <c r="Z106" i="5"/>
  <c r="AA106" i="5" s="1"/>
  <c r="AC106" i="5" s="1"/>
  <c r="Z170" i="5"/>
  <c r="AA170" i="5" s="1"/>
  <c r="AC170" i="5" s="1"/>
  <c r="AA17" i="5" l="1"/>
  <c r="AC17" i="5" s="1"/>
  <c r="AA286" i="5"/>
  <c r="AC286" i="5" s="1"/>
</calcChain>
</file>

<file path=xl/comments1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基本工资=出勤率*岗位工资，
出勤率大于等于1时，按1计算。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奖金=奖金等级*绩效得分%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出勤率大于等于1，得200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每1年工龄50元，逐年递增，最高500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每年6—10月份，发放降温补贴：200元/人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个人缴纳8%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个人缴纳2%+3元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个人缴纳0.2%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税前应发总额的12%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个税起征点3500元</t>
        </r>
      </text>
    </comment>
  </commentList>
</comments>
</file>

<file path=xl/sharedStrings.xml><?xml version="1.0" encoding="utf-8"?>
<sst xmlns="http://schemas.openxmlformats.org/spreadsheetml/2006/main" count="4752" uniqueCount="1588">
  <si>
    <t>邹新文</t>
  </si>
  <si>
    <t>李明</t>
  </si>
  <si>
    <t>翁国栋</t>
  </si>
  <si>
    <t>康书</t>
  </si>
  <si>
    <t>孙坛</t>
  </si>
  <si>
    <t>张一波</t>
  </si>
  <si>
    <t>马鑫</t>
  </si>
  <si>
    <t>倪国梁</t>
  </si>
  <si>
    <t>程桂刚</t>
  </si>
  <si>
    <t>陈希龙</t>
  </si>
  <si>
    <t>李龙</t>
  </si>
  <si>
    <t>桑玮</t>
  </si>
  <si>
    <t>张娟</t>
  </si>
  <si>
    <t>杜志强</t>
  </si>
  <si>
    <t>史伟</t>
  </si>
  <si>
    <t>张步青</t>
  </si>
  <si>
    <t>吴姣姣</t>
  </si>
  <si>
    <t>任隽芳</t>
  </si>
  <si>
    <t>王晓琴</t>
  </si>
  <si>
    <t>姜滨</t>
  </si>
  <si>
    <t>张新文</t>
  </si>
  <si>
    <t>张清兰</t>
  </si>
  <si>
    <t>迟爱学</t>
  </si>
  <si>
    <t>王守胜</t>
  </si>
  <si>
    <t>胡德刚</t>
  </si>
  <si>
    <t>向恺</t>
  </si>
  <si>
    <t>殷孟珍</t>
  </si>
  <si>
    <t>练世明</t>
  </si>
  <si>
    <t>袁红胜</t>
  </si>
  <si>
    <t>于永祯</t>
  </si>
  <si>
    <t>赵皓宇</t>
  </si>
  <si>
    <t>杨国栋</t>
  </si>
  <si>
    <t>房琳</t>
  </si>
  <si>
    <t>梁新元</t>
  </si>
  <si>
    <t>侯发标</t>
  </si>
  <si>
    <t>程磊</t>
  </si>
  <si>
    <t>练彦情</t>
  </si>
  <si>
    <t>谭怀宇</t>
  </si>
  <si>
    <t>何文利</t>
  </si>
  <si>
    <t>李魁</t>
  </si>
  <si>
    <t>张兴华</t>
  </si>
  <si>
    <t>周碎武</t>
  </si>
  <si>
    <t>周文浩</t>
  </si>
  <si>
    <t>王红卫</t>
  </si>
  <si>
    <t>梁跃权</t>
  </si>
  <si>
    <t>孙大勇</t>
  </si>
  <si>
    <t>王国庆</t>
  </si>
  <si>
    <t>罗飞</t>
  </si>
  <si>
    <t>赵玮</t>
  </si>
  <si>
    <t>张玉田</t>
  </si>
  <si>
    <t>潘红</t>
  </si>
  <si>
    <t>常邦昱</t>
  </si>
  <si>
    <t>韩滨</t>
  </si>
  <si>
    <t>鲁双双</t>
  </si>
  <si>
    <t>刘海青</t>
  </si>
  <si>
    <t>胡硕</t>
  </si>
  <si>
    <t>张亮</t>
  </si>
  <si>
    <t>田静</t>
  </si>
  <si>
    <t>左伟</t>
  </si>
  <si>
    <t>刘滨</t>
  </si>
  <si>
    <t>姜晶</t>
  </si>
  <si>
    <t>肖玉</t>
  </si>
  <si>
    <t>张弘民</t>
  </si>
  <si>
    <t>罗易龙</t>
  </si>
  <si>
    <t>胡召艳</t>
  </si>
  <si>
    <t>张希敏</t>
  </si>
  <si>
    <t>郑立波</t>
  </si>
  <si>
    <t>雷振宇</t>
  </si>
  <si>
    <t>杜书涛</t>
  </si>
  <si>
    <t>马双双</t>
  </si>
  <si>
    <t>李佩越</t>
  </si>
  <si>
    <t>申菁</t>
  </si>
  <si>
    <t>喻书</t>
  </si>
  <si>
    <t>倪静秋</t>
  </si>
  <si>
    <t>刘西松</t>
  </si>
  <si>
    <t>黄俊格</t>
  </si>
  <si>
    <t>李玲</t>
  </si>
  <si>
    <t>李翔咏</t>
  </si>
  <si>
    <t>朱一虹</t>
  </si>
  <si>
    <t>聂训坡</t>
  </si>
  <si>
    <t>董玉</t>
  </si>
  <si>
    <t>胡前进</t>
  </si>
  <si>
    <t>何晓杰</t>
  </si>
  <si>
    <t>肖宏</t>
  </si>
  <si>
    <t>董爽</t>
  </si>
  <si>
    <t>张登峰</t>
  </si>
  <si>
    <t>杜崇巍</t>
  </si>
  <si>
    <t>沈伟</t>
  </si>
  <si>
    <t>张鹏</t>
  </si>
  <si>
    <t>沈振宇</t>
  </si>
  <si>
    <t>王红</t>
  </si>
  <si>
    <t>张晗</t>
  </si>
  <si>
    <t>戴鑫</t>
  </si>
  <si>
    <t>汤猛</t>
  </si>
  <si>
    <t>彭志宏</t>
  </si>
  <si>
    <t>袁令仲</t>
  </si>
  <si>
    <t>史国庆</t>
  </si>
  <si>
    <t>高磊</t>
  </si>
  <si>
    <t>郭学亮</t>
  </si>
  <si>
    <t>周秀芹</t>
  </si>
  <si>
    <t>熊伟</t>
  </si>
  <si>
    <t>梁冬梅</t>
  </si>
  <si>
    <t>李静</t>
  </si>
  <si>
    <t>刘明</t>
  </si>
  <si>
    <t>赵若杉</t>
  </si>
  <si>
    <t>何派</t>
  </si>
  <si>
    <t>雪秀娟</t>
  </si>
  <si>
    <t>梁大朋</t>
  </si>
  <si>
    <t>钮思远</t>
  </si>
  <si>
    <t>徐振</t>
  </si>
  <si>
    <t>王利新</t>
  </si>
  <si>
    <t>梁曦</t>
  </si>
  <si>
    <t>原冠</t>
  </si>
  <si>
    <t>贾耿</t>
  </si>
  <si>
    <t>谭亚莉</t>
  </si>
  <si>
    <t>张明霞</t>
  </si>
  <si>
    <t>桑仲雷</t>
  </si>
  <si>
    <t>叶北陵</t>
  </si>
  <si>
    <t>蒋思凤</t>
  </si>
  <si>
    <t>王伟</t>
  </si>
  <si>
    <t>陶少林</t>
  </si>
  <si>
    <t>臧伟</t>
  </si>
  <si>
    <t>张哲南</t>
  </si>
  <si>
    <t>刘国庆</t>
  </si>
  <si>
    <t>鞠坤峰</t>
  </si>
  <si>
    <t>王鸿</t>
  </si>
  <si>
    <t>霍卢</t>
  </si>
  <si>
    <t>王亚莉</t>
  </si>
  <si>
    <t>肖健晔</t>
  </si>
  <si>
    <t>邹重阳</t>
  </si>
  <si>
    <t>赫征</t>
  </si>
  <si>
    <t>王立清</t>
  </si>
  <si>
    <t>郑大蕾</t>
  </si>
  <si>
    <t>周庆群</t>
  </si>
  <si>
    <t>程健晔</t>
  </si>
  <si>
    <t>李滨</t>
  </si>
  <si>
    <t>张书</t>
  </si>
  <si>
    <t>李桂英</t>
  </si>
  <si>
    <t>方政兰</t>
  </si>
  <si>
    <t>罗胜</t>
  </si>
  <si>
    <t>李岩</t>
  </si>
  <si>
    <t>魏敏</t>
  </si>
  <si>
    <t>葛莹皓</t>
  </si>
  <si>
    <t>程迎龙</t>
  </si>
  <si>
    <t>陈庆来</t>
  </si>
  <si>
    <t>白菁</t>
  </si>
  <si>
    <t>杜和平</t>
  </si>
  <si>
    <t>刘春恒</t>
  </si>
  <si>
    <t>侯晋</t>
  </si>
  <si>
    <t>张红岗</t>
  </si>
  <si>
    <t>王小明</t>
  </si>
  <si>
    <t>李吉来</t>
  </si>
  <si>
    <t>关派</t>
  </si>
  <si>
    <t>周志勇</t>
  </si>
  <si>
    <t>翁亮</t>
  </si>
  <si>
    <t>孟少林</t>
  </si>
  <si>
    <t>李正春</t>
  </si>
  <si>
    <t>田卫平</t>
  </si>
  <si>
    <t>杨琳</t>
  </si>
  <si>
    <t>王少泓</t>
  </si>
  <si>
    <t>娄冰</t>
  </si>
  <si>
    <t>何增良</t>
  </si>
  <si>
    <t>吕伟</t>
  </si>
  <si>
    <t>蒿迎</t>
  </si>
  <si>
    <t>扈莹皓</t>
  </si>
  <si>
    <t>李少泓</t>
  </si>
  <si>
    <t>董悟</t>
  </si>
  <si>
    <t>戴丹</t>
  </si>
  <si>
    <t>李政</t>
  </si>
  <si>
    <t>范崇丽</t>
  </si>
  <si>
    <t>商杰</t>
  </si>
  <si>
    <t>刘庆杰</t>
  </si>
  <si>
    <t>李新刚</t>
  </si>
  <si>
    <t>张笑寒</t>
  </si>
  <si>
    <t>朱新文</t>
  </si>
  <si>
    <t>李增良</t>
  </si>
  <si>
    <t>戚微</t>
  </si>
  <si>
    <t>郑增良</t>
  </si>
  <si>
    <t>赵震</t>
  </si>
  <si>
    <t>何清兰</t>
  </si>
  <si>
    <t>任JUNTAO</t>
  </si>
  <si>
    <t>陈培颖</t>
  </si>
  <si>
    <t>惠卫群</t>
  </si>
  <si>
    <t>田树歧</t>
  </si>
  <si>
    <t>王天柱</t>
  </si>
  <si>
    <t>王敬阳</t>
  </si>
  <si>
    <t>张立好</t>
  </si>
  <si>
    <t>雷增良</t>
  </si>
  <si>
    <t>肖琳</t>
  </si>
  <si>
    <t>石磊</t>
  </si>
  <si>
    <t>肖勇</t>
  </si>
  <si>
    <t>张飞</t>
  </si>
  <si>
    <t>江飞</t>
  </si>
  <si>
    <t>蒲剑婷</t>
  </si>
  <si>
    <t>惠春恒</t>
  </si>
  <si>
    <t>石菲菲</t>
  </si>
  <si>
    <t>蔡欣</t>
  </si>
  <si>
    <t>胡鑫</t>
  </si>
  <si>
    <t>汪正涛</t>
  </si>
  <si>
    <t>杜震</t>
  </si>
  <si>
    <t>肖登峰</t>
  </si>
  <si>
    <t>王孟珍</t>
  </si>
  <si>
    <t>贾文利</t>
  </si>
  <si>
    <t>余文芳</t>
  </si>
  <si>
    <t>李承飞</t>
  </si>
  <si>
    <t>陈成荣</t>
  </si>
  <si>
    <t>鲁湘敏</t>
  </si>
  <si>
    <t>李洋</t>
  </si>
  <si>
    <t>叶卫权</t>
  </si>
  <si>
    <t>韩耿</t>
  </si>
  <si>
    <t>曾涛</t>
  </si>
  <si>
    <t>聂迪</t>
  </si>
  <si>
    <t>郭柏良</t>
  </si>
  <si>
    <t>王少林</t>
  </si>
  <si>
    <t>郑乐平</t>
  </si>
  <si>
    <t>赫耿</t>
  </si>
  <si>
    <t>陈维亮</t>
  </si>
  <si>
    <t>陈志丰</t>
  </si>
  <si>
    <t>史勇进</t>
  </si>
  <si>
    <t>冯孟珍</t>
  </si>
  <si>
    <t>陈庆杰</t>
  </si>
  <si>
    <t>朱坤</t>
  </si>
  <si>
    <t>孙颖</t>
  </si>
  <si>
    <t>张文吉</t>
  </si>
  <si>
    <t>范文举</t>
  </si>
  <si>
    <t>李芳芳</t>
  </si>
  <si>
    <t>梁超</t>
  </si>
  <si>
    <t>李慧</t>
  </si>
  <si>
    <t>张琼</t>
  </si>
  <si>
    <t>王璐斌</t>
  </si>
  <si>
    <t>倪斌</t>
  </si>
  <si>
    <t>雷希敏</t>
  </si>
  <si>
    <t>曾晓燕</t>
  </si>
  <si>
    <t>葛如意</t>
  </si>
  <si>
    <t>赵海涛</t>
  </si>
  <si>
    <t>侯文栋</t>
  </si>
  <si>
    <t>肖超</t>
  </si>
  <si>
    <t>熊镇江</t>
  </si>
  <si>
    <t>韩步青</t>
  </si>
  <si>
    <t>袁军</t>
  </si>
  <si>
    <t>徐惠娟</t>
  </si>
  <si>
    <t>邱晰远</t>
  </si>
  <si>
    <t>赵彰</t>
  </si>
  <si>
    <t>潘召艳</t>
  </si>
  <si>
    <t>王国生</t>
  </si>
  <si>
    <t>李伟</t>
  </si>
  <si>
    <t>董柏岚</t>
  </si>
  <si>
    <t>肖丽雯</t>
  </si>
  <si>
    <t>闫双双</t>
  </si>
  <si>
    <t>王卫权</t>
  </si>
  <si>
    <t>华伟</t>
  </si>
  <si>
    <t>于正兴</t>
  </si>
  <si>
    <t>李正雅</t>
  </si>
  <si>
    <t>欧运莲</t>
  </si>
  <si>
    <t>马诚</t>
  </si>
  <si>
    <t>刘亮</t>
  </si>
  <si>
    <t>蒋虎</t>
  </si>
  <si>
    <t>李晓燕</t>
  </si>
  <si>
    <t>胡兴昱</t>
  </si>
  <si>
    <t>何晓军</t>
  </si>
  <si>
    <t>鲁倩</t>
  </si>
  <si>
    <t>刘昌彦</t>
  </si>
  <si>
    <t>李建华</t>
  </si>
  <si>
    <t>许毅红</t>
  </si>
  <si>
    <t>赵鑫</t>
  </si>
  <si>
    <t>徐正兴</t>
  </si>
  <si>
    <t>杨晰远</t>
  </si>
  <si>
    <t>郝志宏</t>
  </si>
  <si>
    <t>蔡姣姣</t>
  </si>
  <si>
    <t>王东</t>
  </si>
  <si>
    <t>薛杰</t>
  </si>
  <si>
    <t>高高峰</t>
  </si>
  <si>
    <t>朱军</t>
  </si>
  <si>
    <t>徐红霞</t>
  </si>
  <si>
    <t>霍志峰</t>
  </si>
  <si>
    <t>柴涛</t>
  </si>
  <si>
    <t>李民</t>
  </si>
  <si>
    <t>吴东琳</t>
  </si>
  <si>
    <t>沈迎龙</t>
  </si>
  <si>
    <t>杨玉杰</t>
  </si>
  <si>
    <t>程芳芳</t>
  </si>
  <si>
    <t>张成庆</t>
  </si>
  <si>
    <t>王德刚</t>
  </si>
  <si>
    <t>王学恩</t>
  </si>
  <si>
    <t>王斌</t>
  </si>
  <si>
    <t>喻健</t>
  </si>
  <si>
    <t>连增广</t>
  </si>
  <si>
    <t>沈若杉</t>
  </si>
  <si>
    <t>姜镇江</t>
  </si>
  <si>
    <t>王鑫</t>
  </si>
  <si>
    <t>张波</t>
  </si>
  <si>
    <t>王坛</t>
  </si>
  <si>
    <t>熊敬阳</t>
  </si>
  <si>
    <t>程洋</t>
  </si>
  <si>
    <t>杨任伟</t>
  </si>
  <si>
    <t>胡威丽</t>
  </si>
  <si>
    <t>余镇江</t>
  </si>
  <si>
    <t>黄向红</t>
  </si>
  <si>
    <t>张大朋</t>
  </si>
  <si>
    <t>王桂刚</t>
  </si>
  <si>
    <t>吴军</t>
  </si>
  <si>
    <t>张东旭</t>
  </si>
  <si>
    <t>史正春</t>
  </si>
  <si>
    <t>张青</t>
  </si>
  <si>
    <t>兴青</t>
  </si>
  <si>
    <t>刘孟珍</t>
  </si>
  <si>
    <t>吴兴森</t>
  </si>
  <si>
    <t>韩玉才</t>
  </si>
  <si>
    <t>臧大勇</t>
  </si>
  <si>
    <t>马军平</t>
  </si>
  <si>
    <t>刘冠</t>
  </si>
  <si>
    <t>朱秀娟</t>
  </si>
  <si>
    <t>宋敬阳</t>
  </si>
  <si>
    <t>吉志宏</t>
  </si>
  <si>
    <t>张兆翔</t>
  </si>
  <si>
    <t>刘和平</t>
  </si>
  <si>
    <t>刘文利</t>
  </si>
  <si>
    <t>王昌平</t>
  </si>
  <si>
    <t>于威丽</t>
  </si>
  <si>
    <t>李磊</t>
  </si>
  <si>
    <t>李光宇</t>
  </si>
  <si>
    <t>俞金燕</t>
  </si>
  <si>
    <t>闫玥</t>
  </si>
  <si>
    <t>倪峰</t>
  </si>
  <si>
    <t>史勇</t>
  </si>
  <si>
    <t>曹维萍</t>
  </si>
  <si>
    <t>李彩云</t>
  </si>
  <si>
    <t>袁智能</t>
  </si>
  <si>
    <t>赵民</t>
  </si>
  <si>
    <t>吴微</t>
  </si>
  <si>
    <t>朱兴森</t>
  </si>
  <si>
    <t>徐鹏</t>
  </si>
  <si>
    <t>杜玉</t>
  </si>
  <si>
    <t>王秀芹</t>
  </si>
  <si>
    <t>李永祯</t>
  </si>
  <si>
    <t>朱福朝</t>
  </si>
  <si>
    <t>谢鑫轶</t>
  </si>
  <si>
    <t>赵敏</t>
  </si>
  <si>
    <t>郝峰</t>
  </si>
  <si>
    <t>赵健</t>
  </si>
  <si>
    <t>赵俊</t>
  </si>
  <si>
    <t>袁璇</t>
  </si>
  <si>
    <t>马建华</t>
  </si>
  <si>
    <t>张庆莲</t>
  </si>
  <si>
    <t>郝信楚</t>
  </si>
  <si>
    <t>李子君</t>
  </si>
  <si>
    <t>谭啸</t>
  </si>
  <si>
    <t>孔庆莲</t>
  </si>
  <si>
    <t>沈步青</t>
  </si>
  <si>
    <t>于笑寒</t>
  </si>
  <si>
    <t>邱伟</t>
  </si>
  <si>
    <t>蔡飞</t>
  </si>
  <si>
    <t>赵诚</t>
  </si>
  <si>
    <t>彭存召</t>
  </si>
  <si>
    <t>杨伟</t>
  </si>
  <si>
    <t>刘运莲</t>
  </si>
  <si>
    <t>孟武军</t>
  </si>
  <si>
    <t>侯海青</t>
  </si>
  <si>
    <t>张煦尧</t>
  </si>
  <si>
    <t>左曙光</t>
  </si>
  <si>
    <t>林恒</t>
  </si>
  <si>
    <t>华书涛</t>
  </si>
  <si>
    <t>张国生</t>
  </si>
  <si>
    <t>刘敬彬</t>
  </si>
  <si>
    <t>王云</t>
  </si>
  <si>
    <t>蒋倩</t>
  </si>
  <si>
    <t>周国生</t>
  </si>
  <si>
    <t>吴年明</t>
  </si>
  <si>
    <t>宋金燕</t>
  </si>
  <si>
    <t>蒋明</t>
  </si>
  <si>
    <t>李玉</t>
  </si>
  <si>
    <t>梁立好</t>
  </si>
  <si>
    <t>曹岩</t>
  </si>
  <si>
    <t>扈静</t>
  </si>
  <si>
    <t>张晓功</t>
  </si>
  <si>
    <t>朱云</t>
  </si>
  <si>
    <t>黄增良</t>
  </si>
  <si>
    <t>张利民</t>
  </si>
  <si>
    <t>胡志强</t>
  </si>
  <si>
    <t>赵爽</t>
  </si>
  <si>
    <t>徐步青</t>
  </si>
  <si>
    <t>肖华聪</t>
  </si>
  <si>
    <t>韩春洪</t>
  </si>
  <si>
    <t>戚昌彦</t>
  </si>
  <si>
    <t>王捷</t>
  </si>
  <si>
    <t>万保林</t>
  </si>
  <si>
    <t>吴瑞</t>
  </si>
  <si>
    <t>王学亮</t>
  </si>
  <si>
    <t>王晰远</t>
  </si>
  <si>
    <t>练仲雷</t>
  </si>
  <si>
    <t>侯晶</t>
  </si>
  <si>
    <t>杨彩云</t>
  </si>
  <si>
    <t>王红胜</t>
  </si>
  <si>
    <t>李维亮</t>
  </si>
  <si>
    <t>奉山</t>
  </si>
  <si>
    <t>包虎</t>
  </si>
  <si>
    <t>惠一虹</t>
  </si>
  <si>
    <t>徐海兵</t>
  </si>
  <si>
    <t>胡琪</t>
  </si>
  <si>
    <t>霍秉坤</t>
  </si>
  <si>
    <t>黄皓宇</t>
  </si>
  <si>
    <t>石伟</t>
  </si>
  <si>
    <t>邓岩</t>
  </si>
  <si>
    <t>刘永祯</t>
  </si>
  <si>
    <t>韩清秀</t>
  </si>
  <si>
    <t>张柳青</t>
  </si>
  <si>
    <t>杨晓功</t>
  </si>
  <si>
    <t>吴志勇</t>
  </si>
  <si>
    <t>张鑫</t>
  </si>
  <si>
    <t>胡亚丽</t>
  </si>
  <si>
    <t>雪曦</t>
  </si>
  <si>
    <t>杨凌峰</t>
  </si>
  <si>
    <t>王大军</t>
  </si>
  <si>
    <t>张衍</t>
  </si>
  <si>
    <t>朱明</t>
  </si>
  <si>
    <t>曹明霞</t>
  </si>
  <si>
    <t>高庆莲</t>
  </si>
  <si>
    <t>夏建华</t>
  </si>
  <si>
    <t>翁衍</t>
  </si>
  <si>
    <t>于向生</t>
  </si>
  <si>
    <t>陈祥丽</t>
  </si>
  <si>
    <t>石明霞</t>
  </si>
  <si>
    <t>张胜</t>
  </si>
  <si>
    <t>史岩</t>
  </si>
  <si>
    <t>王曙光</t>
  </si>
  <si>
    <t>贾亚芳</t>
  </si>
  <si>
    <t>周红岗</t>
  </si>
  <si>
    <t>苏鹏</t>
  </si>
  <si>
    <t>胡建华</t>
  </si>
  <si>
    <t>王迎龙</t>
  </si>
  <si>
    <t>王云宽</t>
  </si>
  <si>
    <t>张乐平</t>
  </si>
  <si>
    <t>陈笑寒</t>
  </si>
  <si>
    <t>孟磊</t>
  </si>
  <si>
    <t>张璐斌</t>
  </si>
  <si>
    <t>马辉</t>
  </si>
  <si>
    <t>冯亮</t>
  </si>
  <si>
    <t>雷曦</t>
  </si>
  <si>
    <t>韩志冬</t>
  </si>
  <si>
    <t>杨凯奇</t>
  </si>
  <si>
    <t>杨舒</t>
  </si>
  <si>
    <t>雷毅</t>
  </si>
  <si>
    <t>齐英</t>
  </si>
  <si>
    <t>张伟</t>
  </si>
  <si>
    <t>孙利新</t>
  </si>
  <si>
    <t>郭鑫</t>
  </si>
  <si>
    <t>韩燕明</t>
  </si>
  <si>
    <t>王悟</t>
  </si>
  <si>
    <t>肖田仔</t>
  </si>
  <si>
    <t>邱泽飞</t>
  </si>
  <si>
    <t>徐存召</t>
  </si>
  <si>
    <t>肖存召</t>
  </si>
  <si>
    <t>刘兴昱</t>
  </si>
  <si>
    <t>齐涛</t>
  </si>
  <si>
    <t>于祥</t>
  </si>
  <si>
    <t>白兴华</t>
  </si>
  <si>
    <t>胡若杉</t>
  </si>
  <si>
    <t>王刚</t>
  </si>
  <si>
    <t>贾派</t>
  </si>
  <si>
    <t>郝鑫</t>
  </si>
  <si>
    <t>倪静</t>
  </si>
  <si>
    <t>杜彰</t>
  </si>
  <si>
    <t>黄湘江</t>
  </si>
  <si>
    <t>徐鼎</t>
  </si>
  <si>
    <t>吴振宇</t>
  </si>
  <si>
    <t>王文芳</t>
  </si>
  <si>
    <t>张军平</t>
  </si>
  <si>
    <t>邓天柱</t>
  </si>
  <si>
    <t>翁静</t>
  </si>
  <si>
    <t>王志刚</t>
  </si>
  <si>
    <t>吴训坡</t>
  </si>
  <si>
    <t>赵政</t>
  </si>
  <si>
    <t>吴欣刚</t>
  </si>
  <si>
    <t>曹仲雷</t>
  </si>
  <si>
    <t>王禹</t>
  </si>
  <si>
    <t>胡红星</t>
  </si>
  <si>
    <t>杨成庆</t>
  </si>
  <si>
    <t>祝桂英</t>
  </si>
  <si>
    <t>王建辉</t>
  </si>
  <si>
    <t>王巍</t>
  </si>
  <si>
    <t>徐玉才</t>
  </si>
  <si>
    <t>郭令仲</t>
  </si>
  <si>
    <t>杨志宏</t>
  </si>
  <si>
    <t>扈俊志</t>
  </si>
  <si>
    <t>王杰</t>
  </si>
  <si>
    <t>孔曼</t>
  </si>
  <si>
    <t>鲁晓宁</t>
  </si>
  <si>
    <t>宋学亮</t>
  </si>
  <si>
    <t>王阳</t>
  </si>
  <si>
    <t>任雄</t>
  </si>
  <si>
    <t>徐明</t>
  </si>
  <si>
    <t>王涛</t>
  </si>
  <si>
    <t>张恩</t>
  </si>
  <si>
    <t>王希龙</t>
  </si>
  <si>
    <t>戴旭</t>
  </si>
  <si>
    <t>李达</t>
  </si>
  <si>
    <t>郑一民</t>
  </si>
  <si>
    <t>俞国庆</t>
  </si>
  <si>
    <t>曾英华</t>
  </si>
  <si>
    <t>邱文浩</t>
  </si>
  <si>
    <t>卢武陵</t>
  </si>
  <si>
    <t>朱兵</t>
  </si>
  <si>
    <t>徐艳</t>
  </si>
  <si>
    <t>娄峰</t>
  </si>
  <si>
    <t>王卫群</t>
  </si>
  <si>
    <t>王玲</t>
  </si>
  <si>
    <t>刘攀</t>
  </si>
  <si>
    <t>肖健</t>
  </si>
  <si>
    <t>田智</t>
  </si>
  <si>
    <t>白兴森</t>
  </si>
  <si>
    <t>谭冠</t>
  </si>
  <si>
    <t>贾雷</t>
  </si>
  <si>
    <t>曹青</t>
  </si>
  <si>
    <t>陈正雅</t>
  </si>
  <si>
    <t>胡永实</t>
  </si>
  <si>
    <t>吴成庆</t>
  </si>
  <si>
    <t>兰莹皓</t>
  </si>
  <si>
    <t>张成荣</t>
  </si>
  <si>
    <t>陈汉清</t>
  </si>
  <si>
    <t>刘旭</t>
  </si>
  <si>
    <t>吴秀娟</t>
  </si>
  <si>
    <t>史杰</t>
  </si>
  <si>
    <t>惠丹</t>
  </si>
  <si>
    <t>戴秉坤</t>
  </si>
  <si>
    <t>何德</t>
  </si>
  <si>
    <t>薛云</t>
  </si>
  <si>
    <t>蒲瑞</t>
  </si>
  <si>
    <t>郭娟娟</t>
  </si>
  <si>
    <t>曾海涛</t>
  </si>
  <si>
    <t>韦刚</t>
  </si>
  <si>
    <t>王增广</t>
  </si>
  <si>
    <t>胡智勇</t>
  </si>
  <si>
    <t>闫基韬</t>
  </si>
  <si>
    <t>张军亮</t>
  </si>
  <si>
    <t>蒋敬彬</t>
  </si>
  <si>
    <t>蒋春锋</t>
  </si>
  <si>
    <t>陈军</t>
  </si>
  <si>
    <t>王硕</t>
  </si>
  <si>
    <t>张大军</t>
  </si>
  <si>
    <t>周杨宇</t>
  </si>
  <si>
    <t>王玉瑾</t>
  </si>
  <si>
    <t>曹向红</t>
  </si>
  <si>
    <t>胡华</t>
  </si>
  <si>
    <t>兰红</t>
  </si>
  <si>
    <t>霍学亮</t>
  </si>
  <si>
    <t>孔建国</t>
  </si>
  <si>
    <t>汪书</t>
  </si>
  <si>
    <t>陈蓉</t>
  </si>
  <si>
    <t>杜彦锋</t>
  </si>
  <si>
    <t>程云</t>
  </si>
  <si>
    <t>韦俊格</t>
  </si>
  <si>
    <t>徐立清</t>
  </si>
  <si>
    <t>奉希敏</t>
  </si>
  <si>
    <t>刘梅</t>
  </si>
  <si>
    <t>朱冬明</t>
  </si>
  <si>
    <t>梁力平</t>
  </si>
  <si>
    <t>车邦昱</t>
  </si>
  <si>
    <t>李晓光</t>
  </si>
  <si>
    <t>刘彩云</t>
  </si>
  <si>
    <t>刘湘江</t>
  </si>
  <si>
    <t>何博</t>
  </si>
  <si>
    <t>胡敬彬</t>
  </si>
  <si>
    <t>薛博</t>
  </si>
  <si>
    <t>冉刚</t>
  </si>
  <si>
    <t>韩静秋</t>
  </si>
  <si>
    <t>徐涛</t>
  </si>
  <si>
    <t>邓乐平</t>
  </si>
  <si>
    <t>郝建华</t>
  </si>
  <si>
    <t>华虎</t>
  </si>
  <si>
    <t>中心</t>
    <phoneticPr fontId="3" type="noConversion"/>
  </si>
  <si>
    <t>董事长办公室</t>
    <phoneticPr fontId="3" type="noConversion"/>
  </si>
  <si>
    <t>办公室</t>
    <phoneticPr fontId="3" type="noConversion"/>
  </si>
  <si>
    <t>会计部</t>
    <phoneticPr fontId="3" type="noConversion"/>
  </si>
  <si>
    <t>销售二部</t>
    <phoneticPr fontId="3" type="noConversion"/>
  </si>
  <si>
    <t>商务部</t>
    <phoneticPr fontId="3" type="noConversion"/>
  </si>
  <si>
    <t>董事长办公室</t>
  </si>
  <si>
    <t>财务中心</t>
  </si>
  <si>
    <t>制造中心</t>
  </si>
  <si>
    <t>计划部</t>
  </si>
  <si>
    <t>ERP项目部</t>
  </si>
  <si>
    <t>职位</t>
    <phoneticPr fontId="3" type="noConversion"/>
  </si>
  <si>
    <t>董事长</t>
    <phoneticPr fontId="3" type="noConversion"/>
  </si>
  <si>
    <t>部门</t>
    <phoneticPr fontId="3" type="noConversion"/>
  </si>
  <si>
    <t>职务</t>
    <phoneticPr fontId="3" type="noConversion"/>
  </si>
  <si>
    <t>员工编号</t>
    <phoneticPr fontId="3" type="noConversion"/>
  </si>
  <si>
    <t>姓名</t>
    <phoneticPr fontId="3" type="noConversion"/>
  </si>
  <si>
    <t>工资等级</t>
    <phoneticPr fontId="3" type="noConversion"/>
  </si>
  <si>
    <t>岗位工资</t>
    <phoneticPr fontId="3" type="noConversion"/>
  </si>
  <si>
    <t>总监</t>
    <phoneticPr fontId="3" type="noConversion"/>
  </si>
  <si>
    <t>总经理</t>
    <phoneticPr fontId="3" type="noConversion"/>
  </si>
  <si>
    <t>孙伟</t>
    <phoneticPr fontId="3" type="noConversion"/>
  </si>
  <si>
    <t>A5</t>
  </si>
  <si>
    <t>经理</t>
    <phoneticPr fontId="3" type="noConversion"/>
  </si>
  <si>
    <t>董事长秘书</t>
    <phoneticPr fontId="3" type="noConversion"/>
  </si>
  <si>
    <t>凌祯</t>
    <phoneticPr fontId="3" type="noConversion"/>
  </si>
  <si>
    <t>A4</t>
    <phoneticPr fontId="3" type="noConversion"/>
  </si>
  <si>
    <t>主管</t>
    <phoneticPr fontId="3" type="noConversion"/>
  </si>
  <si>
    <t>秘书</t>
    <phoneticPr fontId="3" type="noConversion"/>
  </si>
  <si>
    <t>A3</t>
    <phoneticPr fontId="3" type="noConversion"/>
  </si>
  <si>
    <t>员工</t>
    <phoneticPr fontId="3" type="noConversion"/>
  </si>
  <si>
    <t>B6</t>
  </si>
  <si>
    <t>职员</t>
    <phoneticPr fontId="3" type="noConversion"/>
  </si>
  <si>
    <t>办公室</t>
    <phoneticPr fontId="3" type="noConversion"/>
  </si>
  <si>
    <t>经理</t>
    <phoneticPr fontId="3" type="noConversion"/>
  </si>
  <si>
    <t>秘书</t>
    <phoneticPr fontId="3" type="noConversion"/>
  </si>
  <si>
    <t>B1</t>
  </si>
  <si>
    <t>项目经理</t>
    <phoneticPr fontId="3" type="noConversion"/>
  </si>
  <si>
    <t>成本部</t>
    <phoneticPr fontId="3" type="noConversion"/>
  </si>
  <si>
    <t>总监</t>
    <phoneticPr fontId="3" type="noConversion"/>
  </si>
  <si>
    <t>员工</t>
    <phoneticPr fontId="3" type="noConversion"/>
  </si>
  <si>
    <t>D7</t>
  </si>
  <si>
    <t>主管</t>
    <phoneticPr fontId="3" type="noConversion"/>
  </si>
  <si>
    <t>D3</t>
  </si>
  <si>
    <t>审计部</t>
    <phoneticPr fontId="3" type="noConversion"/>
  </si>
  <si>
    <t>C8</t>
  </si>
  <si>
    <t>D6</t>
  </si>
  <si>
    <t>A3</t>
  </si>
  <si>
    <t>D1</t>
  </si>
  <si>
    <t>D5</t>
  </si>
  <si>
    <t>财务中心</t>
    <phoneticPr fontId="3" type="noConversion"/>
  </si>
  <si>
    <t>财务部</t>
    <phoneticPr fontId="3" type="noConversion"/>
  </si>
  <si>
    <t>A1</t>
  </si>
  <si>
    <t>D8</t>
  </si>
  <si>
    <t>D9</t>
  </si>
  <si>
    <t>D4</t>
  </si>
  <si>
    <t>C10</t>
  </si>
  <si>
    <t>职员</t>
    <phoneticPr fontId="3" type="noConversion"/>
  </si>
  <si>
    <t>会计部</t>
    <phoneticPr fontId="3" type="noConversion"/>
  </si>
  <si>
    <t>员工</t>
    <phoneticPr fontId="3" type="noConversion"/>
  </si>
  <si>
    <t>职员</t>
    <phoneticPr fontId="3" type="noConversion"/>
  </si>
  <si>
    <t>D2</t>
  </si>
  <si>
    <t>技术研发中心</t>
  </si>
  <si>
    <t>技术部</t>
  </si>
  <si>
    <t>A4</t>
  </si>
  <si>
    <t>B8</t>
    <phoneticPr fontId="3" type="noConversion"/>
  </si>
  <si>
    <t>经理</t>
    <phoneticPr fontId="3" type="noConversion"/>
  </si>
  <si>
    <t>副经理</t>
    <phoneticPr fontId="3" type="noConversion"/>
  </si>
  <si>
    <t>C5</t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</si>
  <si>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</si>
  <si>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</si>
  <si>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</si>
  <si>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</si>
  <si>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</si>
  <si>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</si>
  <si>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工艺部</t>
  </si>
  <si>
    <t>经理</t>
    <phoneticPr fontId="3" type="noConversion"/>
  </si>
  <si>
    <t>副经理</t>
    <phoneticPr fontId="3" type="noConversion"/>
  </si>
  <si>
    <t>B2</t>
  </si>
  <si>
    <t>C2</t>
  </si>
  <si>
    <t>研发部</t>
  </si>
  <si>
    <t>副总监</t>
    <phoneticPr fontId="3" type="noConversion"/>
  </si>
  <si>
    <t>A3</t>
    <phoneticPr fontId="3" type="noConversion"/>
  </si>
  <si>
    <t>经理</t>
    <phoneticPr fontId="3" type="noConversion"/>
  </si>
  <si>
    <t>B3</t>
  </si>
  <si>
    <t>主管</t>
    <phoneticPr fontId="3" type="noConversion"/>
  </si>
  <si>
    <t>员工</t>
    <phoneticPr fontId="3" type="noConversion"/>
  </si>
  <si>
    <t>职员</t>
    <phoneticPr fontId="3" type="noConversion"/>
  </si>
  <si>
    <t>D10</t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</si>
  <si>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</si>
  <si>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</si>
  <si>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</si>
  <si>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</si>
  <si>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</si>
  <si>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</si>
  <si>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生产一部</t>
  </si>
  <si>
    <t>B8</t>
    <phoneticPr fontId="3" type="noConversion"/>
  </si>
  <si>
    <t>副经理</t>
    <phoneticPr fontId="3" type="noConversion"/>
  </si>
  <si>
    <t>B8</t>
  </si>
  <si>
    <t>主管</t>
  </si>
  <si>
    <t>分厂厂长</t>
    <phoneticPr fontId="3" type="noConversion"/>
  </si>
  <si>
    <t>分厂厂长</t>
    <phoneticPr fontId="3" type="noConversion"/>
  </si>
  <si>
    <t>C1</t>
  </si>
  <si>
    <t>C4</t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</si>
  <si>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</si>
  <si>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</si>
  <si>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</si>
  <si>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</si>
  <si>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</si>
  <si>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</si>
  <si>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</si>
  <si>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</si>
  <si>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</si>
  <si>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</si>
  <si>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</si>
  <si>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</si>
  <si>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</si>
  <si>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</si>
  <si>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</si>
  <si>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</si>
  <si>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</si>
  <si>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</si>
  <si>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</si>
  <si>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</si>
  <si>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</si>
  <si>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</si>
  <si>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</si>
  <si>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</si>
  <si>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</si>
  <si>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</si>
  <si>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</si>
  <si>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</si>
  <si>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</si>
  <si>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</si>
  <si>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</si>
  <si>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</si>
  <si>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</si>
  <si>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</si>
  <si>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</si>
  <si>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</si>
  <si>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</si>
  <si>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</si>
  <si>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</si>
  <si>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</si>
  <si>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</si>
  <si>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</si>
  <si>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</si>
  <si>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</si>
  <si>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</si>
  <si>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</si>
  <si>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</si>
  <si>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</si>
  <si>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</si>
  <si>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</si>
  <si>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</si>
  <si>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</si>
  <si>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生产二部</t>
  </si>
  <si>
    <t>总监</t>
    <phoneticPr fontId="3" type="noConversion"/>
  </si>
  <si>
    <t>副总监</t>
    <phoneticPr fontId="3" type="noConversion"/>
  </si>
  <si>
    <t>A3</t>
    <phoneticPr fontId="3" type="noConversion"/>
  </si>
  <si>
    <t>经理</t>
    <phoneticPr fontId="3" type="noConversion"/>
  </si>
  <si>
    <t>B8</t>
    <phoneticPr fontId="3" type="noConversion"/>
  </si>
  <si>
    <t>经理</t>
    <phoneticPr fontId="3" type="noConversion"/>
  </si>
  <si>
    <t>副经理</t>
    <phoneticPr fontId="3" type="noConversion"/>
  </si>
  <si>
    <t>B8</t>
    <phoneticPr fontId="3" type="noConversion"/>
  </si>
  <si>
    <t>副经理</t>
    <phoneticPr fontId="3" type="noConversion"/>
  </si>
  <si>
    <t>分厂厂长</t>
    <phoneticPr fontId="3" type="noConversion"/>
  </si>
  <si>
    <t>C9</t>
  </si>
  <si>
    <t>分厂厂长</t>
    <phoneticPr fontId="3" type="noConversion"/>
  </si>
  <si>
    <t>C6</t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</si>
  <si>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</si>
  <si>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</si>
  <si>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</si>
  <si>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</si>
  <si>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</si>
  <si>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</si>
  <si>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</si>
  <si>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</si>
  <si>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</si>
  <si>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</si>
  <si>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</si>
  <si>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</si>
  <si>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</si>
  <si>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</si>
  <si>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</si>
  <si>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</si>
  <si>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</si>
  <si>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</si>
  <si>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</si>
  <si>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</si>
  <si>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</si>
  <si>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</si>
  <si>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</si>
  <si>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</si>
  <si>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</si>
  <si>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</si>
  <si>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生产三部</t>
    <phoneticPr fontId="3" type="noConversion"/>
  </si>
  <si>
    <t>总监</t>
    <phoneticPr fontId="3" type="noConversion"/>
  </si>
  <si>
    <t>副总监</t>
    <phoneticPr fontId="3" type="noConversion"/>
  </si>
  <si>
    <t>A3</t>
    <phoneticPr fontId="3" type="noConversion"/>
  </si>
  <si>
    <t>经理</t>
    <phoneticPr fontId="3" type="noConversion"/>
  </si>
  <si>
    <t>分厂厂长</t>
    <phoneticPr fontId="3" type="noConversion"/>
  </si>
  <si>
    <t>C3</t>
  </si>
  <si>
    <t>生产三部</t>
    <phoneticPr fontId="3" type="noConversion"/>
  </si>
  <si>
    <t>生产三部</t>
    <phoneticPr fontId="3" type="noConversion"/>
  </si>
  <si>
    <t>生产三部</t>
    <phoneticPr fontId="3" type="noConversion"/>
  </si>
  <si>
    <t>生产三部</t>
    <phoneticPr fontId="3" type="noConversion"/>
  </si>
  <si>
    <t>生产三部</t>
    <phoneticPr fontId="3" type="noConversion"/>
  </si>
  <si>
    <t>生产三部</t>
    <phoneticPr fontId="3" type="noConversion"/>
  </si>
  <si>
    <t>员工</t>
    <phoneticPr fontId="3" type="noConversion"/>
  </si>
  <si>
    <t>职员</t>
    <phoneticPr fontId="3" type="noConversion"/>
  </si>
  <si>
    <t>生产三部</t>
    <phoneticPr fontId="3" type="noConversion"/>
  </si>
  <si>
    <t>员工</t>
    <phoneticPr fontId="3" type="noConversion"/>
  </si>
  <si>
    <t>职员</t>
    <phoneticPr fontId="3" type="noConversion"/>
  </si>
  <si>
    <t>生产三部</t>
    <phoneticPr fontId="3" type="noConversion"/>
  </si>
  <si>
    <t>员工</t>
    <phoneticPr fontId="3" type="noConversion"/>
  </si>
  <si>
    <t>职员</t>
    <phoneticPr fontId="3" type="noConversion"/>
  </si>
  <si>
    <t>生产三部</t>
    <phoneticPr fontId="3" type="noConversion"/>
  </si>
  <si>
    <t>员工</t>
    <phoneticPr fontId="3" type="noConversion"/>
  </si>
  <si>
    <t>职员</t>
    <phoneticPr fontId="3" type="noConversion"/>
  </si>
  <si>
    <t>生产三部</t>
    <phoneticPr fontId="3" type="noConversion"/>
  </si>
  <si>
    <t>员工</t>
    <phoneticPr fontId="3" type="noConversion"/>
  </si>
  <si>
    <t>职员</t>
    <phoneticPr fontId="3" type="noConversion"/>
  </si>
  <si>
    <t>生产三部</t>
    <phoneticPr fontId="3" type="noConversion"/>
  </si>
  <si>
    <t>员工</t>
    <phoneticPr fontId="3" type="noConversion"/>
  </si>
  <si>
    <t>职员</t>
    <phoneticPr fontId="3" type="noConversion"/>
  </si>
  <si>
    <t>生产三部</t>
    <phoneticPr fontId="3" type="noConversion"/>
  </si>
  <si>
    <t>生产三部</t>
    <phoneticPr fontId="3" type="noConversion"/>
  </si>
  <si>
    <t>生产三部</t>
    <phoneticPr fontId="3" type="noConversion"/>
  </si>
  <si>
    <t>员工</t>
    <phoneticPr fontId="3" type="noConversion"/>
  </si>
  <si>
    <t>职员</t>
    <phoneticPr fontId="3" type="noConversion"/>
  </si>
  <si>
    <t>生产三部</t>
    <phoneticPr fontId="3" type="noConversion"/>
  </si>
  <si>
    <t>员工</t>
    <phoneticPr fontId="3" type="noConversion"/>
  </si>
  <si>
    <t>职员</t>
    <phoneticPr fontId="3" type="noConversion"/>
  </si>
  <si>
    <t>生产三部</t>
    <phoneticPr fontId="3" type="noConversion"/>
  </si>
  <si>
    <t>员工</t>
    <phoneticPr fontId="3" type="noConversion"/>
  </si>
  <si>
    <t>职员</t>
    <phoneticPr fontId="3" type="noConversion"/>
  </si>
  <si>
    <t>生产三部</t>
    <phoneticPr fontId="3" type="noConversion"/>
  </si>
  <si>
    <t>员工</t>
    <phoneticPr fontId="3" type="noConversion"/>
  </si>
  <si>
    <t>职员</t>
    <phoneticPr fontId="3" type="noConversion"/>
  </si>
  <si>
    <t>设备部</t>
  </si>
  <si>
    <t>经理</t>
    <phoneticPr fontId="3" type="noConversion"/>
  </si>
  <si>
    <t>B7</t>
  </si>
  <si>
    <t>电气设备主管</t>
    <phoneticPr fontId="3" type="noConversion"/>
  </si>
  <si>
    <t>机械设备主管</t>
    <phoneticPr fontId="3" type="noConversion"/>
  </si>
  <si>
    <t>维修部主管</t>
    <phoneticPr fontId="3" type="noConversion"/>
  </si>
  <si>
    <t>C7</t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</si>
  <si>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</si>
  <si>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</si>
  <si>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</si>
  <si>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</si>
  <si>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员工</t>
    <phoneticPr fontId="3" type="noConversion"/>
  </si>
  <si>
    <t>职员</t>
    <phoneticPr fontId="3" type="noConversion"/>
  </si>
  <si>
    <t>经理</t>
    <phoneticPr fontId="3" type="noConversion"/>
  </si>
  <si>
    <t>质管中心</t>
  </si>
  <si>
    <t>质管部</t>
  </si>
  <si>
    <t>总监</t>
    <phoneticPr fontId="3" type="noConversion"/>
  </si>
  <si>
    <t>主管</t>
    <phoneticPr fontId="3" type="noConversion"/>
  </si>
  <si>
    <t>主管</t>
    <phoneticPr fontId="3" type="noConversion"/>
  </si>
  <si>
    <t>试验所</t>
  </si>
  <si>
    <t>经理</t>
    <phoneticPr fontId="3" type="noConversion"/>
  </si>
  <si>
    <t>所长</t>
    <phoneticPr fontId="3" type="noConversion"/>
  </si>
  <si>
    <t>B4</t>
  </si>
  <si>
    <t>主管</t>
    <phoneticPr fontId="3" type="noConversion"/>
  </si>
  <si>
    <t>电气试验主管</t>
    <phoneticPr fontId="3" type="noConversion"/>
  </si>
  <si>
    <t>机械试验主管</t>
    <phoneticPr fontId="3" type="noConversion"/>
  </si>
  <si>
    <t>人资中心</t>
  </si>
  <si>
    <t>人事部</t>
  </si>
  <si>
    <t>总监</t>
    <phoneticPr fontId="3" type="noConversion"/>
  </si>
  <si>
    <t>A3</t>
    <phoneticPr fontId="3" type="noConversion"/>
  </si>
  <si>
    <t>主管</t>
    <phoneticPr fontId="3" type="noConversion"/>
  </si>
  <si>
    <t>招聘部</t>
  </si>
  <si>
    <t>B8</t>
    <phoneticPr fontId="3" type="noConversion"/>
  </si>
  <si>
    <t>员工</t>
    <phoneticPr fontId="3" type="noConversion"/>
  </si>
  <si>
    <t>职员</t>
    <phoneticPr fontId="3" type="noConversion"/>
  </si>
  <si>
    <t>培训部</t>
  </si>
  <si>
    <t>行政中心</t>
  </si>
  <si>
    <t>行政部</t>
  </si>
  <si>
    <t>总监</t>
    <phoneticPr fontId="3" type="noConversion"/>
  </si>
  <si>
    <t>主管</t>
    <phoneticPr fontId="3" type="noConversion"/>
  </si>
  <si>
    <t>后勤部</t>
  </si>
  <si>
    <t>经理</t>
    <phoneticPr fontId="3" type="noConversion"/>
  </si>
  <si>
    <t>主管</t>
    <phoneticPr fontId="3" type="noConversion"/>
  </si>
  <si>
    <t>食堂主厨</t>
    <phoneticPr fontId="3" type="noConversion"/>
  </si>
  <si>
    <t>主管</t>
    <phoneticPr fontId="3" type="noConversion"/>
  </si>
  <si>
    <t>保卫处长</t>
    <phoneticPr fontId="3" type="noConversion"/>
  </si>
  <si>
    <t>信息部</t>
  </si>
  <si>
    <t>经理</t>
    <phoneticPr fontId="3" type="noConversion"/>
  </si>
  <si>
    <t>营销中心</t>
  </si>
  <si>
    <t>销售一部</t>
    <phoneticPr fontId="3" type="noConversion"/>
  </si>
  <si>
    <t>总监</t>
    <phoneticPr fontId="3" type="noConversion"/>
  </si>
  <si>
    <t>营销总裁</t>
    <phoneticPr fontId="3" type="noConversion"/>
  </si>
  <si>
    <t>销售一部</t>
    <phoneticPr fontId="3" type="noConversion"/>
  </si>
  <si>
    <t>总监</t>
    <phoneticPr fontId="3" type="noConversion"/>
  </si>
  <si>
    <t>营销副总裁</t>
    <phoneticPr fontId="3" type="noConversion"/>
  </si>
  <si>
    <t>销售一部</t>
    <phoneticPr fontId="3" type="noConversion"/>
  </si>
  <si>
    <t>大区经理</t>
    <phoneticPr fontId="3" type="noConversion"/>
  </si>
  <si>
    <t>销售一部</t>
    <phoneticPr fontId="3" type="noConversion"/>
  </si>
  <si>
    <t>大区经理</t>
    <phoneticPr fontId="3" type="noConversion"/>
  </si>
  <si>
    <t>销售一部</t>
    <phoneticPr fontId="3" type="noConversion"/>
  </si>
  <si>
    <t>大区经理</t>
    <phoneticPr fontId="3" type="noConversion"/>
  </si>
  <si>
    <t>销售一部</t>
    <phoneticPr fontId="3" type="noConversion"/>
  </si>
  <si>
    <t>大客户经理</t>
    <phoneticPr fontId="3" type="noConversion"/>
  </si>
  <si>
    <t>大客户经理</t>
    <phoneticPr fontId="3" type="noConversion"/>
  </si>
  <si>
    <t>大客户经理</t>
    <phoneticPr fontId="3" type="noConversion"/>
  </si>
  <si>
    <t>大客户经理</t>
    <phoneticPr fontId="3" type="noConversion"/>
  </si>
  <si>
    <t>大客户经理</t>
    <phoneticPr fontId="3" type="noConversion"/>
  </si>
  <si>
    <t>销售一部</t>
    <phoneticPr fontId="3" type="noConversion"/>
  </si>
  <si>
    <t>营销经理</t>
    <phoneticPr fontId="3" type="noConversion"/>
  </si>
  <si>
    <t>营销经理</t>
    <phoneticPr fontId="3" type="noConversion"/>
  </si>
  <si>
    <t>营销经理</t>
    <phoneticPr fontId="3" type="noConversion"/>
  </si>
  <si>
    <t>营销经理</t>
    <phoneticPr fontId="3" type="noConversion"/>
  </si>
  <si>
    <t>营销经理</t>
    <phoneticPr fontId="3" type="noConversion"/>
  </si>
  <si>
    <t>营销经理</t>
    <phoneticPr fontId="3" type="noConversion"/>
  </si>
  <si>
    <t>销售一部</t>
    <phoneticPr fontId="3" type="noConversion"/>
  </si>
  <si>
    <t>营销经理</t>
    <phoneticPr fontId="3" type="noConversion"/>
  </si>
  <si>
    <t>销售一部</t>
    <phoneticPr fontId="3" type="noConversion"/>
  </si>
  <si>
    <t>员工</t>
    <phoneticPr fontId="3" type="noConversion"/>
  </si>
  <si>
    <t>营销经理</t>
    <phoneticPr fontId="3" type="noConversion"/>
  </si>
  <si>
    <t>销售一部</t>
    <phoneticPr fontId="3" type="noConversion"/>
  </si>
  <si>
    <t>员工</t>
    <phoneticPr fontId="3" type="noConversion"/>
  </si>
  <si>
    <t>营销经理</t>
    <phoneticPr fontId="3" type="noConversion"/>
  </si>
  <si>
    <t>销售一部</t>
    <phoneticPr fontId="3" type="noConversion"/>
  </si>
  <si>
    <t>营销经理</t>
    <phoneticPr fontId="3" type="noConversion"/>
  </si>
  <si>
    <t>销售一部</t>
    <phoneticPr fontId="3" type="noConversion"/>
  </si>
  <si>
    <t>营销经理</t>
    <phoneticPr fontId="3" type="noConversion"/>
  </si>
  <si>
    <t>销售二部</t>
    <phoneticPr fontId="3" type="noConversion"/>
  </si>
  <si>
    <t>营销副总裁</t>
    <phoneticPr fontId="3" type="noConversion"/>
  </si>
  <si>
    <t>A3</t>
    <phoneticPr fontId="3" type="noConversion"/>
  </si>
  <si>
    <t>经理</t>
    <phoneticPr fontId="3" type="noConversion"/>
  </si>
  <si>
    <t>大区经理</t>
    <phoneticPr fontId="3" type="noConversion"/>
  </si>
  <si>
    <t>大客户经理</t>
    <phoneticPr fontId="3" type="noConversion"/>
  </si>
  <si>
    <t>销售二部</t>
    <phoneticPr fontId="3" type="noConversion"/>
  </si>
  <si>
    <t>销售二部</t>
    <phoneticPr fontId="3" type="noConversion"/>
  </si>
  <si>
    <t>销售二部</t>
    <phoneticPr fontId="3" type="noConversion"/>
  </si>
  <si>
    <t>营销经理</t>
    <phoneticPr fontId="3" type="noConversion"/>
  </si>
  <si>
    <t>销售二部</t>
    <phoneticPr fontId="3" type="noConversion"/>
  </si>
  <si>
    <t>员工</t>
    <phoneticPr fontId="3" type="noConversion"/>
  </si>
  <si>
    <t>营销经理</t>
    <phoneticPr fontId="3" type="noConversion"/>
  </si>
  <si>
    <t>营销经理</t>
    <phoneticPr fontId="3" type="noConversion"/>
  </si>
  <si>
    <t>销售二部</t>
    <phoneticPr fontId="3" type="noConversion"/>
  </si>
  <si>
    <t>员工</t>
    <phoneticPr fontId="3" type="noConversion"/>
  </si>
  <si>
    <t>营销经理</t>
    <phoneticPr fontId="3" type="noConversion"/>
  </si>
  <si>
    <t>商务部</t>
    <phoneticPr fontId="3" type="noConversion"/>
  </si>
  <si>
    <t>经理</t>
    <phoneticPr fontId="3" type="noConversion"/>
  </si>
  <si>
    <t>商务经理</t>
    <phoneticPr fontId="3" type="noConversion"/>
  </si>
  <si>
    <t>D3</t>
    <phoneticPr fontId="3" type="noConversion"/>
  </si>
  <si>
    <t>职位</t>
    <phoneticPr fontId="3" type="noConversion"/>
  </si>
  <si>
    <t>级别</t>
    <phoneticPr fontId="3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</si>
  <si>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</si>
  <si>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</si>
  <si>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</si>
  <si>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</si>
  <si>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</si>
  <si>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</si>
  <si>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</si>
  <si>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</si>
  <si>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</si>
  <si>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</si>
  <si>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3500以内</t>
    <phoneticPr fontId="3" type="noConversion"/>
  </si>
  <si>
    <t>A</t>
    <phoneticPr fontId="3" type="noConversion"/>
  </si>
  <si>
    <t>D</t>
    <phoneticPr fontId="3" type="noConversion"/>
  </si>
  <si>
    <t>5000以内</t>
    <phoneticPr fontId="3" type="noConversion"/>
  </si>
  <si>
    <t>B</t>
    <phoneticPr fontId="3" type="noConversion"/>
  </si>
  <si>
    <t>C</t>
    <phoneticPr fontId="3" type="noConversion"/>
  </si>
  <si>
    <t>8000以内</t>
    <phoneticPr fontId="3" type="noConversion"/>
  </si>
  <si>
    <t>10000以内</t>
    <phoneticPr fontId="3" type="noConversion"/>
  </si>
  <si>
    <t>10000及以上</t>
    <phoneticPr fontId="3" type="noConversion"/>
  </si>
  <si>
    <t>岗位工资</t>
    <phoneticPr fontId="3" type="noConversion"/>
  </si>
  <si>
    <t>lookup</t>
    <phoneticPr fontId="3" type="noConversion"/>
  </si>
  <si>
    <t>奖金比率</t>
    <phoneticPr fontId="3" type="noConversion"/>
  </si>
  <si>
    <t>话费补贴</t>
    <phoneticPr fontId="3" type="noConversion"/>
  </si>
  <si>
    <t>防暑降温补贴</t>
    <phoneticPr fontId="3" type="noConversion"/>
  </si>
  <si>
    <t>入职日期</t>
    <phoneticPr fontId="3" type="noConversion"/>
  </si>
  <si>
    <t>工龄工资</t>
    <phoneticPr fontId="3" type="noConversion"/>
  </si>
  <si>
    <t>税前应发总额</t>
    <phoneticPr fontId="3" type="noConversion"/>
  </si>
  <si>
    <t>公积金</t>
    <phoneticPr fontId="3" type="noConversion"/>
  </si>
  <si>
    <t>实发工资</t>
    <phoneticPr fontId="3" type="noConversion"/>
  </si>
  <si>
    <t>上月对比</t>
    <phoneticPr fontId="3" type="noConversion"/>
  </si>
  <si>
    <t>增幅</t>
    <phoneticPr fontId="3" type="noConversion"/>
  </si>
  <si>
    <t>实际出勤天数</t>
    <phoneticPr fontId="3" type="noConversion"/>
  </si>
  <si>
    <t>出勤率</t>
    <phoneticPr fontId="3" type="noConversion"/>
  </si>
  <si>
    <t>全勤奖</t>
    <phoneticPr fontId="3" type="noConversion"/>
  </si>
  <si>
    <t>总监</t>
  </si>
  <si>
    <t>经理</t>
  </si>
  <si>
    <t>员工</t>
  </si>
  <si>
    <t>营销中心</t>
    <phoneticPr fontId="3" type="noConversion"/>
  </si>
  <si>
    <t>话费补贴</t>
    <phoneticPr fontId="3" type="noConversion"/>
  </si>
  <si>
    <t>非营销中心</t>
    <phoneticPr fontId="3" type="noConversion"/>
  </si>
  <si>
    <t>基本工资</t>
    <phoneticPr fontId="3" type="noConversion"/>
  </si>
  <si>
    <t>绩效得分</t>
    <phoneticPr fontId="3" type="noConversion"/>
  </si>
  <si>
    <t>城市名称</t>
  </si>
  <si>
    <t>养老保险</t>
  </si>
  <si>
    <t>医疗保险</t>
  </si>
  <si>
    <t>失业保险</t>
  </si>
  <si>
    <t>生育保险</t>
  </si>
  <si>
    <t>工伤保险</t>
  </si>
  <si>
    <t>公积金</t>
  </si>
  <si>
    <t>单位</t>
  </si>
  <si>
    <t>个人</t>
  </si>
  <si>
    <t>北京市</t>
  </si>
  <si>
    <t>2%+3元</t>
  </si>
  <si>
    <t>个人不缴费</t>
  </si>
  <si>
    <t>上海市</t>
  </si>
  <si>
    <t>广州</t>
  </si>
  <si>
    <t>5%—20%</t>
  </si>
  <si>
    <t>合肥</t>
  </si>
  <si>
    <t>同上</t>
  </si>
  <si>
    <t>南京</t>
  </si>
  <si>
    <t>2%+10元</t>
  </si>
  <si>
    <t>天津市</t>
  </si>
  <si>
    <t>0.5%-2%</t>
  </si>
  <si>
    <t>杭州</t>
  </si>
  <si>
    <t>2%+4元</t>
  </si>
  <si>
    <t>0.5%~1.2%</t>
  </si>
  <si>
    <t>西安</t>
  </si>
  <si>
    <t>2%+8元</t>
  </si>
  <si>
    <t>太原</t>
  </si>
  <si>
    <t>2%+5元</t>
  </si>
  <si>
    <t>济南</t>
  </si>
  <si>
    <t>福州</t>
  </si>
  <si>
    <t>2%+65元</t>
  </si>
  <si>
    <t>0.5%~3%</t>
  </si>
  <si>
    <t>长沙</t>
  </si>
  <si>
    <t>8%—12%</t>
  </si>
  <si>
    <t>成都</t>
  </si>
  <si>
    <t>6%—12%</t>
  </si>
  <si>
    <t>6%—12</t>
  </si>
  <si>
    <t>险种</t>
    <phoneticPr fontId="3" type="noConversion"/>
  </si>
  <si>
    <t>养老保险</t>
    <phoneticPr fontId="3" type="noConversion"/>
  </si>
  <si>
    <t>医疗保险</t>
    <phoneticPr fontId="3" type="noConversion"/>
  </si>
  <si>
    <t>失业保险</t>
    <phoneticPr fontId="3" type="noConversion"/>
  </si>
  <si>
    <t>应税所得超过</t>
    <phoneticPr fontId="13" type="noConversion"/>
  </si>
  <si>
    <t>且不超过</t>
    <phoneticPr fontId="13" type="noConversion"/>
  </si>
  <si>
    <t>税率</t>
    <phoneticPr fontId="13" type="noConversion"/>
  </si>
  <si>
    <t>速算扣除数</t>
    <phoneticPr fontId="13" type="noConversion"/>
  </si>
  <si>
    <t>税前工资</t>
    <phoneticPr fontId="13" type="noConversion"/>
  </si>
  <si>
    <t>税金</t>
    <phoneticPr fontId="13" type="noConversion"/>
  </si>
  <si>
    <t>实发数</t>
    <phoneticPr fontId="13" type="noConversion"/>
  </si>
  <si>
    <t>扣保险后工资金额</t>
    <phoneticPr fontId="3" type="noConversion"/>
  </si>
  <si>
    <t>个人所得税</t>
    <phoneticPr fontId="3" type="noConversion"/>
  </si>
  <si>
    <t>奖金等级</t>
    <phoneticPr fontId="3" type="noConversion"/>
  </si>
  <si>
    <t>奖金</t>
    <phoneticPr fontId="3" type="noConversion"/>
  </si>
  <si>
    <t>WL001</t>
  </si>
  <si>
    <t>WL002</t>
  </si>
  <si>
    <t>WL003</t>
  </si>
  <si>
    <t>WL004</t>
  </si>
  <si>
    <t>WL005</t>
  </si>
  <si>
    <t>WL006</t>
  </si>
  <si>
    <t>WL007</t>
  </si>
  <si>
    <t>WL008</t>
  </si>
  <si>
    <t>WL009</t>
  </si>
  <si>
    <t>WL010</t>
  </si>
  <si>
    <t>WL011</t>
  </si>
  <si>
    <t>WL012</t>
  </si>
  <si>
    <t>WL013</t>
  </si>
  <si>
    <t>WL014</t>
  </si>
  <si>
    <t>WL015</t>
  </si>
  <si>
    <t>WL016</t>
  </si>
  <si>
    <t>WL017</t>
  </si>
  <si>
    <t>WL018</t>
  </si>
  <si>
    <t>WL019</t>
  </si>
  <si>
    <t>WL020</t>
  </si>
  <si>
    <t>WL021</t>
  </si>
  <si>
    <t>WL022</t>
  </si>
  <si>
    <t>WL023</t>
  </si>
  <si>
    <t>WL024</t>
  </si>
  <si>
    <t>WL025</t>
  </si>
  <si>
    <t>WL026</t>
  </si>
  <si>
    <t>WL027</t>
  </si>
  <si>
    <t>WL028</t>
  </si>
  <si>
    <t>WL029</t>
  </si>
  <si>
    <t>WL030</t>
  </si>
  <si>
    <t>WL031</t>
  </si>
  <si>
    <t>WL032</t>
  </si>
  <si>
    <t>WL033</t>
  </si>
  <si>
    <t>WL034</t>
  </si>
  <si>
    <t>WL035</t>
  </si>
  <si>
    <t>WL036</t>
  </si>
  <si>
    <t>WL037</t>
  </si>
  <si>
    <t>WL038</t>
  </si>
  <si>
    <t>WL039</t>
  </si>
  <si>
    <t>WL040</t>
  </si>
  <si>
    <t>WL041</t>
  </si>
  <si>
    <t>WL042</t>
  </si>
  <si>
    <t>WL043</t>
  </si>
  <si>
    <t>WL044</t>
  </si>
  <si>
    <t>WL045</t>
  </si>
  <si>
    <t>WL046</t>
  </si>
  <si>
    <t>WL047</t>
  </si>
  <si>
    <t>WL048</t>
  </si>
  <si>
    <t>WL049</t>
  </si>
  <si>
    <t>WL050</t>
  </si>
  <si>
    <t>WL051</t>
  </si>
  <si>
    <t>WL052</t>
  </si>
  <si>
    <t>WL053</t>
  </si>
  <si>
    <t>WL054</t>
  </si>
  <si>
    <t>WL055</t>
  </si>
  <si>
    <t>WL056</t>
  </si>
  <si>
    <t>WL057</t>
  </si>
  <si>
    <t>WL058</t>
  </si>
  <si>
    <t>WL059</t>
  </si>
  <si>
    <t>WL060</t>
  </si>
  <si>
    <t>WL061</t>
  </si>
  <si>
    <t>WL062</t>
  </si>
  <si>
    <t>WL063</t>
  </si>
  <si>
    <t>WL064</t>
  </si>
  <si>
    <t>WL065</t>
  </si>
  <si>
    <t>WL066</t>
  </si>
  <si>
    <t>WL067</t>
  </si>
  <si>
    <t>WL068</t>
  </si>
  <si>
    <t>WL069</t>
  </si>
  <si>
    <t>WL070</t>
  </si>
  <si>
    <t>WL071</t>
  </si>
  <si>
    <t>WL072</t>
  </si>
  <si>
    <t>WL073</t>
  </si>
  <si>
    <t>WL074</t>
  </si>
  <si>
    <t>WL075</t>
  </si>
  <si>
    <t>WL076</t>
  </si>
  <si>
    <t>WL077</t>
  </si>
  <si>
    <t>WL078</t>
  </si>
  <si>
    <t>WL079</t>
  </si>
  <si>
    <t>WL080</t>
  </si>
  <si>
    <t>WL081</t>
  </si>
  <si>
    <t>WL082</t>
  </si>
  <si>
    <t>WL083</t>
  </si>
  <si>
    <t>WL084</t>
  </si>
  <si>
    <t>WL085</t>
  </si>
  <si>
    <t>WL086</t>
  </si>
  <si>
    <t>WL087</t>
  </si>
  <si>
    <t>WL088</t>
  </si>
  <si>
    <t>WL089</t>
  </si>
  <si>
    <t>WL090</t>
  </si>
  <si>
    <t>WL091</t>
  </si>
  <si>
    <t>WL092</t>
  </si>
  <si>
    <t>WL093</t>
  </si>
  <si>
    <t>WL094</t>
  </si>
  <si>
    <t>WL095</t>
  </si>
  <si>
    <t>WL096</t>
  </si>
  <si>
    <t>WL097</t>
  </si>
  <si>
    <t>WL098</t>
  </si>
  <si>
    <t>WL099</t>
  </si>
  <si>
    <t>WL100</t>
  </si>
  <si>
    <t>WL101</t>
  </si>
  <si>
    <t>WL102</t>
  </si>
  <si>
    <t>WL103</t>
  </si>
  <si>
    <t>WL104</t>
  </si>
  <si>
    <t>WL105</t>
  </si>
  <si>
    <t>WL106</t>
  </si>
  <si>
    <t>WL107</t>
  </si>
  <si>
    <t>WL108</t>
  </si>
  <si>
    <t>WL109</t>
  </si>
  <si>
    <t>WL110</t>
  </si>
  <si>
    <t>WL111</t>
  </si>
  <si>
    <t>WL112</t>
  </si>
  <si>
    <t>WL113</t>
  </si>
  <si>
    <t>WL114</t>
  </si>
  <si>
    <t>WL115</t>
  </si>
  <si>
    <t>WL116</t>
  </si>
  <si>
    <t>WL117</t>
  </si>
  <si>
    <t>WL118</t>
  </si>
  <si>
    <t>WL119</t>
  </si>
  <si>
    <t>WL120</t>
  </si>
  <si>
    <t>WL121</t>
  </si>
  <si>
    <t>WL122</t>
  </si>
  <si>
    <t>WL123</t>
  </si>
  <si>
    <t>WL124</t>
  </si>
  <si>
    <t>WL125</t>
  </si>
  <si>
    <t>WL126</t>
  </si>
  <si>
    <t>WL127</t>
  </si>
  <si>
    <t>WL128</t>
  </si>
  <si>
    <t>WL129</t>
  </si>
  <si>
    <t>WL130</t>
  </si>
  <si>
    <t>WL131</t>
  </si>
  <si>
    <t>WL132</t>
  </si>
  <si>
    <t>WL133</t>
  </si>
  <si>
    <t>WL134</t>
  </si>
  <si>
    <t>WL135</t>
  </si>
  <si>
    <t>WL136</t>
  </si>
  <si>
    <t>WL137</t>
  </si>
  <si>
    <t>WL138</t>
  </si>
  <si>
    <t>WL139</t>
  </si>
  <si>
    <t>WL140</t>
  </si>
  <si>
    <t>WL141</t>
  </si>
  <si>
    <t>WL142</t>
  </si>
  <si>
    <t>WL143</t>
  </si>
  <si>
    <t>WL144</t>
  </si>
  <si>
    <t>WL145</t>
  </si>
  <si>
    <t>WL146</t>
  </si>
  <si>
    <t>WL147</t>
  </si>
  <si>
    <t>WL148</t>
  </si>
  <si>
    <t>WL149</t>
  </si>
  <si>
    <t>WL150</t>
  </si>
  <si>
    <t>WL151</t>
  </si>
  <si>
    <t>WL152</t>
  </si>
  <si>
    <t>WL153</t>
  </si>
  <si>
    <t>WL154</t>
  </si>
  <si>
    <t>WL155</t>
  </si>
  <si>
    <t>WL156</t>
  </si>
  <si>
    <t>WL157</t>
  </si>
  <si>
    <t>WL158</t>
  </si>
  <si>
    <t>WL159</t>
  </si>
  <si>
    <t>WL160</t>
  </si>
  <si>
    <t>WL161</t>
  </si>
  <si>
    <t>WL162</t>
  </si>
  <si>
    <t>WL163</t>
  </si>
  <si>
    <t>WL164</t>
  </si>
  <si>
    <t>WL165</t>
  </si>
  <si>
    <t>WL166</t>
  </si>
  <si>
    <t>WL167</t>
  </si>
  <si>
    <t>WL168</t>
  </si>
  <si>
    <t>WL169</t>
  </si>
  <si>
    <t>WL170</t>
  </si>
  <si>
    <t>WL171</t>
  </si>
  <si>
    <t>WL172</t>
  </si>
  <si>
    <t>WL173</t>
  </si>
  <si>
    <t>WL174</t>
  </si>
  <si>
    <t>WL175</t>
  </si>
  <si>
    <t>WL176</t>
  </si>
  <si>
    <t>WL177</t>
  </si>
  <si>
    <t>WL178</t>
  </si>
  <si>
    <t>WL179</t>
  </si>
  <si>
    <t>WL180</t>
  </si>
  <si>
    <t>WL181</t>
  </si>
  <si>
    <t>WL182</t>
  </si>
  <si>
    <t>WL183</t>
  </si>
  <si>
    <t>WL184</t>
  </si>
  <si>
    <t>WL185</t>
  </si>
  <si>
    <t>WL186</t>
  </si>
  <si>
    <t>WL187</t>
  </si>
  <si>
    <t>WL188</t>
  </si>
  <si>
    <t>WL189</t>
  </si>
  <si>
    <t>WL190</t>
  </si>
  <si>
    <t>WL191</t>
  </si>
  <si>
    <t>WL192</t>
  </si>
  <si>
    <t>WL193</t>
  </si>
  <si>
    <t>WL194</t>
  </si>
  <si>
    <t>WL195</t>
  </si>
  <si>
    <t>WL196</t>
  </si>
  <si>
    <t>WL197</t>
  </si>
  <si>
    <t>WL198</t>
  </si>
  <si>
    <t>WL199</t>
  </si>
  <si>
    <t>WL200</t>
  </si>
  <si>
    <t>WL201</t>
  </si>
  <si>
    <t>WL202</t>
  </si>
  <si>
    <t>WL203</t>
  </si>
  <si>
    <t>WL204</t>
  </si>
  <si>
    <t>WL205</t>
  </si>
  <si>
    <t>WL206</t>
  </si>
  <si>
    <t>WL207</t>
  </si>
  <si>
    <t>WL208</t>
  </si>
  <si>
    <t>WL209</t>
  </si>
  <si>
    <t>WL210</t>
  </si>
  <si>
    <t>WL211</t>
  </si>
  <si>
    <t>WL212</t>
  </si>
  <si>
    <t>WL213</t>
  </si>
  <si>
    <t>WL214</t>
  </si>
  <si>
    <t>WL215</t>
  </si>
  <si>
    <t>WL216</t>
  </si>
  <si>
    <t>WL217</t>
  </si>
  <si>
    <t>WL218</t>
  </si>
  <si>
    <t>WL219</t>
  </si>
  <si>
    <t>WL220</t>
  </si>
  <si>
    <t>WL221</t>
  </si>
  <si>
    <t>WL222</t>
  </si>
  <si>
    <t>WL223</t>
  </si>
  <si>
    <t>WL224</t>
  </si>
  <si>
    <t>WL225</t>
  </si>
  <si>
    <t>WL226</t>
  </si>
  <si>
    <t>WL227</t>
  </si>
  <si>
    <t>WL228</t>
  </si>
  <si>
    <t>WL229</t>
  </si>
  <si>
    <t>WL230</t>
  </si>
  <si>
    <t>WL231</t>
  </si>
  <si>
    <t>WL232</t>
  </si>
  <si>
    <t>WL233</t>
  </si>
  <si>
    <t>WL234</t>
  </si>
  <si>
    <t>WL235</t>
  </si>
  <si>
    <t>WL236</t>
  </si>
  <si>
    <t>WL237</t>
  </si>
  <si>
    <t>WL238</t>
  </si>
  <si>
    <t>WL239</t>
  </si>
  <si>
    <t>WL240</t>
  </si>
  <si>
    <t>WL241</t>
  </si>
  <si>
    <t>WL242</t>
  </si>
  <si>
    <t>WL243</t>
  </si>
  <si>
    <t>WL244</t>
  </si>
  <si>
    <t>WL245</t>
  </si>
  <si>
    <t>WL246</t>
  </si>
  <si>
    <t>WL247</t>
  </si>
  <si>
    <t>WL248</t>
  </si>
  <si>
    <t>WL249</t>
  </si>
  <si>
    <t>WL250</t>
  </si>
  <si>
    <t>WL251</t>
  </si>
  <si>
    <t>WL252</t>
  </si>
  <si>
    <t>WL253</t>
  </si>
  <si>
    <t>WL254</t>
  </si>
  <si>
    <t>WL255</t>
  </si>
  <si>
    <t>WL256</t>
  </si>
  <si>
    <t>WL257</t>
  </si>
  <si>
    <t>WL258</t>
  </si>
  <si>
    <t>WL259</t>
  </si>
  <si>
    <t>WL260</t>
  </si>
  <si>
    <t>WL261</t>
  </si>
  <si>
    <t>WL262</t>
  </si>
  <si>
    <t>WL263</t>
  </si>
  <si>
    <t>WL264</t>
  </si>
  <si>
    <t>WL265</t>
  </si>
  <si>
    <t>WL266</t>
  </si>
  <si>
    <t>WL267</t>
  </si>
  <si>
    <t>WL268</t>
  </si>
  <si>
    <t>WL269</t>
  </si>
  <si>
    <t>WL270</t>
  </si>
  <si>
    <t>WL271</t>
  </si>
  <si>
    <t>WL272</t>
  </si>
  <si>
    <t>WL273</t>
  </si>
  <si>
    <t>WL274</t>
  </si>
  <si>
    <t>WL275</t>
  </si>
  <si>
    <t>WL276</t>
  </si>
  <si>
    <t>WL277</t>
  </si>
  <si>
    <t>WL278</t>
  </si>
  <si>
    <t>WL279</t>
  </si>
  <si>
    <t>WL280</t>
  </si>
  <si>
    <t>WL281</t>
  </si>
  <si>
    <t>WL282</t>
  </si>
  <si>
    <t>WL283</t>
  </si>
  <si>
    <t>WL284</t>
  </si>
  <si>
    <t>WL285</t>
  </si>
  <si>
    <t>WL286</t>
  </si>
  <si>
    <t>WL287</t>
  </si>
  <si>
    <t>WL288</t>
  </si>
  <si>
    <t>WL289</t>
  </si>
  <si>
    <t>WL290</t>
  </si>
  <si>
    <t>WL291</t>
  </si>
  <si>
    <t>WL292</t>
  </si>
  <si>
    <t>WL293</t>
  </si>
  <si>
    <t>WL294</t>
  </si>
  <si>
    <t>WL295</t>
  </si>
  <si>
    <t>WL296</t>
  </si>
  <si>
    <t>WL297</t>
  </si>
  <si>
    <t>WL298</t>
  </si>
  <si>
    <t>WL299</t>
  </si>
  <si>
    <t>WL300</t>
  </si>
  <si>
    <t>WL301</t>
  </si>
  <si>
    <t>WL302</t>
  </si>
  <si>
    <t>WL303</t>
  </si>
  <si>
    <t>WL304</t>
  </si>
  <si>
    <t>WL305</t>
  </si>
  <si>
    <t>WL306</t>
  </si>
  <si>
    <t>WL307</t>
  </si>
  <si>
    <t>WL308</t>
  </si>
  <si>
    <t>WL309</t>
  </si>
  <si>
    <t>WL310</t>
  </si>
  <si>
    <t>WL311</t>
  </si>
  <si>
    <t>WL312</t>
  </si>
  <si>
    <t>WL313</t>
  </si>
  <si>
    <t>WL314</t>
  </si>
  <si>
    <t>WL315</t>
  </si>
  <si>
    <t>WL316</t>
  </si>
  <si>
    <t>WL317</t>
  </si>
  <si>
    <t>WL318</t>
  </si>
  <si>
    <t>WL319</t>
  </si>
  <si>
    <t>WL320</t>
  </si>
  <si>
    <t>WL321</t>
  </si>
  <si>
    <t>WL322</t>
  </si>
  <si>
    <t>WL323</t>
  </si>
  <si>
    <t>WL324</t>
  </si>
  <si>
    <t>WL325</t>
  </si>
  <si>
    <t>WL326</t>
  </si>
  <si>
    <t>WL327</t>
  </si>
  <si>
    <t>WL328</t>
  </si>
  <si>
    <t>WL329</t>
  </si>
  <si>
    <t>WL330</t>
  </si>
  <si>
    <t>WL331</t>
  </si>
  <si>
    <t>WL332</t>
  </si>
  <si>
    <t>WL333</t>
  </si>
  <si>
    <t>WL334</t>
  </si>
  <si>
    <t>WL335</t>
  </si>
  <si>
    <t>WL336</t>
  </si>
  <si>
    <t>WL337</t>
  </si>
  <si>
    <t>WL338</t>
  </si>
  <si>
    <t>WL339</t>
  </si>
  <si>
    <t>WL340</t>
  </si>
  <si>
    <t>WL341</t>
  </si>
  <si>
    <t>WL342</t>
  </si>
  <si>
    <t>WL343</t>
  </si>
  <si>
    <t>WL344</t>
  </si>
  <si>
    <t>WL345</t>
  </si>
  <si>
    <t>WL346</t>
  </si>
  <si>
    <t>WL347</t>
  </si>
  <si>
    <t>WL348</t>
  </si>
  <si>
    <t>WL349</t>
  </si>
  <si>
    <t>WL350</t>
  </si>
  <si>
    <t>WL351</t>
  </si>
  <si>
    <t>WL352</t>
  </si>
  <si>
    <t>WL353</t>
  </si>
  <si>
    <t>WL354</t>
  </si>
  <si>
    <t>WL355</t>
  </si>
  <si>
    <t>WL356</t>
  </si>
  <si>
    <t>WL357</t>
  </si>
  <si>
    <t>WL358</t>
  </si>
  <si>
    <t>WL359</t>
  </si>
  <si>
    <t>WL360</t>
  </si>
  <si>
    <t>WL361</t>
  </si>
  <si>
    <t>WL362</t>
  </si>
  <si>
    <t>WL363</t>
  </si>
  <si>
    <t>WL364</t>
  </si>
  <si>
    <t>WL365</t>
  </si>
  <si>
    <t>WL366</t>
  </si>
  <si>
    <t>WL367</t>
  </si>
  <si>
    <t>WL368</t>
  </si>
  <si>
    <t>WL369</t>
  </si>
  <si>
    <t>WL370</t>
  </si>
  <si>
    <t>WL371</t>
  </si>
  <si>
    <t>WL372</t>
  </si>
  <si>
    <t>WL373</t>
  </si>
  <si>
    <t>WL374</t>
  </si>
  <si>
    <t>WL375</t>
  </si>
  <si>
    <t>WL376</t>
  </si>
  <si>
    <t>WL377</t>
  </si>
  <si>
    <t>WL378</t>
  </si>
  <si>
    <t>WL379</t>
  </si>
  <si>
    <t>WL380</t>
  </si>
  <si>
    <t>WL381</t>
  </si>
  <si>
    <t>WL382</t>
  </si>
  <si>
    <t>WL383</t>
  </si>
  <si>
    <t>WL384</t>
  </si>
  <si>
    <t>WL385</t>
  </si>
  <si>
    <t>WL386</t>
  </si>
  <si>
    <t>WL387</t>
  </si>
  <si>
    <t>WL388</t>
  </si>
  <si>
    <t>WL389</t>
  </si>
  <si>
    <t>WL390</t>
  </si>
  <si>
    <t>WL391</t>
  </si>
  <si>
    <t>WL392</t>
  </si>
  <si>
    <t>WL393</t>
  </si>
  <si>
    <t>WL394</t>
  </si>
  <si>
    <t>WL395</t>
  </si>
  <si>
    <t>WL396</t>
  </si>
  <si>
    <t>WL397</t>
  </si>
  <si>
    <t>WL398</t>
  </si>
  <si>
    <t>WL399</t>
  </si>
  <si>
    <t>WL400</t>
  </si>
  <si>
    <t>WL401</t>
  </si>
  <si>
    <t>WL402</t>
  </si>
  <si>
    <t>WL403</t>
  </si>
  <si>
    <t>WL404</t>
  </si>
  <si>
    <t>WL405</t>
  </si>
  <si>
    <t>WL406</t>
  </si>
  <si>
    <t>WL407</t>
  </si>
  <si>
    <t>WL408</t>
  </si>
  <si>
    <t>WL409</t>
  </si>
  <si>
    <t>WL410</t>
  </si>
  <si>
    <t>WL411</t>
  </si>
  <si>
    <t>WL412</t>
  </si>
  <si>
    <t>WL413</t>
  </si>
  <si>
    <t>WL414</t>
  </si>
  <si>
    <t>WL415</t>
  </si>
  <si>
    <t>WL416</t>
  </si>
  <si>
    <t>WL417</t>
  </si>
  <si>
    <t>WL418</t>
  </si>
  <si>
    <t>WL419</t>
  </si>
  <si>
    <t>WL420</t>
  </si>
  <si>
    <t>WL421</t>
  </si>
  <si>
    <t>WL422</t>
  </si>
  <si>
    <t>WL423</t>
  </si>
  <si>
    <t>WL424</t>
  </si>
  <si>
    <t>WL425</t>
  </si>
  <si>
    <t>WL426</t>
  </si>
  <si>
    <t>WL427</t>
  </si>
  <si>
    <t>WL428</t>
  </si>
  <si>
    <t>WL429</t>
  </si>
  <si>
    <t>WL430</t>
  </si>
  <si>
    <t>WL431</t>
  </si>
  <si>
    <t>WL432</t>
  </si>
  <si>
    <t>WL433</t>
  </si>
  <si>
    <t>WL434</t>
  </si>
  <si>
    <t>WL435</t>
  </si>
  <si>
    <t>WL436</t>
  </si>
  <si>
    <t>WL437</t>
  </si>
  <si>
    <t>WL438</t>
  </si>
  <si>
    <t>WL439</t>
  </si>
  <si>
    <t>WL440</t>
  </si>
  <si>
    <t>WL441</t>
  </si>
  <si>
    <t>WL442</t>
  </si>
  <si>
    <t>WL443</t>
  </si>
  <si>
    <t>WL444</t>
  </si>
  <si>
    <t>WL445</t>
  </si>
  <si>
    <t>WL446</t>
  </si>
  <si>
    <t>WL447</t>
  </si>
  <si>
    <t>WL448</t>
  </si>
  <si>
    <t>WL449</t>
  </si>
  <si>
    <t>WL450</t>
  </si>
  <si>
    <t>WL451</t>
  </si>
  <si>
    <t>WL452</t>
  </si>
  <si>
    <t>WL453</t>
  </si>
  <si>
    <t>WL454</t>
  </si>
  <si>
    <t>WL455</t>
  </si>
  <si>
    <t>WL456</t>
  </si>
  <si>
    <t>WL457</t>
  </si>
  <si>
    <t>WL458</t>
  </si>
  <si>
    <t>WL459</t>
  </si>
  <si>
    <t>WL460</t>
  </si>
  <si>
    <t>WL461</t>
  </si>
  <si>
    <t>WL462</t>
  </si>
  <si>
    <t>WL463</t>
  </si>
  <si>
    <t>WL464</t>
  </si>
  <si>
    <t>WL465</t>
  </si>
  <si>
    <t>WL466</t>
  </si>
  <si>
    <t>WL467</t>
  </si>
  <si>
    <t>WL468</t>
  </si>
  <si>
    <t>WL469</t>
  </si>
  <si>
    <t>WL470</t>
  </si>
  <si>
    <t>WL471</t>
  </si>
  <si>
    <t>WL472</t>
  </si>
  <si>
    <t>WL473</t>
  </si>
  <si>
    <t>WL474</t>
  </si>
  <si>
    <t>WL475</t>
  </si>
  <si>
    <t>WL476</t>
  </si>
  <si>
    <t>WL477</t>
  </si>
  <si>
    <t>WL478</t>
  </si>
  <si>
    <t>WL479</t>
  </si>
  <si>
    <t>WL480</t>
  </si>
  <si>
    <t>WL481</t>
  </si>
  <si>
    <t>WL482</t>
  </si>
  <si>
    <t>WL483</t>
  </si>
  <si>
    <t>WL484</t>
  </si>
  <si>
    <t>WL485</t>
  </si>
  <si>
    <t>WL486</t>
  </si>
  <si>
    <t>WL487</t>
  </si>
  <si>
    <t>WL488</t>
  </si>
  <si>
    <t>WL489</t>
  </si>
  <si>
    <t>WL490</t>
  </si>
  <si>
    <t>WL491</t>
  </si>
  <si>
    <t>WL492</t>
  </si>
  <si>
    <t>WL493</t>
  </si>
  <si>
    <t>WL494</t>
  </si>
  <si>
    <t>WL495</t>
  </si>
  <si>
    <t>WL496</t>
  </si>
  <si>
    <t>WL497</t>
  </si>
  <si>
    <t>WL498</t>
  </si>
  <si>
    <t>WL499</t>
  </si>
  <si>
    <t>WL500</t>
  </si>
  <si>
    <t>WL501</t>
  </si>
  <si>
    <t>WL502</t>
  </si>
  <si>
    <t>WL503</t>
  </si>
  <si>
    <t>WL504</t>
  </si>
  <si>
    <t>WL505</t>
  </si>
  <si>
    <t>WL506</t>
  </si>
  <si>
    <t>WL507</t>
  </si>
  <si>
    <t>WL508</t>
  </si>
  <si>
    <t>WL509</t>
  </si>
  <si>
    <t>WL510</t>
  </si>
  <si>
    <t>WL511</t>
  </si>
  <si>
    <t>WL512</t>
  </si>
  <si>
    <t>WL513</t>
  </si>
  <si>
    <t>WL514</t>
  </si>
  <si>
    <t>WL515</t>
  </si>
  <si>
    <t>WL516</t>
  </si>
  <si>
    <t>WL517</t>
  </si>
  <si>
    <t>WL518</t>
  </si>
  <si>
    <t>WL519</t>
  </si>
  <si>
    <t>WL520</t>
  </si>
  <si>
    <t>WL521</t>
  </si>
  <si>
    <t>WL522</t>
  </si>
  <si>
    <t>WL523</t>
  </si>
  <si>
    <t>WL524</t>
  </si>
  <si>
    <t>WL525</t>
  </si>
  <si>
    <t>WL526</t>
  </si>
  <si>
    <t>WL527</t>
  </si>
  <si>
    <t>WL528</t>
  </si>
  <si>
    <t>WL529</t>
  </si>
  <si>
    <t>WL530</t>
  </si>
  <si>
    <t>WL531</t>
  </si>
  <si>
    <t>WL532</t>
  </si>
  <si>
    <t>WL533</t>
  </si>
  <si>
    <t>WL534</t>
  </si>
  <si>
    <t>WL535</t>
  </si>
  <si>
    <t>WL536</t>
  </si>
  <si>
    <t>WL537</t>
  </si>
  <si>
    <t>WL538</t>
  </si>
  <si>
    <t>WL539</t>
  </si>
  <si>
    <t>WL540</t>
  </si>
  <si>
    <t>WL541</t>
  </si>
  <si>
    <t>WL542</t>
  </si>
  <si>
    <t>WL543</t>
  </si>
  <si>
    <t>WL544</t>
  </si>
  <si>
    <t>WL545</t>
  </si>
  <si>
    <t>WL546</t>
  </si>
  <si>
    <t>WL547</t>
  </si>
  <si>
    <t>WL548</t>
  </si>
  <si>
    <t>WL549</t>
  </si>
  <si>
    <t>WL550</t>
  </si>
  <si>
    <t>WL551</t>
  </si>
  <si>
    <t>WL552</t>
  </si>
  <si>
    <t>WL553</t>
  </si>
  <si>
    <t>WL554</t>
  </si>
  <si>
    <t>WL555</t>
  </si>
  <si>
    <t>WL556</t>
  </si>
  <si>
    <t>WL557</t>
  </si>
  <si>
    <t>WL558</t>
  </si>
  <si>
    <t>WL559</t>
  </si>
  <si>
    <t>WL560</t>
  </si>
  <si>
    <t>WL561</t>
  </si>
  <si>
    <t>WL562</t>
  </si>
  <si>
    <t>WL563</t>
  </si>
  <si>
    <t>WL564</t>
  </si>
  <si>
    <t>WL565</t>
  </si>
  <si>
    <t>WL566</t>
  </si>
  <si>
    <t>WL567</t>
  </si>
  <si>
    <t>WL568</t>
  </si>
  <si>
    <t>WL569</t>
  </si>
  <si>
    <t>WL570</t>
  </si>
  <si>
    <t>WL571</t>
  </si>
  <si>
    <t>WL572</t>
  </si>
  <si>
    <t>WL573</t>
  </si>
  <si>
    <t>WL574</t>
  </si>
  <si>
    <t>邮箱</t>
    <phoneticPr fontId="3" type="noConversion"/>
  </si>
  <si>
    <t>2318855130@qq.com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</si>
</sst>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&quot;WL&quot;000"/>
    <numFmt numFmtId="177" formatCode="#,##0.00_);[Red]\(#,##0.00\)"/>
  </numFmts>
  <fonts count="19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Tahoma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b/>
      <sz val="11"/>
      <color theme="0"/>
      <name val="微软雅黑"/>
      <family val="2"/>
      <charset val="134"/>
    </font>
    <font>
      <sz val="11"/>
      <color theme="9" tint="0.79998168889431442"/>
      <name val="等线"/>
      <family val="2"/>
      <scheme val="minor"/>
    </font>
    <font>
      <sz val="1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2D374B"/>
      <name val="微软雅黑"/>
      <family val="2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</cellStyleXfs>
  <cellXfs count="67">
    <xf numFmtId="0" fontId="0" fillId="0" borderId="0" xfId="0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9" fontId="0" fillId="0" borderId="0" xfId="2" applyFont="1" applyAlignme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0" xfId="0" applyFont="1" applyFill="1"/>
    <xf numFmtId="0" fontId="2" fillId="0" borderId="5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3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7" borderId="0" xfId="0" applyFill="1"/>
    <xf numFmtId="0" fontId="9" fillId="3" borderId="0" xfId="0" applyFont="1" applyFill="1" applyBorder="1" applyAlignment="1">
      <alignment horizontal="center" vertical="center"/>
    </xf>
    <xf numFmtId="9" fontId="9" fillId="3" borderId="0" xfId="2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9" fillId="0" borderId="0" xfId="2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1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 shrinkToFit="1"/>
    </xf>
    <xf numFmtId="176" fontId="2" fillId="0" borderId="0" xfId="0" applyNumberFormat="1" applyFont="1" applyFill="1" applyBorder="1" applyAlignment="1">
      <alignment horizontal="center" vertical="center" shrinkToFit="1"/>
    </xf>
    <xf numFmtId="176" fontId="2" fillId="0" borderId="0" xfId="0" applyNumberFormat="1" applyFont="1" applyFill="1" applyAlignment="1">
      <alignment horizontal="center" vertical="center" shrinkToFit="1"/>
    </xf>
    <xf numFmtId="0" fontId="11" fillId="9" borderId="5" xfId="0" applyFont="1" applyFill="1" applyBorder="1" applyAlignment="1">
      <alignment horizontal="center" vertical="center" wrapText="1"/>
    </xf>
    <xf numFmtId="9" fontId="11" fillId="9" borderId="5" xfId="0" applyNumberFormat="1" applyFont="1" applyFill="1" applyBorder="1" applyAlignment="1">
      <alignment horizontal="center" vertical="center" wrapText="1"/>
    </xf>
    <xf numFmtId="10" fontId="11" fillId="9" borderId="5" xfId="0" applyNumberFormat="1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 vertical="center" wrapText="1"/>
    </xf>
    <xf numFmtId="9" fontId="11" fillId="8" borderId="5" xfId="0" applyNumberFormat="1" applyFont="1" applyFill="1" applyBorder="1" applyAlignment="1">
      <alignment horizontal="center" vertical="center" wrapText="1"/>
    </xf>
    <xf numFmtId="10" fontId="11" fillId="8" borderId="5" xfId="0" applyNumberFormat="1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9" fontId="11" fillId="10" borderId="5" xfId="0" applyNumberFormat="1" applyFont="1" applyFill="1" applyBorder="1" applyAlignment="1">
      <alignment horizontal="center" vertical="center" wrapText="1"/>
    </xf>
    <xf numFmtId="10" fontId="11" fillId="10" borderId="5" xfId="0" applyNumberFormat="1" applyFont="1" applyFill="1" applyBorder="1" applyAlignment="1">
      <alignment horizontal="center" vertical="center" wrapText="1"/>
    </xf>
    <xf numFmtId="43" fontId="1" fillId="0" borderId="0" xfId="3" applyFont="1" applyFill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77" fontId="14" fillId="0" borderId="5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11" borderId="5" xfId="0" applyFont="1" applyFill="1" applyBorder="1" applyAlignment="1">
      <alignment horizontal="center"/>
    </xf>
    <xf numFmtId="43" fontId="1" fillId="8" borderId="0" xfId="3" applyNumberFormat="1" applyFont="1" applyFill="1" applyAlignment="1">
      <alignment horizontal="center" vertical="center"/>
    </xf>
    <xf numFmtId="43" fontId="1" fillId="0" borderId="0" xfId="3" applyNumberFormat="1" applyFont="1" applyFill="1" applyAlignment="1">
      <alignment horizontal="center" vertical="center"/>
    </xf>
    <xf numFmtId="43" fontId="1" fillId="8" borderId="0" xfId="3" applyFont="1" applyFill="1" applyAlignment="1">
      <alignment horizontal="center" vertical="center"/>
    </xf>
    <xf numFmtId="9" fontId="1" fillId="0" borderId="0" xfId="2" applyFont="1" applyFill="1" applyAlignment="1">
      <alignment horizontal="right" vertical="center"/>
    </xf>
    <xf numFmtId="0" fontId="18" fillId="0" borderId="0" xfId="4" applyNumberFormat="1" applyFill="1" applyAlignment="1">
      <alignment horizontal="center" vertical="center"/>
    </xf>
    <xf numFmtId="10" fontId="1" fillId="0" borderId="0" xfId="2" applyNumberFormat="1" applyFont="1" applyFill="1" applyAlignment="1">
      <alignment horizontal="right" vertical="center"/>
    </xf>
  </cellXfs>
  <cellStyles count="5">
    <cellStyle name="百分比" xfId="2" builtinId="5"/>
    <cellStyle name="常规" xfId="0" builtinId="0"/>
    <cellStyle name="常规 2" xfId="1"/>
    <cellStyle name="超链接" xfId="4" builtinId="8"/>
    <cellStyle name="千位分隔" xfId="3" builtinId="3"/>
  </cellStyles>
  <dxfs count="1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35" formatCode="_ * #,##0.00_ ;_ * \-#,##0.00_ ;_ * &quot;-&quot;??_ ;_ @_ 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35" formatCode="_ * #,##0.00_ ;_ * \-#,##0.00_ ;_ * &quot;-&quot;??_ ;_ @_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35" formatCode="_ * #,##0.00_ ;_ * \-#,##0.00_ ;_ * &quot;-&quot;??_ ;_ @_ 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35" formatCode="_ * #,##0.00_ ;_ * \-#,##0.00_ ;_ * &quot;-&quot;??_ ;_ @_ 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176" formatCode="&quot;WL&quot;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176" formatCode="&quot;WL&quot;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176" formatCode="&quot;WL&quot;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176" formatCode="&quot;WL&quot;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_11" displayName="表1_11" ref="A1:AD575" totalsRowShown="0" headerRowDxfId="63" dataDxfId="62">
  <autoFilter ref="A1:AD575"/>
  <tableColumns count="30">
    <tableColumn id="1" name="中心" dataDxfId="61"/>
    <tableColumn id="6" name="部门" dataDxfId="60"/>
    <tableColumn id="9" name="职位" dataDxfId="59"/>
    <tableColumn id="8" name="职务" dataDxfId="58"/>
    <tableColumn id="4" name="员工编号" dataDxfId="57"/>
    <tableColumn id="2" name="姓名" dataDxfId="56"/>
    <tableColumn id="11" name="入职日期" dataDxfId="55"/>
    <tableColumn id="10" name="工资等级" dataDxfId="54"/>
    <tableColumn id="13" name="岗位工资" dataDxfId="53">
      <calculatedColumnFormula>VLOOKUP(MID(表1_11[[#This Row],[工资等级]],1,1),表12[],MATCH(MID(表1_11[[#This Row],[工资等级]],2,2),表12[[#Headers],[1]:[10]],0)+1,0)</calculatedColumnFormula>
    </tableColumn>
    <tableColumn id="25" name="实际出勤天数" dataDxfId="52"/>
    <tableColumn id="27" name="出勤率" dataDxfId="51"/>
    <tableColumn id="28" name="基本工资" dataDxfId="50">
      <calculatedColumnFormula>IF(表1_11[[#This Row],[出勤率]]&gt;1,1,表1_11[[#This Row],[出勤率]])*表1_11[[#This Row],[岗位工资]]</calculatedColumnFormula>
    </tableColumn>
    <tableColumn id="12" name="奖金等级" dataDxfId="49">
      <calculatedColumnFormula>LOOKUP(表1_11[[#This Row],[岗位工资]],表13[lookup],表13[奖金比率])*表1_11[[#This Row],[岗位工资]]</calculatedColumnFormula>
    </tableColumn>
    <tableColumn id="29" name="绩效得分" dataDxfId="48"/>
    <tableColumn id="30" name="奖金" dataDxfId="47">
      <calculatedColumnFormula>表1_11[[#This Row],[奖金等级]]*表1_11[[#This Row],[绩效得分]]/100</calculatedColumnFormula>
    </tableColumn>
    <tableColumn id="26" name="全勤奖" dataDxfId="46">
      <calculatedColumnFormula>IF(表1_11[[#This Row],[出勤率]]&gt;=1,200,0)</calculatedColumnFormula>
    </tableColumn>
    <tableColumn id="3" name="工龄工资" dataDxfId="45">
      <calculatedColumnFormula>IF(工龄&gt;=10,500,工龄*50)</calculatedColumnFormula>
    </tableColumn>
    <tableColumn id="5" name="话费补贴" dataDxfId="44">
      <calculatedColumnFormula>IF(表1_11[[#This Row],[中心]]="营销中心",VLOOKUP(表1_11[[#This Row],[职位]],表2[[话费补贴]:[营销中心]],2,0),VLOOKUP(表1_11[[#This Row],[职位]],表2[],3,0))</calculatedColumnFormula>
    </tableColumn>
    <tableColumn id="7" name="防暑降温补贴" dataDxfId="43"/>
    <tableColumn id="14" name="税前应发总额" dataDxfId="42" dataCellStyle="千位分隔">
      <calculatedColumnFormula>ROUND(SUM(表1_11[[#This Row],[基本工资]],表1_11[[#This Row],[奖金]],表1_11[[#This Row],[全勤奖]:[防暑降温补贴]]),2)</calculatedColumnFormula>
    </tableColumn>
    <tableColumn id="15" name="养老保险" dataDxfId="41" dataCellStyle="千位分隔">
      <calculatedColumnFormula>ROUND(表1_11[[#This Row],[税前应发总额]]*8%,2)</calculatedColumnFormula>
    </tableColumn>
    <tableColumn id="16" name="医疗保险" dataDxfId="40" dataCellStyle="千位分隔">
      <calculatedColumnFormula>ROUND(表1_11[[#This Row],[税前应发总额]]*2%+3,2)</calculatedColumnFormula>
    </tableColumn>
    <tableColumn id="31" name="失业保险" dataDxfId="39" dataCellStyle="千位分隔">
      <calculatedColumnFormula>ROUND(表1_11[[#This Row],[税前应发总额]]*0.2%,2)</calculatedColumnFormula>
    </tableColumn>
    <tableColumn id="17" name="公积金" dataDxfId="38" dataCellStyle="千位分隔">
      <calculatedColumnFormula>ROUND(表1_11[[#This Row],[税前应发总额]]*12%,2)</calculatedColumnFormula>
    </tableColumn>
    <tableColumn id="32" name="扣保险后工资金额" dataDxfId="37" dataCellStyle="千位分隔">
      <calculatedColumnFormula>ROUND(表1_11[[#This Row],[税前应发总额]]-SUM(表1_11[[#This Row],[养老保险]:[公积金]]),2)</calculatedColumnFormula>
    </tableColumn>
    <tableColumn id="33" name="个人所得税" dataDxfId="36" dataCellStyle="千位分隔">
      <calculatedColumnFormula>ROUND(MAX((表1_11[[#This Row],[扣保险后工资金额]]-3500)*{3,10,20,25,30,35,45}%-{0,105,555,1005,2755,5505,13505},0),2)</calculatedColumnFormula>
    </tableColumn>
    <tableColumn id="19" name="实发工资" dataDxfId="35" dataCellStyle="千位分隔">
      <calculatedColumnFormula>表1_11[[#This Row],[扣保险后工资金额]]-表1_11[[#This Row],[个人所得税]]</calculatedColumnFormula>
    </tableColumn>
    <tableColumn id="22" name="上月对比" dataDxfId="34" dataCellStyle="千位分隔"/>
    <tableColumn id="23" name="增幅" dataDxfId="33" dataCellStyle="百分比">
      <calculatedColumnFormula>(表1_11[[#This Row],[实发工资]]-表1_11[[#This Row],[上月对比]])/表1_11[[#This Row],[上月对比]]</calculatedColumnFormula>
    </tableColumn>
    <tableColumn id="24" name="邮箱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表12" displayName="表12" ref="D1:N5" totalsRowShown="0" headerRowDxfId="27" dataDxfId="25" headerRowBorderDxfId="26" tableBorderDxfId="24" totalsRowBorderDxfId="23">
  <autoFilter ref="D1:N5"/>
  <tableColumns count="11">
    <tableColumn id="1" name="级别" dataDxfId="22"/>
    <tableColumn id="2" name="1" dataDxfId="21"/>
    <tableColumn id="3" name="2" dataDxfId="20"/>
    <tableColumn id="4" name="3" dataDxfId="19"/>
    <tableColumn id="5" name="4" dataDxfId="18"/>
    <tableColumn id="6" name="5" dataDxfId="17"/>
    <tableColumn id="7" name="6" dataDxfId="16"/>
    <tableColumn id="8" name="7" dataDxfId="15"/>
    <tableColumn id="9" name="8" dataDxfId="14"/>
    <tableColumn id="10" name="9" dataDxfId="13"/>
    <tableColumn id="11" name="10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" name="表13" displayName="表13" ref="A7:C38" totalsRowShown="0" headerRowDxfId="11" dataDxfId="10">
  <autoFilter ref="A7:C38"/>
  <sortState ref="A8:C38">
    <sortCondition ref="A7:A38"/>
  </sortState>
  <tableColumns count="3">
    <tableColumn id="1" name="岗位工资" dataDxfId="9"/>
    <tableColumn id="2" name="lookup" dataDxfId="8">
      <calculatedColumnFormula>A7</calculatedColumnFormula>
    </tableColumn>
    <tableColumn id="3" name="奖金比率" dataDxfId="7" dataCellStyle="百分比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表2" displayName="表2" ref="E7:G11" totalsRowShown="0" headerRowDxfId="6" headerRowBorderDxfId="5" tableBorderDxfId="4" totalsRowBorderDxfId="3">
  <tableColumns count="3">
    <tableColumn id="1" name="话费补贴" dataDxfId="2"/>
    <tableColumn id="2" name="营销中心" dataDxfId="1"/>
    <tableColumn id="3" name="非营销中心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2318855130@qq.com" TargetMode="External"/><Relationship Id="rId1" Type="http://schemas.openxmlformats.org/officeDocument/2006/relationships/hyperlink" Target="mailto:2318855130@qq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575"/>
  <sheetViews>
    <sheetView tabSelected="1" workbookViewId="0">
      <pane xSplit="6" ySplit="1" topLeftCell="V2" activePane="bottomRight" state="frozen"/>
      <selection pane="topRight" activeCell="G1" sqref="G1"/>
      <selection pane="bottomLeft" activeCell="A3" sqref="A3"/>
      <selection pane="bottomRight" activeCell="AC2" sqref="AC2:AC18"/>
    </sheetView>
  </sheetViews>
  <sheetFormatPr defaultRowHeight="16.5"/>
  <cols>
    <col min="1" max="1" width="9" style="2" customWidth="1"/>
    <col min="2" max="2" width="6.25" style="2" customWidth="1"/>
    <col min="3" max="3" width="5.25" style="2" customWidth="1"/>
    <col min="4" max="4" width="8" style="2" customWidth="1"/>
    <col min="5" max="5" width="7.125" style="2" customWidth="1"/>
    <col min="6" max="6" width="8.125" style="2" customWidth="1"/>
    <col min="7" max="7" width="10.625" style="26" customWidth="1"/>
    <col min="8" max="8" width="9.375" style="2" customWidth="1"/>
    <col min="9" max="9" width="13.25" style="2" customWidth="1"/>
    <col min="10" max="10" width="7.875" style="2" customWidth="1"/>
    <col min="11" max="12" width="7.625" style="2" customWidth="1"/>
    <col min="13" max="13" width="8.75" style="2" bestFit="1" customWidth="1"/>
    <col min="14" max="15" width="8.75" style="2" customWidth="1"/>
    <col min="16" max="16" width="8.75" style="2" bestFit="1" customWidth="1"/>
    <col min="19" max="19" width="8.75" customWidth="1"/>
    <col min="20" max="24" width="14.125" customWidth="1"/>
    <col min="25" max="26" width="11.875" customWidth="1"/>
    <col min="27" max="27" width="11" customWidth="1"/>
    <col min="28" max="28" width="10.25" bestFit="1" customWidth="1"/>
    <col min="29" max="29" width="9.625" bestFit="1" customWidth="1"/>
    <col min="30" max="30" width="20.5" bestFit="1" customWidth="1"/>
  </cols>
  <sheetData>
    <row r="1" spans="1:30" ht="32.25" customHeight="1">
      <c r="A1" s="1" t="s">
        <v>569</v>
      </c>
      <c r="B1" s="1" t="s">
        <v>582</v>
      </c>
      <c r="C1" s="1" t="s">
        <v>580</v>
      </c>
      <c r="D1" s="1" t="s">
        <v>583</v>
      </c>
      <c r="E1" s="36" t="s">
        <v>584</v>
      </c>
      <c r="F1" s="1" t="s">
        <v>585</v>
      </c>
      <c r="G1" s="24" t="s">
        <v>942</v>
      </c>
      <c r="H1" s="1" t="s">
        <v>586</v>
      </c>
      <c r="I1" s="1" t="s">
        <v>587</v>
      </c>
      <c r="J1" s="36" t="s">
        <v>949</v>
      </c>
      <c r="K1" s="1" t="s">
        <v>950</v>
      </c>
      <c r="L1" s="36" t="s">
        <v>958</v>
      </c>
      <c r="M1" s="1" t="s">
        <v>1010</v>
      </c>
      <c r="N1" s="1" t="s">
        <v>959</v>
      </c>
      <c r="O1" s="1" t="s">
        <v>1011</v>
      </c>
      <c r="P1" s="1" t="s">
        <v>951</v>
      </c>
      <c r="Q1" s="2" t="s">
        <v>943</v>
      </c>
      <c r="R1" s="2" t="s">
        <v>940</v>
      </c>
      <c r="S1" s="39" t="s">
        <v>941</v>
      </c>
      <c r="T1" s="2" t="s">
        <v>944</v>
      </c>
      <c r="U1" s="2" t="s">
        <v>998</v>
      </c>
      <c r="V1" s="2" t="s">
        <v>999</v>
      </c>
      <c r="W1" s="2" t="s">
        <v>1000</v>
      </c>
      <c r="X1" s="2" t="s">
        <v>945</v>
      </c>
      <c r="Y1" s="39" t="s">
        <v>1008</v>
      </c>
      <c r="Z1" s="39" t="s">
        <v>1009</v>
      </c>
      <c r="AA1" s="2" t="s">
        <v>946</v>
      </c>
      <c r="AB1" s="2" t="s">
        <v>947</v>
      </c>
      <c r="AC1" s="2" t="s">
        <v>948</v>
      </c>
      <c r="AD1" s="2" t="s">
        <v>1586</v>
      </c>
    </row>
    <row r="2" spans="1:30">
      <c r="A2" s="40" t="s">
        <v>570</v>
      </c>
      <c r="B2" s="40" t="s">
        <v>571</v>
      </c>
      <c r="C2" s="40" t="s">
        <v>588</v>
      </c>
      <c r="D2" s="40" t="s">
        <v>581</v>
      </c>
      <c r="E2" s="41" t="s">
        <v>1012</v>
      </c>
      <c r="F2" s="5" t="s">
        <v>590</v>
      </c>
      <c r="G2" s="25">
        <v>39405</v>
      </c>
      <c r="H2" s="5" t="s">
        <v>591</v>
      </c>
      <c r="I2" s="5">
        <f>VLOOKUP(MID(表1_11[[#This Row],[工资等级]],1,1),表12[],MATCH(MID(表1_11[[#This Row],[工资等级]],2,2),表12[[#Headers],[1]:[10]],0)+1,0)</f>
        <v>10000</v>
      </c>
      <c r="J2" s="5">
        <v>25</v>
      </c>
      <c r="K2" s="27">
        <v>1.0416666666666667</v>
      </c>
      <c r="L2" s="37">
        <f>IF(表1_11[[#This Row],[出勤率]]&gt;1,1,表1_11[[#This Row],[出勤率]])*表1_11[[#This Row],[岗位工资]]</f>
        <v>10000</v>
      </c>
      <c r="M2" s="5">
        <f>LOOKUP(表1_11[[#This Row],[岗位工资]],表13[lookup],表13[奖金比率])*表1_11[[#This Row],[岗位工资]]</f>
        <v>2500</v>
      </c>
      <c r="N2" s="5">
        <v>84</v>
      </c>
      <c r="O2" s="38">
        <f>表1_11[[#This Row],[奖金等级]]*表1_11[[#This Row],[绩效得分]]/100</f>
        <v>2100</v>
      </c>
      <c r="P2" s="5">
        <f>IF(表1_11[[#This Row],[出勤率]]&gt;=1,200,0)</f>
        <v>200</v>
      </c>
      <c r="Q2" s="23">
        <f t="shared" ref="Q2:Q65" ca="1" si="0">IF(工龄&gt;=10,500,工龄*50)</f>
        <v>500</v>
      </c>
      <c r="R2" s="23">
        <f>IF(表1_11[[#This Row],[中心]]="营销中心",VLOOKUP(表1_11[[#This Row],[职位]],表2[[话费补贴]:[营销中心]],2,0),VLOOKUP(表1_11[[#This Row],[职位]],表2[],3,0))</f>
        <v>800</v>
      </c>
      <c r="S2" s="23">
        <v>200</v>
      </c>
      <c r="T2" s="61">
        <f ca="1">ROUND(SUM(表1_11[[#This Row],[基本工资]],表1_11[[#This Row],[奖金]],表1_11[[#This Row],[全勤奖]:[防暑降温补贴]]),2)</f>
        <v>13800</v>
      </c>
      <c r="U2" s="62">
        <f ca="1">ROUND(表1_11[[#This Row],[税前应发总额]]*8%,2)</f>
        <v>1104</v>
      </c>
      <c r="V2" s="62">
        <f ca="1">ROUND(表1_11[[#This Row],[税前应发总额]]*2%+3,2)</f>
        <v>279</v>
      </c>
      <c r="W2" s="62">
        <f ca="1">ROUND(表1_11[[#This Row],[税前应发总额]]*0.2%,2)</f>
        <v>27.6</v>
      </c>
      <c r="X2" s="62">
        <f ca="1">ROUND(表1_11[[#This Row],[税前应发总额]]*12%,2)</f>
        <v>1656</v>
      </c>
      <c r="Y2" s="61">
        <f ca="1">ROUND(表1_11[[#This Row],[税前应发总额]]-SUM(表1_11[[#This Row],[养老保险]:[公积金]]),2)</f>
        <v>10733.4</v>
      </c>
      <c r="Z2" s="62">
        <f ca="1">ROUND(MAX((表1_11[[#This Row],[扣保险后工资金额]]-3500)*{3,10,20,25,30,35,45}%-{0,105,555,1005,2755,5505,13505},0),2)</f>
        <v>891.68</v>
      </c>
      <c r="AA2" s="63">
        <f ca="1">表1_11[[#This Row],[扣保险后工资金额]]-表1_11[[#This Row],[个人所得税]]</f>
        <v>9841.7199999999993</v>
      </c>
      <c r="AB2" s="53">
        <v>9246.16</v>
      </c>
      <c r="AC2" s="66">
        <f ca="1">(表1_11[[#This Row],[实发工资]]-表1_11[[#This Row],[上月对比]])/表1_11[[#This Row],[上月对比]]</f>
        <v>6.4411604384955426E-2</v>
      </c>
      <c r="AD2" s="65" t="s">
        <v>1587</v>
      </c>
    </row>
    <row r="3" spans="1:30">
      <c r="A3" s="42" t="s">
        <v>575</v>
      </c>
      <c r="B3" s="40" t="s">
        <v>571</v>
      </c>
      <c r="C3" s="40" t="s">
        <v>588</v>
      </c>
      <c r="D3" s="40" t="s">
        <v>589</v>
      </c>
      <c r="E3" s="41" t="s">
        <v>1013</v>
      </c>
      <c r="F3" s="5" t="s">
        <v>594</v>
      </c>
      <c r="G3" s="25">
        <v>40848</v>
      </c>
      <c r="H3" s="5" t="s">
        <v>595</v>
      </c>
      <c r="I3" s="5">
        <f>VLOOKUP(MID(表1_11[[#This Row],[工资等级]],1,1),表12[],MATCH(MID(表1_11[[#This Row],[工资等级]],2,2),表12[[#Headers],[1]:[10]],0)+1,0)</f>
        <v>9000</v>
      </c>
      <c r="J3" s="5">
        <v>25</v>
      </c>
      <c r="K3" s="27">
        <v>1.0416666666666667</v>
      </c>
      <c r="L3" s="37">
        <f>IF(表1_11[[#This Row],[出勤率]]&gt;1,1,表1_11[[#This Row],[出勤率]])*表1_11[[#This Row],[岗位工资]]</f>
        <v>9000</v>
      </c>
      <c r="M3" s="5">
        <f>LOOKUP(表1_11[[#This Row],[岗位工资]],表13[lookup],表13[奖金比率])*表1_11[[#This Row],[岗位工资]]</f>
        <v>2250</v>
      </c>
      <c r="N3" s="5">
        <v>98</v>
      </c>
      <c r="O3" s="38">
        <f>表1_11[[#This Row],[奖金等级]]*表1_11[[#This Row],[绩效得分]]/100</f>
        <v>2205</v>
      </c>
      <c r="P3" s="5">
        <f>IF(表1_11[[#This Row],[出勤率]]&gt;=1,200,0)</f>
        <v>200</v>
      </c>
      <c r="Q3" s="23">
        <f t="shared" ca="1" si="0"/>
        <v>300</v>
      </c>
      <c r="R3" s="23">
        <f>IF(表1_11[[#This Row],[中心]]="营销中心",VLOOKUP(表1_11[[#This Row],[职位]],表2[[话费补贴]:[营销中心]],2,0),VLOOKUP(表1_11[[#This Row],[职位]],表2[],3,0))</f>
        <v>800</v>
      </c>
      <c r="S3" s="23">
        <v>200</v>
      </c>
      <c r="T3" s="61">
        <f ca="1">ROUND(SUM(表1_11[[#This Row],[基本工资]],表1_11[[#This Row],[奖金]],表1_11[[#This Row],[全勤奖]:[防暑降温补贴]]),2)</f>
        <v>12705</v>
      </c>
      <c r="U3" s="62">
        <f ca="1">ROUND(表1_11[[#This Row],[税前应发总额]]*8%,2)</f>
        <v>1016.4</v>
      </c>
      <c r="V3" s="62">
        <f ca="1">ROUND(表1_11[[#This Row],[税前应发总额]]*2%+3,2)</f>
        <v>257.10000000000002</v>
      </c>
      <c r="W3" s="62">
        <f ca="1">ROUND(表1_11[[#This Row],[税前应发总额]]*0.2%,2)</f>
        <v>25.41</v>
      </c>
      <c r="X3" s="62">
        <f ca="1">ROUND(表1_11[[#This Row],[税前应发总额]]*12%,2)</f>
        <v>1524.6</v>
      </c>
      <c r="Y3" s="61">
        <f ca="1">ROUND(表1_11[[#This Row],[税前应发总额]]-SUM(表1_11[[#This Row],[养老保险]:[公积金]]),2)</f>
        <v>9881.49</v>
      </c>
      <c r="Z3" s="62">
        <f ca="1">ROUND(MAX((表1_11[[#This Row],[扣保险后工资金额]]-3500)*{3,10,20,25,30,35,45}%-{0,105,555,1005,2755,5505,13505},0),2)</f>
        <v>721.3</v>
      </c>
      <c r="AA3" s="63">
        <f ca="1">表1_11[[#This Row],[扣保险后工资金额]]-表1_11[[#This Row],[个人所得税]]</f>
        <v>9160.19</v>
      </c>
      <c r="AB3" s="53">
        <v>9508.7900000000009</v>
      </c>
      <c r="AC3" s="66">
        <f ca="1">(表1_11[[#This Row],[实发工资]]-表1_11[[#This Row],[上月对比]])/表1_11[[#This Row],[上月对比]]</f>
        <v>-3.6660815939777859E-2</v>
      </c>
      <c r="AD3" s="65" t="s">
        <v>1587</v>
      </c>
    </row>
    <row r="4" spans="1:30">
      <c r="A4" s="42" t="s">
        <v>575</v>
      </c>
      <c r="B4" s="40" t="s">
        <v>571</v>
      </c>
      <c r="C4" s="40" t="s">
        <v>588</v>
      </c>
      <c r="D4" s="40" t="s">
        <v>593</v>
      </c>
      <c r="E4" s="41" t="s">
        <v>1014</v>
      </c>
      <c r="F4" s="5" t="s">
        <v>0</v>
      </c>
      <c r="G4" s="25">
        <v>38383</v>
      </c>
      <c r="H4" s="5" t="s">
        <v>598</v>
      </c>
      <c r="I4" s="5">
        <f>VLOOKUP(MID(表1_11[[#This Row],[工资等级]],1,1),表12[],MATCH(MID(表1_11[[#This Row],[工资等级]],2,2),表12[[#Headers],[1]:[10]],0)+1,0)</f>
        <v>8500</v>
      </c>
      <c r="J4" s="5">
        <v>27.5</v>
      </c>
      <c r="K4" s="27">
        <v>1.1458333333333333</v>
      </c>
      <c r="L4" s="37">
        <f>IF(表1_11[[#This Row],[出勤率]]&gt;1,1,表1_11[[#This Row],[出勤率]])*表1_11[[#This Row],[岗位工资]]</f>
        <v>8500</v>
      </c>
      <c r="M4" s="5">
        <f>LOOKUP(表1_11[[#This Row],[岗位工资]],表13[lookup],表13[奖金比率])*表1_11[[#This Row],[岗位工资]]</f>
        <v>1700</v>
      </c>
      <c r="N4" s="5">
        <v>96</v>
      </c>
      <c r="O4" s="38">
        <f>表1_11[[#This Row],[奖金等级]]*表1_11[[#This Row],[绩效得分]]/100</f>
        <v>1632</v>
      </c>
      <c r="P4" s="5">
        <f>IF(表1_11[[#This Row],[出勤率]]&gt;=1,200,0)</f>
        <v>200</v>
      </c>
      <c r="Q4" s="23">
        <f t="shared" ca="1" si="0"/>
        <v>500</v>
      </c>
      <c r="R4" s="23">
        <f>IF(表1_11[[#This Row],[中心]]="营销中心",VLOOKUP(表1_11[[#This Row],[职位]],表2[[话费补贴]:[营销中心]],2,0),VLOOKUP(表1_11[[#This Row],[职位]],表2[],3,0))</f>
        <v>800</v>
      </c>
      <c r="S4" s="23">
        <v>200</v>
      </c>
      <c r="T4" s="61">
        <f ca="1">ROUND(SUM(表1_11[[#This Row],[基本工资]],表1_11[[#This Row],[奖金]],表1_11[[#This Row],[全勤奖]:[防暑降温补贴]]),2)</f>
        <v>11832</v>
      </c>
      <c r="U4" s="62">
        <f ca="1">ROUND(表1_11[[#This Row],[税前应发总额]]*8%,2)</f>
        <v>946.56</v>
      </c>
      <c r="V4" s="62">
        <f ca="1">ROUND(表1_11[[#This Row],[税前应发总额]]*2%+3,2)</f>
        <v>239.64</v>
      </c>
      <c r="W4" s="62">
        <f ca="1">ROUND(表1_11[[#This Row],[税前应发总额]]*0.2%,2)</f>
        <v>23.66</v>
      </c>
      <c r="X4" s="62">
        <f ca="1">ROUND(表1_11[[#This Row],[税前应发总额]]*12%,2)</f>
        <v>1419.84</v>
      </c>
      <c r="Y4" s="61">
        <f ca="1">ROUND(表1_11[[#This Row],[税前应发总额]]-SUM(表1_11[[#This Row],[养老保险]:[公积金]]),2)</f>
        <v>9202.2999999999993</v>
      </c>
      <c r="Z4" s="62">
        <f ca="1">ROUND(MAX((表1_11[[#This Row],[扣保险后工资金额]]-3500)*{3,10,20,25,30,35,45}%-{0,105,555,1005,2755,5505,13505},0),2)</f>
        <v>585.46</v>
      </c>
      <c r="AA4" s="63">
        <f ca="1">表1_11[[#This Row],[扣保险后工资金额]]-表1_11[[#This Row],[个人所得税]]</f>
        <v>8616.84</v>
      </c>
      <c r="AB4" s="53">
        <v>7413.8</v>
      </c>
      <c r="AC4" s="66">
        <f ca="1">(表1_11[[#This Row],[实发工资]]-表1_11[[#This Row],[上月对比]])/表1_11[[#This Row],[上月对比]]</f>
        <v>0.16227036067873424</v>
      </c>
      <c r="AD4" s="65" t="s">
        <v>1587</v>
      </c>
    </row>
    <row r="5" spans="1:30">
      <c r="A5" s="42" t="s">
        <v>575</v>
      </c>
      <c r="B5" s="40" t="s">
        <v>571</v>
      </c>
      <c r="C5" s="40" t="s">
        <v>592</v>
      </c>
      <c r="D5" s="40" t="s">
        <v>597</v>
      </c>
      <c r="E5" s="41" t="s">
        <v>1015</v>
      </c>
      <c r="F5" s="5" t="s">
        <v>1</v>
      </c>
      <c r="G5" s="25">
        <v>41069</v>
      </c>
      <c r="H5" s="5" t="s">
        <v>600</v>
      </c>
      <c r="I5" s="5">
        <f>VLOOKUP(MID(表1_11[[#This Row],[工资等级]],1,1),表12[],MATCH(MID(表1_11[[#This Row],[工资等级]],2,2),表12[[#Headers],[1]:[10]],0)+1,0)</f>
        <v>7000</v>
      </c>
      <c r="J5" s="5">
        <v>21.5</v>
      </c>
      <c r="K5" s="27">
        <v>0.89583333333333337</v>
      </c>
      <c r="L5" s="37">
        <f>IF(表1_11[[#This Row],[出勤率]]&gt;1,1,表1_11[[#This Row],[出勤率]])*表1_11[[#This Row],[岗位工资]]</f>
        <v>6270.8333333333339</v>
      </c>
      <c r="M5" s="5">
        <f>LOOKUP(表1_11[[#This Row],[岗位工资]],表13[lookup],表13[奖金比率])*表1_11[[#This Row],[岗位工资]]</f>
        <v>1400</v>
      </c>
      <c r="N5" s="5">
        <v>89</v>
      </c>
      <c r="O5" s="38">
        <f>表1_11[[#This Row],[奖金等级]]*表1_11[[#This Row],[绩效得分]]/100</f>
        <v>1246</v>
      </c>
      <c r="P5" s="5">
        <f>IF(表1_11[[#This Row],[出勤率]]&gt;=1,200,0)</f>
        <v>0</v>
      </c>
      <c r="Q5" s="23">
        <f t="shared" ca="1" si="0"/>
        <v>250</v>
      </c>
      <c r="R5" s="23">
        <f>IF(表1_11[[#This Row],[中心]]="营销中心",VLOOKUP(表1_11[[#This Row],[职位]],表2[[话费补贴]:[营销中心]],2,0),VLOOKUP(表1_11[[#This Row],[职位]],表2[],3,0))</f>
        <v>500</v>
      </c>
      <c r="S5" s="23">
        <v>200</v>
      </c>
      <c r="T5" s="61">
        <f ca="1">ROUND(SUM(表1_11[[#This Row],[基本工资]],表1_11[[#This Row],[奖金]],表1_11[[#This Row],[全勤奖]:[防暑降温补贴]]),2)</f>
        <v>8466.83</v>
      </c>
      <c r="U5" s="62">
        <f ca="1">ROUND(表1_11[[#This Row],[税前应发总额]]*8%,2)</f>
        <v>677.35</v>
      </c>
      <c r="V5" s="62">
        <f ca="1">ROUND(表1_11[[#This Row],[税前应发总额]]*2%+3,2)</f>
        <v>172.34</v>
      </c>
      <c r="W5" s="62">
        <f ca="1">ROUND(表1_11[[#This Row],[税前应发总额]]*0.2%,2)</f>
        <v>16.93</v>
      </c>
      <c r="X5" s="62">
        <f ca="1">ROUND(表1_11[[#This Row],[税前应发总额]]*12%,2)</f>
        <v>1016.02</v>
      </c>
      <c r="Y5" s="61">
        <f ca="1">ROUND(表1_11[[#This Row],[税前应发总额]]-SUM(表1_11[[#This Row],[养老保险]:[公积金]]),2)</f>
        <v>6584.19</v>
      </c>
      <c r="Z5" s="62">
        <f ca="1">ROUND(MAX((表1_11[[#This Row],[扣保险后工资金额]]-3500)*{3,10,20,25,30,35,45}%-{0,105,555,1005,2755,5505,13505},0),2)</f>
        <v>203.42</v>
      </c>
      <c r="AA5" s="63">
        <f ca="1">表1_11[[#This Row],[扣保险后工资金额]]-表1_11[[#This Row],[个人所得税]]</f>
        <v>6380.7699999999995</v>
      </c>
      <c r="AB5" s="53">
        <v>7258.73</v>
      </c>
      <c r="AC5" s="66">
        <f ca="1">(表1_11[[#This Row],[实发工资]]-表1_11[[#This Row],[上月对比]])/表1_11[[#This Row],[上月对比]]</f>
        <v>-0.12095228779690112</v>
      </c>
      <c r="AD5" s="65" t="s">
        <v>1587</v>
      </c>
    </row>
    <row r="6" spans="1:30">
      <c r="A6" s="42" t="s">
        <v>575</v>
      </c>
      <c r="B6" s="40" t="s">
        <v>602</v>
      </c>
      <c r="C6" s="40" t="s">
        <v>603</v>
      </c>
      <c r="D6" s="40" t="s">
        <v>604</v>
      </c>
      <c r="E6" s="41" t="s">
        <v>1016</v>
      </c>
      <c r="F6" s="5" t="s">
        <v>2</v>
      </c>
      <c r="G6" s="25">
        <v>38655</v>
      </c>
      <c r="H6" s="5" t="s">
        <v>605</v>
      </c>
      <c r="I6" s="5">
        <f>VLOOKUP(MID(表1_11[[#This Row],[工资等级]],1,1),表12[],MATCH(MID(表1_11[[#This Row],[工资等级]],2,2),表12[[#Headers],[1]:[10]],0)+1,0)</f>
        <v>5000</v>
      </c>
      <c r="J6" s="5">
        <v>25</v>
      </c>
      <c r="K6" s="27">
        <v>1.0416666666666667</v>
      </c>
      <c r="L6" s="37">
        <f>IF(表1_11[[#This Row],[出勤率]]&gt;1,1,表1_11[[#This Row],[出勤率]])*表1_11[[#This Row],[岗位工资]]</f>
        <v>5000</v>
      </c>
      <c r="M6" s="5">
        <f>LOOKUP(表1_11[[#This Row],[岗位工资]],表13[lookup],表13[奖金比率])*表1_11[[#This Row],[岗位工资]]</f>
        <v>750</v>
      </c>
      <c r="N6" s="5">
        <v>93</v>
      </c>
      <c r="O6" s="38">
        <f>表1_11[[#This Row],[奖金等级]]*表1_11[[#This Row],[绩效得分]]/100</f>
        <v>697.5</v>
      </c>
      <c r="P6" s="5">
        <f>IF(表1_11[[#This Row],[出勤率]]&gt;=1,200,0)</f>
        <v>200</v>
      </c>
      <c r="Q6" s="23">
        <f t="shared" ca="1" si="0"/>
        <v>500</v>
      </c>
      <c r="R6" s="23">
        <f>IF(表1_11[[#This Row],[中心]]="营销中心",VLOOKUP(表1_11[[#This Row],[职位]],表2[[话费补贴]:[营销中心]],2,0),VLOOKUP(表1_11[[#This Row],[职位]],表2[],3,0))</f>
        <v>500</v>
      </c>
      <c r="S6" s="23">
        <v>200</v>
      </c>
      <c r="T6" s="61">
        <f ca="1">ROUND(SUM(表1_11[[#This Row],[基本工资]],表1_11[[#This Row],[奖金]],表1_11[[#This Row],[全勤奖]:[防暑降温补贴]]),2)</f>
        <v>7097.5</v>
      </c>
      <c r="U6" s="62">
        <f ca="1">ROUND(表1_11[[#This Row],[税前应发总额]]*8%,2)</f>
        <v>567.79999999999995</v>
      </c>
      <c r="V6" s="62">
        <f ca="1">ROUND(表1_11[[#This Row],[税前应发总额]]*2%+3,2)</f>
        <v>144.94999999999999</v>
      </c>
      <c r="W6" s="62">
        <f ca="1">ROUND(表1_11[[#This Row],[税前应发总额]]*0.2%,2)</f>
        <v>14.2</v>
      </c>
      <c r="X6" s="62">
        <f ca="1">ROUND(表1_11[[#This Row],[税前应发总额]]*12%,2)</f>
        <v>851.7</v>
      </c>
      <c r="Y6" s="61">
        <f ca="1">ROUND(表1_11[[#This Row],[税前应发总额]]-SUM(表1_11[[#This Row],[养老保险]:[公积金]]),2)</f>
        <v>5518.85</v>
      </c>
      <c r="Z6" s="62">
        <f ca="1">ROUND(MAX((表1_11[[#This Row],[扣保险后工资金额]]-3500)*{3,10,20,25,30,35,45}%-{0,105,555,1005,2755,5505,13505},0),2)</f>
        <v>96.89</v>
      </c>
      <c r="AA6" s="63">
        <f ca="1">表1_11[[#This Row],[扣保险后工资金额]]-表1_11[[#This Row],[个人所得税]]</f>
        <v>5421.96</v>
      </c>
      <c r="AB6" s="53">
        <v>5776.32</v>
      </c>
      <c r="AC6" s="66">
        <f ca="1">(表1_11[[#This Row],[实发工资]]-表1_11[[#This Row],[上月对比]])/表1_11[[#This Row],[上月对比]]</f>
        <v>-6.1347016785773589E-2</v>
      </c>
      <c r="AD6" s="65" t="s">
        <v>1587</v>
      </c>
    </row>
    <row r="7" spans="1:30">
      <c r="A7" s="42" t="s">
        <v>575</v>
      </c>
      <c r="B7" s="40" t="s">
        <v>607</v>
      </c>
      <c r="C7" s="40" t="s">
        <v>603</v>
      </c>
      <c r="D7" s="40" t="s">
        <v>603</v>
      </c>
      <c r="E7" s="41" t="s">
        <v>1017</v>
      </c>
      <c r="F7" s="5" t="s">
        <v>3</v>
      </c>
      <c r="G7" s="25">
        <v>39848</v>
      </c>
      <c r="H7" s="5" t="s">
        <v>605</v>
      </c>
      <c r="I7" s="5">
        <f>VLOOKUP(MID(表1_11[[#This Row],[工资等级]],1,1),表12[],MATCH(MID(表1_11[[#This Row],[工资等级]],2,2),表12[[#Headers],[1]:[10]],0)+1,0)</f>
        <v>5000</v>
      </c>
      <c r="J7" s="5">
        <v>23</v>
      </c>
      <c r="K7" s="27">
        <v>0.95833333333333337</v>
      </c>
      <c r="L7" s="37">
        <f>IF(表1_11[[#This Row],[出勤率]]&gt;1,1,表1_11[[#This Row],[出勤率]])*表1_11[[#This Row],[岗位工资]]</f>
        <v>4791.666666666667</v>
      </c>
      <c r="M7" s="5">
        <f>LOOKUP(表1_11[[#This Row],[岗位工资]],表13[lookup],表13[奖金比率])*表1_11[[#This Row],[岗位工资]]</f>
        <v>750</v>
      </c>
      <c r="N7" s="5">
        <v>79</v>
      </c>
      <c r="O7" s="38">
        <f>表1_11[[#This Row],[奖金等级]]*表1_11[[#This Row],[绩效得分]]/100</f>
        <v>592.5</v>
      </c>
      <c r="P7" s="5">
        <f>IF(表1_11[[#This Row],[出勤率]]&gt;=1,200,0)</f>
        <v>0</v>
      </c>
      <c r="Q7" s="23">
        <f t="shared" ca="1" si="0"/>
        <v>450</v>
      </c>
      <c r="R7" s="23">
        <f>IF(表1_11[[#This Row],[中心]]="营销中心",VLOOKUP(表1_11[[#This Row],[职位]],表2[[话费补贴]:[营销中心]],2,0),VLOOKUP(表1_11[[#This Row],[职位]],表2[],3,0))</f>
        <v>500</v>
      </c>
      <c r="S7" s="23">
        <v>200</v>
      </c>
      <c r="T7" s="61">
        <f ca="1">ROUND(SUM(表1_11[[#This Row],[基本工资]],表1_11[[#This Row],[奖金]],表1_11[[#This Row],[全勤奖]:[防暑降温补贴]]),2)</f>
        <v>6534.17</v>
      </c>
      <c r="U7" s="62">
        <f ca="1">ROUND(表1_11[[#This Row],[税前应发总额]]*8%,2)</f>
        <v>522.73</v>
      </c>
      <c r="V7" s="62">
        <f ca="1">ROUND(表1_11[[#This Row],[税前应发总额]]*2%+3,2)</f>
        <v>133.68</v>
      </c>
      <c r="W7" s="62">
        <f ca="1">ROUND(表1_11[[#This Row],[税前应发总额]]*0.2%,2)</f>
        <v>13.07</v>
      </c>
      <c r="X7" s="62">
        <f ca="1">ROUND(表1_11[[#This Row],[税前应发总额]]*12%,2)</f>
        <v>784.1</v>
      </c>
      <c r="Y7" s="61">
        <f ca="1">ROUND(表1_11[[#This Row],[税前应发总额]]-SUM(表1_11[[#This Row],[养老保险]:[公积金]]),2)</f>
        <v>5080.59</v>
      </c>
      <c r="Z7" s="62">
        <f ca="1">ROUND(MAX((表1_11[[#This Row],[扣保险后工资金额]]-3500)*{3,10,20,25,30,35,45}%-{0,105,555,1005,2755,5505,13505},0),2)</f>
        <v>53.06</v>
      </c>
      <c r="AA7" s="63">
        <f ca="1">表1_11[[#This Row],[扣保险后工资金额]]-表1_11[[#This Row],[个人所得税]]</f>
        <v>5027.53</v>
      </c>
      <c r="AB7" s="53">
        <v>4393.42</v>
      </c>
      <c r="AC7" s="66">
        <f ca="1">(表1_11[[#This Row],[实发工资]]-表1_11[[#This Row],[上月对比]])/表1_11[[#This Row],[上月对比]]</f>
        <v>0.14433175066349216</v>
      </c>
      <c r="AD7" s="65" t="s">
        <v>1587</v>
      </c>
    </row>
    <row r="8" spans="1:30">
      <c r="A8" s="42" t="s">
        <v>575</v>
      </c>
      <c r="B8" s="40" t="s">
        <v>607</v>
      </c>
      <c r="C8" s="40" t="s">
        <v>609</v>
      </c>
      <c r="D8" s="40" t="s">
        <v>601</v>
      </c>
      <c r="E8" s="41" t="s">
        <v>1018</v>
      </c>
      <c r="F8" s="5" t="s">
        <v>4</v>
      </c>
      <c r="G8" s="25">
        <v>39945</v>
      </c>
      <c r="H8" s="5" t="s">
        <v>610</v>
      </c>
      <c r="I8" s="5">
        <f>VLOOKUP(MID(表1_11[[#This Row],[工资等级]],1,1),表12[],MATCH(MID(表1_11[[#This Row],[工资等级]],2,2),表12[[#Headers],[1]:[10]],0)+1,0)</f>
        <v>3400</v>
      </c>
      <c r="J8" s="5">
        <v>26.5</v>
      </c>
      <c r="K8" s="27">
        <v>1.1041666666666667</v>
      </c>
      <c r="L8" s="37">
        <f>IF(表1_11[[#This Row],[出勤率]]&gt;1,1,表1_11[[#This Row],[出勤率]])*表1_11[[#This Row],[岗位工资]]</f>
        <v>3400</v>
      </c>
      <c r="M8" s="5">
        <f>LOOKUP(表1_11[[#This Row],[岗位工资]],表13[lookup],表13[奖金比率])*表1_11[[#This Row],[岗位工资]]</f>
        <v>340</v>
      </c>
      <c r="N8" s="5">
        <v>89</v>
      </c>
      <c r="O8" s="38">
        <f>表1_11[[#This Row],[奖金等级]]*表1_11[[#This Row],[绩效得分]]/100</f>
        <v>302.60000000000002</v>
      </c>
      <c r="P8" s="5">
        <f>IF(表1_11[[#This Row],[出勤率]]&gt;=1,200,0)</f>
        <v>200</v>
      </c>
      <c r="Q8" s="23">
        <f t="shared" ca="1" si="0"/>
        <v>400</v>
      </c>
      <c r="R8" s="23">
        <f>IF(表1_11[[#This Row],[中心]]="营销中心",VLOOKUP(表1_11[[#This Row],[职位]],表2[[话费补贴]:[营销中心]],2,0),VLOOKUP(表1_11[[#This Row],[职位]],表2[],3,0))</f>
        <v>0</v>
      </c>
      <c r="S8" s="23">
        <v>200</v>
      </c>
      <c r="T8" s="61">
        <f ca="1">ROUND(SUM(表1_11[[#This Row],[基本工资]],表1_11[[#This Row],[奖金]],表1_11[[#This Row],[全勤奖]:[防暑降温补贴]]),2)</f>
        <v>4502.6000000000004</v>
      </c>
      <c r="U8" s="62">
        <f ca="1">ROUND(表1_11[[#This Row],[税前应发总额]]*8%,2)</f>
        <v>360.21</v>
      </c>
      <c r="V8" s="62">
        <f ca="1">ROUND(表1_11[[#This Row],[税前应发总额]]*2%+3,2)</f>
        <v>93.05</v>
      </c>
      <c r="W8" s="62">
        <f ca="1">ROUND(表1_11[[#This Row],[税前应发总额]]*0.2%,2)</f>
        <v>9.01</v>
      </c>
      <c r="X8" s="62">
        <f ca="1">ROUND(表1_11[[#This Row],[税前应发总额]]*12%,2)</f>
        <v>540.30999999999995</v>
      </c>
      <c r="Y8" s="61">
        <f ca="1">ROUND(表1_11[[#This Row],[税前应发总额]]-SUM(表1_11[[#This Row],[养老保险]:[公积金]]),2)</f>
        <v>3500.02</v>
      </c>
      <c r="Z8" s="62">
        <f ca="1">ROUND(MAX((表1_11[[#This Row],[扣保险后工资金额]]-3500)*{3,10,20,25,30,35,45}%-{0,105,555,1005,2755,5505,13505},0),2)</f>
        <v>0</v>
      </c>
      <c r="AA8" s="63">
        <f ca="1">表1_11[[#This Row],[扣保险后工资金额]]-表1_11[[#This Row],[个人所得税]]</f>
        <v>3500.02</v>
      </c>
      <c r="AB8" s="53">
        <v>3125.55</v>
      </c>
      <c r="AC8" s="66">
        <f ca="1">(表1_11[[#This Row],[实发工资]]-表1_11[[#This Row],[上月对比]])/表1_11[[#This Row],[上月对比]]</f>
        <v>0.11980931356081323</v>
      </c>
      <c r="AD8" s="65" t="s">
        <v>1587</v>
      </c>
    </row>
    <row r="9" spans="1:30">
      <c r="A9" s="42" t="s">
        <v>575</v>
      </c>
      <c r="B9" s="40" t="s">
        <v>607</v>
      </c>
      <c r="C9" s="40" t="s">
        <v>609</v>
      </c>
      <c r="D9" s="40" t="s">
        <v>601</v>
      </c>
      <c r="E9" s="41" t="s">
        <v>1019</v>
      </c>
      <c r="F9" s="5" t="s">
        <v>5</v>
      </c>
      <c r="G9" s="25">
        <v>42186</v>
      </c>
      <c r="H9" s="5" t="s">
        <v>610</v>
      </c>
      <c r="I9" s="5">
        <f>VLOOKUP(MID(表1_11[[#This Row],[工资等级]],1,1),表12[],MATCH(MID(表1_11[[#This Row],[工资等级]],2,2),表12[[#Headers],[1]:[10]],0)+1,0)</f>
        <v>3400</v>
      </c>
      <c r="J9" s="5">
        <v>24</v>
      </c>
      <c r="K9" s="27">
        <v>1</v>
      </c>
      <c r="L9" s="37">
        <f>IF(表1_11[[#This Row],[出勤率]]&gt;1,1,表1_11[[#This Row],[出勤率]])*表1_11[[#This Row],[岗位工资]]</f>
        <v>3400</v>
      </c>
      <c r="M9" s="5">
        <f>LOOKUP(表1_11[[#This Row],[岗位工资]],表13[lookup],表13[奖金比率])*表1_11[[#This Row],[岗位工资]]</f>
        <v>340</v>
      </c>
      <c r="N9" s="5">
        <v>83</v>
      </c>
      <c r="O9" s="38">
        <f>表1_11[[#This Row],[奖金等级]]*表1_11[[#This Row],[绩效得分]]/100</f>
        <v>282.2</v>
      </c>
      <c r="P9" s="5">
        <f>IF(表1_11[[#This Row],[出勤率]]&gt;=1,200,0)</f>
        <v>200</v>
      </c>
      <c r="Q9" s="23">
        <f t="shared" ca="1" si="0"/>
        <v>100</v>
      </c>
      <c r="R9" s="23">
        <f>IF(表1_11[[#This Row],[中心]]="营销中心",VLOOKUP(表1_11[[#This Row],[职位]],表2[[话费补贴]:[营销中心]],2,0),VLOOKUP(表1_11[[#This Row],[职位]],表2[],3,0))</f>
        <v>0</v>
      </c>
      <c r="S9" s="23">
        <v>200</v>
      </c>
      <c r="T9" s="61">
        <f ca="1">ROUND(SUM(表1_11[[#This Row],[基本工资]],表1_11[[#This Row],[奖金]],表1_11[[#This Row],[全勤奖]:[防暑降温补贴]]),2)</f>
        <v>4182.2</v>
      </c>
      <c r="U9" s="62">
        <f ca="1">ROUND(表1_11[[#This Row],[税前应发总额]]*8%,2)</f>
        <v>334.58</v>
      </c>
      <c r="V9" s="62">
        <f ca="1">ROUND(表1_11[[#This Row],[税前应发总额]]*2%+3,2)</f>
        <v>86.64</v>
      </c>
      <c r="W9" s="62">
        <f ca="1">ROUND(表1_11[[#This Row],[税前应发总额]]*0.2%,2)</f>
        <v>8.36</v>
      </c>
      <c r="X9" s="62">
        <f ca="1">ROUND(表1_11[[#This Row],[税前应发总额]]*12%,2)</f>
        <v>501.86</v>
      </c>
      <c r="Y9" s="61">
        <f ca="1">ROUND(表1_11[[#This Row],[税前应发总额]]-SUM(表1_11[[#This Row],[养老保险]:[公积金]]),2)</f>
        <v>3250.76</v>
      </c>
      <c r="Z9" s="62">
        <f ca="1">ROUND(MAX((表1_11[[#This Row],[扣保险后工资金额]]-3500)*{3,10,20,25,30,35,45}%-{0,105,555,1005,2755,5505,13505},0),2)</f>
        <v>0</v>
      </c>
      <c r="AA9" s="63">
        <f ca="1">表1_11[[#This Row],[扣保险后工资金额]]-表1_11[[#This Row],[个人所得税]]</f>
        <v>3250.76</v>
      </c>
      <c r="AB9" s="53">
        <v>3839.93</v>
      </c>
      <c r="AC9" s="66">
        <f ca="1">(表1_11[[#This Row],[实发工资]]-表1_11[[#This Row],[上月对比]])/表1_11[[#This Row],[上月对比]]</f>
        <v>-0.15343248444633095</v>
      </c>
      <c r="AD9" s="65" t="s">
        <v>1587</v>
      </c>
    </row>
    <row r="10" spans="1:30">
      <c r="A10" s="42" t="s">
        <v>575</v>
      </c>
      <c r="B10" s="40" t="s">
        <v>607</v>
      </c>
      <c r="C10" s="40" t="s">
        <v>609</v>
      </c>
      <c r="D10" s="40" t="s">
        <v>601</v>
      </c>
      <c r="E10" s="41" t="s">
        <v>1020</v>
      </c>
      <c r="F10" s="5" t="s">
        <v>6</v>
      </c>
      <c r="G10" s="25">
        <v>41979</v>
      </c>
      <c r="H10" s="5" t="s">
        <v>612</v>
      </c>
      <c r="I10" s="5">
        <f>VLOOKUP(MID(表1_11[[#This Row],[工资等级]],1,1),表12[],MATCH(MID(表1_11[[#This Row],[工资等级]],2,2),表12[[#Headers],[1]:[10]],0)+1,0)</f>
        <v>2700</v>
      </c>
      <c r="J10" s="5">
        <v>26.5</v>
      </c>
      <c r="K10" s="27">
        <v>1.1041666666666667</v>
      </c>
      <c r="L10" s="37">
        <f>IF(表1_11[[#This Row],[出勤率]]&gt;1,1,表1_11[[#This Row],[出勤率]])*表1_11[[#This Row],[岗位工资]]</f>
        <v>2700</v>
      </c>
      <c r="M10" s="5">
        <f>LOOKUP(表1_11[[#This Row],[岗位工资]],表13[lookup],表13[奖金比率])*表1_11[[#This Row],[岗位工资]]</f>
        <v>270</v>
      </c>
      <c r="N10" s="5">
        <v>95</v>
      </c>
      <c r="O10" s="38">
        <f>表1_11[[#This Row],[奖金等级]]*表1_11[[#This Row],[绩效得分]]/100</f>
        <v>256.5</v>
      </c>
      <c r="P10" s="5">
        <f>IF(表1_11[[#This Row],[出勤率]]&gt;=1,200,0)</f>
        <v>200</v>
      </c>
      <c r="Q10" s="23">
        <f t="shared" ca="1" si="0"/>
        <v>150</v>
      </c>
      <c r="R10" s="23">
        <f>IF(表1_11[[#This Row],[中心]]="营销中心",VLOOKUP(表1_11[[#This Row],[职位]],表2[[话费补贴]:[营销中心]],2,0),VLOOKUP(表1_11[[#This Row],[职位]],表2[],3,0))</f>
        <v>0</v>
      </c>
      <c r="S10" s="23">
        <v>200</v>
      </c>
      <c r="T10" s="61">
        <f ca="1">ROUND(SUM(表1_11[[#This Row],[基本工资]],表1_11[[#This Row],[奖金]],表1_11[[#This Row],[全勤奖]:[防暑降温补贴]]),2)</f>
        <v>3506.5</v>
      </c>
      <c r="U10" s="62">
        <f ca="1">ROUND(表1_11[[#This Row],[税前应发总额]]*8%,2)</f>
        <v>280.52</v>
      </c>
      <c r="V10" s="62">
        <f ca="1">ROUND(表1_11[[#This Row],[税前应发总额]]*2%+3,2)</f>
        <v>73.13</v>
      </c>
      <c r="W10" s="62">
        <f ca="1">ROUND(表1_11[[#This Row],[税前应发总额]]*0.2%,2)</f>
        <v>7.01</v>
      </c>
      <c r="X10" s="62">
        <f ca="1">ROUND(表1_11[[#This Row],[税前应发总额]]*12%,2)</f>
        <v>420.78</v>
      </c>
      <c r="Y10" s="61">
        <f ca="1">ROUND(表1_11[[#This Row],[税前应发总额]]-SUM(表1_11[[#This Row],[养老保险]:[公积金]]),2)</f>
        <v>2725.06</v>
      </c>
      <c r="Z10" s="62">
        <f ca="1">ROUND(MAX((表1_11[[#This Row],[扣保险后工资金额]]-3500)*{3,10,20,25,30,35,45}%-{0,105,555,1005,2755,5505,13505},0),2)</f>
        <v>0</v>
      </c>
      <c r="AA10" s="63">
        <f ca="1">表1_11[[#This Row],[扣保险后工资金额]]-表1_11[[#This Row],[个人所得税]]</f>
        <v>2725.06</v>
      </c>
      <c r="AB10" s="53">
        <v>2391.08</v>
      </c>
      <c r="AC10" s="66">
        <f ca="1">(表1_11[[#This Row],[实发工资]]-表1_11[[#This Row],[上月对比]])/表1_11[[#This Row],[上月对比]]</f>
        <v>0.13967746792244509</v>
      </c>
      <c r="AD10" s="65" t="s">
        <v>1587</v>
      </c>
    </row>
    <row r="11" spans="1:30">
      <c r="A11" s="42" t="s">
        <v>575</v>
      </c>
      <c r="B11" s="40" t="s">
        <v>607</v>
      </c>
      <c r="C11" s="40" t="s">
        <v>609</v>
      </c>
      <c r="D11" s="40" t="s">
        <v>601</v>
      </c>
      <c r="E11" s="41" t="s">
        <v>1021</v>
      </c>
      <c r="F11" s="5" t="s">
        <v>7</v>
      </c>
      <c r="G11" s="25">
        <v>39555</v>
      </c>
      <c r="H11" s="5" t="s">
        <v>915</v>
      </c>
      <c r="I11" s="5">
        <f>VLOOKUP(MID(表1_11[[#This Row],[工资等级]],1,1),表12[],MATCH(MID(表1_11[[#This Row],[工资等级]],2,2),表12[[#Headers],[1]:[10]],0)+1,0)</f>
        <v>2700</v>
      </c>
      <c r="J11" s="5">
        <v>22</v>
      </c>
      <c r="K11" s="27">
        <v>0.91666666666666663</v>
      </c>
      <c r="L11" s="37">
        <f>IF(表1_11[[#This Row],[出勤率]]&gt;1,1,表1_11[[#This Row],[出勤率]])*表1_11[[#This Row],[岗位工资]]</f>
        <v>2475</v>
      </c>
      <c r="M11" s="5">
        <f>LOOKUP(表1_11[[#This Row],[岗位工资]],表13[lookup],表13[奖金比率])*表1_11[[#This Row],[岗位工资]]</f>
        <v>270</v>
      </c>
      <c r="N11" s="5">
        <v>98</v>
      </c>
      <c r="O11" s="38">
        <f>表1_11[[#This Row],[奖金等级]]*表1_11[[#This Row],[绩效得分]]/100</f>
        <v>264.60000000000002</v>
      </c>
      <c r="P11" s="5">
        <f>IF(表1_11[[#This Row],[出勤率]]&gt;=1,200,0)</f>
        <v>0</v>
      </c>
      <c r="Q11" s="23">
        <f t="shared" ca="1" si="0"/>
        <v>450</v>
      </c>
      <c r="R11" s="23">
        <f>IF(表1_11[[#This Row],[中心]]="营销中心",VLOOKUP(表1_11[[#This Row],[职位]],表2[[话费补贴]:[营销中心]],2,0),VLOOKUP(表1_11[[#This Row],[职位]],表2[],3,0))</f>
        <v>0</v>
      </c>
      <c r="S11" s="23">
        <v>200</v>
      </c>
      <c r="T11" s="61">
        <f ca="1">ROUND(SUM(表1_11[[#This Row],[基本工资]],表1_11[[#This Row],[奖金]],表1_11[[#This Row],[全勤奖]:[防暑降温补贴]]),2)</f>
        <v>3389.6</v>
      </c>
      <c r="U11" s="62">
        <f ca="1">ROUND(表1_11[[#This Row],[税前应发总额]]*8%,2)</f>
        <v>271.17</v>
      </c>
      <c r="V11" s="62">
        <f ca="1">ROUND(表1_11[[#This Row],[税前应发总额]]*2%+3,2)</f>
        <v>70.790000000000006</v>
      </c>
      <c r="W11" s="62">
        <f ca="1">ROUND(表1_11[[#This Row],[税前应发总额]]*0.2%,2)</f>
        <v>6.78</v>
      </c>
      <c r="X11" s="62">
        <f ca="1">ROUND(表1_11[[#This Row],[税前应发总额]]*12%,2)</f>
        <v>406.75</v>
      </c>
      <c r="Y11" s="61">
        <f ca="1">ROUND(表1_11[[#This Row],[税前应发总额]]-SUM(表1_11[[#This Row],[养老保险]:[公积金]]),2)</f>
        <v>2634.11</v>
      </c>
      <c r="Z11" s="62">
        <f ca="1">ROUND(MAX((表1_11[[#This Row],[扣保险后工资金额]]-3500)*{3,10,20,25,30,35,45}%-{0,105,555,1005,2755,5505,13505},0),2)</f>
        <v>0</v>
      </c>
      <c r="AA11" s="63">
        <f ca="1">表1_11[[#This Row],[扣保险后工资金额]]-表1_11[[#This Row],[个人所得税]]</f>
        <v>2634.11</v>
      </c>
      <c r="AB11" s="53">
        <v>2822.99</v>
      </c>
      <c r="AC11" s="66">
        <f ca="1">(表1_11[[#This Row],[实发工资]]-表1_11[[#This Row],[上月对比]])/表1_11[[#This Row],[上月对比]]</f>
        <v>-6.6907782174219416E-2</v>
      </c>
      <c r="AD11" s="65" t="s">
        <v>1587</v>
      </c>
    </row>
    <row r="12" spans="1:30">
      <c r="A12" s="42" t="s">
        <v>575</v>
      </c>
      <c r="B12" s="40" t="s">
        <v>613</v>
      </c>
      <c r="C12" s="40" t="s">
        <v>611</v>
      </c>
      <c r="D12" s="40" t="s">
        <v>601</v>
      </c>
      <c r="E12" s="41" t="s">
        <v>1022</v>
      </c>
      <c r="F12" s="5" t="s">
        <v>8</v>
      </c>
      <c r="G12" s="25">
        <v>39718</v>
      </c>
      <c r="H12" s="5" t="s">
        <v>614</v>
      </c>
      <c r="I12" s="5">
        <f>VLOOKUP(MID(表1_11[[#This Row],[工资等级]],1,1),表12[],MATCH(MID(表1_11[[#This Row],[工资等级]],2,2),表12[[#Headers],[1]:[10]],0)+1,0)</f>
        <v>4800</v>
      </c>
      <c r="J12" s="5">
        <v>27</v>
      </c>
      <c r="K12" s="27">
        <v>1.125</v>
      </c>
      <c r="L12" s="37">
        <f>IF(表1_11[[#This Row],[出勤率]]&gt;1,1,表1_11[[#This Row],[出勤率]])*表1_11[[#This Row],[岗位工资]]</f>
        <v>4800</v>
      </c>
      <c r="M12" s="5">
        <f>LOOKUP(表1_11[[#This Row],[岗位工资]],表13[lookup],表13[奖金比率])*表1_11[[#This Row],[岗位工资]]</f>
        <v>720</v>
      </c>
      <c r="N12" s="5">
        <v>94</v>
      </c>
      <c r="O12" s="38">
        <f>表1_11[[#This Row],[奖金等级]]*表1_11[[#This Row],[绩效得分]]/100</f>
        <v>676.8</v>
      </c>
      <c r="P12" s="5">
        <f>IF(表1_11[[#This Row],[出勤率]]&gt;=1,200,0)</f>
        <v>200</v>
      </c>
      <c r="Q12" s="23">
        <f t="shared" ca="1" si="0"/>
        <v>450</v>
      </c>
      <c r="R12" s="23">
        <f>IF(表1_11[[#This Row],[中心]]="营销中心",VLOOKUP(表1_11[[#This Row],[职位]],表2[[话费补贴]:[营销中心]],2,0),VLOOKUP(表1_11[[#This Row],[职位]],表2[],3,0))</f>
        <v>300</v>
      </c>
      <c r="S12" s="23">
        <v>200</v>
      </c>
      <c r="T12" s="61">
        <f ca="1">ROUND(SUM(表1_11[[#This Row],[基本工资]],表1_11[[#This Row],[奖金]],表1_11[[#This Row],[全勤奖]:[防暑降温补贴]]),2)</f>
        <v>6626.8</v>
      </c>
      <c r="U12" s="62">
        <f ca="1">ROUND(表1_11[[#This Row],[税前应发总额]]*8%,2)</f>
        <v>530.14</v>
      </c>
      <c r="V12" s="62">
        <f ca="1">ROUND(表1_11[[#This Row],[税前应发总额]]*2%+3,2)</f>
        <v>135.54</v>
      </c>
      <c r="W12" s="62">
        <f ca="1">ROUND(表1_11[[#This Row],[税前应发总额]]*0.2%,2)</f>
        <v>13.25</v>
      </c>
      <c r="X12" s="62">
        <f ca="1">ROUND(表1_11[[#This Row],[税前应发总额]]*12%,2)</f>
        <v>795.22</v>
      </c>
      <c r="Y12" s="61">
        <f ca="1">ROUND(表1_11[[#This Row],[税前应发总额]]-SUM(表1_11[[#This Row],[养老保险]:[公积金]]),2)</f>
        <v>5152.6499999999996</v>
      </c>
      <c r="Z12" s="62">
        <f ca="1">ROUND(MAX((表1_11[[#This Row],[扣保险后工资金额]]-3500)*{3,10,20,25,30,35,45}%-{0,105,555,1005,2755,5505,13505},0),2)</f>
        <v>60.27</v>
      </c>
      <c r="AA12" s="63">
        <f ca="1">表1_11[[#This Row],[扣保险后工资金额]]-表1_11[[#This Row],[个人所得税]]</f>
        <v>5092.3799999999992</v>
      </c>
      <c r="AB12" s="53">
        <v>4468.24</v>
      </c>
      <c r="AC12" s="66">
        <f ca="1">(表1_11[[#This Row],[实发工资]]-表1_11[[#This Row],[上月对比]])/表1_11[[#This Row],[上月对比]]</f>
        <v>0.13968363382450349</v>
      </c>
      <c r="AD12" s="65" t="s">
        <v>1587</v>
      </c>
    </row>
    <row r="13" spans="1:30">
      <c r="A13" s="42" t="s">
        <v>575</v>
      </c>
      <c r="B13" s="40" t="s">
        <v>613</v>
      </c>
      <c r="C13" s="40" t="s">
        <v>609</v>
      </c>
      <c r="D13" s="40" t="s">
        <v>601</v>
      </c>
      <c r="E13" s="41" t="s">
        <v>1023</v>
      </c>
      <c r="F13" s="5" t="s">
        <v>9</v>
      </c>
      <c r="G13" s="25">
        <v>38739</v>
      </c>
      <c r="H13" s="5" t="s">
        <v>610</v>
      </c>
      <c r="I13" s="5">
        <f>VLOOKUP(MID(表1_11[[#This Row],[工资等级]],1,1),表12[],MATCH(MID(表1_11[[#This Row],[工资等级]],2,2),表12[[#Headers],[1]:[10]],0)+1,0)</f>
        <v>3400</v>
      </c>
      <c r="J13" s="5">
        <v>25.5</v>
      </c>
      <c r="K13" s="27">
        <v>1.0625</v>
      </c>
      <c r="L13" s="37">
        <f>IF(表1_11[[#This Row],[出勤率]]&gt;1,1,表1_11[[#This Row],[出勤率]])*表1_11[[#This Row],[岗位工资]]</f>
        <v>3400</v>
      </c>
      <c r="M13" s="5">
        <f>LOOKUP(表1_11[[#This Row],[岗位工资]],表13[lookup],表13[奖金比率])*表1_11[[#This Row],[岗位工资]]</f>
        <v>340</v>
      </c>
      <c r="N13" s="5">
        <v>81</v>
      </c>
      <c r="O13" s="38">
        <f>表1_11[[#This Row],[奖金等级]]*表1_11[[#This Row],[绩效得分]]/100</f>
        <v>275.39999999999998</v>
      </c>
      <c r="P13" s="5">
        <f>IF(表1_11[[#This Row],[出勤率]]&gt;=1,200,0)</f>
        <v>200</v>
      </c>
      <c r="Q13" s="23">
        <f t="shared" ca="1" si="0"/>
        <v>500</v>
      </c>
      <c r="R13" s="23">
        <f>IF(表1_11[[#This Row],[中心]]="营销中心",VLOOKUP(表1_11[[#This Row],[职位]],表2[[话费补贴]:[营销中心]],2,0),VLOOKUP(表1_11[[#This Row],[职位]],表2[],3,0))</f>
        <v>0</v>
      </c>
      <c r="S13" s="23">
        <v>200</v>
      </c>
      <c r="T13" s="61">
        <f ca="1">ROUND(SUM(表1_11[[#This Row],[基本工资]],表1_11[[#This Row],[奖金]],表1_11[[#This Row],[全勤奖]:[防暑降温补贴]]),2)</f>
        <v>4575.3999999999996</v>
      </c>
      <c r="U13" s="62">
        <f ca="1">ROUND(表1_11[[#This Row],[税前应发总额]]*8%,2)</f>
        <v>366.03</v>
      </c>
      <c r="V13" s="62">
        <f ca="1">ROUND(表1_11[[#This Row],[税前应发总额]]*2%+3,2)</f>
        <v>94.51</v>
      </c>
      <c r="W13" s="62">
        <f ca="1">ROUND(表1_11[[#This Row],[税前应发总额]]*0.2%,2)</f>
        <v>9.15</v>
      </c>
      <c r="X13" s="62">
        <f ca="1">ROUND(表1_11[[#This Row],[税前应发总额]]*12%,2)</f>
        <v>549.04999999999995</v>
      </c>
      <c r="Y13" s="61">
        <f ca="1">ROUND(表1_11[[#This Row],[税前应发总额]]-SUM(表1_11[[#This Row],[养老保险]:[公积金]]),2)</f>
        <v>3556.66</v>
      </c>
      <c r="Z13" s="62">
        <f ca="1">ROUND(MAX((表1_11[[#This Row],[扣保险后工资金额]]-3500)*{3,10,20,25,30,35,45}%-{0,105,555,1005,2755,5505,13505},0),2)</f>
        <v>1.7</v>
      </c>
      <c r="AA13" s="63">
        <f ca="1">表1_11[[#This Row],[扣保险后工资金额]]-表1_11[[#This Row],[个人所得税]]</f>
        <v>3554.96</v>
      </c>
      <c r="AB13" s="53">
        <v>4123.62</v>
      </c>
      <c r="AC13" s="66">
        <f ca="1">(表1_11[[#This Row],[实发工资]]-表1_11[[#This Row],[上月对比]])/表1_11[[#This Row],[上月对比]]</f>
        <v>-0.13790310455376584</v>
      </c>
      <c r="AD13" s="65" t="s">
        <v>1587</v>
      </c>
    </row>
    <row r="14" spans="1:30">
      <c r="A14" s="42" t="s">
        <v>575</v>
      </c>
      <c r="B14" s="40" t="s">
        <v>613</v>
      </c>
      <c r="C14" s="40" t="s">
        <v>609</v>
      </c>
      <c r="D14" s="40" t="s">
        <v>601</v>
      </c>
      <c r="E14" s="41" t="s">
        <v>1024</v>
      </c>
      <c r="F14" s="5" t="s">
        <v>10</v>
      </c>
      <c r="G14" s="25">
        <v>39255</v>
      </c>
      <c r="H14" s="5" t="s">
        <v>615</v>
      </c>
      <c r="I14" s="5">
        <f>VLOOKUP(MID(表1_11[[#This Row],[工资等级]],1,1),表12[],MATCH(MID(表1_11[[#This Row],[工资等级]],2,2),表12[[#Headers],[1]:[10]],0)+1,0)</f>
        <v>3200</v>
      </c>
      <c r="J14" s="5">
        <v>23.5</v>
      </c>
      <c r="K14" s="27">
        <v>0.97916666666666663</v>
      </c>
      <c r="L14" s="37">
        <f>IF(表1_11[[#This Row],[出勤率]]&gt;1,1,表1_11[[#This Row],[出勤率]])*表1_11[[#This Row],[岗位工资]]</f>
        <v>3133.333333333333</v>
      </c>
      <c r="M14" s="5">
        <f>LOOKUP(表1_11[[#This Row],[岗位工资]],表13[lookup],表13[奖金比率])*表1_11[[#This Row],[岗位工资]]</f>
        <v>320</v>
      </c>
      <c r="N14" s="5">
        <v>82</v>
      </c>
      <c r="O14" s="38">
        <f>表1_11[[#This Row],[奖金等级]]*表1_11[[#This Row],[绩效得分]]/100</f>
        <v>262.39999999999998</v>
      </c>
      <c r="P14" s="5">
        <f>IF(表1_11[[#This Row],[出勤率]]&gt;=1,200,0)</f>
        <v>0</v>
      </c>
      <c r="Q14" s="23">
        <f t="shared" ca="1" si="0"/>
        <v>500</v>
      </c>
      <c r="R14" s="23">
        <f>IF(表1_11[[#This Row],[中心]]="营销中心",VLOOKUP(表1_11[[#This Row],[职位]],表2[[话费补贴]:[营销中心]],2,0),VLOOKUP(表1_11[[#This Row],[职位]],表2[],3,0))</f>
        <v>0</v>
      </c>
      <c r="S14" s="23">
        <v>200</v>
      </c>
      <c r="T14" s="61">
        <f ca="1">ROUND(SUM(表1_11[[#This Row],[基本工资]],表1_11[[#This Row],[奖金]],表1_11[[#This Row],[全勤奖]:[防暑降温补贴]]),2)</f>
        <v>4095.73</v>
      </c>
      <c r="U14" s="62">
        <f ca="1">ROUND(表1_11[[#This Row],[税前应发总额]]*8%,2)</f>
        <v>327.66000000000003</v>
      </c>
      <c r="V14" s="62">
        <f ca="1">ROUND(表1_11[[#This Row],[税前应发总额]]*2%+3,2)</f>
        <v>84.91</v>
      </c>
      <c r="W14" s="62">
        <f ca="1">ROUND(表1_11[[#This Row],[税前应发总额]]*0.2%,2)</f>
        <v>8.19</v>
      </c>
      <c r="X14" s="62">
        <f ca="1">ROUND(表1_11[[#This Row],[税前应发总额]]*12%,2)</f>
        <v>491.49</v>
      </c>
      <c r="Y14" s="61">
        <f ca="1">ROUND(表1_11[[#This Row],[税前应发总额]]-SUM(表1_11[[#This Row],[养老保险]:[公积金]]),2)</f>
        <v>3183.48</v>
      </c>
      <c r="Z14" s="62">
        <f ca="1">ROUND(MAX((表1_11[[#This Row],[扣保险后工资金额]]-3500)*{3,10,20,25,30,35,45}%-{0,105,555,1005,2755,5505,13505},0),2)</f>
        <v>0</v>
      </c>
      <c r="AA14" s="63">
        <f ca="1">表1_11[[#This Row],[扣保险后工资金额]]-表1_11[[#This Row],[个人所得税]]</f>
        <v>3183.48</v>
      </c>
      <c r="AB14" s="53">
        <v>3370.03</v>
      </c>
      <c r="AC14" s="66">
        <f ca="1">(表1_11[[#This Row],[实发工资]]-表1_11[[#This Row],[上月对比]])/表1_11[[#This Row],[上月对比]]</f>
        <v>-5.5355590306317801E-2</v>
      </c>
      <c r="AD14" s="65" t="s">
        <v>1587</v>
      </c>
    </row>
    <row r="15" spans="1:30">
      <c r="A15" s="42" t="s">
        <v>575</v>
      </c>
      <c r="B15" s="40" t="s">
        <v>579</v>
      </c>
      <c r="C15" s="40" t="s">
        <v>608</v>
      </c>
      <c r="D15" s="40" t="s">
        <v>606</v>
      </c>
      <c r="E15" s="41" t="s">
        <v>1025</v>
      </c>
      <c r="F15" s="5" t="s">
        <v>11</v>
      </c>
      <c r="G15" s="25">
        <v>42468</v>
      </c>
      <c r="H15" s="5" t="s">
        <v>616</v>
      </c>
      <c r="I15" s="5">
        <f>VLOOKUP(MID(表1_11[[#This Row],[工资等级]],1,1),表12[],MATCH(MID(表1_11[[#This Row],[工资等级]],2,2),表12[[#Headers],[1]:[10]],0)+1,0)</f>
        <v>8500</v>
      </c>
      <c r="J15" s="5">
        <v>24</v>
      </c>
      <c r="K15" s="27">
        <v>1</v>
      </c>
      <c r="L15" s="37">
        <f>IF(表1_11[[#This Row],[出勤率]]&gt;1,1,表1_11[[#This Row],[出勤率]])*表1_11[[#This Row],[岗位工资]]</f>
        <v>8500</v>
      </c>
      <c r="M15" s="5">
        <f>LOOKUP(表1_11[[#This Row],[岗位工资]],表13[lookup],表13[奖金比率])*表1_11[[#This Row],[岗位工资]]</f>
        <v>1700</v>
      </c>
      <c r="N15" s="5">
        <v>99</v>
      </c>
      <c r="O15" s="38">
        <f>表1_11[[#This Row],[奖金等级]]*表1_11[[#This Row],[绩效得分]]/100</f>
        <v>1683</v>
      </c>
      <c r="P15" s="5">
        <f>IF(表1_11[[#This Row],[出勤率]]&gt;=1,200,0)</f>
        <v>200</v>
      </c>
      <c r="Q15" s="23">
        <f t="shared" ca="1" si="0"/>
        <v>50</v>
      </c>
      <c r="R15" s="23">
        <f>IF(表1_11[[#This Row],[中心]]="营销中心",VLOOKUP(表1_11[[#This Row],[职位]],表2[[话费补贴]:[营销中心]],2,0),VLOOKUP(表1_11[[#This Row],[职位]],表2[],3,0))</f>
        <v>800</v>
      </c>
      <c r="S15" s="23">
        <v>200</v>
      </c>
      <c r="T15" s="61">
        <f ca="1">ROUND(SUM(表1_11[[#This Row],[基本工资]],表1_11[[#This Row],[奖金]],表1_11[[#This Row],[全勤奖]:[防暑降温补贴]]),2)</f>
        <v>11433</v>
      </c>
      <c r="U15" s="62">
        <f ca="1">ROUND(表1_11[[#This Row],[税前应发总额]]*8%,2)</f>
        <v>914.64</v>
      </c>
      <c r="V15" s="62">
        <f ca="1">ROUND(表1_11[[#This Row],[税前应发总额]]*2%+3,2)</f>
        <v>231.66</v>
      </c>
      <c r="W15" s="62">
        <f ca="1">ROUND(表1_11[[#This Row],[税前应发总额]]*0.2%,2)</f>
        <v>22.87</v>
      </c>
      <c r="X15" s="62">
        <f ca="1">ROUND(表1_11[[#This Row],[税前应发总额]]*12%,2)</f>
        <v>1371.96</v>
      </c>
      <c r="Y15" s="61">
        <f ca="1">ROUND(表1_11[[#This Row],[税前应发总额]]-SUM(表1_11[[#This Row],[养老保险]:[公积金]]),2)</f>
        <v>8891.8700000000008</v>
      </c>
      <c r="Z15" s="62">
        <f ca="1">ROUND(MAX((表1_11[[#This Row],[扣保险后工资金额]]-3500)*{3,10,20,25,30,35,45}%-{0,105,555,1005,2755,5505,13505},0),2)</f>
        <v>523.37</v>
      </c>
      <c r="AA15" s="63">
        <f ca="1">表1_11[[#This Row],[扣保险后工资金额]]-表1_11[[#This Row],[个人所得税]]</f>
        <v>8368.5</v>
      </c>
      <c r="AB15" s="53">
        <v>8199.2099999999991</v>
      </c>
      <c r="AC15" s="66">
        <f ca="1">(表1_11[[#This Row],[实发工资]]-表1_11[[#This Row],[上月对比]])/表1_11[[#This Row],[上月对比]]</f>
        <v>2.0647111124120602E-2</v>
      </c>
      <c r="AD15" s="65" t="s">
        <v>1587</v>
      </c>
    </row>
    <row r="16" spans="1:30">
      <c r="A16" s="42" t="s">
        <v>575</v>
      </c>
      <c r="B16" s="40" t="s">
        <v>579</v>
      </c>
      <c r="C16" s="40" t="s">
        <v>609</v>
      </c>
      <c r="D16" s="40" t="s">
        <v>601</v>
      </c>
      <c r="E16" s="41" t="s">
        <v>1026</v>
      </c>
      <c r="F16" s="5" t="s">
        <v>12</v>
      </c>
      <c r="G16" s="25">
        <v>40400</v>
      </c>
      <c r="H16" s="5" t="s">
        <v>612</v>
      </c>
      <c r="I16" s="5">
        <f>VLOOKUP(MID(表1_11[[#This Row],[工资等级]],1,1),表12[],MATCH(MID(表1_11[[#This Row],[工资等级]],2,2),表12[[#Headers],[1]:[10]],0)+1,0)</f>
        <v>2700</v>
      </c>
      <c r="J16" s="5">
        <v>24.5</v>
      </c>
      <c r="K16" s="27">
        <v>1.0208333333333333</v>
      </c>
      <c r="L16" s="37">
        <f>IF(表1_11[[#This Row],[出勤率]]&gt;1,1,表1_11[[#This Row],[出勤率]])*表1_11[[#This Row],[岗位工资]]</f>
        <v>2700</v>
      </c>
      <c r="M16" s="5">
        <f>LOOKUP(表1_11[[#This Row],[岗位工资]],表13[lookup],表13[奖金比率])*表1_11[[#This Row],[岗位工资]]</f>
        <v>270</v>
      </c>
      <c r="N16" s="5">
        <v>97</v>
      </c>
      <c r="O16" s="38">
        <f>表1_11[[#This Row],[奖金等级]]*表1_11[[#This Row],[绩效得分]]/100</f>
        <v>261.89999999999998</v>
      </c>
      <c r="P16" s="5">
        <f>IF(表1_11[[#This Row],[出勤率]]&gt;=1,200,0)</f>
        <v>200</v>
      </c>
      <c r="Q16" s="23">
        <f t="shared" ca="1" si="0"/>
        <v>350</v>
      </c>
      <c r="R16" s="23">
        <f>IF(表1_11[[#This Row],[中心]]="营销中心",VLOOKUP(表1_11[[#This Row],[职位]],表2[[话费补贴]:[营销中心]],2,0),VLOOKUP(表1_11[[#This Row],[职位]],表2[],3,0))</f>
        <v>0</v>
      </c>
      <c r="S16" s="23">
        <v>200</v>
      </c>
      <c r="T16" s="61">
        <f ca="1">ROUND(SUM(表1_11[[#This Row],[基本工资]],表1_11[[#This Row],[奖金]],表1_11[[#This Row],[全勤奖]:[防暑降温补贴]]),2)</f>
        <v>3711.9</v>
      </c>
      <c r="U16" s="62">
        <f ca="1">ROUND(表1_11[[#This Row],[税前应发总额]]*8%,2)</f>
        <v>296.95</v>
      </c>
      <c r="V16" s="62">
        <f ca="1">ROUND(表1_11[[#This Row],[税前应发总额]]*2%+3,2)</f>
        <v>77.239999999999995</v>
      </c>
      <c r="W16" s="62">
        <f ca="1">ROUND(表1_11[[#This Row],[税前应发总额]]*0.2%,2)</f>
        <v>7.42</v>
      </c>
      <c r="X16" s="62">
        <f ca="1">ROUND(表1_11[[#This Row],[税前应发总额]]*12%,2)</f>
        <v>445.43</v>
      </c>
      <c r="Y16" s="61">
        <f ca="1">ROUND(表1_11[[#This Row],[税前应发总额]]-SUM(表1_11[[#This Row],[养老保险]:[公积金]]),2)</f>
        <v>2884.86</v>
      </c>
      <c r="Z16" s="62">
        <f ca="1">ROUND(MAX((表1_11[[#This Row],[扣保险后工资金额]]-3500)*{3,10,20,25,30,35,45}%-{0,105,555,1005,2755,5505,13505},0),2)</f>
        <v>0</v>
      </c>
      <c r="AA16" s="63">
        <f ca="1">表1_11[[#This Row],[扣保险后工资金额]]-表1_11[[#This Row],[个人所得税]]</f>
        <v>2884.86</v>
      </c>
      <c r="AB16" s="53">
        <v>3189.83</v>
      </c>
      <c r="AC16" s="66">
        <f ca="1">(表1_11[[#This Row],[实发工资]]-表1_11[[#This Row],[上月对比]])/表1_11[[#This Row],[上月对比]]</f>
        <v>-9.5606975920346796E-2</v>
      </c>
      <c r="AD16" s="65" t="s">
        <v>1587</v>
      </c>
    </row>
    <row r="17" spans="1:30">
      <c r="A17" s="42" t="s">
        <v>575</v>
      </c>
      <c r="B17" s="40" t="s">
        <v>579</v>
      </c>
      <c r="C17" s="40" t="s">
        <v>609</v>
      </c>
      <c r="D17" s="40" t="s">
        <v>601</v>
      </c>
      <c r="E17" s="41" t="s">
        <v>1027</v>
      </c>
      <c r="F17" s="5" t="s">
        <v>13</v>
      </c>
      <c r="G17" s="25">
        <v>40513</v>
      </c>
      <c r="H17" s="5" t="s">
        <v>615</v>
      </c>
      <c r="I17" s="5">
        <f>VLOOKUP(MID(表1_11[[#This Row],[工资等级]],1,1),表12[],MATCH(MID(表1_11[[#This Row],[工资等级]],2,2),表12[[#Headers],[1]:[10]],0)+1,0)</f>
        <v>3200</v>
      </c>
      <c r="J17" s="5">
        <v>25.5</v>
      </c>
      <c r="K17" s="27">
        <v>1.0625</v>
      </c>
      <c r="L17" s="37">
        <f>IF(表1_11[[#This Row],[出勤率]]&gt;1,1,表1_11[[#This Row],[出勤率]])*表1_11[[#This Row],[岗位工资]]</f>
        <v>3200</v>
      </c>
      <c r="M17" s="5">
        <f>LOOKUP(表1_11[[#This Row],[岗位工资]],表13[lookup],表13[奖金比率])*表1_11[[#This Row],[岗位工资]]</f>
        <v>320</v>
      </c>
      <c r="N17" s="5">
        <v>83</v>
      </c>
      <c r="O17" s="38">
        <f>表1_11[[#This Row],[奖金等级]]*表1_11[[#This Row],[绩效得分]]/100</f>
        <v>265.60000000000002</v>
      </c>
      <c r="P17" s="5">
        <f>IF(表1_11[[#This Row],[出勤率]]&gt;=1,200,0)</f>
        <v>200</v>
      </c>
      <c r="Q17" s="23">
        <f t="shared" ca="1" si="0"/>
        <v>350</v>
      </c>
      <c r="R17" s="23">
        <f>IF(表1_11[[#This Row],[中心]]="营销中心",VLOOKUP(表1_11[[#This Row],[职位]],表2[[话费补贴]:[营销中心]],2,0),VLOOKUP(表1_11[[#This Row],[职位]],表2[],3,0))</f>
        <v>0</v>
      </c>
      <c r="S17" s="23">
        <v>200</v>
      </c>
      <c r="T17" s="61">
        <f ca="1">ROUND(SUM(表1_11[[#This Row],[基本工资]],表1_11[[#This Row],[奖金]],表1_11[[#This Row],[全勤奖]:[防暑降温补贴]]),2)</f>
        <v>4215.6000000000004</v>
      </c>
      <c r="U17" s="62">
        <f ca="1">ROUND(表1_11[[#This Row],[税前应发总额]]*8%,2)</f>
        <v>337.25</v>
      </c>
      <c r="V17" s="62">
        <f ca="1">ROUND(表1_11[[#This Row],[税前应发总额]]*2%+3,2)</f>
        <v>87.31</v>
      </c>
      <c r="W17" s="62">
        <f ca="1">ROUND(表1_11[[#This Row],[税前应发总额]]*0.2%,2)</f>
        <v>8.43</v>
      </c>
      <c r="X17" s="62">
        <f ca="1">ROUND(表1_11[[#This Row],[税前应发总额]]*12%,2)</f>
        <v>505.87</v>
      </c>
      <c r="Y17" s="61">
        <f ca="1">ROUND(表1_11[[#This Row],[税前应发总额]]-SUM(表1_11[[#This Row],[养老保险]:[公积金]]),2)</f>
        <v>3276.74</v>
      </c>
      <c r="Z17" s="62">
        <f ca="1">ROUND(MAX((表1_11[[#This Row],[扣保险后工资金额]]-3500)*{3,10,20,25,30,35,45}%-{0,105,555,1005,2755,5505,13505},0),2)</f>
        <v>0</v>
      </c>
      <c r="AA17" s="63">
        <f ca="1">表1_11[[#This Row],[扣保险后工资金额]]-表1_11[[#This Row],[个人所得税]]</f>
        <v>3276.74</v>
      </c>
      <c r="AB17" s="53">
        <v>3420.65</v>
      </c>
      <c r="AC17" s="66">
        <f ca="1">(表1_11[[#This Row],[实发工资]]-表1_11[[#This Row],[上月对比]])/表1_11[[#This Row],[上月对比]]</f>
        <v>-4.2070951427360385E-2</v>
      </c>
      <c r="AD17" s="65" t="s">
        <v>1587</v>
      </c>
    </row>
    <row r="18" spans="1:30">
      <c r="A18" s="42" t="s">
        <v>575</v>
      </c>
      <c r="B18" s="40" t="s">
        <v>579</v>
      </c>
      <c r="C18" s="40" t="s">
        <v>609</v>
      </c>
      <c r="D18" s="40" t="s">
        <v>601</v>
      </c>
      <c r="E18" s="41" t="s">
        <v>1028</v>
      </c>
      <c r="F18" s="5" t="s">
        <v>14</v>
      </c>
      <c r="G18" s="25">
        <v>42241</v>
      </c>
      <c r="H18" s="5" t="s">
        <v>617</v>
      </c>
      <c r="I18" s="5">
        <f>VLOOKUP(MID(表1_11[[#This Row],[工资等级]],1,1),表12[],MATCH(MID(表1_11[[#This Row],[工资等级]],2,2),表12[[#Headers],[1]:[10]],0)+1,0)</f>
        <v>2500</v>
      </c>
      <c r="J18" s="5">
        <v>21.5</v>
      </c>
      <c r="K18" s="27">
        <v>0.89583333333333337</v>
      </c>
      <c r="L18" s="37">
        <f>IF(表1_11[[#This Row],[出勤率]]&gt;1,1,表1_11[[#This Row],[出勤率]])*表1_11[[#This Row],[岗位工资]]</f>
        <v>2239.5833333333335</v>
      </c>
      <c r="M18" s="5">
        <f>LOOKUP(表1_11[[#This Row],[岗位工资]],表13[lookup],表13[奖金比率])*表1_11[[#This Row],[岗位工资]]</f>
        <v>250</v>
      </c>
      <c r="N18" s="5">
        <v>92</v>
      </c>
      <c r="O18" s="38">
        <f>表1_11[[#This Row],[奖金等级]]*表1_11[[#This Row],[绩效得分]]/100</f>
        <v>230</v>
      </c>
      <c r="P18" s="5">
        <f>IF(表1_11[[#This Row],[出勤率]]&gt;=1,200,0)</f>
        <v>0</v>
      </c>
      <c r="Q18" s="23">
        <f t="shared" ca="1" si="0"/>
        <v>100</v>
      </c>
      <c r="R18" s="23">
        <f>IF(表1_11[[#This Row],[中心]]="营销中心",VLOOKUP(表1_11[[#This Row],[职位]],表2[[话费补贴]:[营销中心]],2,0),VLOOKUP(表1_11[[#This Row],[职位]],表2[],3,0))</f>
        <v>0</v>
      </c>
      <c r="S18" s="23">
        <v>200</v>
      </c>
      <c r="T18" s="61">
        <f ca="1">ROUND(SUM(表1_11[[#This Row],[基本工资]],表1_11[[#This Row],[奖金]],表1_11[[#This Row],[全勤奖]:[防暑降温补贴]]),2)</f>
        <v>2769.58</v>
      </c>
      <c r="U18" s="62">
        <f ca="1">ROUND(表1_11[[#This Row],[税前应发总额]]*8%,2)</f>
        <v>221.57</v>
      </c>
      <c r="V18" s="62">
        <f ca="1">ROUND(表1_11[[#This Row],[税前应发总额]]*2%+3,2)</f>
        <v>58.39</v>
      </c>
      <c r="W18" s="62">
        <f ca="1">ROUND(表1_11[[#This Row],[税前应发总额]]*0.2%,2)</f>
        <v>5.54</v>
      </c>
      <c r="X18" s="62">
        <f ca="1">ROUND(表1_11[[#This Row],[税前应发总额]]*12%,2)</f>
        <v>332.35</v>
      </c>
      <c r="Y18" s="61">
        <f ca="1">ROUND(表1_11[[#This Row],[税前应发总额]]-SUM(表1_11[[#This Row],[养老保险]:[公积金]]),2)</f>
        <v>2151.73</v>
      </c>
      <c r="Z18" s="62">
        <f ca="1">ROUND(MAX((表1_11[[#This Row],[扣保险后工资金额]]-3500)*{3,10,20,25,30,35,45}%-{0,105,555,1005,2755,5505,13505},0),2)</f>
        <v>0</v>
      </c>
      <c r="AA18" s="63">
        <f ca="1">表1_11[[#This Row],[扣保险后工资金额]]-表1_11[[#This Row],[个人所得税]]</f>
        <v>2151.73</v>
      </c>
      <c r="AB18" s="53">
        <v>1915.55</v>
      </c>
      <c r="AC18" s="66">
        <f ca="1">(表1_11[[#This Row],[实发工资]]-表1_11[[#This Row],[上月对比]])/表1_11[[#This Row],[上月对比]]</f>
        <v>0.12329618125342595</v>
      </c>
      <c r="AD18" s="65" t="s">
        <v>1587</v>
      </c>
    </row>
    <row r="19" spans="1:30">
      <c r="A19" s="42" t="s">
        <v>575</v>
      </c>
      <c r="B19" s="40" t="s">
        <v>579</v>
      </c>
      <c r="C19" s="40" t="s">
        <v>609</v>
      </c>
      <c r="D19" s="40" t="s">
        <v>601</v>
      </c>
      <c r="E19" s="41" t="s">
        <v>1029</v>
      </c>
      <c r="F19" s="5" t="s">
        <v>15</v>
      </c>
      <c r="G19" s="25">
        <v>39170</v>
      </c>
      <c r="H19" s="5" t="s">
        <v>618</v>
      </c>
      <c r="I19" s="5">
        <f>VLOOKUP(MID(表1_11[[#This Row],[工资等级]],1,1),表12[],MATCH(MID(表1_11[[#This Row],[工资等级]],2,2),表12[[#Headers],[1]:[10]],0)+1,0)</f>
        <v>3000</v>
      </c>
      <c r="J19" s="5">
        <v>23.5</v>
      </c>
      <c r="K19" s="27">
        <v>0.97916666666666663</v>
      </c>
      <c r="L19" s="37">
        <f>IF(表1_11[[#This Row],[出勤率]]&gt;1,1,表1_11[[#This Row],[出勤率]])*表1_11[[#This Row],[岗位工资]]</f>
        <v>2937.5</v>
      </c>
      <c r="M19" s="5">
        <f>LOOKUP(表1_11[[#This Row],[岗位工资]],表13[lookup],表13[奖金比率])*表1_11[[#This Row],[岗位工资]]</f>
        <v>300</v>
      </c>
      <c r="N19" s="5">
        <v>92</v>
      </c>
      <c r="O19" s="38">
        <f>表1_11[[#This Row],[奖金等级]]*表1_11[[#This Row],[绩效得分]]/100</f>
        <v>276</v>
      </c>
      <c r="P19" s="5">
        <f>IF(表1_11[[#This Row],[出勤率]]&gt;=1,200,0)</f>
        <v>0</v>
      </c>
      <c r="Q19" s="23">
        <f t="shared" ca="1" si="0"/>
        <v>500</v>
      </c>
      <c r="R19" s="23">
        <f>IF(表1_11[[#This Row],[中心]]="营销中心",VLOOKUP(表1_11[[#This Row],[职位]],表2[[话费补贴]:[营销中心]],2,0),VLOOKUP(表1_11[[#This Row],[职位]],表2[],3,0))</f>
        <v>0</v>
      </c>
      <c r="S19" s="23">
        <v>200</v>
      </c>
      <c r="T19" s="61">
        <f ca="1">ROUND(SUM(表1_11[[#This Row],[基本工资]],表1_11[[#This Row],[奖金]],表1_11[[#This Row],[全勤奖]:[防暑降温补贴]]),2)</f>
        <v>3913.5</v>
      </c>
      <c r="U19" s="62">
        <f ca="1">ROUND(表1_11[[#This Row],[税前应发总额]]*8%,2)</f>
        <v>313.08</v>
      </c>
      <c r="V19" s="62">
        <f ca="1">ROUND(表1_11[[#This Row],[税前应发总额]]*2%+3,2)</f>
        <v>81.27</v>
      </c>
      <c r="W19" s="62">
        <f ca="1">ROUND(表1_11[[#This Row],[税前应发总额]]*0.2%,2)</f>
        <v>7.83</v>
      </c>
      <c r="X19" s="62">
        <f ca="1">ROUND(表1_11[[#This Row],[税前应发总额]]*12%,2)</f>
        <v>469.62</v>
      </c>
      <c r="Y19" s="61">
        <f ca="1">ROUND(表1_11[[#This Row],[税前应发总额]]-SUM(表1_11[[#This Row],[养老保险]:[公积金]]),2)</f>
        <v>3041.7</v>
      </c>
      <c r="Z19" s="62">
        <f ca="1">ROUND(MAX((表1_11[[#This Row],[扣保险后工资金额]]-3500)*{3,10,20,25,30,35,45}%-{0,105,555,1005,2755,5505,13505},0),2)</f>
        <v>0</v>
      </c>
      <c r="AA19" s="63">
        <f ca="1">表1_11[[#This Row],[扣保险后工资金额]]-表1_11[[#This Row],[个人所得税]]</f>
        <v>3041.7</v>
      </c>
      <c r="AB19" s="53">
        <v>2702.96</v>
      </c>
      <c r="AC19" s="64">
        <f ca="1">(表1_11[[#This Row],[实发工资]]-表1_11[[#This Row],[上月对比]])/表1_11[[#This Row],[上月对比]]</f>
        <v>0.12532186935803702</v>
      </c>
      <c r="AD19" s="65" t="s">
        <v>1587</v>
      </c>
    </row>
    <row r="20" spans="1:30">
      <c r="A20" s="40" t="s">
        <v>619</v>
      </c>
      <c r="B20" s="40" t="s">
        <v>620</v>
      </c>
      <c r="C20" s="40" t="s">
        <v>608</v>
      </c>
      <c r="D20" s="40" t="s">
        <v>608</v>
      </c>
      <c r="E20" s="41" t="s">
        <v>1030</v>
      </c>
      <c r="F20" s="5" t="s">
        <v>16</v>
      </c>
      <c r="G20" s="25">
        <v>41695</v>
      </c>
      <c r="H20" s="5" t="s">
        <v>621</v>
      </c>
      <c r="I20" s="5">
        <f>VLOOKUP(MID(表1_11[[#This Row],[工资等级]],1,1),表12[],MATCH(MID(表1_11[[#This Row],[工资等级]],2,2),表12[[#Headers],[1]:[10]],0)+1,0)</f>
        <v>7500</v>
      </c>
      <c r="J20" s="5">
        <v>23</v>
      </c>
      <c r="K20" s="27">
        <v>0.95833333333333337</v>
      </c>
      <c r="L20" s="37">
        <f>IF(表1_11[[#This Row],[出勤率]]&gt;1,1,表1_11[[#This Row],[出勤率]])*表1_11[[#This Row],[岗位工资]]</f>
        <v>7187.5</v>
      </c>
      <c r="M20" s="5">
        <f>LOOKUP(表1_11[[#This Row],[岗位工资]],表13[lookup],表13[奖金比率])*表1_11[[#This Row],[岗位工资]]</f>
        <v>1500</v>
      </c>
      <c r="N20" s="5">
        <v>81</v>
      </c>
      <c r="O20" s="38">
        <f>表1_11[[#This Row],[奖金等级]]*表1_11[[#This Row],[绩效得分]]/100</f>
        <v>1215</v>
      </c>
      <c r="P20" s="5">
        <f>IF(表1_11[[#This Row],[出勤率]]&gt;=1,200,0)</f>
        <v>0</v>
      </c>
      <c r="Q20" s="23">
        <f t="shared" ca="1" si="0"/>
        <v>200</v>
      </c>
      <c r="R20" s="23">
        <f>IF(表1_11[[#This Row],[中心]]="营销中心",VLOOKUP(表1_11[[#This Row],[职位]],表2[[话费补贴]:[营销中心]],2,0),VLOOKUP(表1_11[[#This Row],[职位]],表2[],3,0))</f>
        <v>800</v>
      </c>
      <c r="S20" s="23">
        <v>200</v>
      </c>
      <c r="T20" s="61">
        <f ca="1">ROUND(SUM(表1_11[[#This Row],[基本工资]],表1_11[[#This Row],[奖金]],表1_11[[#This Row],[全勤奖]:[防暑降温补贴]]),2)</f>
        <v>9602.5</v>
      </c>
      <c r="U20" s="62">
        <f ca="1">ROUND(表1_11[[#This Row],[税前应发总额]]*8%,2)</f>
        <v>768.2</v>
      </c>
      <c r="V20" s="62">
        <f ca="1">ROUND(表1_11[[#This Row],[税前应发总额]]*2%+3,2)</f>
        <v>195.05</v>
      </c>
      <c r="W20" s="62">
        <f ca="1">ROUND(表1_11[[#This Row],[税前应发总额]]*0.2%,2)</f>
        <v>19.21</v>
      </c>
      <c r="X20" s="62">
        <f ca="1">ROUND(表1_11[[#This Row],[税前应发总额]]*12%,2)</f>
        <v>1152.3</v>
      </c>
      <c r="Y20" s="61">
        <f ca="1">ROUND(表1_11[[#This Row],[税前应发总额]]-SUM(表1_11[[#This Row],[养老保险]:[公积金]]),2)</f>
        <v>7467.74</v>
      </c>
      <c r="Z20" s="62">
        <f ca="1">ROUND(MAX((表1_11[[#This Row],[扣保险后工资金额]]-3500)*{3,10,20,25,30,35,45}%-{0,105,555,1005,2755,5505,13505},0),2)</f>
        <v>291.77</v>
      </c>
      <c r="AA20" s="63">
        <f ca="1">表1_11[[#This Row],[扣保险后工资金额]]-表1_11[[#This Row],[个人所得税]]</f>
        <v>7175.9699999999993</v>
      </c>
      <c r="AB20" s="53">
        <v>6132.19</v>
      </c>
      <c r="AC20" s="64">
        <f ca="1">(表1_11[[#This Row],[实发工资]]-表1_11[[#This Row],[上月对比]])/表1_11[[#This Row],[上月对比]]</f>
        <v>0.17021325170942189</v>
      </c>
      <c r="AD20" s="65" t="s">
        <v>1587</v>
      </c>
    </row>
    <row r="21" spans="1:30">
      <c r="A21" s="42" t="s">
        <v>576</v>
      </c>
      <c r="B21" s="40" t="s">
        <v>620</v>
      </c>
      <c r="C21" s="40" t="s">
        <v>603</v>
      </c>
      <c r="D21" s="40" t="s">
        <v>603</v>
      </c>
      <c r="E21" s="41" t="s">
        <v>1031</v>
      </c>
      <c r="F21" s="5" t="s">
        <v>17</v>
      </c>
      <c r="G21" s="25">
        <v>38476</v>
      </c>
      <c r="H21" s="5" t="s">
        <v>605</v>
      </c>
      <c r="I21" s="5">
        <f>VLOOKUP(MID(表1_11[[#This Row],[工资等级]],1,1),表12[],MATCH(MID(表1_11[[#This Row],[工资等级]],2,2),表12[[#Headers],[1]:[10]],0)+1,0)</f>
        <v>5000</v>
      </c>
      <c r="J21" s="5">
        <v>23</v>
      </c>
      <c r="K21" s="27">
        <v>0.95833333333333337</v>
      </c>
      <c r="L21" s="37">
        <f>IF(表1_11[[#This Row],[出勤率]]&gt;1,1,表1_11[[#This Row],[出勤率]])*表1_11[[#This Row],[岗位工资]]</f>
        <v>4791.666666666667</v>
      </c>
      <c r="M21" s="5">
        <f>LOOKUP(表1_11[[#This Row],[岗位工资]],表13[lookup],表13[奖金比率])*表1_11[[#This Row],[岗位工资]]</f>
        <v>750</v>
      </c>
      <c r="N21" s="5">
        <v>98</v>
      </c>
      <c r="O21" s="38">
        <f>表1_11[[#This Row],[奖金等级]]*表1_11[[#This Row],[绩效得分]]/100</f>
        <v>735</v>
      </c>
      <c r="P21" s="5">
        <f>IF(表1_11[[#This Row],[出勤率]]&gt;=1,200,0)</f>
        <v>0</v>
      </c>
      <c r="Q21" s="23">
        <f t="shared" ca="1" si="0"/>
        <v>500</v>
      </c>
      <c r="R21" s="23">
        <f>IF(表1_11[[#This Row],[中心]]="营销中心",VLOOKUP(表1_11[[#This Row],[职位]],表2[[话费补贴]:[营销中心]],2,0),VLOOKUP(表1_11[[#This Row],[职位]],表2[],3,0))</f>
        <v>500</v>
      </c>
      <c r="S21" s="23">
        <v>200</v>
      </c>
      <c r="T21" s="61">
        <f ca="1">ROUND(SUM(表1_11[[#This Row],[基本工资]],表1_11[[#This Row],[奖金]],表1_11[[#This Row],[全勤奖]:[防暑降温补贴]]),2)</f>
        <v>6726.67</v>
      </c>
      <c r="U21" s="62">
        <f ca="1">ROUND(表1_11[[#This Row],[税前应发总额]]*8%,2)</f>
        <v>538.13</v>
      </c>
      <c r="V21" s="62">
        <f ca="1">ROUND(表1_11[[#This Row],[税前应发总额]]*2%+3,2)</f>
        <v>137.53</v>
      </c>
      <c r="W21" s="62">
        <f ca="1">ROUND(表1_11[[#This Row],[税前应发总额]]*0.2%,2)</f>
        <v>13.45</v>
      </c>
      <c r="X21" s="62">
        <f ca="1">ROUND(表1_11[[#This Row],[税前应发总额]]*12%,2)</f>
        <v>807.2</v>
      </c>
      <c r="Y21" s="61">
        <f ca="1">ROUND(表1_11[[#This Row],[税前应发总额]]-SUM(表1_11[[#This Row],[养老保险]:[公积金]]),2)</f>
        <v>5230.3599999999997</v>
      </c>
      <c r="Z21" s="62">
        <f ca="1">ROUND(MAX((表1_11[[#This Row],[扣保险后工资金额]]-3500)*{3,10,20,25,30,35,45}%-{0,105,555,1005,2755,5505,13505},0),2)</f>
        <v>68.040000000000006</v>
      </c>
      <c r="AA21" s="63">
        <f ca="1">表1_11[[#This Row],[扣保险后工资金额]]-表1_11[[#This Row],[个人所得税]]</f>
        <v>5162.32</v>
      </c>
      <c r="AB21" s="53">
        <v>5123.7700000000004</v>
      </c>
      <c r="AC21" s="64">
        <f ca="1">(表1_11[[#This Row],[实发工资]]-表1_11[[#This Row],[上月对比]])/表1_11[[#This Row],[上月对比]]</f>
        <v>7.5237569211731338E-3</v>
      </c>
      <c r="AD21" s="65" t="s">
        <v>1587</v>
      </c>
    </row>
    <row r="22" spans="1:30">
      <c r="A22" s="42" t="s">
        <v>576</v>
      </c>
      <c r="B22" s="40" t="s">
        <v>620</v>
      </c>
      <c r="C22" s="40" t="s">
        <v>609</v>
      </c>
      <c r="D22" s="40" t="s">
        <v>601</v>
      </c>
      <c r="E22" s="41" t="s">
        <v>1032</v>
      </c>
      <c r="F22" s="5" t="s">
        <v>18</v>
      </c>
      <c r="G22" s="25">
        <v>39777</v>
      </c>
      <c r="H22" s="5" t="s">
        <v>610</v>
      </c>
      <c r="I22" s="5">
        <f>VLOOKUP(MID(表1_11[[#This Row],[工资等级]],1,1),表12[],MATCH(MID(表1_11[[#This Row],[工资等级]],2,2),表12[[#Headers],[1]:[10]],0)+1,0)</f>
        <v>3400</v>
      </c>
      <c r="J22" s="5">
        <v>24.5</v>
      </c>
      <c r="K22" s="27">
        <v>1.0208333333333333</v>
      </c>
      <c r="L22" s="37">
        <f>IF(表1_11[[#This Row],[出勤率]]&gt;1,1,表1_11[[#This Row],[出勤率]])*表1_11[[#This Row],[岗位工资]]</f>
        <v>3400</v>
      </c>
      <c r="M22" s="5">
        <f>LOOKUP(表1_11[[#This Row],[岗位工资]],表13[lookup],表13[奖金比率])*表1_11[[#This Row],[岗位工资]]</f>
        <v>340</v>
      </c>
      <c r="N22" s="5">
        <v>84</v>
      </c>
      <c r="O22" s="38">
        <f>表1_11[[#This Row],[奖金等级]]*表1_11[[#This Row],[绩效得分]]/100</f>
        <v>285.60000000000002</v>
      </c>
      <c r="P22" s="5">
        <f>IF(表1_11[[#This Row],[出勤率]]&gt;=1,200,0)</f>
        <v>200</v>
      </c>
      <c r="Q22" s="23">
        <f t="shared" ca="1" si="0"/>
        <v>450</v>
      </c>
      <c r="R22" s="23">
        <f>IF(表1_11[[#This Row],[中心]]="营销中心",VLOOKUP(表1_11[[#This Row],[职位]],表2[[话费补贴]:[营销中心]],2,0),VLOOKUP(表1_11[[#This Row],[职位]],表2[],3,0))</f>
        <v>0</v>
      </c>
      <c r="S22" s="23">
        <v>200</v>
      </c>
      <c r="T22" s="61">
        <f ca="1">ROUND(SUM(表1_11[[#This Row],[基本工资]],表1_11[[#This Row],[奖金]],表1_11[[#This Row],[全勤奖]:[防暑降温补贴]]),2)</f>
        <v>4535.6000000000004</v>
      </c>
      <c r="U22" s="62">
        <f ca="1">ROUND(表1_11[[#This Row],[税前应发总额]]*8%,2)</f>
        <v>362.85</v>
      </c>
      <c r="V22" s="62">
        <f ca="1">ROUND(表1_11[[#This Row],[税前应发总额]]*2%+3,2)</f>
        <v>93.71</v>
      </c>
      <c r="W22" s="62">
        <f ca="1">ROUND(表1_11[[#This Row],[税前应发总额]]*0.2%,2)</f>
        <v>9.07</v>
      </c>
      <c r="X22" s="62">
        <f ca="1">ROUND(表1_11[[#This Row],[税前应发总额]]*12%,2)</f>
        <v>544.27</v>
      </c>
      <c r="Y22" s="61">
        <f ca="1">ROUND(表1_11[[#This Row],[税前应发总额]]-SUM(表1_11[[#This Row],[养老保险]:[公积金]]),2)</f>
        <v>3525.7</v>
      </c>
      <c r="Z22" s="62">
        <f ca="1">ROUND(MAX((表1_11[[#This Row],[扣保险后工资金额]]-3500)*{3,10,20,25,30,35,45}%-{0,105,555,1005,2755,5505,13505},0),2)</f>
        <v>0.77</v>
      </c>
      <c r="AA22" s="63">
        <f ca="1">表1_11[[#This Row],[扣保险后工资金额]]-表1_11[[#This Row],[个人所得税]]</f>
        <v>3524.93</v>
      </c>
      <c r="AB22" s="53">
        <v>3585.95</v>
      </c>
      <c r="AC22" s="64">
        <f ca="1">(表1_11[[#This Row],[实发工资]]-表1_11[[#This Row],[上月对比]])/表1_11[[#This Row],[上月对比]]</f>
        <v>-1.7016411271768984E-2</v>
      </c>
      <c r="AD22" s="65" t="s">
        <v>1587</v>
      </c>
    </row>
    <row r="23" spans="1:30">
      <c r="A23" s="42" t="s">
        <v>576</v>
      </c>
      <c r="B23" s="40" t="s">
        <v>620</v>
      </c>
      <c r="C23" s="40" t="s">
        <v>609</v>
      </c>
      <c r="D23" s="40" t="s">
        <v>601</v>
      </c>
      <c r="E23" s="41" t="s">
        <v>1033</v>
      </c>
      <c r="F23" s="5" t="s">
        <v>19</v>
      </c>
      <c r="G23" s="25">
        <v>41426</v>
      </c>
      <c r="H23" s="5" t="s">
        <v>622</v>
      </c>
      <c r="I23" s="5">
        <f>VLOOKUP(MID(表1_11[[#This Row],[工资等级]],1,1),表12[],MATCH(MID(表1_11[[#This Row],[工资等级]],2,2),表12[[#Headers],[1]:[10]],0)+1,0)</f>
        <v>3600</v>
      </c>
      <c r="J23" s="5">
        <v>25.5</v>
      </c>
      <c r="K23" s="27">
        <v>1.0625</v>
      </c>
      <c r="L23" s="37">
        <f>IF(表1_11[[#This Row],[出勤率]]&gt;1,1,表1_11[[#This Row],[出勤率]])*表1_11[[#This Row],[岗位工资]]</f>
        <v>3600</v>
      </c>
      <c r="M23" s="5">
        <f>LOOKUP(表1_11[[#This Row],[岗位工资]],表13[lookup],表13[奖金比率])*表1_11[[#This Row],[岗位工资]]</f>
        <v>360</v>
      </c>
      <c r="N23" s="5">
        <v>86</v>
      </c>
      <c r="O23" s="38">
        <f>表1_11[[#This Row],[奖金等级]]*表1_11[[#This Row],[绩效得分]]/100</f>
        <v>309.60000000000002</v>
      </c>
      <c r="P23" s="5">
        <f>IF(表1_11[[#This Row],[出勤率]]&gt;=1,200,0)</f>
        <v>200</v>
      </c>
      <c r="Q23" s="23">
        <f t="shared" ca="1" si="0"/>
        <v>200</v>
      </c>
      <c r="R23" s="23">
        <f>IF(表1_11[[#This Row],[中心]]="营销中心",VLOOKUP(表1_11[[#This Row],[职位]],表2[[话费补贴]:[营销中心]],2,0),VLOOKUP(表1_11[[#This Row],[职位]],表2[],3,0))</f>
        <v>0</v>
      </c>
      <c r="S23" s="23">
        <v>200</v>
      </c>
      <c r="T23" s="61">
        <f ca="1">ROUND(SUM(表1_11[[#This Row],[基本工资]],表1_11[[#This Row],[奖金]],表1_11[[#This Row],[全勤奖]:[防暑降温补贴]]),2)</f>
        <v>4509.6000000000004</v>
      </c>
      <c r="U23" s="62">
        <f ca="1">ROUND(表1_11[[#This Row],[税前应发总额]]*8%,2)</f>
        <v>360.77</v>
      </c>
      <c r="V23" s="62">
        <f ca="1">ROUND(表1_11[[#This Row],[税前应发总额]]*2%+3,2)</f>
        <v>93.19</v>
      </c>
      <c r="W23" s="62">
        <f ca="1">ROUND(表1_11[[#This Row],[税前应发总额]]*0.2%,2)</f>
        <v>9.02</v>
      </c>
      <c r="X23" s="62">
        <f ca="1">ROUND(表1_11[[#This Row],[税前应发总额]]*12%,2)</f>
        <v>541.15</v>
      </c>
      <c r="Y23" s="61">
        <f ca="1">ROUND(表1_11[[#This Row],[税前应发总额]]-SUM(表1_11[[#This Row],[养老保险]:[公积金]]),2)</f>
        <v>3505.47</v>
      </c>
      <c r="Z23" s="62">
        <f ca="1">ROUND(MAX((表1_11[[#This Row],[扣保险后工资金额]]-3500)*{3,10,20,25,30,35,45}%-{0,105,555,1005,2755,5505,13505},0),2)</f>
        <v>0.16</v>
      </c>
      <c r="AA23" s="63">
        <f ca="1">表1_11[[#This Row],[扣保险后工资金额]]-表1_11[[#This Row],[个人所得税]]</f>
        <v>3505.31</v>
      </c>
      <c r="AB23" s="53">
        <v>3038.26</v>
      </c>
      <c r="AC23" s="64">
        <f ca="1">(表1_11[[#This Row],[实发工资]]-表1_11[[#This Row],[上月对比]])/表1_11[[#This Row],[上月对比]]</f>
        <v>0.15372285452857876</v>
      </c>
      <c r="AD23" s="65" t="s">
        <v>1587</v>
      </c>
    </row>
    <row r="24" spans="1:30">
      <c r="A24" s="42" t="s">
        <v>576</v>
      </c>
      <c r="B24" s="40" t="s">
        <v>620</v>
      </c>
      <c r="C24" s="40" t="s">
        <v>609</v>
      </c>
      <c r="D24" s="40" t="s">
        <v>601</v>
      </c>
      <c r="E24" s="41" t="s">
        <v>1034</v>
      </c>
      <c r="F24" s="5" t="s">
        <v>20</v>
      </c>
      <c r="G24" s="25">
        <v>41893</v>
      </c>
      <c r="H24" s="5" t="s">
        <v>623</v>
      </c>
      <c r="I24" s="5">
        <f>VLOOKUP(MID(表1_11[[#This Row],[工资等级]],1,1),表12[],MATCH(MID(表1_11[[#This Row],[工资等级]],2,2),表12[[#Headers],[1]:[10]],0)+1,0)</f>
        <v>3800</v>
      </c>
      <c r="J24" s="5">
        <v>21.5</v>
      </c>
      <c r="K24" s="27">
        <v>0.89583333333333337</v>
      </c>
      <c r="L24" s="37">
        <f>IF(表1_11[[#This Row],[出勤率]]&gt;1,1,表1_11[[#This Row],[出勤率]])*表1_11[[#This Row],[岗位工资]]</f>
        <v>3404.166666666667</v>
      </c>
      <c r="M24" s="5">
        <f>LOOKUP(表1_11[[#This Row],[岗位工资]],表13[lookup],表13[奖金比率])*表1_11[[#This Row],[岗位工资]]</f>
        <v>380</v>
      </c>
      <c r="N24" s="5">
        <v>100</v>
      </c>
      <c r="O24" s="38">
        <f>表1_11[[#This Row],[奖金等级]]*表1_11[[#This Row],[绩效得分]]/100</f>
        <v>380</v>
      </c>
      <c r="P24" s="5">
        <f>IF(表1_11[[#This Row],[出勤率]]&gt;=1,200,0)</f>
        <v>0</v>
      </c>
      <c r="Q24" s="23">
        <f t="shared" ca="1" si="0"/>
        <v>150</v>
      </c>
      <c r="R24" s="23">
        <f>IF(表1_11[[#This Row],[中心]]="营销中心",VLOOKUP(表1_11[[#This Row],[职位]],表2[[话费补贴]:[营销中心]],2,0),VLOOKUP(表1_11[[#This Row],[职位]],表2[],3,0))</f>
        <v>0</v>
      </c>
      <c r="S24" s="23">
        <v>200</v>
      </c>
      <c r="T24" s="61">
        <f ca="1">ROUND(SUM(表1_11[[#This Row],[基本工资]],表1_11[[#This Row],[奖金]],表1_11[[#This Row],[全勤奖]:[防暑降温补贴]]),2)</f>
        <v>4134.17</v>
      </c>
      <c r="U24" s="62">
        <f ca="1">ROUND(表1_11[[#This Row],[税前应发总额]]*8%,2)</f>
        <v>330.73</v>
      </c>
      <c r="V24" s="62">
        <f ca="1">ROUND(表1_11[[#This Row],[税前应发总额]]*2%+3,2)</f>
        <v>85.68</v>
      </c>
      <c r="W24" s="62">
        <f ca="1">ROUND(表1_11[[#This Row],[税前应发总额]]*0.2%,2)</f>
        <v>8.27</v>
      </c>
      <c r="X24" s="62">
        <f ca="1">ROUND(表1_11[[#This Row],[税前应发总额]]*12%,2)</f>
        <v>496.1</v>
      </c>
      <c r="Y24" s="61">
        <f ca="1">ROUND(表1_11[[#This Row],[税前应发总额]]-SUM(表1_11[[#This Row],[养老保险]:[公积金]]),2)</f>
        <v>3213.39</v>
      </c>
      <c r="Z24" s="62">
        <f ca="1">ROUND(MAX((表1_11[[#This Row],[扣保险后工资金额]]-3500)*{3,10,20,25,30,35,45}%-{0,105,555,1005,2755,5505,13505},0),2)</f>
        <v>0</v>
      </c>
      <c r="AA24" s="63">
        <f ca="1">表1_11[[#This Row],[扣保险后工资金额]]-表1_11[[#This Row],[个人所得税]]</f>
        <v>3213.39</v>
      </c>
      <c r="AB24" s="53">
        <v>3615.54</v>
      </c>
      <c r="AC24" s="64">
        <f ca="1">(表1_11[[#This Row],[实发工资]]-表1_11[[#This Row],[上月对比]])/表1_11[[#This Row],[上月对比]]</f>
        <v>-0.11122819827743576</v>
      </c>
      <c r="AD24" s="65" t="s">
        <v>1587</v>
      </c>
    </row>
    <row r="25" spans="1:30">
      <c r="A25" s="42" t="s">
        <v>576</v>
      </c>
      <c r="B25" s="40" t="s">
        <v>620</v>
      </c>
      <c r="C25" s="40" t="s">
        <v>609</v>
      </c>
      <c r="D25" s="40" t="s">
        <v>601</v>
      </c>
      <c r="E25" s="41" t="s">
        <v>1035</v>
      </c>
      <c r="F25" s="5" t="s">
        <v>21</v>
      </c>
      <c r="G25" s="25">
        <v>41060</v>
      </c>
      <c r="H25" s="5" t="s">
        <v>624</v>
      </c>
      <c r="I25" s="5">
        <f>VLOOKUP(MID(表1_11[[#This Row],[工资等级]],1,1),表12[],MATCH(MID(表1_11[[#This Row],[工资等级]],2,2),表12[[#Headers],[1]:[10]],0)+1,0)</f>
        <v>2800</v>
      </c>
      <c r="J25" s="5">
        <v>22</v>
      </c>
      <c r="K25" s="27">
        <v>0.91666666666666663</v>
      </c>
      <c r="L25" s="37">
        <f>IF(表1_11[[#This Row],[出勤率]]&gt;1,1,表1_11[[#This Row],[出勤率]])*表1_11[[#This Row],[岗位工资]]</f>
        <v>2566.6666666666665</v>
      </c>
      <c r="M25" s="5">
        <f>LOOKUP(表1_11[[#This Row],[岗位工资]],表13[lookup],表13[奖金比率])*表1_11[[#This Row],[岗位工资]]</f>
        <v>280</v>
      </c>
      <c r="N25" s="5">
        <v>80</v>
      </c>
      <c r="O25" s="38">
        <f>表1_11[[#This Row],[奖金等级]]*表1_11[[#This Row],[绩效得分]]/100</f>
        <v>224</v>
      </c>
      <c r="P25" s="5">
        <f>IF(表1_11[[#This Row],[出勤率]]&gt;=1,200,0)</f>
        <v>0</v>
      </c>
      <c r="Q25" s="23">
        <f t="shared" ca="1" si="0"/>
        <v>250</v>
      </c>
      <c r="R25" s="23">
        <f>IF(表1_11[[#This Row],[中心]]="营销中心",VLOOKUP(表1_11[[#This Row],[职位]],表2[[话费补贴]:[营销中心]],2,0),VLOOKUP(表1_11[[#This Row],[职位]],表2[],3,0))</f>
        <v>0</v>
      </c>
      <c r="S25" s="23">
        <v>200</v>
      </c>
      <c r="T25" s="61">
        <f ca="1">ROUND(SUM(表1_11[[#This Row],[基本工资]],表1_11[[#This Row],[奖金]],表1_11[[#This Row],[全勤奖]:[防暑降温补贴]]),2)</f>
        <v>3240.67</v>
      </c>
      <c r="U25" s="62">
        <f ca="1">ROUND(表1_11[[#This Row],[税前应发总额]]*8%,2)</f>
        <v>259.25</v>
      </c>
      <c r="V25" s="62">
        <f ca="1">ROUND(表1_11[[#This Row],[税前应发总额]]*2%+3,2)</f>
        <v>67.81</v>
      </c>
      <c r="W25" s="62">
        <f ca="1">ROUND(表1_11[[#This Row],[税前应发总额]]*0.2%,2)</f>
        <v>6.48</v>
      </c>
      <c r="X25" s="62">
        <f ca="1">ROUND(表1_11[[#This Row],[税前应发总额]]*12%,2)</f>
        <v>388.88</v>
      </c>
      <c r="Y25" s="61">
        <f ca="1">ROUND(表1_11[[#This Row],[税前应发总额]]-SUM(表1_11[[#This Row],[养老保险]:[公积金]]),2)</f>
        <v>2518.25</v>
      </c>
      <c r="Z25" s="62">
        <f ca="1">ROUND(MAX((表1_11[[#This Row],[扣保险后工资金额]]-3500)*{3,10,20,25,30,35,45}%-{0,105,555,1005,2755,5505,13505},0),2)</f>
        <v>0</v>
      </c>
      <c r="AA25" s="63">
        <f ca="1">表1_11[[#This Row],[扣保险后工资金额]]-表1_11[[#This Row],[个人所得税]]</f>
        <v>2518.25</v>
      </c>
      <c r="AB25" s="53">
        <v>2953.89</v>
      </c>
      <c r="AC25" s="64">
        <f ca="1">(表1_11[[#This Row],[实发工资]]-表1_11[[#This Row],[上月对比]])/表1_11[[#This Row],[上月对比]]</f>
        <v>-0.14748010250889501</v>
      </c>
      <c r="AD25" s="65" t="s">
        <v>1587</v>
      </c>
    </row>
    <row r="26" spans="1:30">
      <c r="A26" s="42" t="s">
        <v>576</v>
      </c>
      <c r="B26" s="42" t="s">
        <v>572</v>
      </c>
      <c r="C26" s="40" t="s">
        <v>596</v>
      </c>
      <c r="D26" s="40" t="s">
        <v>596</v>
      </c>
      <c r="E26" s="41" t="s">
        <v>1036</v>
      </c>
      <c r="F26" s="5" t="s">
        <v>22</v>
      </c>
      <c r="G26" s="25">
        <v>41143</v>
      </c>
      <c r="H26" s="5" t="s">
        <v>625</v>
      </c>
      <c r="I26" s="5">
        <f>VLOOKUP(MID(表1_11[[#This Row],[工资等级]],1,1),表12[],MATCH(MID(表1_11[[#This Row],[工资等级]],2,2),表12[[#Headers],[1]:[10]],0)+1,0)</f>
        <v>6000</v>
      </c>
      <c r="J26" s="5">
        <v>25.5</v>
      </c>
      <c r="K26" s="27">
        <v>1.0625</v>
      </c>
      <c r="L26" s="37">
        <f>IF(表1_11[[#This Row],[出勤率]]&gt;1,1,表1_11[[#This Row],[出勤率]])*表1_11[[#This Row],[岗位工资]]</f>
        <v>6000</v>
      </c>
      <c r="M26" s="5">
        <f>LOOKUP(表1_11[[#This Row],[岗位工资]],表13[lookup],表13[奖金比率])*表1_11[[#This Row],[岗位工资]]</f>
        <v>900</v>
      </c>
      <c r="N26" s="5">
        <v>98</v>
      </c>
      <c r="O26" s="38">
        <f>表1_11[[#This Row],[奖金等级]]*表1_11[[#This Row],[绩效得分]]/100</f>
        <v>882</v>
      </c>
      <c r="P26" s="5">
        <f>IF(表1_11[[#This Row],[出勤率]]&gt;=1,200,0)</f>
        <v>200</v>
      </c>
      <c r="Q26" s="23">
        <f t="shared" ca="1" si="0"/>
        <v>250</v>
      </c>
      <c r="R26" s="23">
        <f>IF(表1_11[[#This Row],[中心]]="营销中心",VLOOKUP(表1_11[[#This Row],[职位]],表2[[话费补贴]:[营销中心]],2,0),VLOOKUP(表1_11[[#This Row],[职位]],表2[],3,0))</f>
        <v>300</v>
      </c>
      <c r="S26" s="23">
        <v>200</v>
      </c>
      <c r="T26" s="61">
        <f ca="1">ROUND(SUM(表1_11[[#This Row],[基本工资]],表1_11[[#This Row],[奖金]],表1_11[[#This Row],[全勤奖]:[防暑降温补贴]]),2)</f>
        <v>7832</v>
      </c>
      <c r="U26" s="62">
        <f ca="1">ROUND(表1_11[[#This Row],[税前应发总额]]*8%,2)</f>
        <v>626.55999999999995</v>
      </c>
      <c r="V26" s="62">
        <f ca="1">ROUND(表1_11[[#This Row],[税前应发总额]]*2%+3,2)</f>
        <v>159.63999999999999</v>
      </c>
      <c r="W26" s="62">
        <f ca="1">ROUND(表1_11[[#This Row],[税前应发总额]]*0.2%,2)</f>
        <v>15.66</v>
      </c>
      <c r="X26" s="62">
        <f ca="1">ROUND(表1_11[[#This Row],[税前应发总额]]*12%,2)</f>
        <v>939.84</v>
      </c>
      <c r="Y26" s="61">
        <f ca="1">ROUND(表1_11[[#This Row],[税前应发总额]]-SUM(表1_11[[#This Row],[养老保险]:[公积金]]),2)</f>
        <v>6090.3</v>
      </c>
      <c r="Z26" s="62">
        <f ca="1">ROUND(MAX((表1_11[[#This Row],[扣保险后工资金额]]-3500)*{3,10,20,25,30,35,45}%-{0,105,555,1005,2755,5505,13505},0),2)</f>
        <v>154.03</v>
      </c>
      <c r="AA26" s="63">
        <f ca="1">表1_11[[#This Row],[扣保险后工资金额]]-表1_11[[#This Row],[个人所得税]]</f>
        <v>5936.27</v>
      </c>
      <c r="AB26" s="53">
        <v>6012.85</v>
      </c>
      <c r="AC26" s="64">
        <f ca="1">(表1_11[[#This Row],[实发工资]]-表1_11[[#This Row],[上月对比]])/表1_11[[#This Row],[上月对比]]</f>
        <v>-1.2736056944710066E-2</v>
      </c>
      <c r="AD26" s="65" t="s">
        <v>1587</v>
      </c>
    </row>
    <row r="27" spans="1:30">
      <c r="A27" s="42" t="s">
        <v>576</v>
      </c>
      <c r="B27" s="42" t="s">
        <v>572</v>
      </c>
      <c r="C27" s="40" t="s">
        <v>599</v>
      </c>
      <c r="D27" s="40" t="s">
        <v>626</v>
      </c>
      <c r="E27" s="41" t="s">
        <v>1037</v>
      </c>
      <c r="F27" s="5" t="s">
        <v>23</v>
      </c>
      <c r="G27" s="25">
        <v>42749</v>
      </c>
      <c r="H27" s="5" t="s">
        <v>610</v>
      </c>
      <c r="I27" s="5">
        <f>VLOOKUP(MID(表1_11[[#This Row],[工资等级]],1,1),表12[],MATCH(MID(表1_11[[#This Row],[工资等级]],2,2),表12[[#Headers],[1]:[10]],0)+1,0)</f>
        <v>3400</v>
      </c>
      <c r="J27" s="5">
        <v>23</v>
      </c>
      <c r="K27" s="27">
        <v>0.95833333333333337</v>
      </c>
      <c r="L27" s="37">
        <f>IF(表1_11[[#This Row],[出勤率]]&gt;1,1,表1_11[[#This Row],[出勤率]])*表1_11[[#This Row],[岗位工资]]</f>
        <v>3258.3333333333335</v>
      </c>
      <c r="M27" s="5">
        <f>LOOKUP(表1_11[[#This Row],[岗位工资]],表13[lookup],表13[奖金比率])*表1_11[[#This Row],[岗位工资]]</f>
        <v>340</v>
      </c>
      <c r="N27" s="5">
        <v>84</v>
      </c>
      <c r="O27" s="38">
        <f>表1_11[[#This Row],[奖金等级]]*表1_11[[#This Row],[绩效得分]]/100</f>
        <v>285.60000000000002</v>
      </c>
      <c r="P27" s="5">
        <f>IF(表1_11[[#This Row],[出勤率]]&gt;=1,200,0)</f>
        <v>0</v>
      </c>
      <c r="Q27" s="23">
        <f t="shared" ca="1" si="0"/>
        <v>50</v>
      </c>
      <c r="R27" s="23">
        <f>IF(表1_11[[#This Row],[中心]]="营销中心",VLOOKUP(表1_11[[#This Row],[职位]],表2[[话费补贴]:[营销中心]],2,0),VLOOKUP(表1_11[[#This Row],[职位]],表2[],3,0))</f>
        <v>0</v>
      </c>
      <c r="S27" s="23">
        <v>200</v>
      </c>
      <c r="T27" s="61">
        <f ca="1">ROUND(SUM(表1_11[[#This Row],[基本工资]],表1_11[[#This Row],[奖金]],表1_11[[#This Row],[全勤奖]:[防暑降温补贴]]),2)</f>
        <v>3793.93</v>
      </c>
      <c r="U27" s="62">
        <f ca="1">ROUND(表1_11[[#This Row],[税前应发总额]]*8%,2)</f>
        <v>303.51</v>
      </c>
      <c r="V27" s="62">
        <f ca="1">ROUND(表1_11[[#This Row],[税前应发总额]]*2%+3,2)</f>
        <v>78.88</v>
      </c>
      <c r="W27" s="62">
        <f ca="1">ROUND(表1_11[[#This Row],[税前应发总额]]*0.2%,2)</f>
        <v>7.59</v>
      </c>
      <c r="X27" s="62">
        <f ca="1">ROUND(表1_11[[#This Row],[税前应发总额]]*12%,2)</f>
        <v>455.27</v>
      </c>
      <c r="Y27" s="61">
        <f ca="1">ROUND(表1_11[[#This Row],[税前应发总额]]-SUM(表1_11[[#This Row],[养老保险]:[公积金]]),2)</f>
        <v>2948.68</v>
      </c>
      <c r="Z27" s="62">
        <f ca="1">ROUND(MAX((表1_11[[#This Row],[扣保险后工资金额]]-3500)*{3,10,20,25,30,35,45}%-{0,105,555,1005,2755,5505,13505},0),2)</f>
        <v>0</v>
      </c>
      <c r="AA27" s="63">
        <f ca="1">表1_11[[#This Row],[扣保险后工资金额]]-表1_11[[#This Row],[个人所得税]]</f>
        <v>2948.68</v>
      </c>
      <c r="AB27" s="53">
        <v>2901.84</v>
      </c>
      <c r="AC27" s="64">
        <f ca="1">(表1_11[[#This Row],[实发工资]]-表1_11[[#This Row],[上月对比]])/表1_11[[#This Row],[上月对比]]</f>
        <v>1.6141482645493786E-2</v>
      </c>
      <c r="AD27" s="65" t="s">
        <v>1587</v>
      </c>
    </row>
    <row r="28" spans="1:30">
      <c r="A28" s="42" t="s">
        <v>576</v>
      </c>
      <c r="B28" s="42" t="s">
        <v>627</v>
      </c>
      <c r="C28" s="40" t="s">
        <v>628</v>
      </c>
      <c r="D28" s="40" t="s">
        <v>629</v>
      </c>
      <c r="E28" s="41" t="s">
        <v>1038</v>
      </c>
      <c r="F28" s="5" t="s">
        <v>24</v>
      </c>
      <c r="G28" s="25">
        <v>39848</v>
      </c>
      <c r="H28" s="5" t="s">
        <v>617</v>
      </c>
      <c r="I28" s="5">
        <f>VLOOKUP(MID(表1_11[[#This Row],[工资等级]],1,1),表12[],MATCH(MID(表1_11[[#This Row],[工资等级]],2,2),表12[[#Headers],[1]:[10]],0)+1,0)</f>
        <v>2500</v>
      </c>
      <c r="J28" s="5">
        <v>22</v>
      </c>
      <c r="K28" s="27">
        <v>0.91666666666666663</v>
      </c>
      <c r="L28" s="37">
        <f>IF(表1_11[[#This Row],[出勤率]]&gt;1,1,表1_11[[#This Row],[出勤率]])*表1_11[[#This Row],[岗位工资]]</f>
        <v>2291.6666666666665</v>
      </c>
      <c r="M28" s="5">
        <f>LOOKUP(表1_11[[#This Row],[岗位工资]],表13[lookup],表13[奖金比率])*表1_11[[#This Row],[岗位工资]]</f>
        <v>250</v>
      </c>
      <c r="N28" s="5">
        <v>84</v>
      </c>
      <c r="O28" s="38">
        <f>表1_11[[#This Row],[奖金等级]]*表1_11[[#This Row],[绩效得分]]/100</f>
        <v>210</v>
      </c>
      <c r="P28" s="5">
        <f>IF(表1_11[[#This Row],[出勤率]]&gt;=1,200,0)</f>
        <v>0</v>
      </c>
      <c r="Q28" s="23">
        <f t="shared" ca="1" si="0"/>
        <v>450</v>
      </c>
      <c r="R28" s="23">
        <f>IF(表1_11[[#This Row],[中心]]="营销中心",VLOOKUP(表1_11[[#This Row],[职位]],表2[[话费补贴]:[营销中心]],2,0),VLOOKUP(表1_11[[#This Row],[职位]],表2[],3,0))</f>
        <v>0</v>
      </c>
      <c r="S28" s="23">
        <v>200</v>
      </c>
      <c r="T28" s="61">
        <f ca="1">ROUND(SUM(表1_11[[#This Row],[基本工资]],表1_11[[#This Row],[奖金]],表1_11[[#This Row],[全勤奖]:[防暑降温补贴]]),2)</f>
        <v>3151.67</v>
      </c>
      <c r="U28" s="62">
        <f ca="1">ROUND(表1_11[[#This Row],[税前应发总额]]*8%,2)</f>
        <v>252.13</v>
      </c>
      <c r="V28" s="62">
        <f ca="1">ROUND(表1_11[[#This Row],[税前应发总额]]*2%+3,2)</f>
        <v>66.03</v>
      </c>
      <c r="W28" s="62">
        <f ca="1">ROUND(表1_11[[#This Row],[税前应发总额]]*0.2%,2)</f>
        <v>6.3</v>
      </c>
      <c r="X28" s="62">
        <f ca="1">ROUND(表1_11[[#This Row],[税前应发总额]]*12%,2)</f>
        <v>378.2</v>
      </c>
      <c r="Y28" s="61">
        <f ca="1">ROUND(表1_11[[#This Row],[税前应发总额]]-SUM(表1_11[[#This Row],[养老保险]:[公积金]]),2)</f>
        <v>2449.0100000000002</v>
      </c>
      <c r="Z28" s="62">
        <f ca="1">ROUND(MAX((表1_11[[#This Row],[扣保险后工资金额]]-3500)*{3,10,20,25,30,35,45}%-{0,105,555,1005,2755,5505,13505},0),2)</f>
        <v>0</v>
      </c>
      <c r="AA28" s="63">
        <f ca="1">表1_11[[#This Row],[扣保险后工资金额]]-表1_11[[#This Row],[个人所得税]]</f>
        <v>2449.0100000000002</v>
      </c>
      <c r="AB28" s="53">
        <v>2895.81</v>
      </c>
      <c r="AC28" s="64">
        <f ca="1">(表1_11[[#This Row],[实发工资]]-表1_11[[#This Row],[上月对比]])/表1_11[[#This Row],[上月对比]]</f>
        <v>-0.15429189069724869</v>
      </c>
      <c r="AD28" s="65" t="s">
        <v>1587</v>
      </c>
    </row>
    <row r="29" spans="1:30">
      <c r="A29" s="42" t="s">
        <v>576</v>
      </c>
      <c r="B29" s="42" t="s">
        <v>572</v>
      </c>
      <c r="C29" s="40" t="s">
        <v>599</v>
      </c>
      <c r="D29" s="40" t="s">
        <v>626</v>
      </c>
      <c r="E29" s="41" t="s">
        <v>1039</v>
      </c>
      <c r="F29" s="5" t="s">
        <v>25</v>
      </c>
      <c r="G29" s="25">
        <v>40809</v>
      </c>
      <c r="H29" s="5" t="s">
        <v>630</v>
      </c>
      <c r="I29" s="5">
        <f>VLOOKUP(MID(表1_11[[#This Row],[工资等级]],1,1),表12[],MATCH(MID(表1_11[[#This Row],[工资等级]],2,2),表12[[#Headers],[1]:[10]],0)+1,0)</f>
        <v>2600</v>
      </c>
      <c r="J29" s="5">
        <v>24.5</v>
      </c>
      <c r="K29" s="27">
        <v>1.0208333333333333</v>
      </c>
      <c r="L29" s="37">
        <f>IF(表1_11[[#This Row],[出勤率]]&gt;1,1,表1_11[[#This Row],[出勤率]])*表1_11[[#This Row],[岗位工资]]</f>
        <v>2600</v>
      </c>
      <c r="M29" s="5">
        <f>LOOKUP(表1_11[[#This Row],[岗位工资]],表13[lookup],表13[奖金比率])*表1_11[[#This Row],[岗位工资]]</f>
        <v>260</v>
      </c>
      <c r="N29" s="5">
        <v>90</v>
      </c>
      <c r="O29" s="38">
        <f>表1_11[[#This Row],[奖金等级]]*表1_11[[#This Row],[绩效得分]]/100</f>
        <v>234</v>
      </c>
      <c r="P29" s="5">
        <f>IF(表1_11[[#This Row],[出勤率]]&gt;=1,200,0)</f>
        <v>200</v>
      </c>
      <c r="Q29" s="23">
        <f t="shared" ca="1" si="0"/>
        <v>300</v>
      </c>
      <c r="R29" s="23">
        <f>IF(表1_11[[#This Row],[中心]]="营销中心",VLOOKUP(表1_11[[#This Row],[职位]],表2[[话费补贴]:[营销中心]],2,0),VLOOKUP(表1_11[[#This Row],[职位]],表2[],3,0))</f>
        <v>0</v>
      </c>
      <c r="S29" s="23">
        <v>200</v>
      </c>
      <c r="T29" s="61">
        <f ca="1">ROUND(SUM(表1_11[[#This Row],[基本工资]],表1_11[[#This Row],[奖金]],表1_11[[#This Row],[全勤奖]:[防暑降温补贴]]),2)</f>
        <v>3534</v>
      </c>
      <c r="U29" s="62">
        <f ca="1">ROUND(表1_11[[#This Row],[税前应发总额]]*8%,2)</f>
        <v>282.72000000000003</v>
      </c>
      <c r="V29" s="62">
        <f ca="1">ROUND(表1_11[[#This Row],[税前应发总额]]*2%+3,2)</f>
        <v>73.680000000000007</v>
      </c>
      <c r="W29" s="62">
        <f ca="1">ROUND(表1_11[[#This Row],[税前应发总额]]*0.2%,2)</f>
        <v>7.07</v>
      </c>
      <c r="X29" s="62">
        <f ca="1">ROUND(表1_11[[#This Row],[税前应发总额]]*12%,2)</f>
        <v>424.08</v>
      </c>
      <c r="Y29" s="61">
        <f ca="1">ROUND(表1_11[[#This Row],[税前应发总额]]-SUM(表1_11[[#This Row],[养老保险]:[公积金]]),2)</f>
        <v>2746.45</v>
      </c>
      <c r="Z29" s="62">
        <f ca="1">ROUND(MAX((表1_11[[#This Row],[扣保险后工资金额]]-3500)*{3,10,20,25,30,35,45}%-{0,105,555,1005,2755,5505,13505},0),2)</f>
        <v>0</v>
      </c>
      <c r="AA29" s="63">
        <f ca="1">表1_11[[#This Row],[扣保险后工资金额]]-表1_11[[#This Row],[个人所得税]]</f>
        <v>2746.45</v>
      </c>
      <c r="AB29" s="53">
        <v>3009.8</v>
      </c>
      <c r="AC29" s="64">
        <f ca="1">(表1_11[[#This Row],[实发工资]]-表1_11[[#This Row],[上月对比]])/表1_11[[#This Row],[上月对比]]</f>
        <v>-8.7497508140075869E-2</v>
      </c>
      <c r="AD29" s="65" t="s">
        <v>1587</v>
      </c>
    </row>
    <row r="30" spans="1:30">
      <c r="A30" s="42" t="s">
        <v>631</v>
      </c>
      <c r="B30" s="42" t="s">
        <v>632</v>
      </c>
      <c r="C30" s="40" t="s">
        <v>588</v>
      </c>
      <c r="D30" s="40" t="s">
        <v>588</v>
      </c>
      <c r="E30" s="41" t="s">
        <v>1040</v>
      </c>
      <c r="F30" s="5" t="s">
        <v>26</v>
      </c>
      <c r="G30" s="25">
        <v>40307</v>
      </c>
      <c r="H30" s="5" t="s">
        <v>633</v>
      </c>
      <c r="I30" s="5">
        <f>VLOOKUP(MID(表1_11[[#This Row],[工资等级]],1,1),表12[],MATCH(MID(表1_11[[#This Row],[工资等级]],2,2),表12[[#Headers],[1]:[10]],0)+1,0)</f>
        <v>9000</v>
      </c>
      <c r="J30" s="5">
        <v>22.5</v>
      </c>
      <c r="K30" s="27">
        <v>0.9375</v>
      </c>
      <c r="L30" s="37">
        <f>IF(表1_11[[#This Row],[出勤率]]&gt;1,1,表1_11[[#This Row],[出勤率]])*表1_11[[#This Row],[岗位工资]]</f>
        <v>8437.5</v>
      </c>
      <c r="M30" s="5">
        <f>LOOKUP(表1_11[[#This Row],[岗位工资]],表13[lookup],表13[奖金比率])*表1_11[[#This Row],[岗位工资]]</f>
        <v>2250</v>
      </c>
      <c r="N30" s="5">
        <v>96</v>
      </c>
      <c r="O30" s="38">
        <f>表1_11[[#This Row],[奖金等级]]*表1_11[[#This Row],[绩效得分]]/100</f>
        <v>2160</v>
      </c>
      <c r="P30" s="5">
        <f>IF(表1_11[[#This Row],[出勤率]]&gt;=1,200,0)</f>
        <v>0</v>
      </c>
      <c r="Q30" s="23">
        <f t="shared" ca="1" si="0"/>
        <v>350</v>
      </c>
      <c r="R30" s="23">
        <f>IF(表1_11[[#This Row],[中心]]="营销中心",VLOOKUP(表1_11[[#This Row],[职位]],表2[[话费补贴]:[营销中心]],2,0),VLOOKUP(表1_11[[#This Row],[职位]],表2[],3,0))</f>
        <v>800</v>
      </c>
      <c r="S30" s="23">
        <v>200</v>
      </c>
      <c r="T30" s="61">
        <f ca="1">ROUND(SUM(表1_11[[#This Row],[基本工资]],表1_11[[#This Row],[奖金]],表1_11[[#This Row],[全勤奖]:[防暑降温补贴]]),2)</f>
        <v>11947.5</v>
      </c>
      <c r="U30" s="62">
        <f ca="1">ROUND(表1_11[[#This Row],[税前应发总额]]*8%,2)</f>
        <v>955.8</v>
      </c>
      <c r="V30" s="62">
        <f ca="1">ROUND(表1_11[[#This Row],[税前应发总额]]*2%+3,2)</f>
        <v>241.95</v>
      </c>
      <c r="W30" s="62">
        <f ca="1">ROUND(表1_11[[#This Row],[税前应发总额]]*0.2%,2)</f>
        <v>23.9</v>
      </c>
      <c r="X30" s="62">
        <f ca="1">ROUND(表1_11[[#This Row],[税前应发总额]]*12%,2)</f>
        <v>1433.7</v>
      </c>
      <c r="Y30" s="61">
        <f ca="1">ROUND(表1_11[[#This Row],[税前应发总额]]-SUM(表1_11[[#This Row],[养老保险]:[公积金]]),2)</f>
        <v>9292.15</v>
      </c>
      <c r="Z30" s="62">
        <f ca="1">ROUND(MAX((表1_11[[#This Row],[扣保险后工资金额]]-3500)*{3,10,20,25,30,35,45}%-{0,105,555,1005,2755,5505,13505},0),2)</f>
        <v>603.42999999999995</v>
      </c>
      <c r="AA30" s="63">
        <f ca="1">表1_11[[#This Row],[扣保险后工资金额]]-表1_11[[#This Row],[个人所得税]]</f>
        <v>8688.7199999999993</v>
      </c>
      <c r="AB30" s="53">
        <v>8786.6200000000008</v>
      </c>
      <c r="AC30" s="64">
        <f ca="1">(表1_11[[#This Row],[实发工资]]-表1_11[[#This Row],[上月对比]])/表1_11[[#This Row],[上月对比]]</f>
        <v>-1.1141940814556843E-2</v>
      </c>
      <c r="AD30" s="65" t="s">
        <v>1587</v>
      </c>
    </row>
    <row r="31" spans="1:30">
      <c r="A31" s="42" t="s">
        <v>631</v>
      </c>
      <c r="B31" s="42" t="s">
        <v>632</v>
      </c>
      <c r="C31" s="40" t="s">
        <v>592</v>
      </c>
      <c r="D31" s="40" t="s">
        <v>592</v>
      </c>
      <c r="E31" s="41" t="s">
        <v>1041</v>
      </c>
      <c r="F31" s="5" t="s">
        <v>27</v>
      </c>
      <c r="G31" s="25">
        <v>41168</v>
      </c>
      <c r="H31" s="5" t="s">
        <v>634</v>
      </c>
      <c r="I31" s="5">
        <f>VLOOKUP(MID(表1_11[[#This Row],[工资等级]],1,1),表12[],MATCH(MID(表1_11[[#This Row],[工资等级]],2,2),表12[[#Headers],[1]:[10]],0)+1,0)</f>
        <v>8000</v>
      </c>
      <c r="J31" s="5">
        <v>22.5</v>
      </c>
      <c r="K31" s="27">
        <v>0.9375</v>
      </c>
      <c r="L31" s="37">
        <f>IF(表1_11[[#This Row],[出勤率]]&gt;1,1,表1_11[[#This Row],[出勤率]])*表1_11[[#This Row],[岗位工资]]</f>
        <v>7500</v>
      </c>
      <c r="M31" s="5">
        <f>LOOKUP(表1_11[[#This Row],[岗位工资]],表13[lookup],表13[奖金比率])*表1_11[[#This Row],[岗位工资]]</f>
        <v>1600</v>
      </c>
      <c r="N31" s="5">
        <v>95</v>
      </c>
      <c r="O31" s="38">
        <f>表1_11[[#This Row],[奖金等级]]*表1_11[[#This Row],[绩效得分]]/100</f>
        <v>1520</v>
      </c>
      <c r="P31" s="5">
        <f>IF(表1_11[[#This Row],[出勤率]]&gt;=1,200,0)</f>
        <v>0</v>
      </c>
      <c r="Q31" s="23">
        <f t="shared" ca="1" si="0"/>
        <v>250</v>
      </c>
      <c r="R31" s="23">
        <f>IF(表1_11[[#This Row],[中心]]="营销中心",VLOOKUP(表1_11[[#This Row],[职位]],表2[[话费补贴]:[营销中心]],2,0),VLOOKUP(表1_11[[#This Row],[职位]],表2[],3,0))</f>
        <v>500</v>
      </c>
      <c r="S31" s="23">
        <v>200</v>
      </c>
      <c r="T31" s="61">
        <f ca="1">ROUND(SUM(表1_11[[#This Row],[基本工资]],表1_11[[#This Row],[奖金]],表1_11[[#This Row],[全勤奖]:[防暑降温补贴]]),2)</f>
        <v>9970</v>
      </c>
      <c r="U31" s="62">
        <f ca="1">ROUND(表1_11[[#This Row],[税前应发总额]]*8%,2)</f>
        <v>797.6</v>
      </c>
      <c r="V31" s="62">
        <f ca="1">ROUND(表1_11[[#This Row],[税前应发总额]]*2%+3,2)</f>
        <v>202.4</v>
      </c>
      <c r="W31" s="62">
        <f ca="1">ROUND(表1_11[[#This Row],[税前应发总额]]*0.2%,2)</f>
        <v>19.940000000000001</v>
      </c>
      <c r="X31" s="62">
        <f ca="1">ROUND(表1_11[[#This Row],[税前应发总额]]*12%,2)</f>
        <v>1196.4000000000001</v>
      </c>
      <c r="Y31" s="61">
        <f ca="1">ROUND(表1_11[[#This Row],[税前应发总额]]-SUM(表1_11[[#This Row],[养老保险]:[公积金]]),2)</f>
        <v>7753.66</v>
      </c>
      <c r="Z31" s="62">
        <f ca="1">ROUND(MAX((表1_11[[#This Row],[扣保险后工资金额]]-3500)*{3,10,20,25,30,35,45}%-{0,105,555,1005,2755,5505,13505},0),2)</f>
        <v>320.37</v>
      </c>
      <c r="AA31" s="63">
        <f ca="1">表1_11[[#This Row],[扣保险后工资金额]]-表1_11[[#This Row],[个人所得税]]</f>
        <v>7433.29</v>
      </c>
      <c r="AB31" s="53">
        <v>7252.65</v>
      </c>
      <c r="AC31" s="64">
        <f ca="1">(表1_11[[#This Row],[实发工资]]-表1_11[[#This Row],[上月对比]])/表1_11[[#This Row],[上月对比]]</f>
        <v>2.4906758219409502E-2</v>
      </c>
      <c r="AD31" s="65" t="s">
        <v>1587</v>
      </c>
    </row>
    <row r="32" spans="1:30">
      <c r="A32" s="42" t="s">
        <v>631</v>
      </c>
      <c r="B32" s="42" t="s">
        <v>632</v>
      </c>
      <c r="C32" s="40" t="s">
        <v>635</v>
      </c>
      <c r="D32" s="40" t="s">
        <v>636</v>
      </c>
      <c r="E32" s="41" t="s">
        <v>1042</v>
      </c>
      <c r="F32" s="5" t="s">
        <v>28</v>
      </c>
      <c r="G32" s="25">
        <v>39210</v>
      </c>
      <c r="H32" s="5" t="s">
        <v>600</v>
      </c>
      <c r="I32" s="5">
        <f>VLOOKUP(MID(表1_11[[#This Row],[工资等级]],1,1),表12[],MATCH(MID(表1_11[[#This Row],[工资等级]],2,2),表12[[#Headers],[1]:[10]],0)+1,0)</f>
        <v>7000</v>
      </c>
      <c r="J32" s="5">
        <v>27</v>
      </c>
      <c r="K32" s="27">
        <v>1.125</v>
      </c>
      <c r="L32" s="37">
        <f>IF(表1_11[[#This Row],[出勤率]]&gt;1,1,表1_11[[#This Row],[出勤率]])*表1_11[[#This Row],[岗位工资]]</f>
        <v>7000</v>
      </c>
      <c r="M32" s="5">
        <f>LOOKUP(表1_11[[#This Row],[岗位工资]],表13[lookup],表13[奖金比率])*表1_11[[#This Row],[岗位工资]]</f>
        <v>1400</v>
      </c>
      <c r="N32" s="5">
        <v>100</v>
      </c>
      <c r="O32" s="38">
        <f>表1_11[[#This Row],[奖金等级]]*表1_11[[#This Row],[绩效得分]]/100</f>
        <v>1400</v>
      </c>
      <c r="P32" s="5">
        <f>IF(表1_11[[#This Row],[出勤率]]&gt;=1,200,0)</f>
        <v>200</v>
      </c>
      <c r="Q32" s="23">
        <f t="shared" ca="1" si="0"/>
        <v>500</v>
      </c>
      <c r="R32" s="23">
        <f>IF(表1_11[[#This Row],[中心]]="营销中心",VLOOKUP(表1_11[[#This Row],[职位]],表2[[话费补贴]:[营销中心]],2,0),VLOOKUP(表1_11[[#This Row],[职位]],表2[],3,0))</f>
        <v>500</v>
      </c>
      <c r="S32" s="23">
        <v>200</v>
      </c>
      <c r="T32" s="61">
        <f ca="1">ROUND(SUM(表1_11[[#This Row],[基本工资]],表1_11[[#This Row],[奖金]],表1_11[[#This Row],[全勤奖]:[防暑降温补贴]]),2)</f>
        <v>9800</v>
      </c>
      <c r="U32" s="62">
        <f ca="1">ROUND(表1_11[[#This Row],[税前应发总额]]*8%,2)</f>
        <v>784</v>
      </c>
      <c r="V32" s="62">
        <f ca="1">ROUND(表1_11[[#This Row],[税前应发总额]]*2%+3,2)</f>
        <v>199</v>
      </c>
      <c r="W32" s="62">
        <f ca="1">ROUND(表1_11[[#This Row],[税前应发总额]]*0.2%,2)</f>
        <v>19.600000000000001</v>
      </c>
      <c r="X32" s="62">
        <f ca="1">ROUND(表1_11[[#This Row],[税前应发总额]]*12%,2)</f>
        <v>1176</v>
      </c>
      <c r="Y32" s="61">
        <f ca="1">ROUND(表1_11[[#This Row],[税前应发总额]]-SUM(表1_11[[#This Row],[养老保险]:[公积金]]),2)</f>
        <v>7621.4</v>
      </c>
      <c r="Z32" s="62">
        <f ca="1">ROUND(MAX((表1_11[[#This Row],[扣保险后工资金额]]-3500)*{3,10,20,25,30,35,45}%-{0,105,555,1005,2755,5505,13505},0),2)</f>
        <v>307.14</v>
      </c>
      <c r="AA32" s="63">
        <f ca="1">表1_11[[#This Row],[扣保险后工资金额]]-表1_11[[#This Row],[个人所得税]]</f>
        <v>7314.2599999999993</v>
      </c>
      <c r="AB32" s="53">
        <v>7406.75</v>
      </c>
      <c r="AC32" s="64">
        <f ca="1">(表1_11[[#This Row],[实发工资]]-表1_11[[#This Row],[上月对比]])/表1_11[[#This Row],[上月对比]]</f>
        <v>-1.2487258244169264E-2</v>
      </c>
      <c r="AD32" s="65" t="s">
        <v>1587</v>
      </c>
    </row>
    <row r="33" spans="1:30">
      <c r="A33" s="42" t="s">
        <v>631</v>
      </c>
      <c r="B33" s="42" t="s">
        <v>632</v>
      </c>
      <c r="C33" s="40" t="s">
        <v>596</v>
      </c>
      <c r="D33" s="40" t="s">
        <v>596</v>
      </c>
      <c r="E33" s="41" t="s">
        <v>1043</v>
      </c>
      <c r="F33" s="5" t="s">
        <v>29</v>
      </c>
      <c r="G33" s="25">
        <v>41856</v>
      </c>
      <c r="H33" s="5" t="s">
        <v>625</v>
      </c>
      <c r="I33" s="5">
        <f>VLOOKUP(MID(表1_11[[#This Row],[工资等级]],1,1),表12[],MATCH(MID(表1_11[[#This Row],[工资等级]],2,2),表12[[#Headers],[1]:[10]],0)+1,0)</f>
        <v>6000</v>
      </c>
      <c r="J33" s="5">
        <v>24.5</v>
      </c>
      <c r="K33" s="27">
        <v>1.0208333333333333</v>
      </c>
      <c r="L33" s="37">
        <f>IF(表1_11[[#This Row],[出勤率]]&gt;1,1,表1_11[[#This Row],[出勤率]])*表1_11[[#This Row],[岗位工资]]</f>
        <v>6000</v>
      </c>
      <c r="M33" s="5">
        <f>LOOKUP(表1_11[[#This Row],[岗位工资]],表13[lookup],表13[奖金比率])*表1_11[[#This Row],[岗位工资]]</f>
        <v>900</v>
      </c>
      <c r="N33" s="5">
        <v>84</v>
      </c>
      <c r="O33" s="38">
        <f>表1_11[[#This Row],[奖金等级]]*表1_11[[#This Row],[绩效得分]]/100</f>
        <v>756</v>
      </c>
      <c r="P33" s="5">
        <f>IF(表1_11[[#This Row],[出勤率]]&gt;=1,200,0)</f>
        <v>200</v>
      </c>
      <c r="Q33" s="23">
        <f t="shared" ca="1" si="0"/>
        <v>150</v>
      </c>
      <c r="R33" s="23">
        <f>IF(表1_11[[#This Row],[中心]]="营销中心",VLOOKUP(表1_11[[#This Row],[职位]],表2[[话费补贴]:[营销中心]],2,0),VLOOKUP(表1_11[[#This Row],[职位]],表2[],3,0))</f>
        <v>300</v>
      </c>
      <c r="S33" s="23">
        <v>200</v>
      </c>
      <c r="T33" s="61">
        <f ca="1">ROUND(SUM(表1_11[[#This Row],[基本工资]],表1_11[[#This Row],[奖金]],表1_11[[#This Row],[全勤奖]:[防暑降温补贴]]),2)</f>
        <v>7606</v>
      </c>
      <c r="U33" s="62">
        <f ca="1">ROUND(表1_11[[#This Row],[税前应发总额]]*8%,2)</f>
        <v>608.48</v>
      </c>
      <c r="V33" s="62">
        <f ca="1">ROUND(表1_11[[#This Row],[税前应发总额]]*2%+3,2)</f>
        <v>155.12</v>
      </c>
      <c r="W33" s="62">
        <f ca="1">ROUND(表1_11[[#This Row],[税前应发总额]]*0.2%,2)</f>
        <v>15.21</v>
      </c>
      <c r="X33" s="62">
        <f ca="1">ROUND(表1_11[[#This Row],[税前应发总额]]*12%,2)</f>
        <v>912.72</v>
      </c>
      <c r="Y33" s="61">
        <f ca="1">ROUND(表1_11[[#This Row],[税前应发总额]]-SUM(表1_11[[#This Row],[养老保险]:[公积金]]),2)</f>
        <v>5914.47</v>
      </c>
      <c r="Z33" s="62">
        <f ca="1">ROUND(MAX((表1_11[[#This Row],[扣保险后工资金额]]-3500)*{3,10,20,25,30,35,45}%-{0,105,555,1005,2755,5505,13505},0),2)</f>
        <v>136.44999999999999</v>
      </c>
      <c r="AA33" s="63">
        <f ca="1">表1_11[[#This Row],[扣保险后工资金额]]-表1_11[[#This Row],[个人所得税]]</f>
        <v>5778.02</v>
      </c>
      <c r="AB33" s="53">
        <v>5306.43</v>
      </c>
      <c r="AC33" s="64">
        <f ca="1">(表1_11[[#This Row],[实发工资]]-表1_11[[#This Row],[上月对比]])/表1_11[[#This Row],[上月对比]]</f>
        <v>8.8871425798512399E-2</v>
      </c>
      <c r="AD33" s="65" t="s">
        <v>1587</v>
      </c>
    </row>
    <row r="34" spans="1:30">
      <c r="A34" s="42" t="s">
        <v>631</v>
      </c>
      <c r="B34" s="42" t="s">
        <v>632</v>
      </c>
      <c r="C34" s="40" t="s">
        <v>596</v>
      </c>
      <c r="D34" s="40" t="s">
        <v>596</v>
      </c>
      <c r="E34" s="41" t="s">
        <v>1044</v>
      </c>
      <c r="F34" s="5" t="s">
        <v>30</v>
      </c>
      <c r="G34" s="25">
        <v>42741</v>
      </c>
      <c r="H34" s="5" t="s">
        <v>637</v>
      </c>
      <c r="I34" s="5">
        <f>VLOOKUP(MID(表1_11[[#This Row],[工资等级]],1,1),表12[],MATCH(MID(表1_11[[#This Row],[工资等级]],2,2),表12[[#Headers],[1]:[10]],0)+1,0)</f>
        <v>4000</v>
      </c>
      <c r="J34" s="5">
        <v>23</v>
      </c>
      <c r="K34" s="27">
        <v>0.95833333333333337</v>
      </c>
      <c r="L34" s="37">
        <f>IF(表1_11[[#This Row],[出勤率]]&gt;1,1,表1_11[[#This Row],[出勤率]])*表1_11[[#This Row],[岗位工资]]</f>
        <v>3833.3333333333335</v>
      </c>
      <c r="M34" s="5">
        <f>LOOKUP(表1_11[[#This Row],[岗位工资]],表13[lookup],表13[奖金比率])*表1_11[[#This Row],[岗位工资]]</f>
        <v>600</v>
      </c>
      <c r="N34" s="5">
        <v>84</v>
      </c>
      <c r="O34" s="38">
        <f>表1_11[[#This Row],[奖金等级]]*表1_11[[#This Row],[绩效得分]]/100</f>
        <v>504</v>
      </c>
      <c r="P34" s="5">
        <f>IF(表1_11[[#This Row],[出勤率]]&gt;=1,200,0)</f>
        <v>0</v>
      </c>
      <c r="Q34" s="23">
        <f t="shared" ca="1" si="0"/>
        <v>50</v>
      </c>
      <c r="R34" s="23">
        <f>IF(表1_11[[#This Row],[中心]]="营销中心",VLOOKUP(表1_11[[#This Row],[职位]],表2[[话费补贴]:[营销中心]],2,0),VLOOKUP(表1_11[[#This Row],[职位]],表2[],3,0))</f>
        <v>300</v>
      </c>
      <c r="S34" s="23">
        <v>200</v>
      </c>
      <c r="T34" s="61">
        <f ca="1">ROUND(SUM(表1_11[[#This Row],[基本工资]],表1_11[[#This Row],[奖金]],表1_11[[#This Row],[全勤奖]:[防暑降温补贴]]),2)</f>
        <v>4887.33</v>
      </c>
      <c r="U34" s="62">
        <f ca="1">ROUND(表1_11[[#This Row],[税前应发总额]]*8%,2)</f>
        <v>390.99</v>
      </c>
      <c r="V34" s="62">
        <f ca="1">ROUND(表1_11[[#This Row],[税前应发总额]]*2%+3,2)</f>
        <v>100.75</v>
      </c>
      <c r="W34" s="62">
        <f ca="1">ROUND(表1_11[[#This Row],[税前应发总额]]*0.2%,2)</f>
        <v>9.77</v>
      </c>
      <c r="X34" s="62">
        <f ca="1">ROUND(表1_11[[#This Row],[税前应发总额]]*12%,2)</f>
        <v>586.48</v>
      </c>
      <c r="Y34" s="61">
        <f ca="1">ROUND(表1_11[[#This Row],[税前应发总额]]-SUM(表1_11[[#This Row],[养老保险]:[公积金]]),2)</f>
        <v>3799.34</v>
      </c>
      <c r="Z34" s="62">
        <f ca="1">ROUND(MAX((表1_11[[#This Row],[扣保险后工资金额]]-3500)*{3,10,20,25,30,35,45}%-{0,105,555,1005,2755,5505,13505},0),2)</f>
        <v>8.98</v>
      </c>
      <c r="AA34" s="63">
        <f ca="1">表1_11[[#This Row],[扣保险后工资金额]]-表1_11[[#This Row],[个人所得税]]</f>
        <v>3790.36</v>
      </c>
      <c r="AB34" s="53">
        <v>4437.08</v>
      </c>
      <c r="AC34" s="64">
        <f ca="1">(表1_11[[#This Row],[实发工资]]-表1_11[[#This Row],[上月对比]])/表1_11[[#This Row],[上月对比]]</f>
        <v>-0.14575351357198874</v>
      </c>
      <c r="AD34" s="65" t="s">
        <v>1587</v>
      </c>
    </row>
    <row r="35" spans="1:30">
      <c r="A35" s="42" t="s">
        <v>631</v>
      </c>
      <c r="B35" s="42" t="s">
        <v>632</v>
      </c>
      <c r="C35" s="40" t="s">
        <v>638</v>
      </c>
      <c r="D35" s="40" t="s">
        <v>639</v>
      </c>
      <c r="E35" s="41" t="s">
        <v>1045</v>
      </c>
      <c r="F35" s="5" t="s">
        <v>31</v>
      </c>
      <c r="G35" s="25">
        <v>40910</v>
      </c>
      <c r="H35" s="5" t="s">
        <v>630</v>
      </c>
      <c r="I35" s="5">
        <f>VLOOKUP(MID(表1_11[[#This Row],[工资等级]],1,1),表12[],MATCH(MID(表1_11[[#This Row],[工资等级]],2,2),表12[[#Headers],[1]:[10]],0)+1,0)</f>
        <v>2600</v>
      </c>
      <c r="J35" s="5">
        <v>26</v>
      </c>
      <c r="K35" s="27">
        <v>1.0833333333333333</v>
      </c>
      <c r="L35" s="37">
        <f>IF(表1_11[[#This Row],[出勤率]]&gt;1,1,表1_11[[#This Row],[出勤率]])*表1_11[[#This Row],[岗位工资]]</f>
        <v>2600</v>
      </c>
      <c r="M35" s="5">
        <f>LOOKUP(表1_11[[#This Row],[岗位工资]],表13[lookup],表13[奖金比率])*表1_11[[#This Row],[岗位工资]]</f>
        <v>260</v>
      </c>
      <c r="N35" s="5">
        <v>90</v>
      </c>
      <c r="O35" s="38">
        <f>表1_11[[#This Row],[奖金等级]]*表1_11[[#This Row],[绩效得分]]/100</f>
        <v>234</v>
      </c>
      <c r="P35" s="5">
        <f>IF(表1_11[[#This Row],[出勤率]]&gt;=1,200,0)</f>
        <v>200</v>
      </c>
      <c r="Q35" s="23">
        <f t="shared" ca="1" si="0"/>
        <v>300</v>
      </c>
      <c r="R35" s="23">
        <f>IF(表1_11[[#This Row],[中心]]="营销中心",VLOOKUP(表1_11[[#This Row],[职位]],表2[[话费补贴]:[营销中心]],2,0),VLOOKUP(表1_11[[#This Row],[职位]],表2[],3,0))</f>
        <v>0</v>
      </c>
      <c r="S35" s="23">
        <v>200</v>
      </c>
      <c r="T35" s="61">
        <f ca="1">ROUND(SUM(表1_11[[#This Row],[基本工资]],表1_11[[#This Row],[奖金]],表1_11[[#This Row],[全勤奖]:[防暑降温补贴]]),2)</f>
        <v>3534</v>
      </c>
      <c r="U35" s="62">
        <f ca="1">ROUND(表1_11[[#This Row],[税前应发总额]]*8%,2)</f>
        <v>282.72000000000003</v>
      </c>
      <c r="V35" s="62">
        <f ca="1">ROUND(表1_11[[#This Row],[税前应发总额]]*2%+3,2)</f>
        <v>73.680000000000007</v>
      </c>
      <c r="W35" s="62">
        <f ca="1">ROUND(表1_11[[#This Row],[税前应发总额]]*0.2%,2)</f>
        <v>7.07</v>
      </c>
      <c r="X35" s="62">
        <f ca="1">ROUND(表1_11[[#This Row],[税前应发总额]]*12%,2)</f>
        <v>424.08</v>
      </c>
      <c r="Y35" s="61">
        <f ca="1">ROUND(表1_11[[#This Row],[税前应发总额]]-SUM(表1_11[[#This Row],[养老保险]:[公积金]]),2)</f>
        <v>2746.45</v>
      </c>
      <c r="Z35" s="62">
        <f ca="1">ROUND(MAX((表1_11[[#This Row],[扣保险后工资金额]]-3500)*{3,10,20,25,30,35,45}%-{0,105,555,1005,2755,5505,13505},0),2)</f>
        <v>0</v>
      </c>
      <c r="AA35" s="63">
        <f ca="1">表1_11[[#This Row],[扣保险后工资金额]]-表1_11[[#This Row],[个人所得税]]</f>
        <v>2746.45</v>
      </c>
      <c r="AB35" s="53">
        <v>3165.47</v>
      </c>
      <c r="AC35" s="64">
        <f ca="1">(表1_11[[#This Row],[实发工资]]-表1_11[[#This Row],[上月对比]])/表1_11[[#This Row],[上月对比]]</f>
        <v>-0.13237212799363127</v>
      </c>
      <c r="AD35" s="65" t="s">
        <v>1587</v>
      </c>
    </row>
    <row r="36" spans="1:30">
      <c r="A36" s="42" t="s">
        <v>631</v>
      </c>
      <c r="B36" s="42" t="s">
        <v>632</v>
      </c>
      <c r="C36" s="40" t="s">
        <v>640</v>
      </c>
      <c r="D36" s="40" t="s">
        <v>641</v>
      </c>
      <c r="E36" s="41" t="s">
        <v>1046</v>
      </c>
      <c r="F36" s="5" t="s">
        <v>32</v>
      </c>
      <c r="G36" s="25">
        <v>39663</v>
      </c>
      <c r="H36" s="5" t="s">
        <v>617</v>
      </c>
      <c r="I36" s="5">
        <f>VLOOKUP(MID(表1_11[[#This Row],[工资等级]],1,1),表12[],MATCH(MID(表1_11[[#This Row],[工资等级]],2,2),表12[[#Headers],[1]:[10]],0)+1,0)</f>
        <v>2500</v>
      </c>
      <c r="J36" s="5">
        <v>23.5</v>
      </c>
      <c r="K36" s="27">
        <v>0.97916666666666663</v>
      </c>
      <c r="L36" s="37">
        <f>IF(表1_11[[#This Row],[出勤率]]&gt;1,1,表1_11[[#This Row],[出勤率]])*表1_11[[#This Row],[岗位工资]]</f>
        <v>2447.9166666666665</v>
      </c>
      <c r="M36" s="5">
        <f>LOOKUP(表1_11[[#This Row],[岗位工资]],表13[lookup],表13[奖金比率])*表1_11[[#This Row],[岗位工资]]</f>
        <v>250</v>
      </c>
      <c r="N36" s="5">
        <v>91</v>
      </c>
      <c r="O36" s="38">
        <f>表1_11[[#This Row],[奖金等级]]*表1_11[[#This Row],[绩效得分]]/100</f>
        <v>227.5</v>
      </c>
      <c r="P36" s="5">
        <f>IF(表1_11[[#This Row],[出勤率]]&gt;=1,200,0)</f>
        <v>0</v>
      </c>
      <c r="Q36" s="23">
        <f t="shared" ca="1" si="0"/>
        <v>450</v>
      </c>
      <c r="R36" s="23">
        <f>IF(表1_11[[#This Row],[中心]]="营销中心",VLOOKUP(表1_11[[#This Row],[职位]],表2[[话费补贴]:[营销中心]],2,0),VLOOKUP(表1_11[[#This Row],[职位]],表2[],3,0))</f>
        <v>0</v>
      </c>
      <c r="S36" s="23">
        <v>200</v>
      </c>
      <c r="T36" s="61">
        <f ca="1">ROUND(SUM(表1_11[[#This Row],[基本工资]],表1_11[[#This Row],[奖金]],表1_11[[#This Row],[全勤奖]:[防暑降温补贴]]),2)</f>
        <v>3325.42</v>
      </c>
      <c r="U36" s="62">
        <f ca="1">ROUND(表1_11[[#This Row],[税前应发总额]]*8%,2)</f>
        <v>266.02999999999997</v>
      </c>
      <c r="V36" s="62">
        <f ca="1">ROUND(表1_11[[#This Row],[税前应发总额]]*2%+3,2)</f>
        <v>69.510000000000005</v>
      </c>
      <c r="W36" s="62">
        <f ca="1">ROUND(表1_11[[#This Row],[税前应发总额]]*0.2%,2)</f>
        <v>6.65</v>
      </c>
      <c r="X36" s="62">
        <f ca="1">ROUND(表1_11[[#This Row],[税前应发总额]]*12%,2)</f>
        <v>399.05</v>
      </c>
      <c r="Y36" s="61">
        <f ca="1">ROUND(表1_11[[#This Row],[税前应发总额]]-SUM(表1_11[[#This Row],[养老保险]:[公积金]]),2)</f>
        <v>2584.1799999999998</v>
      </c>
      <c r="Z36" s="62">
        <f ca="1">ROUND(MAX((表1_11[[#This Row],[扣保险后工资金额]]-3500)*{3,10,20,25,30,35,45}%-{0,105,555,1005,2755,5505,13505},0),2)</f>
        <v>0</v>
      </c>
      <c r="AA36" s="63">
        <f ca="1">表1_11[[#This Row],[扣保险后工资金额]]-表1_11[[#This Row],[个人所得税]]</f>
        <v>2584.1799999999998</v>
      </c>
      <c r="AB36" s="53">
        <v>3003.43</v>
      </c>
      <c r="AC36" s="64">
        <f ca="1">(表1_11[[#This Row],[实发工资]]-表1_11[[#This Row],[上月对比]])/表1_11[[#This Row],[上月对比]]</f>
        <v>-0.1395904016407907</v>
      </c>
      <c r="AD36" s="65" t="s">
        <v>1587</v>
      </c>
    </row>
    <row r="37" spans="1:30">
      <c r="A37" s="42" t="s">
        <v>631</v>
      </c>
      <c r="B37" s="42" t="s">
        <v>632</v>
      </c>
      <c r="C37" s="40" t="s">
        <v>642</v>
      </c>
      <c r="D37" s="40" t="s">
        <v>643</v>
      </c>
      <c r="E37" s="41" t="s">
        <v>1047</v>
      </c>
      <c r="F37" s="5" t="s">
        <v>33</v>
      </c>
      <c r="G37" s="25">
        <v>42566</v>
      </c>
      <c r="H37" s="5" t="s">
        <v>610</v>
      </c>
      <c r="I37" s="5">
        <f>VLOOKUP(MID(表1_11[[#This Row],[工资等级]],1,1),表12[],MATCH(MID(表1_11[[#This Row],[工资等级]],2,2),表12[[#Headers],[1]:[10]],0)+1,0)</f>
        <v>3400</v>
      </c>
      <c r="J37" s="5">
        <v>21.5</v>
      </c>
      <c r="K37" s="27">
        <v>0.89583333333333337</v>
      </c>
      <c r="L37" s="37">
        <f>IF(表1_11[[#This Row],[出勤率]]&gt;1,1,表1_11[[#This Row],[出勤率]])*表1_11[[#This Row],[岗位工资]]</f>
        <v>3045.8333333333335</v>
      </c>
      <c r="M37" s="5">
        <f>LOOKUP(表1_11[[#This Row],[岗位工资]],表13[lookup],表13[奖金比率])*表1_11[[#This Row],[岗位工资]]</f>
        <v>340</v>
      </c>
      <c r="N37" s="5">
        <v>81</v>
      </c>
      <c r="O37" s="38">
        <f>表1_11[[#This Row],[奖金等级]]*表1_11[[#This Row],[绩效得分]]/100</f>
        <v>275.39999999999998</v>
      </c>
      <c r="P37" s="5">
        <f>IF(表1_11[[#This Row],[出勤率]]&gt;=1,200,0)</f>
        <v>0</v>
      </c>
      <c r="Q37" s="23">
        <f t="shared" ca="1" si="0"/>
        <v>50</v>
      </c>
      <c r="R37" s="23">
        <f>IF(表1_11[[#This Row],[中心]]="营销中心",VLOOKUP(表1_11[[#This Row],[职位]],表2[[话费补贴]:[营销中心]],2,0),VLOOKUP(表1_11[[#This Row],[职位]],表2[],3,0))</f>
        <v>0</v>
      </c>
      <c r="S37" s="23">
        <v>200</v>
      </c>
      <c r="T37" s="61">
        <f ca="1">ROUND(SUM(表1_11[[#This Row],[基本工资]],表1_11[[#This Row],[奖金]],表1_11[[#This Row],[全勤奖]:[防暑降温补贴]]),2)</f>
        <v>3571.23</v>
      </c>
      <c r="U37" s="62">
        <f ca="1">ROUND(表1_11[[#This Row],[税前应发总额]]*8%,2)</f>
        <v>285.7</v>
      </c>
      <c r="V37" s="62">
        <f ca="1">ROUND(表1_11[[#This Row],[税前应发总额]]*2%+3,2)</f>
        <v>74.42</v>
      </c>
      <c r="W37" s="62">
        <f ca="1">ROUND(表1_11[[#This Row],[税前应发总额]]*0.2%,2)</f>
        <v>7.14</v>
      </c>
      <c r="X37" s="62">
        <f ca="1">ROUND(表1_11[[#This Row],[税前应发总额]]*12%,2)</f>
        <v>428.55</v>
      </c>
      <c r="Y37" s="61">
        <f ca="1">ROUND(表1_11[[#This Row],[税前应发总额]]-SUM(表1_11[[#This Row],[养老保险]:[公积金]]),2)</f>
        <v>2775.42</v>
      </c>
      <c r="Z37" s="62">
        <f ca="1">ROUND(MAX((表1_11[[#This Row],[扣保险后工资金额]]-3500)*{3,10,20,25,30,35,45}%-{0,105,555,1005,2755,5505,13505},0),2)</f>
        <v>0</v>
      </c>
      <c r="AA37" s="63">
        <f ca="1">表1_11[[#This Row],[扣保险后工资金额]]-表1_11[[#This Row],[个人所得税]]</f>
        <v>2775.42</v>
      </c>
      <c r="AB37" s="53">
        <v>3256.46</v>
      </c>
      <c r="AC37" s="64">
        <f ca="1">(表1_11[[#This Row],[实发工资]]-表1_11[[#This Row],[上月对比]])/表1_11[[#This Row],[上月对比]]</f>
        <v>-0.14771868839168911</v>
      </c>
      <c r="AD37" s="65" t="s">
        <v>1587</v>
      </c>
    </row>
    <row r="38" spans="1:30">
      <c r="A38" s="42" t="s">
        <v>631</v>
      </c>
      <c r="B38" s="42" t="s">
        <v>632</v>
      </c>
      <c r="C38" s="40" t="s">
        <v>599</v>
      </c>
      <c r="D38" s="40" t="s">
        <v>626</v>
      </c>
      <c r="E38" s="41" t="s">
        <v>1048</v>
      </c>
      <c r="F38" s="5" t="s">
        <v>34</v>
      </c>
      <c r="G38" s="25">
        <v>40989</v>
      </c>
      <c r="H38" s="5" t="s">
        <v>610</v>
      </c>
      <c r="I38" s="5">
        <f>VLOOKUP(MID(表1_11[[#This Row],[工资等级]],1,1),表12[],MATCH(MID(表1_11[[#This Row],[工资等级]],2,2),表12[[#Headers],[1]:[10]],0)+1,0)</f>
        <v>3400</v>
      </c>
      <c r="J38" s="5">
        <v>22</v>
      </c>
      <c r="K38" s="27">
        <v>0.91666666666666663</v>
      </c>
      <c r="L38" s="37">
        <f>IF(表1_11[[#This Row],[出勤率]]&gt;1,1,表1_11[[#This Row],[出勤率]])*表1_11[[#This Row],[岗位工资]]</f>
        <v>3116.6666666666665</v>
      </c>
      <c r="M38" s="5">
        <f>LOOKUP(表1_11[[#This Row],[岗位工资]],表13[lookup],表13[奖金比率])*表1_11[[#This Row],[岗位工资]]</f>
        <v>340</v>
      </c>
      <c r="N38" s="5">
        <v>80</v>
      </c>
      <c r="O38" s="38">
        <f>表1_11[[#This Row],[奖金等级]]*表1_11[[#This Row],[绩效得分]]/100</f>
        <v>272</v>
      </c>
      <c r="P38" s="5">
        <f>IF(表1_11[[#This Row],[出勤率]]&gt;=1,200,0)</f>
        <v>0</v>
      </c>
      <c r="Q38" s="23">
        <f t="shared" ca="1" si="0"/>
        <v>250</v>
      </c>
      <c r="R38" s="23">
        <f>IF(表1_11[[#This Row],[中心]]="营销中心",VLOOKUP(表1_11[[#This Row],[职位]],表2[[话费补贴]:[营销中心]],2,0),VLOOKUP(表1_11[[#This Row],[职位]],表2[],3,0))</f>
        <v>0</v>
      </c>
      <c r="S38" s="23">
        <v>200</v>
      </c>
      <c r="T38" s="61">
        <f ca="1">ROUND(SUM(表1_11[[#This Row],[基本工资]],表1_11[[#This Row],[奖金]],表1_11[[#This Row],[全勤奖]:[防暑降温补贴]]),2)</f>
        <v>3838.67</v>
      </c>
      <c r="U38" s="62">
        <f ca="1">ROUND(表1_11[[#This Row],[税前应发总额]]*8%,2)</f>
        <v>307.08999999999997</v>
      </c>
      <c r="V38" s="62">
        <f ca="1">ROUND(表1_11[[#This Row],[税前应发总额]]*2%+3,2)</f>
        <v>79.77</v>
      </c>
      <c r="W38" s="62">
        <f ca="1">ROUND(表1_11[[#This Row],[税前应发总额]]*0.2%,2)</f>
        <v>7.68</v>
      </c>
      <c r="X38" s="62">
        <f ca="1">ROUND(表1_11[[#This Row],[税前应发总额]]*12%,2)</f>
        <v>460.64</v>
      </c>
      <c r="Y38" s="61">
        <f ca="1">ROUND(表1_11[[#This Row],[税前应发总额]]-SUM(表1_11[[#This Row],[养老保险]:[公积金]]),2)</f>
        <v>2983.49</v>
      </c>
      <c r="Z38" s="62">
        <f ca="1">ROUND(MAX((表1_11[[#This Row],[扣保险后工资金额]]-3500)*{3,10,20,25,30,35,45}%-{0,105,555,1005,2755,5505,13505},0),2)</f>
        <v>0</v>
      </c>
      <c r="AA38" s="63">
        <f ca="1">表1_11[[#This Row],[扣保险后工资金额]]-表1_11[[#This Row],[个人所得税]]</f>
        <v>2983.49</v>
      </c>
      <c r="AB38" s="53">
        <v>3416.26</v>
      </c>
      <c r="AC38" s="64">
        <f ca="1">(表1_11[[#This Row],[实发工资]]-表1_11[[#This Row],[上月对比]])/表1_11[[#This Row],[上月对比]]</f>
        <v>-0.12667946819036033</v>
      </c>
      <c r="AD38" s="65" t="s">
        <v>1587</v>
      </c>
    </row>
    <row r="39" spans="1:30">
      <c r="A39" s="42" t="s">
        <v>631</v>
      </c>
      <c r="B39" s="42" t="s">
        <v>632</v>
      </c>
      <c r="C39" s="40" t="s">
        <v>599</v>
      </c>
      <c r="D39" s="40" t="s">
        <v>626</v>
      </c>
      <c r="E39" s="41" t="s">
        <v>1049</v>
      </c>
      <c r="F39" s="5" t="s">
        <v>35</v>
      </c>
      <c r="G39" s="25">
        <v>42170</v>
      </c>
      <c r="H39" s="5" t="s">
        <v>622</v>
      </c>
      <c r="I39" s="5">
        <f>VLOOKUP(MID(表1_11[[#This Row],[工资等级]],1,1),表12[],MATCH(MID(表1_11[[#This Row],[工资等级]],2,2),表12[[#Headers],[1]:[10]],0)+1,0)</f>
        <v>3600</v>
      </c>
      <c r="J39" s="5">
        <v>24</v>
      </c>
      <c r="K39" s="27">
        <v>1</v>
      </c>
      <c r="L39" s="37">
        <f>IF(表1_11[[#This Row],[出勤率]]&gt;1,1,表1_11[[#This Row],[出勤率]])*表1_11[[#This Row],[岗位工资]]</f>
        <v>3600</v>
      </c>
      <c r="M39" s="5">
        <f>LOOKUP(表1_11[[#This Row],[岗位工资]],表13[lookup],表13[奖金比率])*表1_11[[#This Row],[岗位工资]]</f>
        <v>360</v>
      </c>
      <c r="N39" s="5">
        <v>95</v>
      </c>
      <c r="O39" s="38">
        <f>表1_11[[#This Row],[奖金等级]]*表1_11[[#This Row],[绩效得分]]/100</f>
        <v>342</v>
      </c>
      <c r="P39" s="5">
        <f>IF(表1_11[[#This Row],[出勤率]]&gt;=1,200,0)</f>
        <v>200</v>
      </c>
      <c r="Q39" s="23">
        <f t="shared" ca="1" si="0"/>
        <v>100</v>
      </c>
      <c r="R39" s="23">
        <f>IF(表1_11[[#This Row],[中心]]="营销中心",VLOOKUP(表1_11[[#This Row],[职位]],表2[[话费补贴]:[营销中心]],2,0),VLOOKUP(表1_11[[#This Row],[职位]],表2[],3,0))</f>
        <v>0</v>
      </c>
      <c r="S39" s="23">
        <v>200</v>
      </c>
      <c r="T39" s="61">
        <f ca="1">ROUND(SUM(表1_11[[#This Row],[基本工资]],表1_11[[#This Row],[奖金]],表1_11[[#This Row],[全勤奖]:[防暑降温补贴]]),2)</f>
        <v>4442</v>
      </c>
      <c r="U39" s="62">
        <f ca="1">ROUND(表1_11[[#This Row],[税前应发总额]]*8%,2)</f>
        <v>355.36</v>
      </c>
      <c r="V39" s="62">
        <f ca="1">ROUND(表1_11[[#This Row],[税前应发总额]]*2%+3,2)</f>
        <v>91.84</v>
      </c>
      <c r="W39" s="62">
        <f ca="1">ROUND(表1_11[[#This Row],[税前应发总额]]*0.2%,2)</f>
        <v>8.8800000000000008</v>
      </c>
      <c r="X39" s="62">
        <f ca="1">ROUND(表1_11[[#This Row],[税前应发总额]]*12%,2)</f>
        <v>533.04</v>
      </c>
      <c r="Y39" s="61">
        <f ca="1">ROUND(表1_11[[#This Row],[税前应发总额]]-SUM(表1_11[[#This Row],[养老保险]:[公积金]]),2)</f>
        <v>3452.88</v>
      </c>
      <c r="Z39" s="62">
        <f ca="1">ROUND(MAX((表1_11[[#This Row],[扣保险后工资金额]]-3500)*{3,10,20,25,30,35,45}%-{0,105,555,1005,2755,5505,13505},0),2)</f>
        <v>0</v>
      </c>
      <c r="AA39" s="63">
        <f ca="1">表1_11[[#This Row],[扣保险后工资金额]]-表1_11[[#This Row],[个人所得税]]</f>
        <v>3452.88</v>
      </c>
      <c r="AB39" s="53">
        <v>2940.91</v>
      </c>
      <c r="AC39" s="64">
        <f ca="1">(表1_11[[#This Row],[实发工资]]-表1_11[[#This Row],[上月对比]])/表1_11[[#This Row],[上月对比]]</f>
        <v>0.17408557215283715</v>
      </c>
      <c r="AD39" s="65" t="s">
        <v>1587</v>
      </c>
    </row>
    <row r="40" spans="1:30">
      <c r="A40" s="42" t="s">
        <v>631</v>
      </c>
      <c r="B40" s="42" t="s">
        <v>644</v>
      </c>
      <c r="C40" s="40" t="s">
        <v>645</v>
      </c>
      <c r="D40" s="40" t="s">
        <v>646</v>
      </c>
      <c r="E40" s="41" t="s">
        <v>1050</v>
      </c>
      <c r="F40" s="5" t="s">
        <v>36</v>
      </c>
      <c r="G40" s="25">
        <v>40021</v>
      </c>
      <c r="H40" s="5" t="s">
        <v>647</v>
      </c>
      <c r="I40" s="5">
        <f>VLOOKUP(MID(表1_11[[#This Row],[工资等级]],1,1),表12[],MATCH(MID(表1_11[[#This Row],[工资等级]],2,2),表12[[#Headers],[1]:[10]],0)+1,0)</f>
        <v>5300</v>
      </c>
      <c r="J40" s="5">
        <v>23</v>
      </c>
      <c r="K40" s="27">
        <v>0.95833333333333337</v>
      </c>
      <c r="L40" s="37">
        <f>IF(表1_11[[#This Row],[出勤率]]&gt;1,1,表1_11[[#This Row],[出勤率]])*表1_11[[#This Row],[岗位工资]]</f>
        <v>5079.166666666667</v>
      </c>
      <c r="M40" s="5">
        <f>LOOKUP(表1_11[[#This Row],[岗位工资]],表13[lookup],表13[奖金比率])*表1_11[[#This Row],[岗位工资]]</f>
        <v>795</v>
      </c>
      <c r="N40" s="5">
        <v>100</v>
      </c>
      <c r="O40" s="38">
        <f>表1_11[[#This Row],[奖金等级]]*表1_11[[#This Row],[绩效得分]]/100</f>
        <v>795</v>
      </c>
      <c r="P40" s="5">
        <f>IF(表1_11[[#This Row],[出勤率]]&gt;=1,200,0)</f>
        <v>0</v>
      </c>
      <c r="Q40" s="23">
        <f t="shared" ca="1" si="0"/>
        <v>400</v>
      </c>
      <c r="R40" s="23">
        <f>IF(表1_11[[#This Row],[中心]]="营销中心",VLOOKUP(表1_11[[#This Row],[职位]],表2[[话费补贴]:[营销中心]],2,0),VLOOKUP(表1_11[[#This Row],[职位]],表2[],3,0))</f>
        <v>500</v>
      </c>
      <c r="S40" s="23">
        <v>200</v>
      </c>
      <c r="T40" s="61">
        <f ca="1">ROUND(SUM(表1_11[[#This Row],[基本工资]],表1_11[[#This Row],[奖金]],表1_11[[#This Row],[全勤奖]:[防暑降温补贴]]),2)</f>
        <v>6974.17</v>
      </c>
      <c r="U40" s="62">
        <f ca="1">ROUND(表1_11[[#This Row],[税前应发总额]]*8%,2)</f>
        <v>557.92999999999995</v>
      </c>
      <c r="V40" s="62">
        <f ca="1">ROUND(表1_11[[#This Row],[税前应发总额]]*2%+3,2)</f>
        <v>142.47999999999999</v>
      </c>
      <c r="W40" s="62">
        <f ca="1">ROUND(表1_11[[#This Row],[税前应发总额]]*0.2%,2)</f>
        <v>13.95</v>
      </c>
      <c r="X40" s="62">
        <f ca="1">ROUND(表1_11[[#This Row],[税前应发总额]]*12%,2)</f>
        <v>836.9</v>
      </c>
      <c r="Y40" s="61">
        <f ca="1">ROUND(表1_11[[#This Row],[税前应发总额]]-SUM(表1_11[[#This Row],[养老保险]:[公积金]]),2)</f>
        <v>5422.91</v>
      </c>
      <c r="Z40" s="62">
        <f ca="1">ROUND(MAX((表1_11[[#This Row],[扣保险后工资金额]]-3500)*{3,10,20,25,30,35,45}%-{0,105,555,1005,2755,5505,13505},0),2)</f>
        <v>87.29</v>
      </c>
      <c r="AA40" s="63">
        <f ca="1">表1_11[[#This Row],[扣保险后工资金额]]-表1_11[[#This Row],[个人所得税]]</f>
        <v>5335.62</v>
      </c>
      <c r="AB40" s="53">
        <v>4976.3599999999997</v>
      </c>
      <c r="AC40" s="64">
        <f ca="1">(表1_11[[#This Row],[实发工资]]-表1_11[[#This Row],[上月对比]])/表1_11[[#This Row],[上月对比]]</f>
        <v>7.2193330064545216E-2</v>
      </c>
      <c r="AD40" s="65" t="s">
        <v>1587</v>
      </c>
    </row>
    <row r="41" spans="1:30">
      <c r="A41" s="42" t="s">
        <v>631</v>
      </c>
      <c r="B41" s="42" t="s">
        <v>644</v>
      </c>
      <c r="C41" s="40" t="s">
        <v>596</v>
      </c>
      <c r="D41" s="40" t="s">
        <v>596</v>
      </c>
      <c r="E41" s="41" t="s">
        <v>1051</v>
      </c>
      <c r="F41" s="5" t="s">
        <v>37</v>
      </c>
      <c r="G41" s="25">
        <v>40986</v>
      </c>
      <c r="H41" s="5" t="s">
        <v>648</v>
      </c>
      <c r="I41" s="5">
        <f>VLOOKUP(MID(表1_11[[#This Row],[工资等级]],1,1),表12[],MATCH(MID(表1_11[[#This Row],[工资等级]],2,2),表12[[#Headers],[1]:[10]],0)+1,0)</f>
        <v>3600</v>
      </c>
      <c r="J41" s="5">
        <v>27.5</v>
      </c>
      <c r="K41" s="27">
        <v>1.1458333333333333</v>
      </c>
      <c r="L41" s="37">
        <f>IF(表1_11[[#This Row],[出勤率]]&gt;1,1,表1_11[[#This Row],[出勤率]])*表1_11[[#This Row],[岗位工资]]</f>
        <v>3600</v>
      </c>
      <c r="M41" s="5">
        <f>LOOKUP(表1_11[[#This Row],[岗位工资]],表13[lookup],表13[奖金比率])*表1_11[[#This Row],[岗位工资]]</f>
        <v>360</v>
      </c>
      <c r="N41" s="5">
        <v>82</v>
      </c>
      <c r="O41" s="38">
        <f>表1_11[[#This Row],[奖金等级]]*表1_11[[#This Row],[绩效得分]]/100</f>
        <v>295.2</v>
      </c>
      <c r="P41" s="5">
        <f>IF(表1_11[[#This Row],[出勤率]]&gt;=1,200,0)</f>
        <v>200</v>
      </c>
      <c r="Q41" s="23">
        <f t="shared" ca="1" si="0"/>
        <v>250</v>
      </c>
      <c r="R41" s="23">
        <f>IF(表1_11[[#This Row],[中心]]="营销中心",VLOOKUP(表1_11[[#This Row],[职位]],表2[[话费补贴]:[营销中心]],2,0),VLOOKUP(表1_11[[#This Row],[职位]],表2[],3,0))</f>
        <v>300</v>
      </c>
      <c r="S41" s="23">
        <v>200</v>
      </c>
      <c r="T41" s="61">
        <f ca="1">ROUND(SUM(表1_11[[#This Row],[基本工资]],表1_11[[#This Row],[奖金]],表1_11[[#This Row],[全勤奖]:[防暑降温补贴]]),2)</f>
        <v>4845.2</v>
      </c>
      <c r="U41" s="62">
        <f ca="1">ROUND(表1_11[[#This Row],[税前应发总额]]*8%,2)</f>
        <v>387.62</v>
      </c>
      <c r="V41" s="62">
        <f ca="1">ROUND(表1_11[[#This Row],[税前应发总额]]*2%+3,2)</f>
        <v>99.9</v>
      </c>
      <c r="W41" s="62">
        <f ca="1">ROUND(表1_11[[#This Row],[税前应发总额]]*0.2%,2)</f>
        <v>9.69</v>
      </c>
      <c r="X41" s="62">
        <f ca="1">ROUND(表1_11[[#This Row],[税前应发总额]]*12%,2)</f>
        <v>581.41999999999996</v>
      </c>
      <c r="Y41" s="61">
        <f ca="1">ROUND(表1_11[[#This Row],[税前应发总额]]-SUM(表1_11[[#This Row],[养老保险]:[公积金]]),2)</f>
        <v>3766.57</v>
      </c>
      <c r="Z41" s="62">
        <f ca="1">ROUND(MAX((表1_11[[#This Row],[扣保险后工资金额]]-3500)*{3,10,20,25,30,35,45}%-{0,105,555,1005,2755,5505,13505},0),2)</f>
        <v>8</v>
      </c>
      <c r="AA41" s="63">
        <f ca="1">表1_11[[#This Row],[扣保险后工资金额]]-表1_11[[#This Row],[个人所得税]]</f>
        <v>3758.57</v>
      </c>
      <c r="AB41" s="53">
        <v>3747.88</v>
      </c>
      <c r="AC41" s="64">
        <f ca="1">(表1_11[[#This Row],[实发工资]]-表1_11[[#This Row],[上月对比]])/表1_11[[#This Row],[上月对比]]</f>
        <v>2.8522791551490586E-3</v>
      </c>
      <c r="AD41" s="65" t="s">
        <v>1587</v>
      </c>
    </row>
    <row r="42" spans="1:30">
      <c r="A42" s="42" t="s">
        <v>631</v>
      </c>
      <c r="B42" s="42" t="s">
        <v>644</v>
      </c>
      <c r="C42" s="40" t="s">
        <v>599</v>
      </c>
      <c r="D42" s="40" t="s">
        <v>626</v>
      </c>
      <c r="E42" s="41" t="s">
        <v>1052</v>
      </c>
      <c r="F42" s="5" t="s">
        <v>38</v>
      </c>
      <c r="G42" s="25">
        <v>42507</v>
      </c>
      <c r="H42" s="5" t="s">
        <v>624</v>
      </c>
      <c r="I42" s="5">
        <f>VLOOKUP(MID(表1_11[[#This Row],[工资等级]],1,1),表12[],MATCH(MID(表1_11[[#This Row],[工资等级]],2,2),表12[[#Headers],[1]:[10]],0)+1,0)</f>
        <v>2800</v>
      </c>
      <c r="J42" s="5">
        <v>27</v>
      </c>
      <c r="K42" s="27">
        <v>1.125</v>
      </c>
      <c r="L42" s="37">
        <f>IF(表1_11[[#This Row],[出勤率]]&gt;1,1,表1_11[[#This Row],[出勤率]])*表1_11[[#This Row],[岗位工资]]</f>
        <v>2800</v>
      </c>
      <c r="M42" s="5">
        <f>LOOKUP(表1_11[[#This Row],[岗位工资]],表13[lookup],表13[奖金比率])*表1_11[[#This Row],[岗位工资]]</f>
        <v>280</v>
      </c>
      <c r="N42" s="5">
        <v>85</v>
      </c>
      <c r="O42" s="38">
        <f>表1_11[[#This Row],[奖金等级]]*表1_11[[#This Row],[绩效得分]]/100</f>
        <v>238</v>
      </c>
      <c r="P42" s="5">
        <f>IF(表1_11[[#This Row],[出勤率]]&gt;=1,200,0)</f>
        <v>200</v>
      </c>
      <c r="Q42" s="23">
        <f t="shared" ca="1" si="0"/>
        <v>50</v>
      </c>
      <c r="R42" s="23">
        <f>IF(表1_11[[#This Row],[中心]]="营销中心",VLOOKUP(表1_11[[#This Row],[职位]],表2[[话费补贴]:[营销中心]],2,0),VLOOKUP(表1_11[[#This Row],[职位]],表2[],3,0))</f>
        <v>0</v>
      </c>
      <c r="S42" s="23">
        <v>200</v>
      </c>
      <c r="T42" s="61">
        <f ca="1">ROUND(SUM(表1_11[[#This Row],[基本工资]],表1_11[[#This Row],[奖金]],表1_11[[#This Row],[全勤奖]:[防暑降温补贴]]),2)</f>
        <v>3488</v>
      </c>
      <c r="U42" s="62">
        <f ca="1">ROUND(表1_11[[#This Row],[税前应发总额]]*8%,2)</f>
        <v>279.04000000000002</v>
      </c>
      <c r="V42" s="62">
        <f ca="1">ROUND(表1_11[[#This Row],[税前应发总额]]*2%+3,2)</f>
        <v>72.760000000000005</v>
      </c>
      <c r="W42" s="62">
        <f ca="1">ROUND(表1_11[[#This Row],[税前应发总额]]*0.2%,2)</f>
        <v>6.98</v>
      </c>
      <c r="X42" s="62">
        <f ca="1">ROUND(表1_11[[#This Row],[税前应发总额]]*12%,2)</f>
        <v>418.56</v>
      </c>
      <c r="Y42" s="61">
        <f ca="1">ROUND(表1_11[[#This Row],[税前应发总额]]-SUM(表1_11[[#This Row],[养老保险]:[公积金]]),2)</f>
        <v>2710.66</v>
      </c>
      <c r="Z42" s="62">
        <f ca="1">ROUND(MAX((表1_11[[#This Row],[扣保险后工资金额]]-3500)*{3,10,20,25,30,35,45}%-{0,105,555,1005,2755,5505,13505},0),2)</f>
        <v>0</v>
      </c>
      <c r="AA42" s="63">
        <f ca="1">表1_11[[#This Row],[扣保险后工资金额]]-表1_11[[#This Row],[个人所得税]]</f>
        <v>2710.66</v>
      </c>
      <c r="AB42" s="53">
        <v>3121.99</v>
      </c>
      <c r="AC42" s="64">
        <f ca="1">(表1_11[[#This Row],[实发工资]]-表1_11[[#This Row],[上月对比]])/表1_11[[#This Row],[上月对比]]</f>
        <v>-0.13175250401186422</v>
      </c>
      <c r="AD42" s="65" t="s">
        <v>1587</v>
      </c>
    </row>
    <row r="43" spans="1:30">
      <c r="A43" s="42" t="s">
        <v>631</v>
      </c>
      <c r="B43" s="42" t="s">
        <v>644</v>
      </c>
      <c r="C43" s="40" t="s">
        <v>628</v>
      </c>
      <c r="D43" s="40" t="s">
        <v>629</v>
      </c>
      <c r="E43" s="41" t="s">
        <v>1053</v>
      </c>
      <c r="F43" s="5" t="s">
        <v>39</v>
      </c>
      <c r="G43" s="25">
        <v>38456</v>
      </c>
      <c r="H43" s="5" t="s">
        <v>618</v>
      </c>
      <c r="I43" s="5">
        <f>VLOOKUP(MID(表1_11[[#This Row],[工资等级]],1,1),表12[],MATCH(MID(表1_11[[#This Row],[工资等级]],2,2),表12[[#Headers],[1]:[10]],0)+1,0)</f>
        <v>3000</v>
      </c>
      <c r="J43" s="5">
        <v>21.5</v>
      </c>
      <c r="K43" s="27">
        <v>0.89583333333333337</v>
      </c>
      <c r="L43" s="37">
        <f>IF(表1_11[[#This Row],[出勤率]]&gt;1,1,表1_11[[#This Row],[出勤率]])*表1_11[[#This Row],[岗位工资]]</f>
        <v>2687.5</v>
      </c>
      <c r="M43" s="5">
        <f>LOOKUP(表1_11[[#This Row],[岗位工资]],表13[lookup],表13[奖金比率])*表1_11[[#This Row],[岗位工资]]</f>
        <v>300</v>
      </c>
      <c r="N43" s="5">
        <v>99</v>
      </c>
      <c r="O43" s="38">
        <f>表1_11[[#This Row],[奖金等级]]*表1_11[[#This Row],[绩效得分]]/100</f>
        <v>297</v>
      </c>
      <c r="P43" s="5">
        <f>IF(表1_11[[#This Row],[出勤率]]&gt;=1,200,0)</f>
        <v>0</v>
      </c>
      <c r="Q43" s="23">
        <f t="shared" ca="1" si="0"/>
        <v>500</v>
      </c>
      <c r="R43" s="23">
        <f>IF(表1_11[[#This Row],[中心]]="营销中心",VLOOKUP(表1_11[[#This Row],[职位]],表2[[话费补贴]:[营销中心]],2,0),VLOOKUP(表1_11[[#This Row],[职位]],表2[],3,0))</f>
        <v>0</v>
      </c>
      <c r="S43" s="23">
        <v>200</v>
      </c>
      <c r="T43" s="61">
        <f ca="1">ROUND(SUM(表1_11[[#This Row],[基本工资]],表1_11[[#This Row],[奖金]],表1_11[[#This Row],[全勤奖]:[防暑降温补贴]]),2)</f>
        <v>3684.5</v>
      </c>
      <c r="U43" s="62">
        <f ca="1">ROUND(表1_11[[#This Row],[税前应发总额]]*8%,2)</f>
        <v>294.76</v>
      </c>
      <c r="V43" s="62">
        <f ca="1">ROUND(表1_11[[#This Row],[税前应发总额]]*2%+3,2)</f>
        <v>76.69</v>
      </c>
      <c r="W43" s="62">
        <f ca="1">ROUND(表1_11[[#This Row],[税前应发总额]]*0.2%,2)</f>
        <v>7.37</v>
      </c>
      <c r="X43" s="62">
        <f ca="1">ROUND(表1_11[[#This Row],[税前应发总额]]*12%,2)</f>
        <v>442.14</v>
      </c>
      <c r="Y43" s="61">
        <f ca="1">ROUND(表1_11[[#This Row],[税前应发总额]]-SUM(表1_11[[#This Row],[养老保险]:[公积金]]),2)</f>
        <v>2863.54</v>
      </c>
      <c r="Z43" s="62">
        <f ca="1">ROUND(MAX((表1_11[[#This Row],[扣保险后工资金额]]-3500)*{3,10,20,25,30,35,45}%-{0,105,555,1005,2755,5505,13505},0),2)</f>
        <v>0</v>
      </c>
      <c r="AA43" s="63">
        <f ca="1">表1_11[[#This Row],[扣保险后工资金额]]-表1_11[[#This Row],[个人所得税]]</f>
        <v>2863.54</v>
      </c>
      <c r="AB43" s="53">
        <v>2398.3000000000002</v>
      </c>
      <c r="AC43" s="64">
        <f ca="1">(表1_11[[#This Row],[实发工资]]-表1_11[[#This Row],[上月对比]])/表1_11[[#This Row],[上月对比]]</f>
        <v>0.19398740774715412</v>
      </c>
      <c r="AD43" s="65" t="s">
        <v>1587</v>
      </c>
    </row>
    <row r="44" spans="1:30">
      <c r="A44" s="42" t="s">
        <v>631</v>
      </c>
      <c r="B44" s="42" t="s">
        <v>644</v>
      </c>
      <c r="C44" s="40" t="s">
        <v>599</v>
      </c>
      <c r="D44" s="40" t="s">
        <v>626</v>
      </c>
      <c r="E44" s="41" t="s">
        <v>1054</v>
      </c>
      <c r="F44" s="5" t="s">
        <v>40</v>
      </c>
      <c r="G44" s="25">
        <v>40445</v>
      </c>
      <c r="H44" s="5" t="s">
        <v>612</v>
      </c>
      <c r="I44" s="5">
        <f>VLOOKUP(MID(表1_11[[#This Row],[工资等级]],1,1),表12[],MATCH(MID(表1_11[[#This Row],[工资等级]],2,2),表12[[#Headers],[1]:[10]],0)+1,0)</f>
        <v>2700</v>
      </c>
      <c r="J44" s="5">
        <v>26</v>
      </c>
      <c r="K44" s="27">
        <v>1.0833333333333333</v>
      </c>
      <c r="L44" s="37">
        <f>IF(表1_11[[#This Row],[出勤率]]&gt;1,1,表1_11[[#This Row],[出勤率]])*表1_11[[#This Row],[岗位工资]]</f>
        <v>2700</v>
      </c>
      <c r="M44" s="5">
        <f>LOOKUP(表1_11[[#This Row],[岗位工资]],表13[lookup],表13[奖金比率])*表1_11[[#This Row],[岗位工资]]</f>
        <v>270</v>
      </c>
      <c r="N44" s="5">
        <v>95</v>
      </c>
      <c r="O44" s="38">
        <f>表1_11[[#This Row],[奖金等级]]*表1_11[[#This Row],[绩效得分]]/100</f>
        <v>256.5</v>
      </c>
      <c r="P44" s="5">
        <f>IF(表1_11[[#This Row],[出勤率]]&gt;=1,200,0)</f>
        <v>200</v>
      </c>
      <c r="Q44" s="23">
        <f t="shared" ca="1" si="0"/>
        <v>350</v>
      </c>
      <c r="R44" s="23">
        <f>IF(表1_11[[#This Row],[中心]]="营销中心",VLOOKUP(表1_11[[#This Row],[职位]],表2[[话费补贴]:[营销中心]],2,0),VLOOKUP(表1_11[[#This Row],[职位]],表2[],3,0))</f>
        <v>0</v>
      </c>
      <c r="S44" s="23">
        <v>200</v>
      </c>
      <c r="T44" s="61">
        <f ca="1">ROUND(SUM(表1_11[[#This Row],[基本工资]],表1_11[[#This Row],[奖金]],表1_11[[#This Row],[全勤奖]:[防暑降温补贴]]),2)</f>
        <v>3706.5</v>
      </c>
      <c r="U44" s="62">
        <f ca="1">ROUND(表1_11[[#This Row],[税前应发总额]]*8%,2)</f>
        <v>296.52</v>
      </c>
      <c r="V44" s="62">
        <f ca="1">ROUND(表1_11[[#This Row],[税前应发总额]]*2%+3,2)</f>
        <v>77.13</v>
      </c>
      <c r="W44" s="62">
        <f ca="1">ROUND(表1_11[[#This Row],[税前应发总额]]*0.2%,2)</f>
        <v>7.41</v>
      </c>
      <c r="X44" s="62">
        <f ca="1">ROUND(表1_11[[#This Row],[税前应发总额]]*12%,2)</f>
        <v>444.78</v>
      </c>
      <c r="Y44" s="61">
        <f ca="1">ROUND(表1_11[[#This Row],[税前应发总额]]-SUM(表1_11[[#This Row],[养老保险]:[公积金]]),2)</f>
        <v>2880.66</v>
      </c>
      <c r="Z44" s="62">
        <f ca="1">ROUND(MAX((表1_11[[#This Row],[扣保险后工资金额]]-3500)*{3,10,20,25,30,35,45}%-{0,105,555,1005,2755,5505,13505},0),2)</f>
        <v>0</v>
      </c>
      <c r="AA44" s="63">
        <f ca="1">表1_11[[#This Row],[扣保险后工资金额]]-表1_11[[#This Row],[个人所得税]]</f>
        <v>2880.66</v>
      </c>
      <c r="AB44" s="53">
        <v>2447.5300000000002</v>
      </c>
      <c r="AC44" s="64">
        <f ca="1">(表1_11[[#This Row],[实发工资]]-表1_11[[#This Row],[上月对比]])/表1_11[[#This Row],[上月对比]]</f>
        <v>0.17696616588969272</v>
      </c>
      <c r="AD44" s="65" t="s">
        <v>1587</v>
      </c>
    </row>
    <row r="45" spans="1:30">
      <c r="A45" s="42" t="s">
        <v>631</v>
      </c>
      <c r="B45" s="42" t="s">
        <v>644</v>
      </c>
      <c r="C45" s="40" t="s">
        <v>599</v>
      </c>
      <c r="D45" s="40" t="s">
        <v>626</v>
      </c>
      <c r="E45" s="41" t="s">
        <v>1055</v>
      </c>
      <c r="F45" s="5" t="s">
        <v>41</v>
      </c>
      <c r="G45" s="25">
        <v>41058</v>
      </c>
      <c r="H45" s="5" t="s">
        <v>622</v>
      </c>
      <c r="I45" s="5">
        <f>VLOOKUP(MID(表1_11[[#This Row],[工资等级]],1,1),表12[],MATCH(MID(表1_11[[#This Row],[工资等级]],2,2),表12[[#Headers],[1]:[10]],0)+1,0)</f>
        <v>3600</v>
      </c>
      <c r="J45" s="5">
        <v>23</v>
      </c>
      <c r="K45" s="27">
        <v>0.95833333333333337</v>
      </c>
      <c r="L45" s="37">
        <f>IF(表1_11[[#This Row],[出勤率]]&gt;1,1,表1_11[[#This Row],[出勤率]])*表1_11[[#This Row],[岗位工资]]</f>
        <v>3450</v>
      </c>
      <c r="M45" s="5">
        <f>LOOKUP(表1_11[[#This Row],[岗位工资]],表13[lookup],表13[奖金比率])*表1_11[[#This Row],[岗位工资]]</f>
        <v>360</v>
      </c>
      <c r="N45" s="5">
        <v>79</v>
      </c>
      <c r="O45" s="38">
        <f>表1_11[[#This Row],[奖金等级]]*表1_11[[#This Row],[绩效得分]]/100</f>
        <v>284.39999999999998</v>
      </c>
      <c r="P45" s="5">
        <f>IF(表1_11[[#This Row],[出勤率]]&gt;=1,200,0)</f>
        <v>0</v>
      </c>
      <c r="Q45" s="23">
        <f t="shared" ca="1" si="0"/>
        <v>250</v>
      </c>
      <c r="R45" s="23">
        <f>IF(表1_11[[#This Row],[中心]]="营销中心",VLOOKUP(表1_11[[#This Row],[职位]],表2[[话费补贴]:[营销中心]],2,0),VLOOKUP(表1_11[[#This Row],[职位]],表2[],3,0))</f>
        <v>0</v>
      </c>
      <c r="S45" s="23">
        <v>200</v>
      </c>
      <c r="T45" s="61">
        <f ca="1">ROUND(SUM(表1_11[[#This Row],[基本工资]],表1_11[[#This Row],[奖金]],表1_11[[#This Row],[全勤奖]:[防暑降温补贴]]),2)</f>
        <v>4184.3999999999996</v>
      </c>
      <c r="U45" s="62">
        <f ca="1">ROUND(表1_11[[#This Row],[税前应发总额]]*8%,2)</f>
        <v>334.75</v>
      </c>
      <c r="V45" s="62">
        <f ca="1">ROUND(表1_11[[#This Row],[税前应发总额]]*2%+3,2)</f>
        <v>86.69</v>
      </c>
      <c r="W45" s="62">
        <f ca="1">ROUND(表1_11[[#This Row],[税前应发总额]]*0.2%,2)</f>
        <v>8.3699999999999992</v>
      </c>
      <c r="X45" s="62">
        <f ca="1">ROUND(表1_11[[#This Row],[税前应发总额]]*12%,2)</f>
        <v>502.13</v>
      </c>
      <c r="Y45" s="61">
        <f ca="1">ROUND(表1_11[[#This Row],[税前应发总额]]-SUM(表1_11[[#This Row],[养老保险]:[公积金]]),2)</f>
        <v>3252.46</v>
      </c>
      <c r="Z45" s="62">
        <f ca="1">ROUND(MAX((表1_11[[#This Row],[扣保险后工资金额]]-3500)*{3,10,20,25,30,35,45}%-{0,105,555,1005,2755,5505,13505},0),2)</f>
        <v>0</v>
      </c>
      <c r="AA45" s="63">
        <f ca="1">表1_11[[#This Row],[扣保险后工资金额]]-表1_11[[#This Row],[个人所得税]]</f>
        <v>3252.46</v>
      </c>
      <c r="AB45" s="53">
        <v>3217.48</v>
      </c>
      <c r="AC45" s="64">
        <f ca="1">(表1_11[[#This Row],[实发工资]]-表1_11[[#This Row],[上月对比]])/表1_11[[#This Row],[上月对比]]</f>
        <v>1.0871862451359455E-2</v>
      </c>
      <c r="AD45" s="65" t="s">
        <v>1587</v>
      </c>
    </row>
    <row r="46" spans="1:30">
      <c r="A46" s="42" t="s">
        <v>631</v>
      </c>
      <c r="B46" s="42" t="s">
        <v>644</v>
      </c>
      <c r="C46" s="40" t="s">
        <v>599</v>
      </c>
      <c r="D46" s="40" t="s">
        <v>626</v>
      </c>
      <c r="E46" s="41" t="s">
        <v>1056</v>
      </c>
      <c r="F46" s="5" t="s">
        <v>42</v>
      </c>
      <c r="G46" s="25">
        <v>42354</v>
      </c>
      <c r="H46" s="5" t="s">
        <v>615</v>
      </c>
      <c r="I46" s="5">
        <f>VLOOKUP(MID(表1_11[[#This Row],[工资等级]],1,1),表12[],MATCH(MID(表1_11[[#This Row],[工资等级]],2,2),表12[[#Headers],[1]:[10]],0)+1,0)</f>
        <v>3200</v>
      </c>
      <c r="J46" s="5">
        <v>26</v>
      </c>
      <c r="K46" s="27">
        <v>1.0833333333333333</v>
      </c>
      <c r="L46" s="37">
        <f>IF(表1_11[[#This Row],[出勤率]]&gt;1,1,表1_11[[#This Row],[出勤率]])*表1_11[[#This Row],[岗位工资]]</f>
        <v>3200</v>
      </c>
      <c r="M46" s="5">
        <f>LOOKUP(表1_11[[#This Row],[岗位工资]],表13[lookup],表13[奖金比率])*表1_11[[#This Row],[岗位工资]]</f>
        <v>320</v>
      </c>
      <c r="N46" s="5">
        <v>100</v>
      </c>
      <c r="O46" s="38">
        <f>表1_11[[#This Row],[奖金等级]]*表1_11[[#This Row],[绩效得分]]/100</f>
        <v>320</v>
      </c>
      <c r="P46" s="5">
        <f>IF(表1_11[[#This Row],[出勤率]]&gt;=1,200,0)</f>
        <v>200</v>
      </c>
      <c r="Q46" s="23">
        <f t="shared" ca="1" si="0"/>
        <v>100</v>
      </c>
      <c r="R46" s="23">
        <f>IF(表1_11[[#This Row],[中心]]="营销中心",VLOOKUP(表1_11[[#This Row],[职位]],表2[[话费补贴]:[营销中心]],2,0),VLOOKUP(表1_11[[#This Row],[职位]],表2[],3,0))</f>
        <v>0</v>
      </c>
      <c r="S46" s="23">
        <v>200</v>
      </c>
      <c r="T46" s="61">
        <f ca="1">ROUND(SUM(表1_11[[#This Row],[基本工资]],表1_11[[#This Row],[奖金]],表1_11[[#This Row],[全勤奖]:[防暑降温补贴]]),2)</f>
        <v>4020</v>
      </c>
      <c r="U46" s="62">
        <f ca="1">ROUND(表1_11[[#This Row],[税前应发总额]]*8%,2)</f>
        <v>321.60000000000002</v>
      </c>
      <c r="V46" s="62">
        <f ca="1">ROUND(表1_11[[#This Row],[税前应发总额]]*2%+3,2)</f>
        <v>83.4</v>
      </c>
      <c r="W46" s="62">
        <f ca="1">ROUND(表1_11[[#This Row],[税前应发总额]]*0.2%,2)</f>
        <v>8.0399999999999991</v>
      </c>
      <c r="X46" s="62">
        <f ca="1">ROUND(表1_11[[#This Row],[税前应发总额]]*12%,2)</f>
        <v>482.4</v>
      </c>
      <c r="Y46" s="61">
        <f ca="1">ROUND(表1_11[[#This Row],[税前应发总额]]-SUM(表1_11[[#This Row],[养老保险]:[公积金]]),2)</f>
        <v>3124.56</v>
      </c>
      <c r="Z46" s="62">
        <f ca="1">ROUND(MAX((表1_11[[#This Row],[扣保险后工资金额]]-3500)*{3,10,20,25,30,35,45}%-{0,105,555,1005,2755,5505,13505},0),2)</f>
        <v>0</v>
      </c>
      <c r="AA46" s="63">
        <f ca="1">表1_11[[#This Row],[扣保险后工资金额]]-表1_11[[#This Row],[个人所得税]]</f>
        <v>3124.56</v>
      </c>
      <c r="AB46" s="53">
        <v>2961.69</v>
      </c>
      <c r="AC46" s="64">
        <f ca="1">(表1_11[[#This Row],[实发工资]]-表1_11[[#This Row],[上月对比]])/表1_11[[#This Row],[上月对比]]</f>
        <v>5.4992251045855541E-2</v>
      </c>
      <c r="AD46" s="65" t="s">
        <v>1587</v>
      </c>
    </row>
    <row r="47" spans="1:30">
      <c r="A47" s="42" t="s">
        <v>631</v>
      </c>
      <c r="B47" s="42" t="s">
        <v>649</v>
      </c>
      <c r="C47" s="40" t="s">
        <v>588</v>
      </c>
      <c r="D47" s="40" t="s">
        <v>650</v>
      </c>
      <c r="E47" s="41" t="s">
        <v>1057</v>
      </c>
      <c r="F47" s="5" t="s">
        <v>43</v>
      </c>
      <c r="G47" s="25">
        <v>42235</v>
      </c>
      <c r="H47" s="5" t="s">
        <v>651</v>
      </c>
      <c r="I47" s="5">
        <f>VLOOKUP(MID(表1_11[[#This Row],[工资等级]],1,1),表12[],MATCH(MID(表1_11[[#This Row],[工资等级]],2,2),表12[[#Headers],[1]:[10]],0)+1,0)</f>
        <v>8500</v>
      </c>
      <c r="J47" s="5">
        <v>21</v>
      </c>
      <c r="K47" s="27">
        <v>0.875</v>
      </c>
      <c r="L47" s="37">
        <f>IF(表1_11[[#This Row],[出勤率]]&gt;1,1,表1_11[[#This Row],[出勤率]])*表1_11[[#This Row],[岗位工资]]</f>
        <v>7437.5</v>
      </c>
      <c r="M47" s="5">
        <f>LOOKUP(表1_11[[#This Row],[岗位工资]],表13[lookup],表13[奖金比率])*表1_11[[#This Row],[岗位工资]]</f>
        <v>1700</v>
      </c>
      <c r="N47" s="5">
        <v>86</v>
      </c>
      <c r="O47" s="38">
        <f>表1_11[[#This Row],[奖金等级]]*表1_11[[#This Row],[绩效得分]]/100</f>
        <v>1462</v>
      </c>
      <c r="P47" s="5">
        <f>IF(表1_11[[#This Row],[出勤率]]&gt;=1,200,0)</f>
        <v>0</v>
      </c>
      <c r="Q47" s="23">
        <f t="shared" ca="1" si="0"/>
        <v>100</v>
      </c>
      <c r="R47" s="23">
        <f>IF(表1_11[[#This Row],[中心]]="营销中心",VLOOKUP(表1_11[[#This Row],[职位]],表2[[话费补贴]:[营销中心]],2,0),VLOOKUP(表1_11[[#This Row],[职位]],表2[],3,0))</f>
        <v>800</v>
      </c>
      <c r="S47" s="23">
        <v>200</v>
      </c>
      <c r="T47" s="61">
        <f ca="1">ROUND(SUM(表1_11[[#This Row],[基本工资]],表1_11[[#This Row],[奖金]],表1_11[[#This Row],[全勤奖]:[防暑降温补贴]]),2)</f>
        <v>9999.5</v>
      </c>
      <c r="U47" s="62">
        <f ca="1">ROUND(表1_11[[#This Row],[税前应发总额]]*8%,2)</f>
        <v>799.96</v>
      </c>
      <c r="V47" s="62">
        <f ca="1">ROUND(表1_11[[#This Row],[税前应发总额]]*2%+3,2)</f>
        <v>202.99</v>
      </c>
      <c r="W47" s="62">
        <f ca="1">ROUND(表1_11[[#This Row],[税前应发总额]]*0.2%,2)</f>
        <v>20</v>
      </c>
      <c r="X47" s="62">
        <f ca="1">ROUND(表1_11[[#This Row],[税前应发总额]]*12%,2)</f>
        <v>1199.94</v>
      </c>
      <c r="Y47" s="61">
        <f ca="1">ROUND(表1_11[[#This Row],[税前应发总额]]-SUM(表1_11[[#This Row],[养老保险]:[公积金]]),2)</f>
        <v>7776.61</v>
      </c>
      <c r="Z47" s="62">
        <f ca="1">ROUND(MAX((表1_11[[#This Row],[扣保险后工资金额]]-3500)*{3,10,20,25,30,35,45}%-{0,105,555,1005,2755,5505,13505},0),2)</f>
        <v>322.66000000000003</v>
      </c>
      <c r="AA47" s="63">
        <f ca="1">表1_11[[#This Row],[扣保险后工资金额]]-表1_11[[#This Row],[个人所得税]]</f>
        <v>7453.95</v>
      </c>
      <c r="AB47" s="53">
        <v>8343.0499999999993</v>
      </c>
      <c r="AC47" s="64">
        <f ca="1">(表1_11[[#This Row],[实发工资]]-表1_11[[#This Row],[上月对比]])/表1_11[[#This Row],[上月对比]]</f>
        <v>-0.10656774201281301</v>
      </c>
      <c r="AD47" s="65" t="s">
        <v>1587</v>
      </c>
    </row>
    <row r="48" spans="1:30">
      <c r="A48" s="42" t="s">
        <v>631</v>
      </c>
      <c r="B48" s="42" t="s">
        <v>649</v>
      </c>
      <c r="C48" s="40" t="s">
        <v>652</v>
      </c>
      <c r="D48" s="40" t="s">
        <v>652</v>
      </c>
      <c r="E48" s="41" t="s">
        <v>1058</v>
      </c>
      <c r="F48" s="5" t="s">
        <v>44</v>
      </c>
      <c r="G48" s="25">
        <v>41367</v>
      </c>
      <c r="H48" s="5" t="s">
        <v>653</v>
      </c>
      <c r="I48" s="5">
        <f>VLOOKUP(MID(表1_11[[#This Row],[工资等级]],1,1),表12[],MATCH(MID(表1_11[[#This Row],[工资等级]],2,2),表12[[#Headers],[1]:[10]],0)+1,0)</f>
        <v>5500</v>
      </c>
      <c r="J48" s="5">
        <v>27.5</v>
      </c>
      <c r="K48" s="27">
        <v>1.1458333333333333</v>
      </c>
      <c r="L48" s="37">
        <f>IF(表1_11[[#This Row],[出勤率]]&gt;1,1,表1_11[[#This Row],[出勤率]])*表1_11[[#This Row],[岗位工资]]</f>
        <v>5500</v>
      </c>
      <c r="M48" s="5">
        <f>LOOKUP(表1_11[[#This Row],[岗位工资]],表13[lookup],表13[奖金比率])*表1_11[[#This Row],[岗位工资]]</f>
        <v>825</v>
      </c>
      <c r="N48" s="5">
        <v>80</v>
      </c>
      <c r="O48" s="38">
        <f>表1_11[[#This Row],[奖金等级]]*表1_11[[#This Row],[绩效得分]]/100</f>
        <v>660</v>
      </c>
      <c r="P48" s="5">
        <f>IF(表1_11[[#This Row],[出勤率]]&gt;=1,200,0)</f>
        <v>200</v>
      </c>
      <c r="Q48" s="23">
        <f t="shared" ca="1" si="0"/>
        <v>200</v>
      </c>
      <c r="R48" s="23">
        <f>IF(表1_11[[#This Row],[中心]]="营销中心",VLOOKUP(表1_11[[#This Row],[职位]],表2[[话费补贴]:[营销中心]],2,0),VLOOKUP(表1_11[[#This Row],[职位]],表2[],3,0))</f>
        <v>500</v>
      </c>
      <c r="S48" s="23">
        <v>200</v>
      </c>
      <c r="T48" s="61">
        <f ca="1">ROUND(SUM(表1_11[[#This Row],[基本工资]],表1_11[[#This Row],[奖金]],表1_11[[#This Row],[全勤奖]:[防暑降温补贴]]),2)</f>
        <v>7260</v>
      </c>
      <c r="U48" s="62">
        <f ca="1">ROUND(表1_11[[#This Row],[税前应发总额]]*8%,2)</f>
        <v>580.79999999999995</v>
      </c>
      <c r="V48" s="62">
        <f ca="1">ROUND(表1_11[[#This Row],[税前应发总额]]*2%+3,2)</f>
        <v>148.19999999999999</v>
      </c>
      <c r="W48" s="62">
        <f ca="1">ROUND(表1_11[[#This Row],[税前应发总额]]*0.2%,2)</f>
        <v>14.52</v>
      </c>
      <c r="X48" s="62">
        <f ca="1">ROUND(表1_11[[#This Row],[税前应发总额]]*12%,2)</f>
        <v>871.2</v>
      </c>
      <c r="Y48" s="61">
        <f ca="1">ROUND(表1_11[[#This Row],[税前应发总额]]-SUM(表1_11[[#This Row],[养老保险]:[公积金]]),2)</f>
        <v>5645.28</v>
      </c>
      <c r="Z48" s="62">
        <f ca="1">ROUND(MAX((表1_11[[#This Row],[扣保险后工资金额]]-3500)*{3,10,20,25,30,35,45}%-{0,105,555,1005,2755,5505,13505},0),2)</f>
        <v>109.53</v>
      </c>
      <c r="AA48" s="63">
        <f ca="1">表1_11[[#This Row],[扣保险后工资金额]]-表1_11[[#This Row],[个人所得税]]</f>
        <v>5535.75</v>
      </c>
      <c r="AB48" s="53">
        <v>6128.41</v>
      </c>
      <c r="AC48" s="64">
        <f ca="1">(表1_11[[#This Row],[实发工资]]-表1_11[[#This Row],[上月对比]])/表1_11[[#This Row],[上月对比]]</f>
        <v>-9.6706976197741323E-2</v>
      </c>
      <c r="AD48" s="65" t="s">
        <v>1587</v>
      </c>
    </row>
    <row r="49" spans="1:30">
      <c r="A49" s="42" t="s">
        <v>631</v>
      </c>
      <c r="B49" s="42" t="s">
        <v>649</v>
      </c>
      <c r="C49" s="40" t="s">
        <v>654</v>
      </c>
      <c r="D49" s="40" t="s">
        <v>654</v>
      </c>
      <c r="E49" s="41" t="s">
        <v>1059</v>
      </c>
      <c r="F49" s="5" t="s">
        <v>45</v>
      </c>
      <c r="G49" s="25">
        <v>38643</v>
      </c>
      <c r="H49" s="5" t="s">
        <v>637</v>
      </c>
      <c r="I49" s="5">
        <f>VLOOKUP(MID(表1_11[[#This Row],[工资等级]],1,1),表12[],MATCH(MID(表1_11[[#This Row],[工资等级]],2,2),表12[[#Headers],[1]:[10]],0)+1,0)</f>
        <v>4000</v>
      </c>
      <c r="J49" s="5">
        <v>27.5</v>
      </c>
      <c r="K49" s="27">
        <v>1.1458333333333333</v>
      </c>
      <c r="L49" s="37">
        <f>IF(表1_11[[#This Row],[出勤率]]&gt;1,1,表1_11[[#This Row],[出勤率]])*表1_11[[#This Row],[岗位工资]]</f>
        <v>4000</v>
      </c>
      <c r="M49" s="5">
        <f>LOOKUP(表1_11[[#This Row],[岗位工资]],表13[lookup],表13[奖金比率])*表1_11[[#This Row],[岗位工资]]</f>
        <v>600</v>
      </c>
      <c r="N49" s="5">
        <v>89</v>
      </c>
      <c r="O49" s="38">
        <f>表1_11[[#This Row],[奖金等级]]*表1_11[[#This Row],[绩效得分]]/100</f>
        <v>534</v>
      </c>
      <c r="P49" s="5">
        <f>IF(表1_11[[#This Row],[出勤率]]&gt;=1,200,0)</f>
        <v>200</v>
      </c>
      <c r="Q49" s="23">
        <f t="shared" ca="1" si="0"/>
        <v>500</v>
      </c>
      <c r="R49" s="23">
        <f>IF(表1_11[[#This Row],[中心]]="营销中心",VLOOKUP(表1_11[[#This Row],[职位]],表2[[话费补贴]:[营销中心]],2,0),VLOOKUP(表1_11[[#This Row],[职位]],表2[],3,0))</f>
        <v>300</v>
      </c>
      <c r="S49" s="23">
        <v>200</v>
      </c>
      <c r="T49" s="61">
        <f ca="1">ROUND(SUM(表1_11[[#This Row],[基本工资]],表1_11[[#This Row],[奖金]],表1_11[[#This Row],[全勤奖]:[防暑降温补贴]]),2)</f>
        <v>5734</v>
      </c>
      <c r="U49" s="62">
        <f ca="1">ROUND(表1_11[[#This Row],[税前应发总额]]*8%,2)</f>
        <v>458.72</v>
      </c>
      <c r="V49" s="62">
        <f ca="1">ROUND(表1_11[[#This Row],[税前应发总额]]*2%+3,2)</f>
        <v>117.68</v>
      </c>
      <c r="W49" s="62">
        <f ca="1">ROUND(表1_11[[#This Row],[税前应发总额]]*0.2%,2)</f>
        <v>11.47</v>
      </c>
      <c r="X49" s="62">
        <f ca="1">ROUND(表1_11[[#This Row],[税前应发总额]]*12%,2)</f>
        <v>688.08</v>
      </c>
      <c r="Y49" s="61">
        <f ca="1">ROUND(表1_11[[#This Row],[税前应发总额]]-SUM(表1_11[[#This Row],[养老保险]:[公积金]]),2)</f>
        <v>4458.05</v>
      </c>
      <c r="Z49" s="62">
        <f ca="1">ROUND(MAX((表1_11[[#This Row],[扣保险后工资金额]]-3500)*{3,10,20,25,30,35,45}%-{0,105,555,1005,2755,5505,13505},0),2)</f>
        <v>28.74</v>
      </c>
      <c r="AA49" s="63">
        <f ca="1">表1_11[[#This Row],[扣保险后工资金额]]-表1_11[[#This Row],[个人所得税]]</f>
        <v>4429.3100000000004</v>
      </c>
      <c r="AB49" s="53">
        <v>4989.7700000000004</v>
      </c>
      <c r="AC49" s="64">
        <f ca="1">(表1_11[[#This Row],[实发工资]]-表1_11[[#This Row],[上月对比]])/表1_11[[#This Row],[上月对比]]</f>
        <v>-0.11232181042412777</v>
      </c>
      <c r="AD49" s="65" t="s">
        <v>1587</v>
      </c>
    </row>
    <row r="50" spans="1:30">
      <c r="A50" s="42" t="s">
        <v>631</v>
      </c>
      <c r="B50" s="42" t="s">
        <v>649</v>
      </c>
      <c r="C50" s="40" t="s">
        <v>599</v>
      </c>
      <c r="D50" s="40" t="s">
        <v>626</v>
      </c>
      <c r="E50" s="41" t="s">
        <v>1060</v>
      </c>
      <c r="F50" s="5" t="s">
        <v>46</v>
      </c>
      <c r="G50" s="25">
        <v>38839</v>
      </c>
      <c r="H50" s="5" t="s">
        <v>617</v>
      </c>
      <c r="I50" s="5">
        <f>VLOOKUP(MID(表1_11[[#This Row],[工资等级]],1,1),表12[],MATCH(MID(表1_11[[#This Row],[工资等级]],2,2),表12[[#Headers],[1]:[10]],0)+1,0)</f>
        <v>2500</v>
      </c>
      <c r="J50" s="5">
        <v>27</v>
      </c>
      <c r="K50" s="27">
        <v>1.125</v>
      </c>
      <c r="L50" s="37">
        <f>IF(表1_11[[#This Row],[出勤率]]&gt;1,1,表1_11[[#This Row],[出勤率]])*表1_11[[#This Row],[岗位工资]]</f>
        <v>2500</v>
      </c>
      <c r="M50" s="5">
        <f>LOOKUP(表1_11[[#This Row],[岗位工资]],表13[lookup],表13[奖金比率])*表1_11[[#This Row],[岗位工资]]</f>
        <v>250</v>
      </c>
      <c r="N50" s="5">
        <v>97</v>
      </c>
      <c r="O50" s="38">
        <f>表1_11[[#This Row],[奖金等级]]*表1_11[[#This Row],[绩效得分]]/100</f>
        <v>242.5</v>
      </c>
      <c r="P50" s="5">
        <f>IF(表1_11[[#This Row],[出勤率]]&gt;=1,200,0)</f>
        <v>200</v>
      </c>
      <c r="Q50" s="23">
        <f t="shared" ca="1" si="0"/>
        <v>500</v>
      </c>
      <c r="R50" s="23">
        <f>IF(表1_11[[#This Row],[中心]]="营销中心",VLOOKUP(表1_11[[#This Row],[职位]],表2[[话费补贴]:[营销中心]],2,0),VLOOKUP(表1_11[[#This Row],[职位]],表2[],3,0))</f>
        <v>0</v>
      </c>
      <c r="S50" s="23">
        <v>200</v>
      </c>
      <c r="T50" s="61">
        <f ca="1">ROUND(SUM(表1_11[[#This Row],[基本工资]],表1_11[[#This Row],[奖金]],表1_11[[#This Row],[全勤奖]:[防暑降温补贴]]),2)</f>
        <v>3642.5</v>
      </c>
      <c r="U50" s="62">
        <f ca="1">ROUND(表1_11[[#This Row],[税前应发总额]]*8%,2)</f>
        <v>291.39999999999998</v>
      </c>
      <c r="V50" s="62">
        <f ca="1">ROUND(表1_11[[#This Row],[税前应发总额]]*2%+3,2)</f>
        <v>75.849999999999994</v>
      </c>
      <c r="W50" s="62">
        <f ca="1">ROUND(表1_11[[#This Row],[税前应发总额]]*0.2%,2)</f>
        <v>7.29</v>
      </c>
      <c r="X50" s="62">
        <f ca="1">ROUND(表1_11[[#This Row],[税前应发总额]]*12%,2)</f>
        <v>437.1</v>
      </c>
      <c r="Y50" s="61">
        <f ca="1">ROUND(表1_11[[#This Row],[税前应发总额]]-SUM(表1_11[[#This Row],[养老保险]:[公积金]]),2)</f>
        <v>2830.86</v>
      </c>
      <c r="Z50" s="62">
        <f ca="1">ROUND(MAX((表1_11[[#This Row],[扣保险后工资金额]]-3500)*{3,10,20,25,30,35,45}%-{0,105,555,1005,2755,5505,13505},0),2)</f>
        <v>0</v>
      </c>
      <c r="AA50" s="63">
        <f ca="1">表1_11[[#This Row],[扣保险后工资金额]]-表1_11[[#This Row],[个人所得税]]</f>
        <v>2830.86</v>
      </c>
      <c r="AB50" s="53">
        <v>2893.43</v>
      </c>
      <c r="AC50" s="64">
        <f ca="1">(表1_11[[#This Row],[实发工资]]-表1_11[[#This Row],[上月对比]])/表1_11[[#This Row],[上月对比]]</f>
        <v>-2.1624853547519626E-2</v>
      </c>
      <c r="AD50" s="65" t="s">
        <v>1587</v>
      </c>
    </row>
    <row r="51" spans="1:30">
      <c r="A51" s="42" t="s">
        <v>631</v>
      </c>
      <c r="B51" s="42" t="s">
        <v>649</v>
      </c>
      <c r="C51" s="40" t="s">
        <v>655</v>
      </c>
      <c r="D51" s="40" t="s">
        <v>656</v>
      </c>
      <c r="E51" s="41" t="s">
        <v>1061</v>
      </c>
      <c r="F51" s="5" t="s">
        <v>47</v>
      </c>
      <c r="G51" s="25">
        <v>40223</v>
      </c>
      <c r="H51" s="5" t="s">
        <v>657</v>
      </c>
      <c r="I51" s="5">
        <f>VLOOKUP(MID(表1_11[[#This Row],[工资等级]],1,1),表12[],MATCH(MID(表1_11[[#This Row],[工资等级]],2,2),表12[[#Headers],[1]:[10]],0)+1,0)</f>
        <v>4000</v>
      </c>
      <c r="J51" s="5">
        <v>22</v>
      </c>
      <c r="K51" s="27">
        <v>0.91666666666666663</v>
      </c>
      <c r="L51" s="37">
        <f>IF(表1_11[[#This Row],[出勤率]]&gt;1,1,表1_11[[#This Row],[出勤率]])*表1_11[[#This Row],[岗位工资]]</f>
        <v>3666.6666666666665</v>
      </c>
      <c r="M51" s="5">
        <f>LOOKUP(表1_11[[#This Row],[岗位工资]],表13[lookup],表13[奖金比率])*表1_11[[#This Row],[岗位工资]]</f>
        <v>600</v>
      </c>
      <c r="N51" s="5">
        <v>81</v>
      </c>
      <c r="O51" s="38">
        <f>表1_11[[#This Row],[奖金等级]]*表1_11[[#This Row],[绩效得分]]/100</f>
        <v>486</v>
      </c>
      <c r="P51" s="5">
        <f>IF(表1_11[[#This Row],[出勤率]]&gt;=1,200,0)</f>
        <v>0</v>
      </c>
      <c r="Q51" s="23">
        <f t="shared" ca="1" si="0"/>
        <v>400</v>
      </c>
      <c r="R51" s="23">
        <f>IF(表1_11[[#This Row],[中心]]="营销中心",VLOOKUP(表1_11[[#This Row],[职位]],表2[[话费补贴]:[营销中心]],2,0),VLOOKUP(表1_11[[#This Row],[职位]],表2[],3,0))</f>
        <v>0</v>
      </c>
      <c r="S51" s="23">
        <v>200</v>
      </c>
      <c r="T51" s="61">
        <f ca="1">ROUND(SUM(表1_11[[#This Row],[基本工资]],表1_11[[#This Row],[奖金]],表1_11[[#This Row],[全勤奖]:[防暑降温补贴]]),2)</f>
        <v>4752.67</v>
      </c>
      <c r="U51" s="62">
        <f ca="1">ROUND(表1_11[[#This Row],[税前应发总额]]*8%,2)</f>
        <v>380.21</v>
      </c>
      <c r="V51" s="62">
        <f ca="1">ROUND(表1_11[[#This Row],[税前应发总额]]*2%+3,2)</f>
        <v>98.05</v>
      </c>
      <c r="W51" s="62">
        <f ca="1">ROUND(表1_11[[#This Row],[税前应发总额]]*0.2%,2)</f>
        <v>9.51</v>
      </c>
      <c r="X51" s="62">
        <f ca="1">ROUND(表1_11[[#This Row],[税前应发总额]]*12%,2)</f>
        <v>570.32000000000005</v>
      </c>
      <c r="Y51" s="61">
        <f ca="1">ROUND(表1_11[[#This Row],[税前应发总额]]-SUM(表1_11[[#This Row],[养老保险]:[公积金]]),2)</f>
        <v>3694.58</v>
      </c>
      <c r="Z51" s="62">
        <f ca="1">ROUND(MAX((表1_11[[#This Row],[扣保险后工资金额]]-3500)*{3,10,20,25,30,35,45}%-{0,105,555,1005,2755,5505,13505},0),2)</f>
        <v>5.84</v>
      </c>
      <c r="AA51" s="63">
        <f ca="1">表1_11[[#This Row],[扣保险后工资金额]]-表1_11[[#This Row],[个人所得税]]</f>
        <v>3688.74</v>
      </c>
      <c r="AB51" s="53">
        <v>4052.62</v>
      </c>
      <c r="AC51" s="64">
        <f ca="1">(表1_11[[#This Row],[实发工资]]-表1_11[[#This Row],[上月对比]])/表1_11[[#This Row],[上月对比]]</f>
        <v>-8.9788827968079937E-2</v>
      </c>
      <c r="AD51" s="65" t="s">
        <v>1587</v>
      </c>
    </row>
    <row r="52" spans="1:30">
      <c r="A52" s="42" t="s">
        <v>631</v>
      </c>
      <c r="B52" s="42" t="s">
        <v>649</v>
      </c>
      <c r="C52" s="40" t="s">
        <v>638</v>
      </c>
      <c r="D52" s="40" t="s">
        <v>639</v>
      </c>
      <c r="E52" s="41" t="s">
        <v>1062</v>
      </c>
      <c r="F52" s="5" t="s">
        <v>48</v>
      </c>
      <c r="G52" s="25">
        <v>39579</v>
      </c>
      <c r="H52" s="5" t="s">
        <v>618</v>
      </c>
      <c r="I52" s="5">
        <f>VLOOKUP(MID(表1_11[[#This Row],[工资等级]],1,1),表12[],MATCH(MID(表1_11[[#This Row],[工资等级]],2,2),表12[[#Headers],[1]:[10]],0)+1,0)</f>
        <v>3000</v>
      </c>
      <c r="J52" s="5">
        <v>24.5</v>
      </c>
      <c r="K52" s="27">
        <v>1.0208333333333333</v>
      </c>
      <c r="L52" s="37">
        <f>IF(表1_11[[#This Row],[出勤率]]&gt;1,1,表1_11[[#This Row],[出勤率]])*表1_11[[#This Row],[岗位工资]]</f>
        <v>3000</v>
      </c>
      <c r="M52" s="5">
        <f>LOOKUP(表1_11[[#This Row],[岗位工资]],表13[lookup],表13[奖金比率])*表1_11[[#This Row],[岗位工资]]</f>
        <v>300</v>
      </c>
      <c r="N52" s="5">
        <v>80</v>
      </c>
      <c r="O52" s="38">
        <f>表1_11[[#This Row],[奖金等级]]*表1_11[[#This Row],[绩效得分]]/100</f>
        <v>240</v>
      </c>
      <c r="P52" s="5">
        <f>IF(表1_11[[#This Row],[出勤率]]&gt;=1,200,0)</f>
        <v>200</v>
      </c>
      <c r="Q52" s="23">
        <f t="shared" ca="1" si="0"/>
        <v>450</v>
      </c>
      <c r="R52" s="23">
        <f>IF(表1_11[[#This Row],[中心]]="营销中心",VLOOKUP(表1_11[[#This Row],[职位]],表2[[话费补贴]:[营销中心]],2,0),VLOOKUP(表1_11[[#This Row],[职位]],表2[],3,0))</f>
        <v>0</v>
      </c>
      <c r="S52" s="23">
        <v>200</v>
      </c>
      <c r="T52" s="61">
        <f ca="1">ROUND(SUM(表1_11[[#This Row],[基本工资]],表1_11[[#This Row],[奖金]],表1_11[[#This Row],[全勤奖]:[防暑降温补贴]]),2)</f>
        <v>4090</v>
      </c>
      <c r="U52" s="62">
        <f ca="1">ROUND(表1_11[[#This Row],[税前应发总额]]*8%,2)</f>
        <v>327.2</v>
      </c>
      <c r="V52" s="62">
        <f ca="1">ROUND(表1_11[[#This Row],[税前应发总额]]*2%+3,2)</f>
        <v>84.8</v>
      </c>
      <c r="W52" s="62">
        <f ca="1">ROUND(表1_11[[#This Row],[税前应发总额]]*0.2%,2)</f>
        <v>8.18</v>
      </c>
      <c r="X52" s="62">
        <f ca="1">ROUND(表1_11[[#This Row],[税前应发总额]]*12%,2)</f>
        <v>490.8</v>
      </c>
      <c r="Y52" s="61">
        <f ca="1">ROUND(表1_11[[#This Row],[税前应发总额]]-SUM(表1_11[[#This Row],[养老保险]:[公积金]]),2)</f>
        <v>3179.02</v>
      </c>
      <c r="Z52" s="62">
        <f ca="1">ROUND(MAX((表1_11[[#This Row],[扣保险后工资金额]]-3500)*{3,10,20,25,30,35,45}%-{0,105,555,1005,2755,5505,13505},0),2)</f>
        <v>0</v>
      </c>
      <c r="AA52" s="63">
        <f ca="1">表1_11[[#This Row],[扣保险后工资金额]]-表1_11[[#This Row],[个人所得税]]</f>
        <v>3179.02</v>
      </c>
      <c r="AB52" s="53">
        <v>3721.86</v>
      </c>
      <c r="AC52" s="64">
        <f ca="1">(表1_11[[#This Row],[实发工资]]-表1_11[[#This Row],[上月对比]])/表1_11[[#This Row],[上月对比]]</f>
        <v>-0.14585180528015565</v>
      </c>
      <c r="AD52" s="65" t="s">
        <v>1587</v>
      </c>
    </row>
    <row r="53" spans="1:30">
      <c r="A53" s="42" t="s">
        <v>631</v>
      </c>
      <c r="B53" s="42" t="s">
        <v>649</v>
      </c>
      <c r="C53" s="40" t="s">
        <v>658</v>
      </c>
      <c r="D53" s="40" t="s">
        <v>659</v>
      </c>
      <c r="E53" s="41" t="s">
        <v>1063</v>
      </c>
      <c r="F53" s="5" t="s">
        <v>49</v>
      </c>
      <c r="G53" s="25">
        <v>41225</v>
      </c>
      <c r="H53" s="5" t="s">
        <v>612</v>
      </c>
      <c r="I53" s="5">
        <f>VLOOKUP(MID(表1_11[[#This Row],[工资等级]],1,1),表12[],MATCH(MID(表1_11[[#This Row],[工资等级]],2,2),表12[[#Headers],[1]:[10]],0)+1,0)</f>
        <v>2700</v>
      </c>
      <c r="J53" s="5">
        <v>26</v>
      </c>
      <c r="K53" s="27">
        <v>1.0833333333333333</v>
      </c>
      <c r="L53" s="37">
        <f>IF(表1_11[[#This Row],[出勤率]]&gt;1,1,表1_11[[#This Row],[出勤率]])*表1_11[[#This Row],[岗位工资]]</f>
        <v>2700</v>
      </c>
      <c r="M53" s="5">
        <f>LOOKUP(表1_11[[#This Row],[岗位工资]],表13[lookup],表13[奖金比率])*表1_11[[#This Row],[岗位工资]]</f>
        <v>270</v>
      </c>
      <c r="N53" s="5">
        <v>88</v>
      </c>
      <c r="O53" s="38">
        <f>表1_11[[#This Row],[奖金等级]]*表1_11[[#This Row],[绩效得分]]/100</f>
        <v>237.6</v>
      </c>
      <c r="P53" s="5">
        <f>IF(表1_11[[#This Row],[出勤率]]&gt;=1,200,0)</f>
        <v>200</v>
      </c>
      <c r="Q53" s="23">
        <f t="shared" ca="1" si="0"/>
        <v>250</v>
      </c>
      <c r="R53" s="23">
        <f>IF(表1_11[[#This Row],[中心]]="营销中心",VLOOKUP(表1_11[[#This Row],[职位]],表2[[话费补贴]:[营销中心]],2,0),VLOOKUP(表1_11[[#This Row],[职位]],表2[],3,0))</f>
        <v>0</v>
      </c>
      <c r="S53" s="23">
        <v>200</v>
      </c>
      <c r="T53" s="61">
        <f ca="1">ROUND(SUM(表1_11[[#This Row],[基本工资]],表1_11[[#This Row],[奖金]],表1_11[[#This Row],[全勤奖]:[防暑降温补贴]]),2)</f>
        <v>3587.6</v>
      </c>
      <c r="U53" s="62">
        <f ca="1">ROUND(表1_11[[#This Row],[税前应发总额]]*8%,2)</f>
        <v>287.01</v>
      </c>
      <c r="V53" s="62">
        <f ca="1">ROUND(表1_11[[#This Row],[税前应发总额]]*2%+3,2)</f>
        <v>74.75</v>
      </c>
      <c r="W53" s="62">
        <f ca="1">ROUND(表1_11[[#This Row],[税前应发总额]]*0.2%,2)</f>
        <v>7.18</v>
      </c>
      <c r="X53" s="62">
        <f ca="1">ROUND(表1_11[[#This Row],[税前应发总额]]*12%,2)</f>
        <v>430.51</v>
      </c>
      <c r="Y53" s="61">
        <f ca="1">ROUND(表1_11[[#This Row],[税前应发总额]]-SUM(表1_11[[#This Row],[养老保险]:[公积金]]),2)</f>
        <v>2788.15</v>
      </c>
      <c r="Z53" s="62">
        <f ca="1">ROUND(MAX((表1_11[[#This Row],[扣保险后工资金额]]-3500)*{3,10,20,25,30,35,45}%-{0,105,555,1005,2755,5505,13505},0),2)</f>
        <v>0</v>
      </c>
      <c r="AA53" s="63">
        <f ca="1">表1_11[[#This Row],[扣保险后工资金额]]-表1_11[[#This Row],[个人所得税]]</f>
        <v>2788.15</v>
      </c>
      <c r="AB53" s="53">
        <v>3206.19</v>
      </c>
      <c r="AC53" s="64">
        <f ca="1">(表1_11[[#This Row],[实发工资]]-表1_11[[#This Row],[上月对比]])/表1_11[[#This Row],[上月对比]]</f>
        <v>-0.13038528596246635</v>
      </c>
      <c r="AD53" s="65" t="s">
        <v>1587</v>
      </c>
    </row>
    <row r="54" spans="1:30">
      <c r="A54" s="42" t="s">
        <v>631</v>
      </c>
      <c r="B54" s="42" t="s">
        <v>649</v>
      </c>
      <c r="C54" s="40" t="s">
        <v>660</v>
      </c>
      <c r="D54" s="40" t="s">
        <v>661</v>
      </c>
      <c r="E54" s="41" t="s">
        <v>1064</v>
      </c>
      <c r="F54" s="5" t="s">
        <v>50</v>
      </c>
      <c r="G54" s="25">
        <v>38780</v>
      </c>
      <c r="H54" s="5" t="s">
        <v>630</v>
      </c>
      <c r="I54" s="5">
        <f>VLOOKUP(MID(表1_11[[#This Row],[工资等级]],1,1),表12[],MATCH(MID(表1_11[[#This Row],[工资等级]],2,2),表12[[#Headers],[1]:[10]],0)+1,0)</f>
        <v>2600</v>
      </c>
      <c r="J54" s="5">
        <v>27</v>
      </c>
      <c r="K54" s="27">
        <v>1.125</v>
      </c>
      <c r="L54" s="37">
        <f>IF(表1_11[[#This Row],[出勤率]]&gt;1,1,表1_11[[#This Row],[出勤率]])*表1_11[[#This Row],[岗位工资]]</f>
        <v>2600</v>
      </c>
      <c r="M54" s="5">
        <f>LOOKUP(表1_11[[#This Row],[岗位工资]],表13[lookup],表13[奖金比率])*表1_11[[#This Row],[岗位工资]]</f>
        <v>260</v>
      </c>
      <c r="N54" s="5">
        <v>82</v>
      </c>
      <c r="O54" s="38">
        <f>表1_11[[#This Row],[奖金等级]]*表1_11[[#This Row],[绩效得分]]/100</f>
        <v>213.2</v>
      </c>
      <c r="P54" s="5">
        <f>IF(表1_11[[#This Row],[出勤率]]&gt;=1,200,0)</f>
        <v>200</v>
      </c>
      <c r="Q54" s="23">
        <f t="shared" ca="1" si="0"/>
        <v>500</v>
      </c>
      <c r="R54" s="23">
        <f>IF(表1_11[[#This Row],[中心]]="营销中心",VLOOKUP(表1_11[[#This Row],[职位]],表2[[话费补贴]:[营销中心]],2,0),VLOOKUP(表1_11[[#This Row],[职位]],表2[],3,0))</f>
        <v>0</v>
      </c>
      <c r="S54" s="23">
        <v>200</v>
      </c>
      <c r="T54" s="61">
        <f ca="1">ROUND(SUM(表1_11[[#This Row],[基本工资]],表1_11[[#This Row],[奖金]],表1_11[[#This Row],[全勤奖]:[防暑降温补贴]]),2)</f>
        <v>3713.2</v>
      </c>
      <c r="U54" s="62">
        <f ca="1">ROUND(表1_11[[#This Row],[税前应发总额]]*8%,2)</f>
        <v>297.06</v>
      </c>
      <c r="V54" s="62">
        <f ca="1">ROUND(表1_11[[#This Row],[税前应发总额]]*2%+3,2)</f>
        <v>77.260000000000005</v>
      </c>
      <c r="W54" s="62">
        <f ca="1">ROUND(表1_11[[#This Row],[税前应发总额]]*0.2%,2)</f>
        <v>7.43</v>
      </c>
      <c r="X54" s="62">
        <f ca="1">ROUND(表1_11[[#This Row],[税前应发总额]]*12%,2)</f>
        <v>445.58</v>
      </c>
      <c r="Y54" s="61">
        <f ca="1">ROUND(表1_11[[#This Row],[税前应发总额]]-SUM(表1_11[[#This Row],[养老保险]:[公积金]]),2)</f>
        <v>2885.87</v>
      </c>
      <c r="Z54" s="62">
        <f ca="1">ROUND(MAX((表1_11[[#This Row],[扣保险后工资金额]]-3500)*{3,10,20,25,30,35,45}%-{0,105,555,1005,2755,5505,13505},0),2)</f>
        <v>0</v>
      </c>
      <c r="AA54" s="63">
        <f ca="1">表1_11[[#This Row],[扣保险后工资金额]]-表1_11[[#This Row],[个人所得税]]</f>
        <v>2885.87</v>
      </c>
      <c r="AB54" s="53">
        <v>3071.88</v>
      </c>
      <c r="AC54" s="64">
        <f ca="1">(表1_11[[#This Row],[实发工资]]-表1_11[[#This Row],[上月对比]])/表1_11[[#This Row],[上月对比]]</f>
        <v>-6.0552495540190439E-2</v>
      </c>
      <c r="AD54" s="65" t="s">
        <v>1587</v>
      </c>
    </row>
    <row r="55" spans="1:30">
      <c r="A55" s="42" t="s">
        <v>631</v>
      </c>
      <c r="B55" s="42" t="s">
        <v>649</v>
      </c>
      <c r="C55" s="40" t="s">
        <v>662</v>
      </c>
      <c r="D55" s="40" t="s">
        <v>663</v>
      </c>
      <c r="E55" s="41" t="s">
        <v>1065</v>
      </c>
      <c r="F55" s="5" t="s">
        <v>51</v>
      </c>
      <c r="G55" s="25">
        <v>42229</v>
      </c>
      <c r="H55" s="5" t="s">
        <v>617</v>
      </c>
      <c r="I55" s="5">
        <f>VLOOKUP(MID(表1_11[[#This Row],[工资等级]],1,1),表12[],MATCH(MID(表1_11[[#This Row],[工资等级]],2,2),表12[[#Headers],[1]:[10]],0)+1,0)</f>
        <v>2500</v>
      </c>
      <c r="J55" s="5">
        <v>22.5</v>
      </c>
      <c r="K55" s="27">
        <v>0.9375</v>
      </c>
      <c r="L55" s="37">
        <f>IF(表1_11[[#This Row],[出勤率]]&gt;1,1,表1_11[[#This Row],[出勤率]])*表1_11[[#This Row],[岗位工资]]</f>
        <v>2343.75</v>
      </c>
      <c r="M55" s="5">
        <f>LOOKUP(表1_11[[#This Row],[岗位工资]],表13[lookup],表13[奖金比率])*表1_11[[#This Row],[岗位工资]]</f>
        <v>250</v>
      </c>
      <c r="N55" s="5">
        <v>96</v>
      </c>
      <c r="O55" s="38">
        <f>表1_11[[#This Row],[奖金等级]]*表1_11[[#This Row],[绩效得分]]/100</f>
        <v>240</v>
      </c>
      <c r="P55" s="5">
        <f>IF(表1_11[[#This Row],[出勤率]]&gt;=1,200,0)</f>
        <v>0</v>
      </c>
      <c r="Q55" s="23">
        <f t="shared" ca="1" si="0"/>
        <v>100</v>
      </c>
      <c r="R55" s="23">
        <f>IF(表1_11[[#This Row],[中心]]="营销中心",VLOOKUP(表1_11[[#This Row],[职位]],表2[[话费补贴]:[营销中心]],2,0),VLOOKUP(表1_11[[#This Row],[职位]],表2[],3,0))</f>
        <v>0</v>
      </c>
      <c r="S55" s="23">
        <v>200</v>
      </c>
      <c r="T55" s="61">
        <f ca="1">ROUND(SUM(表1_11[[#This Row],[基本工资]],表1_11[[#This Row],[奖金]],表1_11[[#This Row],[全勤奖]:[防暑降温补贴]]),2)</f>
        <v>2883.75</v>
      </c>
      <c r="U55" s="62">
        <f ca="1">ROUND(表1_11[[#This Row],[税前应发总额]]*8%,2)</f>
        <v>230.7</v>
      </c>
      <c r="V55" s="62">
        <f ca="1">ROUND(表1_11[[#This Row],[税前应发总额]]*2%+3,2)</f>
        <v>60.68</v>
      </c>
      <c r="W55" s="62">
        <f ca="1">ROUND(表1_11[[#This Row],[税前应发总额]]*0.2%,2)</f>
        <v>5.77</v>
      </c>
      <c r="X55" s="62">
        <f ca="1">ROUND(表1_11[[#This Row],[税前应发总额]]*12%,2)</f>
        <v>346.05</v>
      </c>
      <c r="Y55" s="61">
        <f ca="1">ROUND(表1_11[[#This Row],[税前应发总额]]-SUM(表1_11[[#This Row],[养老保险]:[公积金]]),2)</f>
        <v>2240.5500000000002</v>
      </c>
      <c r="Z55" s="62">
        <f ca="1">ROUND(MAX((表1_11[[#This Row],[扣保险后工资金额]]-3500)*{3,10,20,25,30,35,45}%-{0,105,555,1005,2755,5505,13505},0),2)</f>
        <v>0</v>
      </c>
      <c r="AA55" s="63">
        <f ca="1">表1_11[[#This Row],[扣保险后工资金额]]-表1_11[[#This Row],[个人所得税]]</f>
        <v>2240.5500000000002</v>
      </c>
      <c r="AB55" s="53">
        <v>2038.47</v>
      </c>
      <c r="AC55" s="64">
        <f ca="1">(表1_11[[#This Row],[实发工资]]-表1_11[[#This Row],[上月对比]])/表1_11[[#This Row],[上月对比]]</f>
        <v>9.9133173409468936E-2</v>
      </c>
      <c r="AD55" s="65" t="s">
        <v>1587</v>
      </c>
    </row>
    <row r="56" spans="1:30">
      <c r="A56" s="42" t="s">
        <v>631</v>
      </c>
      <c r="B56" s="42" t="s">
        <v>649</v>
      </c>
      <c r="C56" s="40" t="s">
        <v>599</v>
      </c>
      <c r="D56" s="40" t="s">
        <v>626</v>
      </c>
      <c r="E56" s="41" t="s">
        <v>1066</v>
      </c>
      <c r="F56" s="5" t="s">
        <v>52</v>
      </c>
      <c r="G56" s="25">
        <v>41177</v>
      </c>
      <c r="H56" s="5" t="s">
        <v>624</v>
      </c>
      <c r="I56" s="5">
        <f>VLOOKUP(MID(表1_11[[#This Row],[工资等级]],1,1),表12[],MATCH(MID(表1_11[[#This Row],[工资等级]],2,2),表12[[#Headers],[1]:[10]],0)+1,0)</f>
        <v>2800</v>
      </c>
      <c r="J56" s="5">
        <v>21</v>
      </c>
      <c r="K56" s="27">
        <v>0.875</v>
      </c>
      <c r="L56" s="37">
        <f>IF(表1_11[[#This Row],[出勤率]]&gt;1,1,表1_11[[#This Row],[出勤率]])*表1_11[[#This Row],[岗位工资]]</f>
        <v>2450</v>
      </c>
      <c r="M56" s="5">
        <f>LOOKUP(表1_11[[#This Row],[岗位工资]],表13[lookup],表13[奖金比率])*表1_11[[#This Row],[岗位工资]]</f>
        <v>280</v>
      </c>
      <c r="N56" s="5">
        <v>85</v>
      </c>
      <c r="O56" s="38">
        <f>表1_11[[#This Row],[奖金等级]]*表1_11[[#This Row],[绩效得分]]/100</f>
        <v>238</v>
      </c>
      <c r="P56" s="5">
        <f>IF(表1_11[[#This Row],[出勤率]]&gt;=1,200,0)</f>
        <v>0</v>
      </c>
      <c r="Q56" s="23">
        <f t="shared" ca="1" si="0"/>
        <v>250</v>
      </c>
      <c r="R56" s="23">
        <f>IF(表1_11[[#This Row],[中心]]="营销中心",VLOOKUP(表1_11[[#This Row],[职位]],表2[[话费补贴]:[营销中心]],2,0),VLOOKUP(表1_11[[#This Row],[职位]],表2[],3,0))</f>
        <v>0</v>
      </c>
      <c r="S56" s="23">
        <v>200</v>
      </c>
      <c r="T56" s="61">
        <f ca="1">ROUND(SUM(表1_11[[#This Row],[基本工资]],表1_11[[#This Row],[奖金]],表1_11[[#This Row],[全勤奖]:[防暑降温补贴]]),2)</f>
        <v>3138</v>
      </c>
      <c r="U56" s="62">
        <f ca="1">ROUND(表1_11[[#This Row],[税前应发总额]]*8%,2)</f>
        <v>251.04</v>
      </c>
      <c r="V56" s="62">
        <f ca="1">ROUND(表1_11[[#This Row],[税前应发总额]]*2%+3,2)</f>
        <v>65.760000000000005</v>
      </c>
      <c r="W56" s="62">
        <f ca="1">ROUND(表1_11[[#This Row],[税前应发总额]]*0.2%,2)</f>
        <v>6.28</v>
      </c>
      <c r="X56" s="62">
        <f ca="1">ROUND(表1_11[[#This Row],[税前应发总额]]*12%,2)</f>
        <v>376.56</v>
      </c>
      <c r="Y56" s="61">
        <f ca="1">ROUND(表1_11[[#This Row],[税前应发总额]]-SUM(表1_11[[#This Row],[养老保险]:[公积金]]),2)</f>
        <v>2438.36</v>
      </c>
      <c r="Z56" s="62">
        <f ca="1">ROUND(MAX((表1_11[[#This Row],[扣保险后工资金额]]-3500)*{3,10,20,25,30,35,45}%-{0,105,555,1005,2755,5505,13505},0),2)</f>
        <v>0</v>
      </c>
      <c r="AA56" s="63">
        <f ca="1">表1_11[[#This Row],[扣保险后工资金额]]-表1_11[[#This Row],[个人所得税]]</f>
        <v>2438.36</v>
      </c>
      <c r="AB56" s="53">
        <v>2514.87</v>
      </c>
      <c r="AC56" s="64">
        <f ca="1">(表1_11[[#This Row],[实发工资]]-表1_11[[#This Row],[上月对比]])/表1_11[[#This Row],[上月对比]]</f>
        <v>-3.0423043735859016E-2</v>
      </c>
      <c r="AD56" s="65" t="s">
        <v>1587</v>
      </c>
    </row>
    <row r="57" spans="1:30">
      <c r="A57" s="42" t="s">
        <v>631</v>
      </c>
      <c r="B57" s="42" t="s">
        <v>649</v>
      </c>
      <c r="C57" s="40" t="s">
        <v>599</v>
      </c>
      <c r="D57" s="40" t="s">
        <v>626</v>
      </c>
      <c r="E57" s="41" t="s">
        <v>1067</v>
      </c>
      <c r="F57" s="5" t="s">
        <v>53</v>
      </c>
      <c r="G57" s="25">
        <v>41736</v>
      </c>
      <c r="H57" s="5" t="s">
        <v>615</v>
      </c>
      <c r="I57" s="5">
        <f>VLOOKUP(MID(表1_11[[#This Row],[工资等级]],1,1),表12[],MATCH(MID(表1_11[[#This Row],[工资等级]],2,2),表12[[#Headers],[1]:[10]],0)+1,0)</f>
        <v>3200</v>
      </c>
      <c r="J57" s="5">
        <v>26</v>
      </c>
      <c r="K57" s="27">
        <v>1.0833333333333333</v>
      </c>
      <c r="L57" s="37">
        <f>IF(表1_11[[#This Row],[出勤率]]&gt;1,1,表1_11[[#This Row],[出勤率]])*表1_11[[#This Row],[岗位工资]]</f>
        <v>3200</v>
      </c>
      <c r="M57" s="5">
        <f>LOOKUP(表1_11[[#This Row],[岗位工资]],表13[lookup],表13[奖金比率])*表1_11[[#This Row],[岗位工资]]</f>
        <v>320</v>
      </c>
      <c r="N57" s="5">
        <v>90</v>
      </c>
      <c r="O57" s="38">
        <f>表1_11[[#This Row],[奖金等级]]*表1_11[[#This Row],[绩效得分]]/100</f>
        <v>288</v>
      </c>
      <c r="P57" s="5">
        <f>IF(表1_11[[#This Row],[出勤率]]&gt;=1,200,0)</f>
        <v>200</v>
      </c>
      <c r="Q57" s="23">
        <f t="shared" ca="1" si="0"/>
        <v>150</v>
      </c>
      <c r="R57" s="23">
        <f>IF(表1_11[[#This Row],[中心]]="营销中心",VLOOKUP(表1_11[[#This Row],[职位]],表2[[话费补贴]:[营销中心]],2,0),VLOOKUP(表1_11[[#This Row],[职位]],表2[],3,0))</f>
        <v>0</v>
      </c>
      <c r="S57" s="23">
        <v>200</v>
      </c>
      <c r="T57" s="61">
        <f ca="1">ROUND(SUM(表1_11[[#This Row],[基本工资]],表1_11[[#This Row],[奖金]],表1_11[[#This Row],[全勤奖]:[防暑降温补贴]]),2)</f>
        <v>4038</v>
      </c>
      <c r="U57" s="62">
        <f ca="1">ROUND(表1_11[[#This Row],[税前应发总额]]*8%,2)</f>
        <v>323.04000000000002</v>
      </c>
      <c r="V57" s="62">
        <f ca="1">ROUND(表1_11[[#This Row],[税前应发总额]]*2%+3,2)</f>
        <v>83.76</v>
      </c>
      <c r="W57" s="62">
        <f ca="1">ROUND(表1_11[[#This Row],[税前应发总额]]*0.2%,2)</f>
        <v>8.08</v>
      </c>
      <c r="X57" s="62">
        <f ca="1">ROUND(表1_11[[#This Row],[税前应发总额]]*12%,2)</f>
        <v>484.56</v>
      </c>
      <c r="Y57" s="61">
        <f ca="1">ROUND(表1_11[[#This Row],[税前应发总额]]-SUM(表1_11[[#This Row],[养老保险]:[公积金]]),2)</f>
        <v>3138.56</v>
      </c>
      <c r="Z57" s="62">
        <f ca="1">ROUND(MAX((表1_11[[#This Row],[扣保险后工资金额]]-3500)*{3,10,20,25,30,35,45}%-{0,105,555,1005,2755,5505,13505},0),2)</f>
        <v>0</v>
      </c>
      <c r="AA57" s="63">
        <f ca="1">表1_11[[#This Row],[扣保险后工资金额]]-表1_11[[#This Row],[个人所得税]]</f>
        <v>3138.56</v>
      </c>
      <c r="AB57" s="53">
        <v>3720.08</v>
      </c>
      <c r="AC57" s="64">
        <f ca="1">(表1_11[[#This Row],[实发工资]]-表1_11[[#This Row],[上月对比]])/表1_11[[#This Row],[上月对比]]</f>
        <v>-0.15631921894152814</v>
      </c>
      <c r="AD57" s="65" t="s">
        <v>1587</v>
      </c>
    </row>
    <row r="58" spans="1:30">
      <c r="A58" s="42" t="s">
        <v>631</v>
      </c>
      <c r="B58" s="42" t="s">
        <v>649</v>
      </c>
      <c r="C58" s="40" t="s">
        <v>599</v>
      </c>
      <c r="D58" s="40" t="s">
        <v>626</v>
      </c>
      <c r="E58" s="41" t="s">
        <v>1068</v>
      </c>
      <c r="F58" s="5" t="s">
        <v>54</v>
      </c>
      <c r="G58" s="25">
        <v>39643</v>
      </c>
      <c r="H58" s="5" t="s">
        <v>657</v>
      </c>
      <c r="I58" s="5">
        <f>VLOOKUP(MID(表1_11[[#This Row],[工资等级]],1,1),表12[],MATCH(MID(表1_11[[#This Row],[工资等级]],2,2),表12[[#Headers],[1]:[10]],0)+1,0)</f>
        <v>4000</v>
      </c>
      <c r="J58" s="5">
        <v>20.5</v>
      </c>
      <c r="K58" s="27">
        <v>0.85416666666666663</v>
      </c>
      <c r="L58" s="37">
        <f>IF(表1_11[[#This Row],[出勤率]]&gt;1,1,表1_11[[#This Row],[出勤率]])*表1_11[[#This Row],[岗位工资]]</f>
        <v>3416.6666666666665</v>
      </c>
      <c r="M58" s="5">
        <f>LOOKUP(表1_11[[#This Row],[岗位工资]],表13[lookup],表13[奖金比率])*表1_11[[#This Row],[岗位工资]]</f>
        <v>600</v>
      </c>
      <c r="N58" s="5">
        <v>84</v>
      </c>
      <c r="O58" s="38">
        <f>表1_11[[#This Row],[奖金等级]]*表1_11[[#This Row],[绩效得分]]/100</f>
        <v>504</v>
      </c>
      <c r="P58" s="5">
        <f>IF(表1_11[[#This Row],[出勤率]]&gt;=1,200,0)</f>
        <v>0</v>
      </c>
      <c r="Q58" s="23">
        <f t="shared" ca="1" si="0"/>
        <v>450</v>
      </c>
      <c r="R58" s="23">
        <f>IF(表1_11[[#This Row],[中心]]="营销中心",VLOOKUP(表1_11[[#This Row],[职位]],表2[[话费补贴]:[营销中心]],2,0),VLOOKUP(表1_11[[#This Row],[职位]],表2[],3,0))</f>
        <v>0</v>
      </c>
      <c r="S58" s="23">
        <v>200</v>
      </c>
      <c r="T58" s="61">
        <f ca="1">ROUND(SUM(表1_11[[#This Row],[基本工资]],表1_11[[#This Row],[奖金]],表1_11[[#This Row],[全勤奖]:[防暑降温补贴]]),2)</f>
        <v>4570.67</v>
      </c>
      <c r="U58" s="62">
        <f ca="1">ROUND(表1_11[[#This Row],[税前应发总额]]*8%,2)</f>
        <v>365.65</v>
      </c>
      <c r="V58" s="62">
        <f ca="1">ROUND(表1_11[[#This Row],[税前应发总额]]*2%+3,2)</f>
        <v>94.41</v>
      </c>
      <c r="W58" s="62">
        <f ca="1">ROUND(表1_11[[#This Row],[税前应发总额]]*0.2%,2)</f>
        <v>9.14</v>
      </c>
      <c r="X58" s="62">
        <f ca="1">ROUND(表1_11[[#This Row],[税前应发总额]]*12%,2)</f>
        <v>548.48</v>
      </c>
      <c r="Y58" s="61">
        <f ca="1">ROUND(表1_11[[#This Row],[税前应发总额]]-SUM(表1_11[[#This Row],[养老保险]:[公积金]]),2)</f>
        <v>3552.99</v>
      </c>
      <c r="Z58" s="62">
        <f ca="1">ROUND(MAX((表1_11[[#This Row],[扣保险后工资金额]]-3500)*{3,10,20,25,30,35,45}%-{0,105,555,1005,2755,5505,13505},0),2)</f>
        <v>1.59</v>
      </c>
      <c r="AA58" s="63">
        <f ca="1">表1_11[[#This Row],[扣保险后工资金额]]-表1_11[[#This Row],[个人所得税]]</f>
        <v>3551.3999999999996</v>
      </c>
      <c r="AB58" s="53">
        <v>3865.04</v>
      </c>
      <c r="AC58" s="64">
        <f ca="1">(表1_11[[#This Row],[实发工资]]-表1_11[[#This Row],[上月对比]])/表1_11[[#This Row],[上月对比]]</f>
        <v>-8.1147931198642276E-2</v>
      </c>
      <c r="AD58" s="65" t="s">
        <v>1587</v>
      </c>
    </row>
    <row r="59" spans="1:30">
      <c r="A59" s="42" t="s">
        <v>577</v>
      </c>
      <c r="B59" s="42" t="s">
        <v>664</v>
      </c>
      <c r="C59" s="40" t="s">
        <v>588</v>
      </c>
      <c r="D59" s="40" t="s">
        <v>588</v>
      </c>
      <c r="E59" s="41" t="s">
        <v>1069</v>
      </c>
      <c r="F59" s="5" t="s">
        <v>55</v>
      </c>
      <c r="G59" s="25">
        <v>40412</v>
      </c>
      <c r="H59" s="5" t="s">
        <v>598</v>
      </c>
      <c r="I59" s="5">
        <f>VLOOKUP(MID(表1_11[[#This Row],[工资等级]],1,1),表12[],MATCH(MID(表1_11[[#This Row],[工资等级]],2,2),表12[[#Headers],[1]:[10]],0)+1,0)</f>
        <v>8500</v>
      </c>
      <c r="J59" s="5">
        <v>26</v>
      </c>
      <c r="K59" s="27">
        <v>1.0833333333333333</v>
      </c>
      <c r="L59" s="37">
        <f>IF(表1_11[[#This Row],[出勤率]]&gt;1,1,表1_11[[#This Row],[出勤率]])*表1_11[[#This Row],[岗位工资]]</f>
        <v>8500</v>
      </c>
      <c r="M59" s="5">
        <f>LOOKUP(表1_11[[#This Row],[岗位工资]],表13[lookup],表13[奖金比率])*表1_11[[#This Row],[岗位工资]]</f>
        <v>1700</v>
      </c>
      <c r="N59" s="5">
        <v>91</v>
      </c>
      <c r="O59" s="38">
        <f>表1_11[[#This Row],[奖金等级]]*表1_11[[#This Row],[绩效得分]]/100</f>
        <v>1547</v>
      </c>
      <c r="P59" s="5">
        <f>IF(表1_11[[#This Row],[出勤率]]&gt;=1,200,0)</f>
        <v>200</v>
      </c>
      <c r="Q59" s="23">
        <f t="shared" ca="1" si="0"/>
        <v>350</v>
      </c>
      <c r="R59" s="23">
        <f>IF(表1_11[[#This Row],[中心]]="营销中心",VLOOKUP(表1_11[[#This Row],[职位]],表2[[话费补贴]:[营销中心]],2,0),VLOOKUP(表1_11[[#This Row],[职位]],表2[],3,0))</f>
        <v>800</v>
      </c>
      <c r="S59" s="23">
        <v>200</v>
      </c>
      <c r="T59" s="61">
        <f ca="1">ROUND(SUM(表1_11[[#This Row],[基本工资]],表1_11[[#This Row],[奖金]],表1_11[[#This Row],[全勤奖]:[防暑降温补贴]]),2)</f>
        <v>11597</v>
      </c>
      <c r="U59" s="62">
        <f ca="1">ROUND(表1_11[[#This Row],[税前应发总额]]*8%,2)</f>
        <v>927.76</v>
      </c>
      <c r="V59" s="62">
        <f ca="1">ROUND(表1_11[[#This Row],[税前应发总额]]*2%+3,2)</f>
        <v>234.94</v>
      </c>
      <c r="W59" s="62">
        <f ca="1">ROUND(表1_11[[#This Row],[税前应发总额]]*0.2%,2)</f>
        <v>23.19</v>
      </c>
      <c r="X59" s="62">
        <f ca="1">ROUND(表1_11[[#This Row],[税前应发总额]]*12%,2)</f>
        <v>1391.64</v>
      </c>
      <c r="Y59" s="61">
        <f ca="1">ROUND(表1_11[[#This Row],[税前应发总额]]-SUM(表1_11[[#This Row],[养老保险]:[公积金]]),2)</f>
        <v>9019.4699999999993</v>
      </c>
      <c r="Z59" s="62">
        <f ca="1">ROUND(MAX((表1_11[[#This Row],[扣保险后工资金额]]-3500)*{3,10,20,25,30,35,45}%-{0,105,555,1005,2755,5505,13505},0),2)</f>
        <v>548.89</v>
      </c>
      <c r="AA59" s="63">
        <f ca="1">表1_11[[#This Row],[扣保险后工资金额]]-表1_11[[#This Row],[个人所得税]]</f>
        <v>8470.58</v>
      </c>
      <c r="AB59" s="53">
        <v>8396.9599999999991</v>
      </c>
      <c r="AC59" s="64">
        <f ca="1">(表1_11[[#This Row],[实发工资]]-表1_11[[#This Row],[上月对比]])/表1_11[[#This Row],[上月对比]]</f>
        <v>8.767458699338905E-3</v>
      </c>
      <c r="AD59" s="65" t="s">
        <v>1587</v>
      </c>
    </row>
    <row r="60" spans="1:30">
      <c r="A60" s="42" t="s">
        <v>577</v>
      </c>
      <c r="B60" s="42" t="s">
        <v>664</v>
      </c>
      <c r="C60" s="40" t="s">
        <v>592</v>
      </c>
      <c r="D60" s="40" t="s">
        <v>592</v>
      </c>
      <c r="E60" s="41" t="s">
        <v>1070</v>
      </c>
      <c r="F60" s="5" t="s">
        <v>56</v>
      </c>
      <c r="G60" s="25">
        <v>39967</v>
      </c>
      <c r="H60" s="5" t="s">
        <v>665</v>
      </c>
      <c r="I60" s="5">
        <f>VLOOKUP(MID(表1_11[[#This Row],[工资等级]],1,1),表12[],MATCH(MID(表1_11[[#This Row],[工资等级]],2,2),表12[[#Headers],[1]:[10]],0)+1,0)</f>
        <v>8000</v>
      </c>
      <c r="J60" s="5">
        <v>23</v>
      </c>
      <c r="K60" s="27">
        <v>0.95833333333333337</v>
      </c>
      <c r="L60" s="37">
        <f>IF(表1_11[[#This Row],[出勤率]]&gt;1,1,表1_11[[#This Row],[出勤率]])*表1_11[[#This Row],[岗位工资]]</f>
        <v>7666.666666666667</v>
      </c>
      <c r="M60" s="5">
        <f>LOOKUP(表1_11[[#This Row],[岗位工资]],表13[lookup],表13[奖金比率])*表1_11[[#This Row],[岗位工资]]</f>
        <v>1600</v>
      </c>
      <c r="N60" s="5">
        <v>80</v>
      </c>
      <c r="O60" s="38">
        <f>表1_11[[#This Row],[奖金等级]]*表1_11[[#This Row],[绩效得分]]/100</f>
        <v>1280</v>
      </c>
      <c r="P60" s="5">
        <f>IF(表1_11[[#This Row],[出勤率]]&gt;=1,200,0)</f>
        <v>0</v>
      </c>
      <c r="Q60" s="23">
        <f t="shared" ca="1" si="0"/>
        <v>400</v>
      </c>
      <c r="R60" s="23">
        <f>IF(表1_11[[#This Row],[中心]]="营销中心",VLOOKUP(表1_11[[#This Row],[职位]],表2[[话费补贴]:[营销中心]],2,0),VLOOKUP(表1_11[[#This Row],[职位]],表2[],3,0))</f>
        <v>500</v>
      </c>
      <c r="S60" s="23">
        <v>200</v>
      </c>
      <c r="T60" s="61">
        <f ca="1">ROUND(SUM(表1_11[[#This Row],[基本工资]],表1_11[[#This Row],[奖金]],表1_11[[#This Row],[全勤奖]:[防暑降温补贴]]),2)</f>
        <v>10046.67</v>
      </c>
      <c r="U60" s="62">
        <f ca="1">ROUND(表1_11[[#This Row],[税前应发总额]]*8%,2)</f>
        <v>803.73</v>
      </c>
      <c r="V60" s="62">
        <f ca="1">ROUND(表1_11[[#This Row],[税前应发总额]]*2%+3,2)</f>
        <v>203.93</v>
      </c>
      <c r="W60" s="62">
        <f ca="1">ROUND(表1_11[[#This Row],[税前应发总额]]*0.2%,2)</f>
        <v>20.09</v>
      </c>
      <c r="X60" s="62">
        <f ca="1">ROUND(表1_11[[#This Row],[税前应发总额]]*12%,2)</f>
        <v>1205.5999999999999</v>
      </c>
      <c r="Y60" s="61">
        <f ca="1">ROUND(表1_11[[#This Row],[税前应发总额]]-SUM(表1_11[[#This Row],[养老保险]:[公积金]]),2)</f>
        <v>7813.32</v>
      </c>
      <c r="Z60" s="62">
        <f ca="1">ROUND(MAX((表1_11[[#This Row],[扣保险后工资金额]]-3500)*{3,10,20,25,30,35,45}%-{0,105,555,1005,2755,5505,13505},0),2)</f>
        <v>326.33</v>
      </c>
      <c r="AA60" s="63">
        <f ca="1">表1_11[[#This Row],[扣保险后工资金额]]-表1_11[[#This Row],[个人所得税]]</f>
        <v>7486.99</v>
      </c>
      <c r="AB60" s="53">
        <v>8105.47</v>
      </c>
      <c r="AC60" s="64">
        <f ca="1">(表1_11[[#This Row],[实发工资]]-表1_11[[#This Row],[上月对比]])/表1_11[[#This Row],[上月对比]]</f>
        <v>-7.630402678684893E-2</v>
      </c>
      <c r="AD60" s="65" t="s">
        <v>1587</v>
      </c>
    </row>
    <row r="61" spans="1:30">
      <c r="A61" s="42" t="s">
        <v>577</v>
      </c>
      <c r="B61" s="42" t="s">
        <v>664</v>
      </c>
      <c r="C61" s="40" t="s">
        <v>592</v>
      </c>
      <c r="D61" s="40" t="s">
        <v>666</v>
      </c>
      <c r="E61" s="41" t="s">
        <v>1071</v>
      </c>
      <c r="F61" s="5" t="s">
        <v>57</v>
      </c>
      <c r="G61" s="25">
        <v>40637</v>
      </c>
      <c r="H61" s="5" t="s">
        <v>665</v>
      </c>
      <c r="I61" s="5">
        <f>VLOOKUP(MID(表1_11[[#This Row],[工资等级]],1,1),表12[],MATCH(MID(表1_11[[#This Row],[工资等级]],2,2),表12[[#Headers],[1]:[10]],0)+1,0)</f>
        <v>8000</v>
      </c>
      <c r="J61" s="5">
        <v>27.5</v>
      </c>
      <c r="K61" s="27">
        <v>1.1458333333333333</v>
      </c>
      <c r="L61" s="37">
        <f>IF(表1_11[[#This Row],[出勤率]]&gt;1,1,表1_11[[#This Row],[出勤率]])*表1_11[[#This Row],[岗位工资]]</f>
        <v>8000</v>
      </c>
      <c r="M61" s="5">
        <f>LOOKUP(表1_11[[#This Row],[岗位工资]],表13[lookup],表13[奖金比率])*表1_11[[#This Row],[岗位工资]]</f>
        <v>1600</v>
      </c>
      <c r="N61" s="5">
        <v>94</v>
      </c>
      <c r="O61" s="38">
        <f>表1_11[[#This Row],[奖金等级]]*表1_11[[#This Row],[绩效得分]]/100</f>
        <v>1504</v>
      </c>
      <c r="P61" s="5">
        <f>IF(表1_11[[#This Row],[出勤率]]&gt;=1,200,0)</f>
        <v>200</v>
      </c>
      <c r="Q61" s="23">
        <f t="shared" ca="1" si="0"/>
        <v>300</v>
      </c>
      <c r="R61" s="23">
        <f>IF(表1_11[[#This Row],[中心]]="营销中心",VLOOKUP(表1_11[[#This Row],[职位]],表2[[话费补贴]:[营销中心]],2,0),VLOOKUP(表1_11[[#This Row],[职位]],表2[],3,0))</f>
        <v>500</v>
      </c>
      <c r="S61" s="23">
        <v>200</v>
      </c>
      <c r="T61" s="61">
        <f ca="1">ROUND(SUM(表1_11[[#This Row],[基本工资]],表1_11[[#This Row],[奖金]],表1_11[[#This Row],[全勤奖]:[防暑降温补贴]]),2)</f>
        <v>10704</v>
      </c>
      <c r="U61" s="62">
        <f ca="1">ROUND(表1_11[[#This Row],[税前应发总额]]*8%,2)</f>
        <v>856.32</v>
      </c>
      <c r="V61" s="62">
        <f ca="1">ROUND(表1_11[[#This Row],[税前应发总额]]*2%+3,2)</f>
        <v>217.08</v>
      </c>
      <c r="W61" s="62">
        <f ca="1">ROUND(表1_11[[#This Row],[税前应发总额]]*0.2%,2)</f>
        <v>21.41</v>
      </c>
      <c r="X61" s="62">
        <f ca="1">ROUND(表1_11[[#This Row],[税前应发总额]]*12%,2)</f>
        <v>1284.48</v>
      </c>
      <c r="Y61" s="61">
        <f ca="1">ROUND(表1_11[[#This Row],[税前应发总额]]-SUM(表1_11[[#This Row],[养老保险]:[公积金]]),2)</f>
        <v>8324.7099999999991</v>
      </c>
      <c r="Z61" s="62">
        <f ca="1">ROUND(MAX((表1_11[[#This Row],[扣保险后工资金额]]-3500)*{3,10,20,25,30,35,45}%-{0,105,555,1005,2755,5505,13505},0),2)</f>
        <v>409.94</v>
      </c>
      <c r="AA61" s="63">
        <f ca="1">表1_11[[#This Row],[扣保险后工资金额]]-表1_11[[#This Row],[个人所得税]]</f>
        <v>7914.7699999999995</v>
      </c>
      <c r="AB61" s="53">
        <v>6840.96</v>
      </c>
      <c r="AC61" s="64">
        <f ca="1">(表1_11[[#This Row],[实发工资]]-表1_11[[#This Row],[上月对比]])/表1_11[[#This Row],[上月对比]]</f>
        <v>0.15696773552249968</v>
      </c>
      <c r="AD61" s="65" t="s">
        <v>1587</v>
      </c>
    </row>
    <row r="62" spans="1:30">
      <c r="A62" s="42" t="s">
        <v>577</v>
      </c>
      <c r="B62" s="42" t="s">
        <v>664</v>
      </c>
      <c r="C62" s="40" t="s">
        <v>592</v>
      </c>
      <c r="D62" s="40" t="s">
        <v>666</v>
      </c>
      <c r="E62" s="41" t="s">
        <v>1072</v>
      </c>
      <c r="F62" s="5" t="s">
        <v>58</v>
      </c>
      <c r="G62" s="25">
        <v>40604</v>
      </c>
      <c r="H62" s="5" t="s">
        <v>667</v>
      </c>
      <c r="I62" s="5">
        <f>VLOOKUP(MID(表1_11[[#This Row],[工资等级]],1,1),表12[],MATCH(MID(表1_11[[#This Row],[工资等级]],2,2),表12[[#Headers],[1]:[10]],0)+1,0)</f>
        <v>8000</v>
      </c>
      <c r="J62" s="5">
        <v>22.5</v>
      </c>
      <c r="K62" s="27">
        <v>0.9375</v>
      </c>
      <c r="L62" s="37">
        <f>IF(表1_11[[#This Row],[出勤率]]&gt;1,1,表1_11[[#This Row],[出勤率]])*表1_11[[#This Row],[岗位工资]]</f>
        <v>7500</v>
      </c>
      <c r="M62" s="5">
        <f>LOOKUP(表1_11[[#This Row],[岗位工资]],表13[lookup],表13[奖金比率])*表1_11[[#This Row],[岗位工资]]</f>
        <v>1600</v>
      </c>
      <c r="N62" s="5">
        <v>95</v>
      </c>
      <c r="O62" s="38">
        <f>表1_11[[#This Row],[奖金等级]]*表1_11[[#This Row],[绩效得分]]/100</f>
        <v>1520</v>
      </c>
      <c r="P62" s="5">
        <f>IF(表1_11[[#This Row],[出勤率]]&gt;=1,200,0)</f>
        <v>0</v>
      </c>
      <c r="Q62" s="23">
        <f t="shared" ca="1" si="0"/>
        <v>350</v>
      </c>
      <c r="R62" s="23">
        <f>IF(表1_11[[#This Row],[中心]]="营销中心",VLOOKUP(表1_11[[#This Row],[职位]],表2[[话费补贴]:[营销中心]],2,0),VLOOKUP(表1_11[[#This Row],[职位]],表2[],3,0))</f>
        <v>500</v>
      </c>
      <c r="S62" s="23">
        <v>200</v>
      </c>
      <c r="T62" s="61">
        <f ca="1">ROUND(SUM(表1_11[[#This Row],[基本工资]],表1_11[[#This Row],[奖金]],表1_11[[#This Row],[全勤奖]:[防暑降温补贴]]),2)</f>
        <v>10070</v>
      </c>
      <c r="U62" s="62">
        <f ca="1">ROUND(表1_11[[#This Row],[税前应发总额]]*8%,2)</f>
        <v>805.6</v>
      </c>
      <c r="V62" s="62">
        <f ca="1">ROUND(表1_11[[#This Row],[税前应发总额]]*2%+3,2)</f>
        <v>204.4</v>
      </c>
      <c r="W62" s="62">
        <f ca="1">ROUND(表1_11[[#This Row],[税前应发总额]]*0.2%,2)</f>
        <v>20.14</v>
      </c>
      <c r="X62" s="62">
        <f ca="1">ROUND(表1_11[[#This Row],[税前应发总额]]*12%,2)</f>
        <v>1208.4000000000001</v>
      </c>
      <c r="Y62" s="61">
        <f ca="1">ROUND(表1_11[[#This Row],[税前应发总额]]-SUM(表1_11[[#This Row],[养老保险]:[公积金]]),2)</f>
        <v>7831.46</v>
      </c>
      <c r="Z62" s="62">
        <f ca="1">ROUND(MAX((表1_11[[#This Row],[扣保险后工资金额]]-3500)*{3,10,20,25,30,35,45}%-{0,105,555,1005,2755,5505,13505},0),2)</f>
        <v>328.15</v>
      </c>
      <c r="AA62" s="63">
        <f ca="1">表1_11[[#This Row],[扣保险后工资金额]]-表1_11[[#This Row],[个人所得税]]</f>
        <v>7503.31</v>
      </c>
      <c r="AB62" s="53">
        <v>7497.72</v>
      </c>
      <c r="AC62" s="64">
        <f ca="1">(表1_11[[#This Row],[实发工资]]-表1_11[[#This Row],[上月对比]])/表1_11[[#This Row],[上月对比]]</f>
        <v>7.4555998356835753E-4</v>
      </c>
      <c r="AD62" s="65" t="s">
        <v>1587</v>
      </c>
    </row>
    <row r="63" spans="1:30">
      <c r="A63" s="42" t="s">
        <v>577</v>
      </c>
      <c r="B63" s="42" t="s">
        <v>664</v>
      </c>
      <c r="C63" s="40" t="s">
        <v>592</v>
      </c>
      <c r="D63" s="40" t="s">
        <v>666</v>
      </c>
      <c r="E63" s="41" t="s">
        <v>1073</v>
      </c>
      <c r="F63" s="5" t="s">
        <v>59</v>
      </c>
      <c r="G63" s="25">
        <v>40445</v>
      </c>
      <c r="H63" s="5" t="s">
        <v>600</v>
      </c>
      <c r="I63" s="5">
        <f>VLOOKUP(MID(表1_11[[#This Row],[工资等级]],1,1),表12[],MATCH(MID(表1_11[[#This Row],[工资等级]],2,2),表12[[#Headers],[1]:[10]],0)+1,0)</f>
        <v>7000</v>
      </c>
      <c r="J63" s="5">
        <v>24</v>
      </c>
      <c r="K63" s="27">
        <v>1</v>
      </c>
      <c r="L63" s="37">
        <f>IF(表1_11[[#This Row],[出勤率]]&gt;1,1,表1_11[[#This Row],[出勤率]])*表1_11[[#This Row],[岗位工资]]</f>
        <v>7000</v>
      </c>
      <c r="M63" s="5">
        <f>LOOKUP(表1_11[[#This Row],[岗位工资]],表13[lookup],表13[奖金比率])*表1_11[[#This Row],[岗位工资]]</f>
        <v>1400</v>
      </c>
      <c r="N63" s="5">
        <v>79</v>
      </c>
      <c r="O63" s="38">
        <f>表1_11[[#This Row],[奖金等级]]*表1_11[[#This Row],[绩效得分]]/100</f>
        <v>1106</v>
      </c>
      <c r="P63" s="5">
        <f>IF(表1_11[[#This Row],[出勤率]]&gt;=1,200,0)</f>
        <v>200</v>
      </c>
      <c r="Q63" s="23">
        <f t="shared" ca="1" si="0"/>
        <v>350</v>
      </c>
      <c r="R63" s="23">
        <f>IF(表1_11[[#This Row],[中心]]="营销中心",VLOOKUP(表1_11[[#This Row],[职位]],表2[[话费补贴]:[营销中心]],2,0),VLOOKUP(表1_11[[#This Row],[职位]],表2[],3,0))</f>
        <v>500</v>
      </c>
      <c r="S63" s="23">
        <v>200</v>
      </c>
      <c r="T63" s="61">
        <f ca="1">ROUND(SUM(表1_11[[#This Row],[基本工资]],表1_11[[#This Row],[奖金]],表1_11[[#This Row],[全勤奖]:[防暑降温补贴]]),2)</f>
        <v>9356</v>
      </c>
      <c r="U63" s="62">
        <f ca="1">ROUND(表1_11[[#This Row],[税前应发总额]]*8%,2)</f>
        <v>748.48</v>
      </c>
      <c r="V63" s="62">
        <f ca="1">ROUND(表1_11[[#This Row],[税前应发总额]]*2%+3,2)</f>
        <v>190.12</v>
      </c>
      <c r="W63" s="62">
        <f ca="1">ROUND(表1_11[[#This Row],[税前应发总额]]*0.2%,2)</f>
        <v>18.71</v>
      </c>
      <c r="X63" s="62">
        <f ca="1">ROUND(表1_11[[#This Row],[税前应发总额]]*12%,2)</f>
        <v>1122.72</v>
      </c>
      <c r="Y63" s="61">
        <f ca="1">ROUND(表1_11[[#This Row],[税前应发总额]]-SUM(表1_11[[#This Row],[养老保险]:[公积金]]),2)</f>
        <v>7275.97</v>
      </c>
      <c r="Z63" s="62">
        <f ca="1">ROUND(MAX((表1_11[[#This Row],[扣保险后工资金额]]-3500)*{3,10,20,25,30,35,45}%-{0,105,555,1005,2755,5505,13505},0),2)</f>
        <v>272.60000000000002</v>
      </c>
      <c r="AA63" s="63">
        <f ca="1">表1_11[[#This Row],[扣保险后工资金额]]-表1_11[[#This Row],[个人所得税]]</f>
        <v>7003.37</v>
      </c>
      <c r="AB63" s="53">
        <v>6483.04</v>
      </c>
      <c r="AC63" s="64">
        <f ca="1">(表1_11[[#This Row],[实发工资]]-表1_11[[#This Row],[上月对比]])/表1_11[[#This Row],[上月对比]]</f>
        <v>8.0260186579135709E-2</v>
      </c>
      <c r="AD63" s="65" t="s">
        <v>1587</v>
      </c>
    </row>
    <row r="64" spans="1:30">
      <c r="A64" s="42" t="s">
        <v>577</v>
      </c>
      <c r="B64" s="42" t="s">
        <v>664</v>
      </c>
      <c r="C64" s="40" t="s">
        <v>668</v>
      </c>
      <c r="D64" s="40" t="s">
        <v>669</v>
      </c>
      <c r="E64" s="41" t="s">
        <v>1074</v>
      </c>
      <c r="F64" s="5" t="s">
        <v>60</v>
      </c>
      <c r="G64" s="25">
        <v>42107</v>
      </c>
      <c r="H64" s="5" t="s">
        <v>625</v>
      </c>
      <c r="I64" s="5">
        <f>VLOOKUP(MID(表1_11[[#This Row],[工资等级]],1,1),表12[],MATCH(MID(表1_11[[#This Row],[工资等级]],2,2),表12[[#Headers],[1]:[10]],0)+1,0)</f>
        <v>6000</v>
      </c>
      <c r="J64" s="5">
        <v>22</v>
      </c>
      <c r="K64" s="27">
        <v>0.91666666666666663</v>
      </c>
      <c r="L64" s="37">
        <f>IF(表1_11[[#This Row],[出勤率]]&gt;1,1,表1_11[[#This Row],[出勤率]])*表1_11[[#This Row],[岗位工资]]</f>
        <v>5500</v>
      </c>
      <c r="M64" s="5">
        <f>LOOKUP(表1_11[[#This Row],[岗位工资]],表13[lookup],表13[奖金比率])*表1_11[[#This Row],[岗位工资]]</f>
        <v>900</v>
      </c>
      <c r="N64" s="5">
        <v>90</v>
      </c>
      <c r="O64" s="38">
        <f>表1_11[[#This Row],[奖金等级]]*表1_11[[#This Row],[绩效得分]]/100</f>
        <v>810</v>
      </c>
      <c r="P64" s="5">
        <f>IF(表1_11[[#This Row],[出勤率]]&gt;=1,200,0)</f>
        <v>0</v>
      </c>
      <c r="Q64" s="23">
        <f t="shared" ca="1" si="0"/>
        <v>100</v>
      </c>
      <c r="R64" s="23">
        <f>IF(表1_11[[#This Row],[中心]]="营销中心",VLOOKUP(表1_11[[#This Row],[职位]],表2[[话费补贴]:[营销中心]],2,0),VLOOKUP(表1_11[[#This Row],[职位]],表2[],3,0))</f>
        <v>300</v>
      </c>
      <c r="S64" s="23">
        <v>200</v>
      </c>
      <c r="T64" s="61">
        <f ca="1">ROUND(SUM(表1_11[[#This Row],[基本工资]],表1_11[[#This Row],[奖金]],表1_11[[#This Row],[全勤奖]:[防暑降温补贴]]),2)</f>
        <v>6910</v>
      </c>
      <c r="U64" s="62">
        <f ca="1">ROUND(表1_11[[#This Row],[税前应发总额]]*8%,2)</f>
        <v>552.79999999999995</v>
      </c>
      <c r="V64" s="62">
        <f ca="1">ROUND(表1_11[[#This Row],[税前应发总额]]*2%+3,2)</f>
        <v>141.19999999999999</v>
      </c>
      <c r="W64" s="62">
        <f ca="1">ROUND(表1_11[[#This Row],[税前应发总额]]*0.2%,2)</f>
        <v>13.82</v>
      </c>
      <c r="X64" s="62">
        <f ca="1">ROUND(表1_11[[#This Row],[税前应发总额]]*12%,2)</f>
        <v>829.2</v>
      </c>
      <c r="Y64" s="61">
        <f ca="1">ROUND(表1_11[[#This Row],[税前应发总额]]-SUM(表1_11[[#This Row],[养老保险]:[公积金]]),2)</f>
        <v>5372.98</v>
      </c>
      <c r="Z64" s="62">
        <f ca="1">ROUND(MAX((表1_11[[#This Row],[扣保险后工资金额]]-3500)*{3,10,20,25,30,35,45}%-{0,105,555,1005,2755,5505,13505},0),2)</f>
        <v>82.3</v>
      </c>
      <c r="AA64" s="63">
        <f ca="1">表1_11[[#This Row],[扣保险后工资金额]]-表1_11[[#This Row],[个人所得税]]</f>
        <v>5290.6799999999994</v>
      </c>
      <c r="AB64" s="53">
        <v>5521.97</v>
      </c>
      <c r="AC64" s="64">
        <f ca="1">(表1_11[[#This Row],[实发工资]]-表1_11[[#This Row],[上月对比]])/表1_11[[#This Row],[上月对比]]</f>
        <v>-4.1885414082293251E-2</v>
      </c>
      <c r="AD64" s="65" t="s">
        <v>1587</v>
      </c>
    </row>
    <row r="65" spans="1:30">
      <c r="A65" s="42" t="s">
        <v>577</v>
      </c>
      <c r="B65" s="42" t="s">
        <v>664</v>
      </c>
      <c r="C65" s="40" t="s">
        <v>668</v>
      </c>
      <c r="D65" s="40" t="s">
        <v>670</v>
      </c>
      <c r="E65" s="41" t="s">
        <v>1075</v>
      </c>
      <c r="F65" s="5" t="s">
        <v>61</v>
      </c>
      <c r="G65" s="25">
        <v>42615</v>
      </c>
      <c r="H65" s="5" t="s">
        <v>648</v>
      </c>
      <c r="I65" s="5">
        <f>VLOOKUP(MID(表1_11[[#This Row],[工资等级]],1,1),表12[],MATCH(MID(表1_11[[#This Row],[工资等级]],2,2),表12[[#Headers],[1]:[10]],0)+1,0)</f>
        <v>3600</v>
      </c>
      <c r="J65" s="5">
        <v>21.5</v>
      </c>
      <c r="K65" s="27">
        <v>0.89583333333333337</v>
      </c>
      <c r="L65" s="37">
        <f>IF(表1_11[[#This Row],[出勤率]]&gt;1,1,表1_11[[#This Row],[出勤率]])*表1_11[[#This Row],[岗位工资]]</f>
        <v>3225</v>
      </c>
      <c r="M65" s="5">
        <f>LOOKUP(表1_11[[#This Row],[岗位工资]],表13[lookup],表13[奖金比率])*表1_11[[#This Row],[岗位工资]]</f>
        <v>360</v>
      </c>
      <c r="N65" s="5">
        <v>84</v>
      </c>
      <c r="O65" s="38">
        <f>表1_11[[#This Row],[奖金等级]]*表1_11[[#This Row],[绩效得分]]/100</f>
        <v>302.39999999999998</v>
      </c>
      <c r="P65" s="5">
        <f>IF(表1_11[[#This Row],[出勤率]]&gt;=1,200,0)</f>
        <v>0</v>
      </c>
      <c r="Q65" s="23">
        <f t="shared" ca="1" si="0"/>
        <v>50</v>
      </c>
      <c r="R65" s="23">
        <f>IF(表1_11[[#This Row],[中心]]="营销中心",VLOOKUP(表1_11[[#This Row],[职位]],表2[[话费补贴]:[营销中心]],2,0),VLOOKUP(表1_11[[#This Row],[职位]],表2[],3,0))</f>
        <v>300</v>
      </c>
      <c r="S65" s="23">
        <v>200</v>
      </c>
      <c r="T65" s="61">
        <f ca="1">ROUND(SUM(表1_11[[#This Row],[基本工资]],表1_11[[#This Row],[奖金]],表1_11[[#This Row],[全勤奖]:[防暑降温补贴]]),2)</f>
        <v>4077.4</v>
      </c>
      <c r="U65" s="62">
        <f ca="1">ROUND(表1_11[[#This Row],[税前应发总额]]*8%,2)</f>
        <v>326.19</v>
      </c>
      <c r="V65" s="62">
        <f ca="1">ROUND(表1_11[[#This Row],[税前应发总额]]*2%+3,2)</f>
        <v>84.55</v>
      </c>
      <c r="W65" s="62">
        <f ca="1">ROUND(表1_11[[#This Row],[税前应发总额]]*0.2%,2)</f>
        <v>8.15</v>
      </c>
      <c r="X65" s="62">
        <f ca="1">ROUND(表1_11[[#This Row],[税前应发总额]]*12%,2)</f>
        <v>489.29</v>
      </c>
      <c r="Y65" s="61">
        <f ca="1">ROUND(表1_11[[#This Row],[税前应发总额]]-SUM(表1_11[[#This Row],[养老保险]:[公积金]]),2)</f>
        <v>3169.22</v>
      </c>
      <c r="Z65" s="62">
        <f ca="1">ROUND(MAX((表1_11[[#This Row],[扣保险后工资金额]]-3500)*{3,10,20,25,30,35,45}%-{0,105,555,1005,2755,5505,13505},0),2)</f>
        <v>0</v>
      </c>
      <c r="AA65" s="63">
        <f ca="1">表1_11[[#This Row],[扣保险后工资金额]]-表1_11[[#This Row],[个人所得税]]</f>
        <v>3169.22</v>
      </c>
      <c r="AB65" s="53">
        <v>2834.93</v>
      </c>
      <c r="AC65" s="64">
        <f ca="1">(表1_11[[#This Row],[实发工资]]-表1_11[[#This Row],[上月对比]])/表1_11[[#This Row],[上月对比]]</f>
        <v>0.11791825547720755</v>
      </c>
      <c r="AD65" s="65" t="s">
        <v>1587</v>
      </c>
    </row>
    <row r="66" spans="1:30">
      <c r="A66" s="42" t="s">
        <v>577</v>
      </c>
      <c r="B66" s="42" t="s">
        <v>664</v>
      </c>
      <c r="C66" s="40" t="s">
        <v>668</v>
      </c>
      <c r="D66" s="40" t="s">
        <v>670</v>
      </c>
      <c r="E66" s="41" t="s">
        <v>1076</v>
      </c>
      <c r="F66" s="5" t="s">
        <v>62</v>
      </c>
      <c r="G66" s="25">
        <v>38891</v>
      </c>
      <c r="H66" s="5" t="s">
        <v>671</v>
      </c>
      <c r="I66" s="5">
        <f>VLOOKUP(MID(表1_11[[#This Row],[工资等级]],1,1),表12[],MATCH(MID(表1_11[[#This Row],[工资等级]],2,2),表12[[#Headers],[1]:[10]],0)+1,0)</f>
        <v>3500</v>
      </c>
      <c r="J66" s="5">
        <v>25</v>
      </c>
      <c r="K66" s="27">
        <v>1.0416666666666667</v>
      </c>
      <c r="L66" s="37">
        <f>IF(表1_11[[#This Row],[出勤率]]&gt;1,1,表1_11[[#This Row],[出勤率]])*表1_11[[#This Row],[岗位工资]]</f>
        <v>3500</v>
      </c>
      <c r="M66" s="5">
        <f>LOOKUP(表1_11[[#This Row],[岗位工资]],表13[lookup],表13[奖金比率])*表1_11[[#This Row],[岗位工资]]</f>
        <v>350</v>
      </c>
      <c r="N66" s="5">
        <v>89</v>
      </c>
      <c r="O66" s="38">
        <f>表1_11[[#This Row],[奖金等级]]*表1_11[[#This Row],[绩效得分]]/100</f>
        <v>311.5</v>
      </c>
      <c r="P66" s="5">
        <f>IF(表1_11[[#This Row],[出勤率]]&gt;=1,200,0)</f>
        <v>200</v>
      </c>
      <c r="Q66" s="23">
        <f t="shared" ref="Q66:Q129" ca="1" si="1">IF(工龄&gt;=10,500,工龄*50)</f>
        <v>500</v>
      </c>
      <c r="R66" s="23">
        <f>IF(表1_11[[#This Row],[中心]]="营销中心",VLOOKUP(表1_11[[#This Row],[职位]],表2[[话费补贴]:[营销中心]],2,0),VLOOKUP(表1_11[[#This Row],[职位]],表2[],3,0))</f>
        <v>300</v>
      </c>
      <c r="S66" s="23">
        <v>200</v>
      </c>
      <c r="T66" s="61">
        <f ca="1">ROUND(SUM(表1_11[[#This Row],[基本工资]],表1_11[[#This Row],[奖金]],表1_11[[#This Row],[全勤奖]:[防暑降温补贴]]),2)</f>
        <v>5011.5</v>
      </c>
      <c r="U66" s="62">
        <f ca="1">ROUND(表1_11[[#This Row],[税前应发总额]]*8%,2)</f>
        <v>400.92</v>
      </c>
      <c r="V66" s="62">
        <f ca="1">ROUND(表1_11[[#This Row],[税前应发总额]]*2%+3,2)</f>
        <v>103.23</v>
      </c>
      <c r="W66" s="62">
        <f ca="1">ROUND(表1_11[[#This Row],[税前应发总额]]*0.2%,2)</f>
        <v>10.02</v>
      </c>
      <c r="X66" s="62">
        <f ca="1">ROUND(表1_11[[#This Row],[税前应发总额]]*12%,2)</f>
        <v>601.38</v>
      </c>
      <c r="Y66" s="61">
        <f ca="1">ROUND(表1_11[[#This Row],[税前应发总额]]-SUM(表1_11[[#This Row],[养老保险]:[公积金]]),2)</f>
        <v>3895.95</v>
      </c>
      <c r="Z66" s="62">
        <f ca="1">ROUND(MAX((表1_11[[#This Row],[扣保险后工资金额]]-3500)*{3,10,20,25,30,35,45}%-{0,105,555,1005,2755,5505,13505},0),2)</f>
        <v>11.88</v>
      </c>
      <c r="AA66" s="63">
        <f ca="1">表1_11[[#This Row],[扣保险后工资金额]]-表1_11[[#This Row],[个人所得税]]</f>
        <v>3884.0699999999997</v>
      </c>
      <c r="AB66" s="53">
        <v>4644.05</v>
      </c>
      <c r="AC66" s="64">
        <f ca="1">(表1_11[[#This Row],[实发工资]]-表1_11[[#This Row],[上月对比]])/表1_11[[#This Row],[上月对比]]</f>
        <v>-0.16364595557756709</v>
      </c>
      <c r="AD66" s="65" t="s">
        <v>1587</v>
      </c>
    </row>
    <row r="67" spans="1:30">
      <c r="A67" s="42" t="s">
        <v>577</v>
      </c>
      <c r="B67" s="42" t="s">
        <v>664</v>
      </c>
      <c r="C67" s="40" t="s">
        <v>668</v>
      </c>
      <c r="D67" s="40" t="s">
        <v>670</v>
      </c>
      <c r="E67" s="41" t="s">
        <v>1077</v>
      </c>
      <c r="F67" s="5" t="s">
        <v>63</v>
      </c>
      <c r="G67" s="25">
        <v>41520</v>
      </c>
      <c r="H67" s="5" t="s">
        <v>648</v>
      </c>
      <c r="I67" s="5">
        <f>VLOOKUP(MID(表1_11[[#This Row],[工资等级]],1,1),表12[],MATCH(MID(表1_11[[#This Row],[工资等级]],2,2),表12[[#Headers],[1]:[10]],0)+1,0)</f>
        <v>3600</v>
      </c>
      <c r="J67" s="5">
        <v>22</v>
      </c>
      <c r="K67" s="27">
        <v>0.91666666666666663</v>
      </c>
      <c r="L67" s="37">
        <f>IF(表1_11[[#This Row],[出勤率]]&gt;1,1,表1_11[[#This Row],[出勤率]])*表1_11[[#This Row],[岗位工资]]</f>
        <v>3300</v>
      </c>
      <c r="M67" s="5">
        <f>LOOKUP(表1_11[[#This Row],[岗位工资]],表13[lookup],表13[奖金比率])*表1_11[[#This Row],[岗位工资]]</f>
        <v>360</v>
      </c>
      <c r="N67" s="5">
        <v>87</v>
      </c>
      <c r="O67" s="38">
        <f>表1_11[[#This Row],[奖金等级]]*表1_11[[#This Row],[绩效得分]]/100</f>
        <v>313.2</v>
      </c>
      <c r="P67" s="5">
        <f>IF(表1_11[[#This Row],[出勤率]]&gt;=1,200,0)</f>
        <v>0</v>
      </c>
      <c r="Q67" s="23">
        <f t="shared" ca="1" si="1"/>
        <v>200</v>
      </c>
      <c r="R67" s="23">
        <f>IF(表1_11[[#This Row],[中心]]="营销中心",VLOOKUP(表1_11[[#This Row],[职位]],表2[[话费补贴]:[营销中心]],2,0),VLOOKUP(表1_11[[#This Row],[职位]],表2[],3,0))</f>
        <v>300</v>
      </c>
      <c r="S67" s="23">
        <v>200</v>
      </c>
      <c r="T67" s="61">
        <f ca="1">ROUND(SUM(表1_11[[#This Row],[基本工资]],表1_11[[#This Row],[奖金]],表1_11[[#This Row],[全勤奖]:[防暑降温补贴]]),2)</f>
        <v>4313.2</v>
      </c>
      <c r="U67" s="62">
        <f ca="1">ROUND(表1_11[[#This Row],[税前应发总额]]*8%,2)</f>
        <v>345.06</v>
      </c>
      <c r="V67" s="62">
        <f ca="1">ROUND(表1_11[[#This Row],[税前应发总额]]*2%+3,2)</f>
        <v>89.26</v>
      </c>
      <c r="W67" s="62">
        <f ca="1">ROUND(表1_11[[#This Row],[税前应发总额]]*0.2%,2)</f>
        <v>8.6300000000000008</v>
      </c>
      <c r="X67" s="62">
        <f ca="1">ROUND(表1_11[[#This Row],[税前应发总额]]*12%,2)</f>
        <v>517.58000000000004</v>
      </c>
      <c r="Y67" s="61">
        <f ca="1">ROUND(表1_11[[#This Row],[税前应发总额]]-SUM(表1_11[[#This Row],[养老保险]:[公积金]]),2)</f>
        <v>3352.67</v>
      </c>
      <c r="Z67" s="62">
        <f ca="1">ROUND(MAX((表1_11[[#This Row],[扣保险后工资金额]]-3500)*{3,10,20,25,30,35,45}%-{0,105,555,1005,2755,5505,13505},0),2)</f>
        <v>0</v>
      </c>
      <c r="AA67" s="63">
        <f ca="1">表1_11[[#This Row],[扣保险后工资金额]]-表1_11[[#This Row],[个人所得税]]</f>
        <v>3352.67</v>
      </c>
      <c r="AB67" s="53">
        <v>4000.04</v>
      </c>
      <c r="AC67" s="64">
        <f ca="1">(表1_11[[#This Row],[实发工资]]-表1_11[[#This Row],[上月对比]])/表1_11[[#This Row],[上月对比]]</f>
        <v>-0.16184088159118407</v>
      </c>
      <c r="AD67" s="65" t="s">
        <v>1587</v>
      </c>
    </row>
    <row r="68" spans="1:30">
      <c r="A68" s="42" t="s">
        <v>577</v>
      </c>
      <c r="B68" s="42" t="s">
        <v>664</v>
      </c>
      <c r="C68" s="40" t="s">
        <v>668</v>
      </c>
      <c r="D68" s="40" t="s">
        <v>670</v>
      </c>
      <c r="E68" s="41" t="s">
        <v>1078</v>
      </c>
      <c r="F68" s="5" t="s">
        <v>64</v>
      </c>
      <c r="G68" s="25">
        <v>40983</v>
      </c>
      <c r="H68" s="5" t="s">
        <v>672</v>
      </c>
      <c r="I68" s="5">
        <f>VLOOKUP(MID(表1_11[[#This Row],[工资等级]],1,1),表12[],MATCH(MID(表1_11[[#This Row],[工资等级]],2,2),表12[[#Headers],[1]:[10]],0)+1,0)</f>
        <v>3800</v>
      </c>
      <c r="J68" s="5">
        <v>27</v>
      </c>
      <c r="K68" s="27">
        <v>1.125</v>
      </c>
      <c r="L68" s="37">
        <f>IF(表1_11[[#This Row],[出勤率]]&gt;1,1,表1_11[[#This Row],[出勤率]])*表1_11[[#This Row],[岗位工资]]</f>
        <v>3800</v>
      </c>
      <c r="M68" s="5">
        <f>LOOKUP(表1_11[[#This Row],[岗位工资]],表13[lookup],表13[奖金比率])*表1_11[[#This Row],[岗位工资]]</f>
        <v>380</v>
      </c>
      <c r="N68" s="5">
        <v>80</v>
      </c>
      <c r="O68" s="38">
        <f>表1_11[[#This Row],[奖金等级]]*表1_11[[#This Row],[绩效得分]]/100</f>
        <v>304</v>
      </c>
      <c r="P68" s="5">
        <f>IF(表1_11[[#This Row],[出勤率]]&gt;=1,200,0)</f>
        <v>200</v>
      </c>
      <c r="Q68" s="23">
        <f t="shared" ca="1" si="1"/>
        <v>250</v>
      </c>
      <c r="R68" s="23">
        <f>IF(表1_11[[#This Row],[中心]]="营销中心",VLOOKUP(表1_11[[#This Row],[职位]],表2[[话费补贴]:[营销中心]],2,0),VLOOKUP(表1_11[[#This Row],[职位]],表2[],3,0))</f>
        <v>300</v>
      </c>
      <c r="S68" s="23">
        <v>200</v>
      </c>
      <c r="T68" s="61">
        <f ca="1">ROUND(SUM(表1_11[[#This Row],[基本工资]],表1_11[[#This Row],[奖金]],表1_11[[#This Row],[全勤奖]:[防暑降温补贴]]),2)</f>
        <v>5054</v>
      </c>
      <c r="U68" s="62">
        <f ca="1">ROUND(表1_11[[#This Row],[税前应发总额]]*8%,2)</f>
        <v>404.32</v>
      </c>
      <c r="V68" s="62">
        <f ca="1">ROUND(表1_11[[#This Row],[税前应发总额]]*2%+3,2)</f>
        <v>104.08</v>
      </c>
      <c r="W68" s="62">
        <f ca="1">ROUND(表1_11[[#This Row],[税前应发总额]]*0.2%,2)</f>
        <v>10.11</v>
      </c>
      <c r="X68" s="62">
        <f ca="1">ROUND(表1_11[[#This Row],[税前应发总额]]*12%,2)</f>
        <v>606.48</v>
      </c>
      <c r="Y68" s="61">
        <f ca="1">ROUND(表1_11[[#This Row],[税前应发总额]]-SUM(表1_11[[#This Row],[养老保险]:[公积金]]),2)</f>
        <v>3929.01</v>
      </c>
      <c r="Z68" s="62">
        <f ca="1">ROUND(MAX((表1_11[[#This Row],[扣保险后工资金额]]-3500)*{3,10,20,25,30,35,45}%-{0,105,555,1005,2755,5505,13505},0),2)</f>
        <v>12.87</v>
      </c>
      <c r="AA68" s="63">
        <f ca="1">表1_11[[#This Row],[扣保险后工资金额]]-表1_11[[#This Row],[个人所得税]]</f>
        <v>3916.1400000000003</v>
      </c>
      <c r="AB68" s="53">
        <v>4477.08</v>
      </c>
      <c r="AC68" s="64">
        <f ca="1">(表1_11[[#This Row],[实发工资]]-表1_11[[#This Row],[上月对比]])/表1_11[[#This Row],[上月对比]]</f>
        <v>-0.12529148462837375</v>
      </c>
      <c r="AD68" s="65" t="s">
        <v>1587</v>
      </c>
    </row>
    <row r="69" spans="1:30">
      <c r="A69" s="42" t="s">
        <v>577</v>
      </c>
      <c r="B69" s="42" t="s">
        <v>664</v>
      </c>
      <c r="C69" s="40" t="s">
        <v>668</v>
      </c>
      <c r="D69" s="40" t="s">
        <v>670</v>
      </c>
      <c r="E69" s="41" t="s">
        <v>1079</v>
      </c>
      <c r="F69" s="5" t="s">
        <v>65</v>
      </c>
      <c r="G69" s="25">
        <v>42646</v>
      </c>
      <c r="H69" s="5" t="s">
        <v>614</v>
      </c>
      <c r="I69" s="5">
        <f>VLOOKUP(MID(表1_11[[#This Row],[工资等级]],1,1),表12[],MATCH(MID(表1_11[[#This Row],[工资等级]],2,2),表12[[#Headers],[1]:[10]],0)+1,0)</f>
        <v>4800</v>
      </c>
      <c r="J69" s="5">
        <v>24</v>
      </c>
      <c r="K69" s="27">
        <v>1</v>
      </c>
      <c r="L69" s="37">
        <f>IF(表1_11[[#This Row],[出勤率]]&gt;1,1,表1_11[[#This Row],[出勤率]])*表1_11[[#This Row],[岗位工资]]</f>
        <v>4800</v>
      </c>
      <c r="M69" s="5">
        <f>LOOKUP(表1_11[[#This Row],[岗位工资]],表13[lookup],表13[奖金比率])*表1_11[[#This Row],[岗位工资]]</f>
        <v>720</v>
      </c>
      <c r="N69" s="5">
        <v>97</v>
      </c>
      <c r="O69" s="38">
        <f>表1_11[[#This Row],[奖金等级]]*表1_11[[#This Row],[绩效得分]]/100</f>
        <v>698.4</v>
      </c>
      <c r="P69" s="5">
        <f>IF(表1_11[[#This Row],[出勤率]]&gt;=1,200,0)</f>
        <v>200</v>
      </c>
      <c r="Q69" s="23">
        <f t="shared" ca="1" si="1"/>
        <v>50</v>
      </c>
      <c r="R69" s="23">
        <f>IF(表1_11[[#This Row],[中心]]="营销中心",VLOOKUP(表1_11[[#This Row],[职位]],表2[[话费补贴]:[营销中心]],2,0),VLOOKUP(表1_11[[#This Row],[职位]],表2[],3,0))</f>
        <v>300</v>
      </c>
      <c r="S69" s="23">
        <v>200</v>
      </c>
      <c r="T69" s="61">
        <f ca="1">ROUND(SUM(表1_11[[#This Row],[基本工资]],表1_11[[#This Row],[奖金]],表1_11[[#This Row],[全勤奖]:[防暑降温补贴]]),2)</f>
        <v>6248.4</v>
      </c>
      <c r="U69" s="62">
        <f ca="1">ROUND(表1_11[[#This Row],[税前应发总额]]*8%,2)</f>
        <v>499.87</v>
      </c>
      <c r="V69" s="62">
        <f ca="1">ROUND(表1_11[[#This Row],[税前应发总额]]*2%+3,2)</f>
        <v>127.97</v>
      </c>
      <c r="W69" s="62">
        <f ca="1">ROUND(表1_11[[#This Row],[税前应发总额]]*0.2%,2)</f>
        <v>12.5</v>
      </c>
      <c r="X69" s="62">
        <f ca="1">ROUND(表1_11[[#This Row],[税前应发总额]]*12%,2)</f>
        <v>749.81</v>
      </c>
      <c r="Y69" s="61">
        <f ca="1">ROUND(表1_11[[#This Row],[税前应发总额]]-SUM(表1_11[[#This Row],[养老保险]:[公积金]]),2)</f>
        <v>4858.25</v>
      </c>
      <c r="Z69" s="62">
        <f ca="1">ROUND(MAX((表1_11[[#This Row],[扣保险后工资金额]]-3500)*{3,10,20,25,30,35,45}%-{0,105,555,1005,2755,5505,13505},0),2)</f>
        <v>40.75</v>
      </c>
      <c r="AA69" s="63">
        <f ca="1">表1_11[[#This Row],[扣保险后工资金额]]-表1_11[[#This Row],[个人所得税]]</f>
        <v>4817.5</v>
      </c>
      <c r="AB69" s="53">
        <v>5694.4</v>
      </c>
      <c r="AC69" s="64">
        <f ca="1">(表1_11[[#This Row],[实发工资]]-表1_11[[#This Row],[上月对比]])/表1_11[[#This Row],[上月对比]]</f>
        <v>-0.15399339702163523</v>
      </c>
      <c r="AD69" s="65" t="s">
        <v>1587</v>
      </c>
    </row>
    <row r="70" spans="1:30">
      <c r="A70" s="42" t="s">
        <v>577</v>
      </c>
      <c r="B70" s="42" t="s">
        <v>664</v>
      </c>
      <c r="C70" s="40" t="s">
        <v>599</v>
      </c>
      <c r="D70" s="40" t="s">
        <v>626</v>
      </c>
      <c r="E70" s="41" t="s">
        <v>1080</v>
      </c>
      <c r="F70" s="5" t="s">
        <v>66</v>
      </c>
      <c r="G70" s="25">
        <v>40482</v>
      </c>
      <c r="H70" s="5" t="s">
        <v>618</v>
      </c>
      <c r="I70" s="5">
        <f>VLOOKUP(MID(表1_11[[#This Row],[工资等级]],1,1),表12[],MATCH(MID(表1_11[[#This Row],[工资等级]],2,2),表12[[#Headers],[1]:[10]],0)+1,0)</f>
        <v>3000</v>
      </c>
      <c r="J70" s="5">
        <v>22</v>
      </c>
      <c r="K70" s="27">
        <v>0.91666666666666663</v>
      </c>
      <c r="L70" s="37">
        <f>IF(表1_11[[#This Row],[出勤率]]&gt;1,1,表1_11[[#This Row],[出勤率]])*表1_11[[#This Row],[岗位工资]]</f>
        <v>2750</v>
      </c>
      <c r="M70" s="5">
        <f>LOOKUP(表1_11[[#This Row],[岗位工资]],表13[lookup],表13[奖金比率])*表1_11[[#This Row],[岗位工资]]</f>
        <v>300</v>
      </c>
      <c r="N70" s="5">
        <v>79</v>
      </c>
      <c r="O70" s="38">
        <f>表1_11[[#This Row],[奖金等级]]*表1_11[[#This Row],[绩效得分]]/100</f>
        <v>237</v>
      </c>
      <c r="P70" s="5">
        <f>IF(表1_11[[#This Row],[出勤率]]&gt;=1,200,0)</f>
        <v>0</v>
      </c>
      <c r="Q70" s="23">
        <f t="shared" ca="1" si="1"/>
        <v>350</v>
      </c>
      <c r="R70" s="23">
        <f>IF(表1_11[[#This Row],[中心]]="营销中心",VLOOKUP(表1_11[[#This Row],[职位]],表2[[话费补贴]:[营销中心]],2,0),VLOOKUP(表1_11[[#This Row],[职位]],表2[],3,0))</f>
        <v>0</v>
      </c>
      <c r="S70" s="23">
        <v>200</v>
      </c>
      <c r="T70" s="61">
        <f ca="1">ROUND(SUM(表1_11[[#This Row],[基本工资]],表1_11[[#This Row],[奖金]],表1_11[[#This Row],[全勤奖]:[防暑降温补贴]]),2)</f>
        <v>3537</v>
      </c>
      <c r="U70" s="62">
        <f ca="1">ROUND(表1_11[[#This Row],[税前应发总额]]*8%,2)</f>
        <v>282.95999999999998</v>
      </c>
      <c r="V70" s="62">
        <f ca="1">ROUND(表1_11[[#This Row],[税前应发总额]]*2%+3,2)</f>
        <v>73.739999999999995</v>
      </c>
      <c r="W70" s="62">
        <f ca="1">ROUND(表1_11[[#This Row],[税前应发总额]]*0.2%,2)</f>
        <v>7.07</v>
      </c>
      <c r="X70" s="62">
        <f ca="1">ROUND(表1_11[[#This Row],[税前应发总额]]*12%,2)</f>
        <v>424.44</v>
      </c>
      <c r="Y70" s="61">
        <f ca="1">ROUND(表1_11[[#This Row],[税前应发总额]]-SUM(表1_11[[#This Row],[养老保险]:[公积金]]),2)</f>
        <v>2748.79</v>
      </c>
      <c r="Z70" s="62">
        <f ca="1">ROUND(MAX((表1_11[[#This Row],[扣保险后工资金额]]-3500)*{3,10,20,25,30,35,45}%-{0,105,555,1005,2755,5505,13505},0),2)</f>
        <v>0</v>
      </c>
      <c r="AA70" s="63">
        <f ca="1">表1_11[[#This Row],[扣保险后工资金额]]-表1_11[[#This Row],[个人所得税]]</f>
        <v>2748.79</v>
      </c>
      <c r="AB70" s="53">
        <v>3067.44</v>
      </c>
      <c r="AC70" s="64">
        <f ca="1">(表1_11[[#This Row],[实发工资]]-表1_11[[#This Row],[上月对比]])/表1_11[[#This Row],[上月对比]]</f>
        <v>-0.10388141251336622</v>
      </c>
      <c r="AD70" s="65" t="s">
        <v>1587</v>
      </c>
    </row>
    <row r="71" spans="1:30">
      <c r="A71" s="42" t="s">
        <v>577</v>
      </c>
      <c r="B71" s="42" t="s">
        <v>664</v>
      </c>
      <c r="C71" s="40" t="s">
        <v>599</v>
      </c>
      <c r="D71" s="40" t="s">
        <v>626</v>
      </c>
      <c r="E71" s="41" t="s">
        <v>1081</v>
      </c>
      <c r="F71" s="5" t="s">
        <v>67</v>
      </c>
      <c r="G71" s="25">
        <v>40836</v>
      </c>
      <c r="H71" s="5" t="s">
        <v>622</v>
      </c>
      <c r="I71" s="5">
        <f>VLOOKUP(MID(表1_11[[#This Row],[工资等级]],1,1),表12[],MATCH(MID(表1_11[[#This Row],[工资等级]],2,2),表12[[#Headers],[1]:[10]],0)+1,0)</f>
        <v>3600</v>
      </c>
      <c r="J71" s="5">
        <v>25.5</v>
      </c>
      <c r="K71" s="27">
        <v>1.0625</v>
      </c>
      <c r="L71" s="37">
        <f>IF(表1_11[[#This Row],[出勤率]]&gt;1,1,表1_11[[#This Row],[出勤率]])*表1_11[[#This Row],[岗位工资]]</f>
        <v>3600</v>
      </c>
      <c r="M71" s="5">
        <f>LOOKUP(表1_11[[#This Row],[岗位工资]],表13[lookup],表13[奖金比率])*表1_11[[#This Row],[岗位工资]]</f>
        <v>360</v>
      </c>
      <c r="N71" s="5">
        <v>87</v>
      </c>
      <c r="O71" s="38">
        <f>表1_11[[#This Row],[奖金等级]]*表1_11[[#This Row],[绩效得分]]/100</f>
        <v>313.2</v>
      </c>
      <c r="P71" s="5">
        <f>IF(表1_11[[#This Row],[出勤率]]&gt;=1,200,0)</f>
        <v>200</v>
      </c>
      <c r="Q71" s="23">
        <f t="shared" ca="1" si="1"/>
        <v>300</v>
      </c>
      <c r="R71" s="23">
        <f>IF(表1_11[[#This Row],[中心]]="营销中心",VLOOKUP(表1_11[[#This Row],[职位]],表2[[话费补贴]:[营销中心]],2,0),VLOOKUP(表1_11[[#This Row],[职位]],表2[],3,0))</f>
        <v>0</v>
      </c>
      <c r="S71" s="23">
        <v>200</v>
      </c>
      <c r="T71" s="61">
        <f ca="1">ROUND(SUM(表1_11[[#This Row],[基本工资]],表1_11[[#This Row],[奖金]],表1_11[[#This Row],[全勤奖]:[防暑降温补贴]]),2)</f>
        <v>4613.2</v>
      </c>
      <c r="U71" s="62">
        <f ca="1">ROUND(表1_11[[#This Row],[税前应发总额]]*8%,2)</f>
        <v>369.06</v>
      </c>
      <c r="V71" s="62">
        <f ca="1">ROUND(表1_11[[#This Row],[税前应发总额]]*2%+3,2)</f>
        <v>95.26</v>
      </c>
      <c r="W71" s="62">
        <f ca="1">ROUND(表1_11[[#This Row],[税前应发总额]]*0.2%,2)</f>
        <v>9.23</v>
      </c>
      <c r="X71" s="62">
        <f ca="1">ROUND(表1_11[[#This Row],[税前应发总额]]*12%,2)</f>
        <v>553.58000000000004</v>
      </c>
      <c r="Y71" s="61">
        <f ca="1">ROUND(表1_11[[#This Row],[税前应发总额]]-SUM(表1_11[[#This Row],[养老保险]:[公积金]]),2)</f>
        <v>3586.07</v>
      </c>
      <c r="Z71" s="62">
        <f ca="1">ROUND(MAX((表1_11[[#This Row],[扣保险后工资金额]]-3500)*{3,10,20,25,30,35,45}%-{0,105,555,1005,2755,5505,13505},0),2)</f>
        <v>2.58</v>
      </c>
      <c r="AA71" s="63">
        <f ca="1">表1_11[[#This Row],[扣保险后工资金额]]-表1_11[[#This Row],[个人所得税]]</f>
        <v>3583.4900000000002</v>
      </c>
      <c r="AB71" s="53">
        <v>3539.87</v>
      </c>
      <c r="AC71" s="64">
        <f ca="1">(表1_11[[#This Row],[实发工资]]-表1_11[[#This Row],[上月对比]])/表1_11[[#This Row],[上月对比]]</f>
        <v>1.2322486418992886E-2</v>
      </c>
      <c r="AD71" s="65" t="s">
        <v>1587</v>
      </c>
    </row>
    <row r="72" spans="1:30">
      <c r="A72" s="42" t="s">
        <v>577</v>
      </c>
      <c r="B72" s="42" t="s">
        <v>664</v>
      </c>
      <c r="C72" s="40" t="s">
        <v>599</v>
      </c>
      <c r="D72" s="40" t="s">
        <v>626</v>
      </c>
      <c r="E72" s="41" t="s">
        <v>1082</v>
      </c>
      <c r="F72" s="5" t="s">
        <v>68</v>
      </c>
      <c r="G72" s="25">
        <v>41258</v>
      </c>
      <c r="H72" s="5" t="s">
        <v>623</v>
      </c>
      <c r="I72" s="5">
        <f>VLOOKUP(MID(表1_11[[#This Row],[工资等级]],1,1),表12[],MATCH(MID(表1_11[[#This Row],[工资等级]],2,2),表12[[#Headers],[1]:[10]],0)+1,0)</f>
        <v>3800</v>
      </c>
      <c r="J72" s="5">
        <v>22.5</v>
      </c>
      <c r="K72" s="27">
        <v>0.9375</v>
      </c>
      <c r="L72" s="37">
        <f>IF(表1_11[[#This Row],[出勤率]]&gt;1,1,表1_11[[#This Row],[出勤率]])*表1_11[[#This Row],[岗位工资]]</f>
        <v>3562.5</v>
      </c>
      <c r="M72" s="5">
        <f>LOOKUP(表1_11[[#This Row],[岗位工资]],表13[lookup],表13[奖金比率])*表1_11[[#This Row],[岗位工资]]</f>
        <v>380</v>
      </c>
      <c r="N72" s="5">
        <v>96</v>
      </c>
      <c r="O72" s="38">
        <f>表1_11[[#This Row],[奖金等级]]*表1_11[[#This Row],[绩效得分]]/100</f>
        <v>364.8</v>
      </c>
      <c r="P72" s="5">
        <f>IF(表1_11[[#This Row],[出勤率]]&gt;=1,200,0)</f>
        <v>0</v>
      </c>
      <c r="Q72" s="23">
        <f t="shared" ca="1" si="1"/>
        <v>250</v>
      </c>
      <c r="R72" s="23">
        <f>IF(表1_11[[#This Row],[中心]]="营销中心",VLOOKUP(表1_11[[#This Row],[职位]],表2[[话费补贴]:[营销中心]],2,0),VLOOKUP(表1_11[[#This Row],[职位]],表2[],3,0))</f>
        <v>0</v>
      </c>
      <c r="S72" s="23">
        <v>200</v>
      </c>
      <c r="T72" s="61">
        <f ca="1">ROUND(SUM(表1_11[[#This Row],[基本工资]],表1_11[[#This Row],[奖金]],表1_11[[#This Row],[全勤奖]:[防暑降温补贴]]),2)</f>
        <v>4377.3</v>
      </c>
      <c r="U72" s="62">
        <f ca="1">ROUND(表1_11[[#This Row],[税前应发总额]]*8%,2)</f>
        <v>350.18</v>
      </c>
      <c r="V72" s="62">
        <f ca="1">ROUND(表1_11[[#This Row],[税前应发总额]]*2%+3,2)</f>
        <v>90.55</v>
      </c>
      <c r="W72" s="62">
        <f ca="1">ROUND(表1_11[[#This Row],[税前应发总额]]*0.2%,2)</f>
        <v>8.75</v>
      </c>
      <c r="X72" s="62">
        <f ca="1">ROUND(表1_11[[#This Row],[税前应发总额]]*12%,2)</f>
        <v>525.28</v>
      </c>
      <c r="Y72" s="61">
        <f ca="1">ROUND(表1_11[[#This Row],[税前应发总额]]-SUM(表1_11[[#This Row],[养老保险]:[公积金]]),2)</f>
        <v>3402.54</v>
      </c>
      <c r="Z72" s="62">
        <f ca="1">ROUND(MAX((表1_11[[#This Row],[扣保险后工资金额]]-3500)*{3,10,20,25,30,35,45}%-{0,105,555,1005,2755,5505,13505},0),2)</f>
        <v>0</v>
      </c>
      <c r="AA72" s="63">
        <f ca="1">表1_11[[#This Row],[扣保险后工资金额]]-表1_11[[#This Row],[个人所得税]]</f>
        <v>3402.54</v>
      </c>
      <c r="AB72" s="53">
        <v>3841.29</v>
      </c>
      <c r="AC72" s="64">
        <f ca="1">(表1_11[[#This Row],[实发工资]]-表1_11[[#This Row],[上月对比]])/表1_11[[#This Row],[上月对比]]</f>
        <v>-0.11421944190623462</v>
      </c>
      <c r="AD72" s="65" t="s">
        <v>1587</v>
      </c>
    </row>
    <row r="73" spans="1:30">
      <c r="A73" s="42" t="s">
        <v>577</v>
      </c>
      <c r="B73" s="42" t="s">
        <v>664</v>
      </c>
      <c r="C73" s="40" t="s">
        <v>662</v>
      </c>
      <c r="D73" s="40" t="s">
        <v>663</v>
      </c>
      <c r="E73" s="41" t="s">
        <v>1083</v>
      </c>
      <c r="F73" s="5" t="s">
        <v>69</v>
      </c>
      <c r="G73" s="25">
        <v>38587</v>
      </c>
      <c r="H73" s="5" t="s">
        <v>610</v>
      </c>
      <c r="I73" s="5">
        <f>VLOOKUP(MID(表1_11[[#This Row],[工资等级]],1,1),表12[],MATCH(MID(表1_11[[#This Row],[工资等级]],2,2),表12[[#Headers],[1]:[10]],0)+1,0)</f>
        <v>3400</v>
      </c>
      <c r="J73" s="5">
        <v>21</v>
      </c>
      <c r="K73" s="27">
        <v>0.875</v>
      </c>
      <c r="L73" s="37">
        <f>IF(表1_11[[#This Row],[出勤率]]&gt;1,1,表1_11[[#This Row],[出勤率]])*表1_11[[#This Row],[岗位工资]]</f>
        <v>2975</v>
      </c>
      <c r="M73" s="5">
        <f>LOOKUP(表1_11[[#This Row],[岗位工资]],表13[lookup],表13[奖金比率])*表1_11[[#This Row],[岗位工资]]</f>
        <v>340</v>
      </c>
      <c r="N73" s="5">
        <v>85</v>
      </c>
      <c r="O73" s="38">
        <f>表1_11[[#This Row],[奖金等级]]*表1_11[[#This Row],[绩效得分]]/100</f>
        <v>289</v>
      </c>
      <c r="P73" s="5">
        <f>IF(表1_11[[#This Row],[出勤率]]&gt;=1,200,0)</f>
        <v>0</v>
      </c>
      <c r="Q73" s="23">
        <f t="shared" ca="1" si="1"/>
        <v>500</v>
      </c>
      <c r="R73" s="23">
        <f>IF(表1_11[[#This Row],[中心]]="营销中心",VLOOKUP(表1_11[[#This Row],[职位]],表2[[话费补贴]:[营销中心]],2,0),VLOOKUP(表1_11[[#This Row],[职位]],表2[],3,0))</f>
        <v>0</v>
      </c>
      <c r="S73" s="23">
        <v>200</v>
      </c>
      <c r="T73" s="61">
        <f ca="1">ROUND(SUM(表1_11[[#This Row],[基本工资]],表1_11[[#This Row],[奖金]],表1_11[[#This Row],[全勤奖]:[防暑降温补贴]]),2)</f>
        <v>3964</v>
      </c>
      <c r="U73" s="62">
        <f ca="1">ROUND(表1_11[[#This Row],[税前应发总额]]*8%,2)</f>
        <v>317.12</v>
      </c>
      <c r="V73" s="62">
        <f ca="1">ROUND(表1_11[[#This Row],[税前应发总额]]*2%+3,2)</f>
        <v>82.28</v>
      </c>
      <c r="W73" s="62">
        <f ca="1">ROUND(表1_11[[#This Row],[税前应发总额]]*0.2%,2)</f>
        <v>7.93</v>
      </c>
      <c r="X73" s="62">
        <f ca="1">ROUND(表1_11[[#This Row],[税前应发总额]]*12%,2)</f>
        <v>475.68</v>
      </c>
      <c r="Y73" s="61">
        <f ca="1">ROUND(表1_11[[#This Row],[税前应发总额]]-SUM(表1_11[[#This Row],[养老保险]:[公积金]]),2)</f>
        <v>3080.99</v>
      </c>
      <c r="Z73" s="62">
        <f ca="1">ROUND(MAX((表1_11[[#This Row],[扣保险后工资金额]]-3500)*{3,10,20,25,30,35,45}%-{0,105,555,1005,2755,5505,13505},0),2)</f>
        <v>0</v>
      </c>
      <c r="AA73" s="63">
        <f ca="1">表1_11[[#This Row],[扣保险后工资金额]]-表1_11[[#This Row],[个人所得税]]</f>
        <v>3080.99</v>
      </c>
      <c r="AB73" s="53">
        <v>3518.36</v>
      </c>
      <c r="AC73" s="64">
        <f ca="1">(表1_11[[#This Row],[实发工资]]-表1_11[[#This Row],[上月对比]])/表1_11[[#This Row],[上月对比]]</f>
        <v>-0.1243107584215374</v>
      </c>
      <c r="AD73" s="65" t="s">
        <v>1587</v>
      </c>
    </row>
    <row r="74" spans="1:30">
      <c r="A74" s="42" t="s">
        <v>577</v>
      </c>
      <c r="B74" s="42" t="s">
        <v>664</v>
      </c>
      <c r="C74" s="40" t="s">
        <v>673</v>
      </c>
      <c r="D74" s="40" t="s">
        <v>674</v>
      </c>
      <c r="E74" s="41" t="s">
        <v>1084</v>
      </c>
      <c r="F74" s="5" t="s">
        <v>70</v>
      </c>
      <c r="G74" s="25">
        <v>40446</v>
      </c>
      <c r="H74" s="5" t="s">
        <v>624</v>
      </c>
      <c r="I74" s="5">
        <f>VLOOKUP(MID(表1_11[[#This Row],[工资等级]],1,1),表12[],MATCH(MID(表1_11[[#This Row],[工资等级]],2,2),表12[[#Headers],[1]:[10]],0)+1,0)</f>
        <v>2800</v>
      </c>
      <c r="J74" s="5">
        <v>24</v>
      </c>
      <c r="K74" s="27">
        <v>1</v>
      </c>
      <c r="L74" s="37">
        <f>IF(表1_11[[#This Row],[出勤率]]&gt;1,1,表1_11[[#This Row],[出勤率]])*表1_11[[#This Row],[岗位工资]]</f>
        <v>2800</v>
      </c>
      <c r="M74" s="5">
        <f>LOOKUP(表1_11[[#This Row],[岗位工资]],表13[lookup],表13[奖金比率])*表1_11[[#This Row],[岗位工资]]</f>
        <v>280</v>
      </c>
      <c r="N74" s="5">
        <v>96</v>
      </c>
      <c r="O74" s="38">
        <f>表1_11[[#This Row],[奖金等级]]*表1_11[[#This Row],[绩效得分]]/100</f>
        <v>268.8</v>
      </c>
      <c r="P74" s="5">
        <f>IF(表1_11[[#This Row],[出勤率]]&gt;=1,200,0)</f>
        <v>200</v>
      </c>
      <c r="Q74" s="23">
        <f t="shared" ca="1" si="1"/>
        <v>350</v>
      </c>
      <c r="R74" s="23">
        <f>IF(表1_11[[#This Row],[中心]]="营销中心",VLOOKUP(表1_11[[#This Row],[职位]],表2[[话费补贴]:[营销中心]],2,0),VLOOKUP(表1_11[[#This Row],[职位]],表2[],3,0))</f>
        <v>0</v>
      </c>
      <c r="S74" s="23">
        <v>200</v>
      </c>
      <c r="T74" s="61">
        <f ca="1">ROUND(SUM(表1_11[[#This Row],[基本工资]],表1_11[[#This Row],[奖金]],表1_11[[#This Row],[全勤奖]:[防暑降温补贴]]),2)</f>
        <v>3818.8</v>
      </c>
      <c r="U74" s="62">
        <f ca="1">ROUND(表1_11[[#This Row],[税前应发总额]]*8%,2)</f>
        <v>305.5</v>
      </c>
      <c r="V74" s="62">
        <f ca="1">ROUND(表1_11[[#This Row],[税前应发总额]]*2%+3,2)</f>
        <v>79.38</v>
      </c>
      <c r="W74" s="62">
        <f ca="1">ROUND(表1_11[[#This Row],[税前应发总额]]*0.2%,2)</f>
        <v>7.64</v>
      </c>
      <c r="X74" s="62">
        <f ca="1">ROUND(表1_11[[#This Row],[税前应发总额]]*12%,2)</f>
        <v>458.26</v>
      </c>
      <c r="Y74" s="61">
        <f ca="1">ROUND(表1_11[[#This Row],[税前应发总额]]-SUM(表1_11[[#This Row],[养老保险]:[公积金]]),2)</f>
        <v>2968.02</v>
      </c>
      <c r="Z74" s="62">
        <f ca="1">ROUND(MAX((表1_11[[#This Row],[扣保险后工资金额]]-3500)*{3,10,20,25,30,35,45}%-{0,105,555,1005,2755,5505,13505},0),2)</f>
        <v>0</v>
      </c>
      <c r="AA74" s="63">
        <f ca="1">表1_11[[#This Row],[扣保险后工资金额]]-表1_11[[#This Row],[个人所得税]]</f>
        <v>2968.02</v>
      </c>
      <c r="AB74" s="53">
        <v>2935.67</v>
      </c>
      <c r="AC74" s="64">
        <f ca="1">(表1_11[[#This Row],[实发工资]]-表1_11[[#This Row],[上月对比]])/表1_11[[#This Row],[上月对比]]</f>
        <v>1.1019630953070307E-2</v>
      </c>
      <c r="AD74" s="65" t="s">
        <v>1587</v>
      </c>
    </row>
    <row r="75" spans="1:30">
      <c r="A75" s="42" t="s">
        <v>577</v>
      </c>
      <c r="B75" s="42" t="s">
        <v>664</v>
      </c>
      <c r="C75" s="40" t="s">
        <v>675</v>
      </c>
      <c r="D75" s="40" t="s">
        <v>676</v>
      </c>
      <c r="E75" s="41" t="s">
        <v>1085</v>
      </c>
      <c r="F75" s="5" t="s">
        <v>71</v>
      </c>
      <c r="G75" s="25">
        <v>39004</v>
      </c>
      <c r="H75" s="5" t="s">
        <v>612</v>
      </c>
      <c r="I75" s="5">
        <f>VLOOKUP(MID(表1_11[[#This Row],[工资等级]],1,1),表12[],MATCH(MID(表1_11[[#This Row],[工资等级]],2,2),表12[[#Headers],[1]:[10]],0)+1,0)</f>
        <v>2700</v>
      </c>
      <c r="J75" s="5">
        <v>21.5</v>
      </c>
      <c r="K75" s="27">
        <v>0.89583333333333337</v>
      </c>
      <c r="L75" s="37">
        <f>IF(表1_11[[#This Row],[出勤率]]&gt;1,1,表1_11[[#This Row],[出勤率]])*表1_11[[#This Row],[岗位工资]]</f>
        <v>2418.75</v>
      </c>
      <c r="M75" s="5">
        <f>LOOKUP(表1_11[[#This Row],[岗位工资]],表13[lookup],表13[奖金比率])*表1_11[[#This Row],[岗位工资]]</f>
        <v>270</v>
      </c>
      <c r="N75" s="5">
        <v>93</v>
      </c>
      <c r="O75" s="38">
        <f>表1_11[[#This Row],[奖金等级]]*表1_11[[#This Row],[绩效得分]]/100</f>
        <v>251.1</v>
      </c>
      <c r="P75" s="5">
        <f>IF(表1_11[[#This Row],[出勤率]]&gt;=1,200,0)</f>
        <v>0</v>
      </c>
      <c r="Q75" s="23">
        <f t="shared" ca="1" si="1"/>
        <v>500</v>
      </c>
      <c r="R75" s="23">
        <f>IF(表1_11[[#This Row],[中心]]="营销中心",VLOOKUP(表1_11[[#This Row],[职位]],表2[[话费补贴]:[营销中心]],2,0),VLOOKUP(表1_11[[#This Row],[职位]],表2[],3,0))</f>
        <v>0</v>
      </c>
      <c r="S75" s="23">
        <v>200</v>
      </c>
      <c r="T75" s="61">
        <f ca="1">ROUND(SUM(表1_11[[#This Row],[基本工资]],表1_11[[#This Row],[奖金]],表1_11[[#This Row],[全勤奖]:[防暑降温补贴]]),2)</f>
        <v>3369.85</v>
      </c>
      <c r="U75" s="62">
        <f ca="1">ROUND(表1_11[[#This Row],[税前应发总额]]*8%,2)</f>
        <v>269.58999999999997</v>
      </c>
      <c r="V75" s="62">
        <f ca="1">ROUND(表1_11[[#This Row],[税前应发总额]]*2%+3,2)</f>
        <v>70.400000000000006</v>
      </c>
      <c r="W75" s="62">
        <f ca="1">ROUND(表1_11[[#This Row],[税前应发总额]]*0.2%,2)</f>
        <v>6.74</v>
      </c>
      <c r="X75" s="62">
        <f ca="1">ROUND(表1_11[[#This Row],[税前应发总额]]*12%,2)</f>
        <v>404.38</v>
      </c>
      <c r="Y75" s="61">
        <f ca="1">ROUND(表1_11[[#This Row],[税前应发总额]]-SUM(表1_11[[#This Row],[养老保险]:[公积金]]),2)</f>
        <v>2618.7399999999998</v>
      </c>
      <c r="Z75" s="62">
        <f ca="1">ROUND(MAX((表1_11[[#This Row],[扣保险后工资金额]]-3500)*{3,10,20,25,30,35,45}%-{0,105,555,1005,2755,5505,13505},0),2)</f>
        <v>0</v>
      </c>
      <c r="AA75" s="63">
        <f ca="1">表1_11[[#This Row],[扣保险后工资金额]]-表1_11[[#This Row],[个人所得税]]</f>
        <v>2618.7399999999998</v>
      </c>
      <c r="AB75" s="53">
        <v>2755.83</v>
      </c>
      <c r="AC75" s="64">
        <f ca="1">(表1_11[[#This Row],[实发工资]]-表1_11[[#This Row],[上月对比]])/表1_11[[#This Row],[上月对比]]</f>
        <v>-4.9745448739581234E-2</v>
      </c>
      <c r="AD75" s="65" t="s">
        <v>1587</v>
      </c>
    </row>
    <row r="76" spans="1:30">
      <c r="A76" s="42" t="s">
        <v>577</v>
      </c>
      <c r="B76" s="42" t="s">
        <v>664</v>
      </c>
      <c r="C76" s="40" t="s">
        <v>655</v>
      </c>
      <c r="D76" s="40" t="s">
        <v>656</v>
      </c>
      <c r="E76" s="41" t="s">
        <v>1086</v>
      </c>
      <c r="F76" s="5" t="s">
        <v>72</v>
      </c>
      <c r="G76" s="25">
        <v>40991</v>
      </c>
      <c r="H76" s="5" t="s">
        <v>612</v>
      </c>
      <c r="I76" s="5">
        <f>VLOOKUP(MID(表1_11[[#This Row],[工资等级]],1,1),表12[],MATCH(MID(表1_11[[#This Row],[工资等级]],2,2),表12[[#Headers],[1]:[10]],0)+1,0)</f>
        <v>2700</v>
      </c>
      <c r="J76" s="5">
        <v>24.5</v>
      </c>
      <c r="K76" s="27">
        <v>1.0208333333333333</v>
      </c>
      <c r="L76" s="37">
        <f>IF(表1_11[[#This Row],[出勤率]]&gt;1,1,表1_11[[#This Row],[出勤率]])*表1_11[[#This Row],[岗位工资]]</f>
        <v>2700</v>
      </c>
      <c r="M76" s="5">
        <f>LOOKUP(表1_11[[#This Row],[岗位工资]],表13[lookup],表13[奖金比率])*表1_11[[#This Row],[岗位工资]]</f>
        <v>270</v>
      </c>
      <c r="N76" s="5">
        <v>89</v>
      </c>
      <c r="O76" s="38">
        <f>表1_11[[#This Row],[奖金等级]]*表1_11[[#This Row],[绩效得分]]/100</f>
        <v>240.3</v>
      </c>
      <c r="P76" s="5">
        <f>IF(表1_11[[#This Row],[出勤率]]&gt;=1,200,0)</f>
        <v>200</v>
      </c>
      <c r="Q76" s="23">
        <f t="shared" ca="1" si="1"/>
        <v>250</v>
      </c>
      <c r="R76" s="23">
        <f>IF(表1_11[[#This Row],[中心]]="营销中心",VLOOKUP(表1_11[[#This Row],[职位]],表2[[话费补贴]:[营销中心]],2,0),VLOOKUP(表1_11[[#This Row],[职位]],表2[],3,0))</f>
        <v>0</v>
      </c>
      <c r="S76" s="23">
        <v>200</v>
      </c>
      <c r="T76" s="61">
        <f ca="1">ROUND(SUM(表1_11[[#This Row],[基本工资]],表1_11[[#This Row],[奖金]],表1_11[[#This Row],[全勤奖]:[防暑降温补贴]]),2)</f>
        <v>3590.3</v>
      </c>
      <c r="U76" s="62">
        <f ca="1">ROUND(表1_11[[#This Row],[税前应发总额]]*8%,2)</f>
        <v>287.22000000000003</v>
      </c>
      <c r="V76" s="62">
        <f ca="1">ROUND(表1_11[[#This Row],[税前应发总额]]*2%+3,2)</f>
        <v>74.81</v>
      </c>
      <c r="W76" s="62">
        <f ca="1">ROUND(表1_11[[#This Row],[税前应发总额]]*0.2%,2)</f>
        <v>7.18</v>
      </c>
      <c r="X76" s="62">
        <f ca="1">ROUND(表1_11[[#This Row],[税前应发总额]]*12%,2)</f>
        <v>430.84</v>
      </c>
      <c r="Y76" s="61">
        <f ca="1">ROUND(表1_11[[#This Row],[税前应发总额]]-SUM(表1_11[[#This Row],[养老保险]:[公积金]]),2)</f>
        <v>2790.25</v>
      </c>
      <c r="Z76" s="62">
        <f ca="1">ROUND(MAX((表1_11[[#This Row],[扣保险后工资金额]]-3500)*{3,10,20,25,30,35,45}%-{0,105,555,1005,2755,5505,13505},0),2)</f>
        <v>0</v>
      </c>
      <c r="AA76" s="63">
        <f ca="1">表1_11[[#This Row],[扣保险后工资金额]]-表1_11[[#This Row],[个人所得税]]</f>
        <v>2790.25</v>
      </c>
      <c r="AB76" s="53">
        <v>2448.0300000000002</v>
      </c>
      <c r="AC76" s="64">
        <f ca="1">(表1_11[[#This Row],[实发工资]]-表1_11[[#This Row],[上月对比]])/表1_11[[#This Row],[上月对比]]</f>
        <v>0.13979403847175065</v>
      </c>
      <c r="AD76" s="65" t="s">
        <v>1587</v>
      </c>
    </row>
    <row r="77" spans="1:30">
      <c r="A77" s="42" t="s">
        <v>577</v>
      </c>
      <c r="B77" s="42" t="s">
        <v>664</v>
      </c>
      <c r="C77" s="40" t="s">
        <v>628</v>
      </c>
      <c r="D77" s="40" t="s">
        <v>629</v>
      </c>
      <c r="E77" s="41" t="s">
        <v>1087</v>
      </c>
      <c r="F77" s="5" t="s">
        <v>73</v>
      </c>
      <c r="G77" s="25">
        <v>38528</v>
      </c>
      <c r="H77" s="5" t="s">
        <v>624</v>
      </c>
      <c r="I77" s="5">
        <f>VLOOKUP(MID(表1_11[[#This Row],[工资等级]],1,1),表12[],MATCH(MID(表1_11[[#This Row],[工资等级]],2,2),表12[[#Headers],[1]:[10]],0)+1,0)</f>
        <v>2800</v>
      </c>
      <c r="J77" s="5">
        <v>25</v>
      </c>
      <c r="K77" s="27">
        <v>1.0416666666666667</v>
      </c>
      <c r="L77" s="37">
        <f>IF(表1_11[[#This Row],[出勤率]]&gt;1,1,表1_11[[#This Row],[出勤率]])*表1_11[[#This Row],[岗位工资]]</f>
        <v>2800</v>
      </c>
      <c r="M77" s="5">
        <f>LOOKUP(表1_11[[#This Row],[岗位工资]],表13[lookup],表13[奖金比率])*表1_11[[#This Row],[岗位工资]]</f>
        <v>280</v>
      </c>
      <c r="N77" s="5">
        <v>80</v>
      </c>
      <c r="O77" s="38">
        <f>表1_11[[#This Row],[奖金等级]]*表1_11[[#This Row],[绩效得分]]/100</f>
        <v>224</v>
      </c>
      <c r="P77" s="5">
        <f>IF(表1_11[[#This Row],[出勤率]]&gt;=1,200,0)</f>
        <v>200</v>
      </c>
      <c r="Q77" s="23">
        <f t="shared" ca="1" si="1"/>
        <v>500</v>
      </c>
      <c r="R77" s="23">
        <f>IF(表1_11[[#This Row],[中心]]="营销中心",VLOOKUP(表1_11[[#This Row],[职位]],表2[[话费补贴]:[营销中心]],2,0),VLOOKUP(表1_11[[#This Row],[职位]],表2[],3,0))</f>
        <v>0</v>
      </c>
      <c r="S77" s="23">
        <v>200</v>
      </c>
      <c r="T77" s="61">
        <f ca="1">ROUND(SUM(表1_11[[#This Row],[基本工资]],表1_11[[#This Row],[奖金]],表1_11[[#This Row],[全勤奖]:[防暑降温补贴]]),2)</f>
        <v>3924</v>
      </c>
      <c r="U77" s="62">
        <f ca="1">ROUND(表1_11[[#This Row],[税前应发总额]]*8%,2)</f>
        <v>313.92</v>
      </c>
      <c r="V77" s="62">
        <f ca="1">ROUND(表1_11[[#This Row],[税前应发总额]]*2%+3,2)</f>
        <v>81.48</v>
      </c>
      <c r="W77" s="62">
        <f ca="1">ROUND(表1_11[[#This Row],[税前应发总额]]*0.2%,2)</f>
        <v>7.85</v>
      </c>
      <c r="X77" s="62">
        <f ca="1">ROUND(表1_11[[#This Row],[税前应发总额]]*12%,2)</f>
        <v>470.88</v>
      </c>
      <c r="Y77" s="61">
        <f ca="1">ROUND(表1_11[[#This Row],[税前应发总额]]-SUM(表1_11[[#This Row],[养老保险]:[公积金]]),2)</f>
        <v>3049.87</v>
      </c>
      <c r="Z77" s="62">
        <f ca="1">ROUND(MAX((表1_11[[#This Row],[扣保险后工资金额]]-3500)*{3,10,20,25,30,35,45}%-{0,105,555,1005,2755,5505,13505},0),2)</f>
        <v>0</v>
      </c>
      <c r="AA77" s="63">
        <f ca="1">表1_11[[#This Row],[扣保险后工资金额]]-表1_11[[#This Row],[个人所得税]]</f>
        <v>3049.87</v>
      </c>
      <c r="AB77" s="53">
        <v>3409.54</v>
      </c>
      <c r="AC77" s="64">
        <f ca="1">(表1_11[[#This Row],[实发工资]]-表1_11[[#This Row],[上月对比]])/表1_11[[#This Row],[上月对比]]</f>
        <v>-0.10548930354241337</v>
      </c>
      <c r="AD77" s="65" t="s">
        <v>1587</v>
      </c>
    </row>
    <row r="78" spans="1:30">
      <c r="A78" s="42" t="s">
        <v>577</v>
      </c>
      <c r="B78" s="42" t="s">
        <v>664</v>
      </c>
      <c r="C78" s="40" t="s">
        <v>628</v>
      </c>
      <c r="D78" s="40" t="s">
        <v>629</v>
      </c>
      <c r="E78" s="41" t="s">
        <v>1088</v>
      </c>
      <c r="F78" s="5" t="s">
        <v>74</v>
      </c>
      <c r="G78" s="25">
        <v>41660</v>
      </c>
      <c r="H78" s="5" t="s">
        <v>615</v>
      </c>
      <c r="I78" s="5">
        <f>VLOOKUP(MID(表1_11[[#This Row],[工资等级]],1,1),表12[],MATCH(MID(表1_11[[#This Row],[工资等级]],2,2),表12[[#Headers],[1]:[10]],0)+1,0)</f>
        <v>3200</v>
      </c>
      <c r="J78" s="5">
        <v>26.5</v>
      </c>
      <c r="K78" s="27">
        <v>1.1041666666666667</v>
      </c>
      <c r="L78" s="37">
        <f>IF(表1_11[[#This Row],[出勤率]]&gt;1,1,表1_11[[#This Row],[出勤率]])*表1_11[[#This Row],[岗位工资]]</f>
        <v>3200</v>
      </c>
      <c r="M78" s="5">
        <f>LOOKUP(表1_11[[#This Row],[岗位工资]],表13[lookup],表13[奖金比率])*表1_11[[#This Row],[岗位工资]]</f>
        <v>320</v>
      </c>
      <c r="N78" s="5">
        <v>94</v>
      </c>
      <c r="O78" s="38">
        <f>表1_11[[#This Row],[奖金等级]]*表1_11[[#This Row],[绩效得分]]/100</f>
        <v>300.8</v>
      </c>
      <c r="P78" s="5">
        <f>IF(表1_11[[#This Row],[出勤率]]&gt;=1,200,0)</f>
        <v>200</v>
      </c>
      <c r="Q78" s="23">
        <f t="shared" ca="1" si="1"/>
        <v>200</v>
      </c>
      <c r="R78" s="23">
        <f>IF(表1_11[[#This Row],[中心]]="营销中心",VLOOKUP(表1_11[[#This Row],[职位]],表2[[话费补贴]:[营销中心]],2,0),VLOOKUP(表1_11[[#This Row],[职位]],表2[],3,0))</f>
        <v>0</v>
      </c>
      <c r="S78" s="23">
        <v>200</v>
      </c>
      <c r="T78" s="61">
        <f ca="1">ROUND(SUM(表1_11[[#This Row],[基本工资]],表1_11[[#This Row],[奖金]],表1_11[[#This Row],[全勤奖]:[防暑降温补贴]]),2)</f>
        <v>4100.8</v>
      </c>
      <c r="U78" s="62">
        <f ca="1">ROUND(表1_11[[#This Row],[税前应发总额]]*8%,2)</f>
        <v>328.06</v>
      </c>
      <c r="V78" s="62">
        <f ca="1">ROUND(表1_11[[#This Row],[税前应发总额]]*2%+3,2)</f>
        <v>85.02</v>
      </c>
      <c r="W78" s="62">
        <f ca="1">ROUND(表1_11[[#This Row],[税前应发总额]]*0.2%,2)</f>
        <v>8.1999999999999993</v>
      </c>
      <c r="X78" s="62">
        <f ca="1">ROUND(表1_11[[#This Row],[税前应发总额]]*12%,2)</f>
        <v>492.1</v>
      </c>
      <c r="Y78" s="61">
        <f ca="1">ROUND(表1_11[[#This Row],[税前应发总额]]-SUM(表1_11[[#This Row],[养老保险]:[公积金]]),2)</f>
        <v>3187.42</v>
      </c>
      <c r="Z78" s="62">
        <f ca="1">ROUND(MAX((表1_11[[#This Row],[扣保险后工资金额]]-3500)*{3,10,20,25,30,35,45}%-{0,105,555,1005,2755,5505,13505},0),2)</f>
        <v>0</v>
      </c>
      <c r="AA78" s="63">
        <f ca="1">表1_11[[#This Row],[扣保险后工资金额]]-表1_11[[#This Row],[个人所得税]]</f>
        <v>3187.42</v>
      </c>
      <c r="AB78" s="53">
        <v>2996.29</v>
      </c>
      <c r="AC78" s="64">
        <f ca="1">(表1_11[[#This Row],[实发工资]]-表1_11[[#This Row],[上月对比]])/表1_11[[#This Row],[上月对比]]</f>
        <v>6.378888558851116E-2</v>
      </c>
      <c r="AD78" s="65" t="s">
        <v>1587</v>
      </c>
    </row>
    <row r="79" spans="1:30">
      <c r="A79" s="42" t="s">
        <v>577</v>
      </c>
      <c r="B79" s="42" t="s">
        <v>664</v>
      </c>
      <c r="C79" s="40" t="s">
        <v>599</v>
      </c>
      <c r="D79" s="40" t="s">
        <v>626</v>
      </c>
      <c r="E79" s="41" t="s">
        <v>1089</v>
      </c>
      <c r="F79" s="5" t="s">
        <v>75</v>
      </c>
      <c r="G79" s="25">
        <v>39945</v>
      </c>
      <c r="H79" s="5" t="s">
        <v>618</v>
      </c>
      <c r="I79" s="5">
        <f>VLOOKUP(MID(表1_11[[#This Row],[工资等级]],1,1),表12[],MATCH(MID(表1_11[[#This Row],[工资等级]],2,2),表12[[#Headers],[1]:[10]],0)+1,0)</f>
        <v>3000</v>
      </c>
      <c r="J79" s="5">
        <v>25.5</v>
      </c>
      <c r="K79" s="27">
        <v>1.0625</v>
      </c>
      <c r="L79" s="37">
        <f>IF(表1_11[[#This Row],[出勤率]]&gt;1,1,表1_11[[#This Row],[出勤率]])*表1_11[[#This Row],[岗位工资]]</f>
        <v>3000</v>
      </c>
      <c r="M79" s="5">
        <f>LOOKUP(表1_11[[#This Row],[岗位工资]],表13[lookup],表13[奖金比率])*表1_11[[#This Row],[岗位工资]]</f>
        <v>300</v>
      </c>
      <c r="N79" s="5">
        <v>79</v>
      </c>
      <c r="O79" s="38">
        <f>表1_11[[#This Row],[奖金等级]]*表1_11[[#This Row],[绩效得分]]/100</f>
        <v>237</v>
      </c>
      <c r="P79" s="5">
        <f>IF(表1_11[[#This Row],[出勤率]]&gt;=1,200,0)</f>
        <v>200</v>
      </c>
      <c r="Q79" s="23">
        <f t="shared" ca="1" si="1"/>
        <v>400</v>
      </c>
      <c r="R79" s="23">
        <f>IF(表1_11[[#This Row],[中心]]="营销中心",VLOOKUP(表1_11[[#This Row],[职位]],表2[[话费补贴]:[营销中心]],2,0),VLOOKUP(表1_11[[#This Row],[职位]],表2[],3,0))</f>
        <v>0</v>
      </c>
      <c r="S79" s="23">
        <v>200</v>
      </c>
      <c r="T79" s="61">
        <f ca="1">ROUND(SUM(表1_11[[#This Row],[基本工资]],表1_11[[#This Row],[奖金]],表1_11[[#This Row],[全勤奖]:[防暑降温补贴]]),2)</f>
        <v>4037</v>
      </c>
      <c r="U79" s="62">
        <f ca="1">ROUND(表1_11[[#This Row],[税前应发总额]]*8%,2)</f>
        <v>322.95999999999998</v>
      </c>
      <c r="V79" s="62">
        <f ca="1">ROUND(表1_11[[#This Row],[税前应发总额]]*2%+3,2)</f>
        <v>83.74</v>
      </c>
      <c r="W79" s="62">
        <f ca="1">ROUND(表1_11[[#This Row],[税前应发总额]]*0.2%,2)</f>
        <v>8.07</v>
      </c>
      <c r="X79" s="62">
        <f ca="1">ROUND(表1_11[[#This Row],[税前应发总额]]*12%,2)</f>
        <v>484.44</v>
      </c>
      <c r="Y79" s="61">
        <f ca="1">ROUND(表1_11[[#This Row],[税前应发总额]]-SUM(表1_11[[#This Row],[养老保险]:[公积金]]),2)</f>
        <v>3137.79</v>
      </c>
      <c r="Z79" s="62">
        <f ca="1">ROUND(MAX((表1_11[[#This Row],[扣保险后工资金额]]-3500)*{3,10,20,25,30,35,45}%-{0,105,555,1005,2755,5505,13505},0),2)</f>
        <v>0</v>
      </c>
      <c r="AA79" s="63">
        <f ca="1">表1_11[[#This Row],[扣保险后工资金额]]-表1_11[[#This Row],[个人所得税]]</f>
        <v>3137.79</v>
      </c>
      <c r="AB79" s="53">
        <v>3323.3</v>
      </c>
      <c r="AC79" s="64">
        <f ca="1">(表1_11[[#This Row],[实发工资]]-表1_11[[#This Row],[上月对比]])/表1_11[[#This Row],[上月对比]]</f>
        <v>-5.5821021274034904E-2</v>
      </c>
      <c r="AD79" s="65" t="s">
        <v>1587</v>
      </c>
    </row>
    <row r="80" spans="1:30">
      <c r="A80" s="42" t="s">
        <v>577</v>
      </c>
      <c r="B80" s="42" t="s">
        <v>664</v>
      </c>
      <c r="C80" s="40" t="s">
        <v>599</v>
      </c>
      <c r="D80" s="40" t="s">
        <v>626</v>
      </c>
      <c r="E80" s="41" t="s">
        <v>1090</v>
      </c>
      <c r="F80" s="5" t="s">
        <v>76</v>
      </c>
      <c r="G80" s="25">
        <v>40678</v>
      </c>
      <c r="H80" s="5" t="s">
        <v>617</v>
      </c>
      <c r="I80" s="5">
        <f>VLOOKUP(MID(表1_11[[#This Row],[工资等级]],1,1),表12[],MATCH(MID(表1_11[[#This Row],[工资等级]],2,2),表12[[#Headers],[1]:[10]],0)+1,0)</f>
        <v>2500</v>
      </c>
      <c r="J80" s="5">
        <v>22</v>
      </c>
      <c r="K80" s="27">
        <v>0.91666666666666663</v>
      </c>
      <c r="L80" s="37">
        <f>IF(表1_11[[#This Row],[出勤率]]&gt;1,1,表1_11[[#This Row],[出勤率]])*表1_11[[#This Row],[岗位工资]]</f>
        <v>2291.6666666666665</v>
      </c>
      <c r="M80" s="5">
        <f>LOOKUP(表1_11[[#This Row],[岗位工资]],表13[lookup],表13[奖金比率])*表1_11[[#This Row],[岗位工资]]</f>
        <v>250</v>
      </c>
      <c r="N80" s="5">
        <v>84</v>
      </c>
      <c r="O80" s="38">
        <f>表1_11[[#This Row],[奖金等级]]*表1_11[[#This Row],[绩效得分]]/100</f>
        <v>210</v>
      </c>
      <c r="P80" s="5">
        <f>IF(表1_11[[#This Row],[出勤率]]&gt;=1,200,0)</f>
        <v>0</v>
      </c>
      <c r="Q80" s="23">
        <f t="shared" ca="1" si="1"/>
        <v>300</v>
      </c>
      <c r="R80" s="23">
        <f>IF(表1_11[[#This Row],[中心]]="营销中心",VLOOKUP(表1_11[[#This Row],[职位]],表2[[话费补贴]:[营销中心]],2,0),VLOOKUP(表1_11[[#This Row],[职位]],表2[],3,0))</f>
        <v>0</v>
      </c>
      <c r="S80" s="23">
        <v>200</v>
      </c>
      <c r="T80" s="61">
        <f ca="1">ROUND(SUM(表1_11[[#This Row],[基本工资]],表1_11[[#This Row],[奖金]],表1_11[[#This Row],[全勤奖]:[防暑降温补贴]]),2)</f>
        <v>3001.67</v>
      </c>
      <c r="U80" s="62">
        <f ca="1">ROUND(表1_11[[#This Row],[税前应发总额]]*8%,2)</f>
        <v>240.13</v>
      </c>
      <c r="V80" s="62">
        <f ca="1">ROUND(表1_11[[#This Row],[税前应发总额]]*2%+3,2)</f>
        <v>63.03</v>
      </c>
      <c r="W80" s="62">
        <f ca="1">ROUND(表1_11[[#This Row],[税前应发总额]]*0.2%,2)</f>
        <v>6</v>
      </c>
      <c r="X80" s="62">
        <f ca="1">ROUND(表1_11[[#This Row],[税前应发总额]]*12%,2)</f>
        <v>360.2</v>
      </c>
      <c r="Y80" s="61">
        <f ca="1">ROUND(表1_11[[#This Row],[税前应发总额]]-SUM(表1_11[[#This Row],[养老保险]:[公积金]]),2)</f>
        <v>2332.31</v>
      </c>
      <c r="Z80" s="62">
        <f ca="1">ROUND(MAX((表1_11[[#This Row],[扣保险后工资金额]]-3500)*{3,10,20,25,30,35,45}%-{0,105,555,1005,2755,5505,13505},0),2)</f>
        <v>0</v>
      </c>
      <c r="AA80" s="63">
        <f ca="1">表1_11[[#This Row],[扣保险后工资金额]]-表1_11[[#This Row],[个人所得税]]</f>
        <v>2332.31</v>
      </c>
      <c r="AB80" s="53">
        <v>2708.51</v>
      </c>
      <c r="AC80" s="64">
        <f ca="1">(表1_11[[#This Row],[实发工资]]-表1_11[[#This Row],[上月对比]])/表1_11[[#This Row],[上月对比]]</f>
        <v>-0.13889555512071222</v>
      </c>
      <c r="AD80" s="65" t="s">
        <v>1587</v>
      </c>
    </row>
    <row r="81" spans="1:30">
      <c r="A81" s="42" t="s">
        <v>577</v>
      </c>
      <c r="B81" s="42" t="s">
        <v>664</v>
      </c>
      <c r="C81" s="40" t="s">
        <v>599</v>
      </c>
      <c r="D81" s="40" t="s">
        <v>626</v>
      </c>
      <c r="E81" s="41" t="s">
        <v>1091</v>
      </c>
      <c r="F81" s="5" t="s">
        <v>77</v>
      </c>
      <c r="G81" s="25">
        <v>40306</v>
      </c>
      <c r="H81" s="5" t="s">
        <v>615</v>
      </c>
      <c r="I81" s="5">
        <f>VLOOKUP(MID(表1_11[[#This Row],[工资等级]],1,1),表12[],MATCH(MID(表1_11[[#This Row],[工资等级]],2,2),表12[[#Headers],[1]:[10]],0)+1,0)</f>
        <v>3200</v>
      </c>
      <c r="J81" s="5">
        <v>24.5</v>
      </c>
      <c r="K81" s="27">
        <v>1.0208333333333333</v>
      </c>
      <c r="L81" s="37">
        <f>IF(表1_11[[#This Row],[出勤率]]&gt;1,1,表1_11[[#This Row],[出勤率]])*表1_11[[#This Row],[岗位工资]]</f>
        <v>3200</v>
      </c>
      <c r="M81" s="5">
        <f>LOOKUP(表1_11[[#This Row],[岗位工资]],表13[lookup],表13[奖金比率])*表1_11[[#This Row],[岗位工资]]</f>
        <v>320</v>
      </c>
      <c r="N81" s="5">
        <v>85</v>
      </c>
      <c r="O81" s="38">
        <f>表1_11[[#This Row],[奖金等级]]*表1_11[[#This Row],[绩效得分]]/100</f>
        <v>272</v>
      </c>
      <c r="P81" s="5">
        <f>IF(表1_11[[#This Row],[出勤率]]&gt;=1,200,0)</f>
        <v>200</v>
      </c>
      <c r="Q81" s="23">
        <f t="shared" ca="1" si="1"/>
        <v>350</v>
      </c>
      <c r="R81" s="23">
        <f>IF(表1_11[[#This Row],[中心]]="营销中心",VLOOKUP(表1_11[[#This Row],[职位]],表2[[话费补贴]:[营销中心]],2,0),VLOOKUP(表1_11[[#This Row],[职位]],表2[],3,0))</f>
        <v>0</v>
      </c>
      <c r="S81" s="23">
        <v>200</v>
      </c>
      <c r="T81" s="61">
        <f ca="1">ROUND(SUM(表1_11[[#This Row],[基本工资]],表1_11[[#This Row],[奖金]],表1_11[[#This Row],[全勤奖]:[防暑降温补贴]]),2)</f>
        <v>4222</v>
      </c>
      <c r="U81" s="62">
        <f ca="1">ROUND(表1_11[[#This Row],[税前应发总额]]*8%,2)</f>
        <v>337.76</v>
      </c>
      <c r="V81" s="62">
        <f ca="1">ROUND(表1_11[[#This Row],[税前应发总额]]*2%+3,2)</f>
        <v>87.44</v>
      </c>
      <c r="W81" s="62">
        <f ca="1">ROUND(表1_11[[#This Row],[税前应发总额]]*0.2%,2)</f>
        <v>8.44</v>
      </c>
      <c r="X81" s="62">
        <f ca="1">ROUND(表1_11[[#This Row],[税前应发总额]]*12%,2)</f>
        <v>506.64</v>
      </c>
      <c r="Y81" s="61">
        <f ca="1">ROUND(表1_11[[#This Row],[税前应发总额]]-SUM(表1_11[[#This Row],[养老保险]:[公积金]]),2)</f>
        <v>3281.72</v>
      </c>
      <c r="Z81" s="62">
        <f ca="1">ROUND(MAX((表1_11[[#This Row],[扣保险后工资金额]]-3500)*{3,10,20,25,30,35,45}%-{0,105,555,1005,2755,5505,13505},0),2)</f>
        <v>0</v>
      </c>
      <c r="AA81" s="63">
        <f ca="1">表1_11[[#This Row],[扣保险后工资金额]]-表1_11[[#This Row],[个人所得税]]</f>
        <v>3281.72</v>
      </c>
      <c r="AB81" s="53">
        <v>3686.88</v>
      </c>
      <c r="AC81" s="64">
        <f ca="1">(表1_11[[#This Row],[实发工资]]-表1_11[[#This Row],[上月对比]])/表1_11[[#This Row],[上月对比]]</f>
        <v>-0.10989237512476682</v>
      </c>
      <c r="AD81" s="65" t="s">
        <v>1587</v>
      </c>
    </row>
    <row r="82" spans="1:30">
      <c r="A82" s="42" t="s">
        <v>577</v>
      </c>
      <c r="B82" s="42" t="s">
        <v>664</v>
      </c>
      <c r="C82" s="40" t="s">
        <v>662</v>
      </c>
      <c r="D82" s="40" t="s">
        <v>663</v>
      </c>
      <c r="E82" s="41" t="s">
        <v>1092</v>
      </c>
      <c r="F82" s="5" t="s">
        <v>78</v>
      </c>
      <c r="G82" s="25">
        <v>38443</v>
      </c>
      <c r="H82" s="5" t="s">
        <v>617</v>
      </c>
      <c r="I82" s="5">
        <f>VLOOKUP(MID(表1_11[[#This Row],[工资等级]],1,1),表12[],MATCH(MID(表1_11[[#This Row],[工资等级]],2,2),表12[[#Headers],[1]:[10]],0)+1,0)</f>
        <v>2500</v>
      </c>
      <c r="J82" s="5">
        <v>27</v>
      </c>
      <c r="K82" s="27">
        <v>1.125</v>
      </c>
      <c r="L82" s="37">
        <f>IF(表1_11[[#This Row],[出勤率]]&gt;1,1,表1_11[[#This Row],[出勤率]])*表1_11[[#This Row],[岗位工资]]</f>
        <v>2500</v>
      </c>
      <c r="M82" s="5">
        <f>LOOKUP(表1_11[[#This Row],[岗位工资]],表13[lookup],表13[奖金比率])*表1_11[[#This Row],[岗位工资]]</f>
        <v>250</v>
      </c>
      <c r="N82" s="5">
        <v>100</v>
      </c>
      <c r="O82" s="38">
        <f>表1_11[[#This Row],[奖金等级]]*表1_11[[#This Row],[绩效得分]]/100</f>
        <v>250</v>
      </c>
      <c r="P82" s="5">
        <f>IF(表1_11[[#This Row],[出勤率]]&gt;=1,200,0)</f>
        <v>200</v>
      </c>
      <c r="Q82" s="23">
        <f t="shared" ca="1" si="1"/>
        <v>500</v>
      </c>
      <c r="R82" s="23">
        <f>IF(表1_11[[#This Row],[中心]]="营销中心",VLOOKUP(表1_11[[#This Row],[职位]],表2[[话费补贴]:[营销中心]],2,0),VLOOKUP(表1_11[[#This Row],[职位]],表2[],3,0))</f>
        <v>0</v>
      </c>
      <c r="S82" s="23">
        <v>200</v>
      </c>
      <c r="T82" s="61">
        <f ca="1">ROUND(SUM(表1_11[[#This Row],[基本工资]],表1_11[[#This Row],[奖金]],表1_11[[#This Row],[全勤奖]:[防暑降温补贴]]),2)</f>
        <v>3650</v>
      </c>
      <c r="U82" s="62">
        <f ca="1">ROUND(表1_11[[#This Row],[税前应发总额]]*8%,2)</f>
        <v>292</v>
      </c>
      <c r="V82" s="62">
        <f ca="1">ROUND(表1_11[[#This Row],[税前应发总额]]*2%+3,2)</f>
        <v>76</v>
      </c>
      <c r="W82" s="62">
        <f ca="1">ROUND(表1_11[[#This Row],[税前应发总额]]*0.2%,2)</f>
        <v>7.3</v>
      </c>
      <c r="X82" s="62">
        <f ca="1">ROUND(表1_11[[#This Row],[税前应发总额]]*12%,2)</f>
        <v>438</v>
      </c>
      <c r="Y82" s="61">
        <f ca="1">ROUND(表1_11[[#This Row],[税前应发总额]]-SUM(表1_11[[#This Row],[养老保险]:[公积金]]),2)</f>
        <v>2836.7</v>
      </c>
      <c r="Z82" s="62">
        <f ca="1">ROUND(MAX((表1_11[[#This Row],[扣保险后工资金额]]-3500)*{3,10,20,25,30,35,45}%-{0,105,555,1005,2755,5505,13505},0),2)</f>
        <v>0</v>
      </c>
      <c r="AA82" s="63">
        <f ca="1">表1_11[[#This Row],[扣保险后工资金额]]-表1_11[[#This Row],[个人所得税]]</f>
        <v>2836.7</v>
      </c>
      <c r="AB82" s="53">
        <v>3371.04</v>
      </c>
      <c r="AC82" s="64">
        <f ca="1">(表1_11[[#This Row],[实发工资]]-表1_11[[#This Row],[上月对比]])/表1_11[[#This Row],[上月对比]]</f>
        <v>-0.15850894679386782</v>
      </c>
      <c r="AD82" s="65" t="s">
        <v>1587</v>
      </c>
    </row>
    <row r="83" spans="1:30">
      <c r="A83" s="42" t="s">
        <v>577</v>
      </c>
      <c r="B83" s="42" t="s">
        <v>664</v>
      </c>
      <c r="C83" s="40" t="s">
        <v>609</v>
      </c>
      <c r="D83" s="40" t="s">
        <v>601</v>
      </c>
      <c r="E83" s="41" t="s">
        <v>1093</v>
      </c>
      <c r="F83" s="5" t="s">
        <v>79</v>
      </c>
      <c r="G83" s="25">
        <v>40262</v>
      </c>
      <c r="H83" s="5" t="s">
        <v>612</v>
      </c>
      <c r="I83" s="5">
        <f>VLOOKUP(MID(表1_11[[#This Row],[工资等级]],1,1),表12[],MATCH(MID(表1_11[[#This Row],[工资等级]],2,2),表12[[#Headers],[1]:[10]],0)+1,0)</f>
        <v>2700</v>
      </c>
      <c r="J83" s="5">
        <v>24</v>
      </c>
      <c r="K83" s="27">
        <v>1</v>
      </c>
      <c r="L83" s="37">
        <f>IF(表1_11[[#This Row],[出勤率]]&gt;1,1,表1_11[[#This Row],[出勤率]])*表1_11[[#This Row],[岗位工资]]</f>
        <v>2700</v>
      </c>
      <c r="M83" s="5">
        <f>LOOKUP(表1_11[[#This Row],[岗位工资]],表13[lookup],表13[奖金比率])*表1_11[[#This Row],[岗位工资]]</f>
        <v>270</v>
      </c>
      <c r="N83" s="5">
        <v>99</v>
      </c>
      <c r="O83" s="38">
        <f>表1_11[[#This Row],[奖金等级]]*表1_11[[#This Row],[绩效得分]]/100</f>
        <v>267.3</v>
      </c>
      <c r="P83" s="5">
        <f>IF(表1_11[[#This Row],[出勤率]]&gt;=1,200,0)</f>
        <v>200</v>
      </c>
      <c r="Q83" s="23">
        <f t="shared" ca="1" si="1"/>
        <v>350</v>
      </c>
      <c r="R83" s="23">
        <f>IF(表1_11[[#This Row],[中心]]="营销中心",VLOOKUP(表1_11[[#This Row],[职位]],表2[[话费补贴]:[营销中心]],2,0),VLOOKUP(表1_11[[#This Row],[职位]],表2[],3,0))</f>
        <v>0</v>
      </c>
      <c r="S83" s="23">
        <v>200</v>
      </c>
      <c r="T83" s="61">
        <f ca="1">ROUND(SUM(表1_11[[#This Row],[基本工资]],表1_11[[#This Row],[奖金]],表1_11[[#This Row],[全勤奖]:[防暑降温补贴]]),2)</f>
        <v>3717.3</v>
      </c>
      <c r="U83" s="62">
        <f ca="1">ROUND(表1_11[[#This Row],[税前应发总额]]*8%,2)</f>
        <v>297.38</v>
      </c>
      <c r="V83" s="62">
        <f ca="1">ROUND(表1_11[[#This Row],[税前应发总额]]*2%+3,2)</f>
        <v>77.349999999999994</v>
      </c>
      <c r="W83" s="62">
        <f ca="1">ROUND(表1_11[[#This Row],[税前应发总额]]*0.2%,2)</f>
        <v>7.43</v>
      </c>
      <c r="X83" s="62">
        <f ca="1">ROUND(表1_11[[#This Row],[税前应发总额]]*12%,2)</f>
        <v>446.08</v>
      </c>
      <c r="Y83" s="61">
        <f ca="1">ROUND(表1_11[[#This Row],[税前应发总额]]-SUM(表1_11[[#This Row],[养老保险]:[公积金]]),2)</f>
        <v>2889.06</v>
      </c>
      <c r="Z83" s="62">
        <f ca="1">ROUND(MAX((表1_11[[#This Row],[扣保险后工资金额]]-3500)*{3,10,20,25,30,35,45}%-{0,105,555,1005,2755,5505,13505},0),2)</f>
        <v>0</v>
      </c>
      <c r="AA83" s="63">
        <f ca="1">表1_11[[#This Row],[扣保险后工资金额]]-表1_11[[#This Row],[个人所得税]]</f>
        <v>2889.06</v>
      </c>
      <c r="AB83" s="53">
        <v>2859.65</v>
      </c>
      <c r="AC83" s="64">
        <f ca="1">(表1_11[[#This Row],[实发工资]]-表1_11[[#This Row],[上月对比]])/表1_11[[#This Row],[上月对比]]</f>
        <v>1.0284475372860263E-2</v>
      </c>
      <c r="AD83" s="65" t="s">
        <v>1587</v>
      </c>
    </row>
    <row r="84" spans="1:30">
      <c r="A84" s="42" t="s">
        <v>577</v>
      </c>
      <c r="B84" s="42" t="s">
        <v>664</v>
      </c>
      <c r="C84" s="40" t="s">
        <v>628</v>
      </c>
      <c r="D84" s="40" t="s">
        <v>629</v>
      </c>
      <c r="E84" s="41" t="s">
        <v>1094</v>
      </c>
      <c r="F84" s="5" t="s">
        <v>80</v>
      </c>
      <c r="G84" s="25">
        <v>38551</v>
      </c>
      <c r="H84" s="5" t="s">
        <v>623</v>
      </c>
      <c r="I84" s="5">
        <f>VLOOKUP(MID(表1_11[[#This Row],[工资等级]],1,1),表12[],MATCH(MID(表1_11[[#This Row],[工资等级]],2,2),表12[[#Headers],[1]:[10]],0)+1,0)</f>
        <v>3800</v>
      </c>
      <c r="J84" s="5">
        <v>25</v>
      </c>
      <c r="K84" s="27">
        <v>1.0416666666666667</v>
      </c>
      <c r="L84" s="37">
        <f>IF(表1_11[[#This Row],[出勤率]]&gt;1,1,表1_11[[#This Row],[出勤率]])*表1_11[[#This Row],[岗位工资]]</f>
        <v>3800</v>
      </c>
      <c r="M84" s="5">
        <f>LOOKUP(表1_11[[#This Row],[岗位工资]],表13[lookup],表13[奖金比率])*表1_11[[#This Row],[岗位工资]]</f>
        <v>380</v>
      </c>
      <c r="N84" s="5">
        <v>81</v>
      </c>
      <c r="O84" s="38">
        <f>表1_11[[#This Row],[奖金等级]]*表1_11[[#This Row],[绩效得分]]/100</f>
        <v>307.8</v>
      </c>
      <c r="P84" s="5">
        <f>IF(表1_11[[#This Row],[出勤率]]&gt;=1,200,0)</f>
        <v>200</v>
      </c>
      <c r="Q84" s="23">
        <f t="shared" ca="1" si="1"/>
        <v>500</v>
      </c>
      <c r="R84" s="23">
        <f>IF(表1_11[[#This Row],[中心]]="营销中心",VLOOKUP(表1_11[[#This Row],[职位]],表2[[话费补贴]:[营销中心]],2,0),VLOOKUP(表1_11[[#This Row],[职位]],表2[],3,0))</f>
        <v>0</v>
      </c>
      <c r="S84" s="23">
        <v>200</v>
      </c>
      <c r="T84" s="61">
        <f ca="1">ROUND(SUM(表1_11[[#This Row],[基本工资]],表1_11[[#This Row],[奖金]],表1_11[[#This Row],[全勤奖]:[防暑降温补贴]]),2)</f>
        <v>5007.8</v>
      </c>
      <c r="U84" s="62">
        <f ca="1">ROUND(表1_11[[#This Row],[税前应发总额]]*8%,2)</f>
        <v>400.62</v>
      </c>
      <c r="V84" s="62">
        <f ca="1">ROUND(表1_11[[#This Row],[税前应发总额]]*2%+3,2)</f>
        <v>103.16</v>
      </c>
      <c r="W84" s="62">
        <f ca="1">ROUND(表1_11[[#This Row],[税前应发总额]]*0.2%,2)</f>
        <v>10.02</v>
      </c>
      <c r="X84" s="62">
        <f ca="1">ROUND(表1_11[[#This Row],[税前应发总额]]*12%,2)</f>
        <v>600.94000000000005</v>
      </c>
      <c r="Y84" s="61">
        <f ca="1">ROUND(表1_11[[#This Row],[税前应发总额]]-SUM(表1_11[[#This Row],[养老保险]:[公积金]]),2)</f>
        <v>3893.06</v>
      </c>
      <c r="Z84" s="62">
        <f ca="1">ROUND(MAX((表1_11[[#This Row],[扣保险后工资金额]]-3500)*{3,10,20,25,30,35,45}%-{0,105,555,1005,2755,5505,13505},0),2)</f>
        <v>11.79</v>
      </c>
      <c r="AA84" s="63">
        <f ca="1">表1_11[[#This Row],[扣保险后工资金额]]-表1_11[[#This Row],[个人所得税]]</f>
        <v>3881.27</v>
      </c>
      <c r="AB84" s="53">
        <v>4275.71</v>
      </c>
      <c r="AC84" s="64">
        <f ca="1">(表1_11[[#This Row],[实发工资]]-表1_11[[#This Row],[上月对比]])/表1_11[[#This Row],[上月对比]]</f>
        <v>-9.2251345390590114E-2</v>
      </c>
      <c r="AD84" s="65" t="s">
        <v>1587</v>
      </c>
    </row>
    <row r="85" spans="1:30">
      <c r="A85" s="42" t="s">
        <v>577</v>
      </c>
      <c r="B85" s="42" t="s">
        <v>664</v>
      </c>
      <c r="C85" s="40" t="s">
        <v>677</v>
      </c>
      <c r="D85" s="40" t="s">
        <v>678</v>
      </c>
      <c r="E85" s="41" t="s">
        <v>1095</v>
      </c>
      <c r="F85" s="5" t="s">
        <v>81</v>
      </c>
      <c r="G85" s="25">
        <v>38643</v>
      </c>
      <c r="H85" s="5" t="s">
        <v>615</v>
      </c>
      <c r="I85" s="5">
        <f>VLOOKUP(MID(表1_11[[#This Row],[工资等级]],1,1),表12[],MATCH(MID(表1_11[[#This Row],[工资等级]],2,2),表12[[#Headers],[1]:[10]],0)+1,0)</f>
        <v>3200</v>
      </c>
      <c r="J85" s="5">
        <v>24</v>
      </c>
      <c r="K85" s="27">
        <v>1</v>
      </c>
      <c r="L85" s="37">
        <f>IF(表1_11[[#This Row],[出勤率]]&gt;1,1,表1_11[[#This Row],[出勤率]])*表1_11[[#This Row],[岗位工资]]</f>
        <v>3200</v>
      </c>
      <c r="M85" s="5">
        <f>LOOKUP(表1_11[[#This Row],[岗位工资]],表13[lookup],表13[奖金比率])*表1_11[[#This Row],[岗位工资]]</f>
        <v>320</v>
      </c>
      <c r="N85" s="5">
        <v>92</v>
      </c>
      <c r="O85" s="38">
        <f>表1_11[[#This Row],[奖金等级]]*表1_11[[#This Row],[绩效得分]]/100</f>
        <v>294.39999999999998</v>
      </c>
      <c r="P85" s="5">
        <f>IF(表1_11[[#This Row],[出勤率]]&gt;=1,200,0)</f>
        <v>200</v>
      </c>
      <c r="Q85" s="23">
        <f t="shared" ca="1" si="1"/>
        <v>500</v>
      </c>
      <c r="R85" s="23">
        <f>IF(表1_11[[#This Row],[中心]]="营销中心",VLOOKUP(表1_11[[#This Row],[职位]],表2[[话费补贴]:[营销中心]],2,0),VLOOKUP(表1_11[[#This Row],[职位]],表2[],3,0))</f>
        <v>0</v>
      </c>
      <c r="S85" s="23">
        <v>200</v>
      </c>
      <c r="T85" s="61">
        <f ca="1">ROUND(SUM(表1_11[[#This Row],[基本工资]],表1_11[[#This Row],[奖金]],表1_11[[#This Row],[全勤奖]:[防暑降温补贴]]),2)</f>
        <v>4394.3999999999996</v>
      </c>
      <c r="U85" s="62">
        <f ca="1">ROUND(表1_11[[#This Row],[税前应发总额]]*8%,2)</f>
        <v>351.55</v>
      </c>
      <c r="V85" s="62">
        <f ca="1">ROUND(表1_11[[#This Row],[税前应发总额]]*2%+3,2)</f>
        <v>90.89</v>
      </c>
      <c r="W85" s="62">
        <f ca="1">ROUND(表1_11[[#This Row],[税前应发总额]]*0.2%,2)</f>
        <v>8.7899999999999991</v>
      </c>
      <c r="X85" s="62">
        <f ca="1">ROUND(表1_11[[#This Row],[税前应发总额]]*12%,2)</f>
        <v>527.33000000000004</v>
      </c>
      <c r="Y85" s="61">
        <f ca="1">ROUND(表1_11[[#This Row],[税前应发总额]]-SUM(表1_11[[#This Row],[养老保险]:[公积金]]),2)</f>
        <v>3415.84</v>
      </c>
      <c r="Z85" s="62">
        <f ca="1">ROUND(MAX((表1_11[[#This Row],[扣保险后工资金额]]-3500)*{3,10,20,25,30,35,45}%-{0,105,555,1005,2755,5505,13505},0),2)</f>
        <v>0</v>
      </c>
      <c r="AA85" s="63">
        <f ca="1">表1_11[[#This Row],[扣保险后工资金额]]-表1_11[[#This Row],[个人所得税]]</f>
        <v>3415.84</v>
      </c>
      <c r="AB85" s="53">
        <v>3325.44</v>
      </c>
      <c r="AC85" s="64">
        <f ca="1">(表1_11[[#This Row],[实发工资]]-表1_11[[#This Row],[上月对比]])/表1_11[[#This Row],[上月对比]]</f>
        <v>2.7184372594303337E-2</v>
      </c>
      <c r="AD85" s="65" t="s">
        <v>1587</v>
      </c>
    </row>
    <row r="86" spans="1:30">
      <c r="A86" s="42" t="s">
        <v>577</v>
      </c>
      <c r="B86" s="42" t="s">
        <v>664</v>
      </c>
      <c r="C86" s="40" t="s">
        <v>679</v>
      </c>
      <c r="D86" s="40" t="s">
        <v>680</v>
      </c>
      <c r="E86" s="41" t="s">
        <v>1096</v>
      </c>
      <c r="F86" s="5" t="s">
        <v>82</v>
      </c>
      <c r="G86" s="25">
        <v>40930</v>
      </c>
      <c r="H86" s="5" t="s">
        <v>657</v>
      </c>
      <c r="I86" s="5">
        <f>VLOOKUP(MID(表1_11[[#This Row],[工资等级]],1,1),表12[],MATCH(MID(表1_11[[#This Row],[工资等级]],2,2),表12[[#Headers],[1]:[10]],0)+1,0)</f>
        <v>4000</v>
      </c>
      <c r="J86" s="5">
        <v>21</v>
      </c>
      <c r="K86" s="27">
        <v>0.875</v>
      </c>
      <c r="L86" s="37">
        <f>IF(表1_11[[#This Row],[出勤率]]&gt;1,1,表1_11[[#This Row],[出勤率]])*表1_11[[#This Row],[岗位工资]]</f>
        <v>3500</v>
      </c>
      <c r="M86" s="5">
        <f>LOOKUP(表1_11[[#This Row],[岗位工资]],表13[lookup],表13[奖金比率])*表1_11[[#This Row],[岗位工资]]</f>
        <v>600</v>
      </c>
      <c r="N86" s="5">
        <v>89</v>
      </c>
      <c r="O86" s="38">
        <f>表1_11[[#This Row],[奖金等级]]*表1_11[[#This Row],[绩效得分]]/100</f>
        <v>534</v>
      </c>
      <c r="P86" s="5">
        <f>IF(表1_11[[#This Row],[出勤率]]&gt;=1,200,0)</f>
        <v>0</v>
      </c>
      <c r="Q86" s="23">
        <f t="shared" ca="1" si="1"/>
        <v>300</v>
      </c>
      <c r="R86" s="23">
        <f>IF(表1_11[[#This Row],[中心]]="营销中心",VLOOKUP(表1_11[[#This Row],[职位]],表2[[话费补贴]:[营销中心]],2,0),VLOOKUP(表1_11[[#This Row],[职位]],表2[],3,0))</f>
        <v>0</v>
      </c>
      <c r="S86" s="23">
        <v>200</v>
      </c>
      <c r="T86" s="61">
        <f ca="1">ROUND(SUM(表1_11[[#This Row],[基本工资]],表1_11[[#This Row],[奖金]],表1_11[[#This Row],[全勤奖]:[防暑降温补贴]]),2)</f>
        <v>4534</v>
      </c>
      <c r="U86" s="62">
        <f ca="1">ROUND(表1_11[[#This Row],[税前应发总额]]*8%,2)</f>
        <v>362.72</v>
      </c>
      <c r="V86" s="62">
        <f ca="1">ROUND(表1_11[[#This Row],[税前应发总额]]*2%+3,2)</f>
        <v>93.68</v>
      </c>
      <c r="W86" s="62">
        <f ca="1">ROUND(表1_11[[#This Row],[税前应发总额]]*0.2%,2)</f>
        <v>9.07</v>
      </c>
      <c r="X86" s="62">
        <f ca="1">ROUND(表1_11[[#This Row],[税前应发总额]]*12%,2)</f>
        <v>544.08000000000004</v>
      </c>
      <c r="Y86" s="61">
        <f ca="1">ROUND(表1_11[[#This Row],[税前应发总额]]-SUM(表1_11[[#This Row],[养老保险]:[公积金]]),2)</f>
        <v>3524.45</v>
      </c>
      <c r="Z86" s="62">
        <f ca="1">ROUND(MAX((表1_11[[#This Row],[扣保险后工资金额]]-3500)*{3,10,20,25,30,35,45}%-{0,105,555,1005,2755,5505,13505},0),2)</f>
        <v>0.73</v>
      </c>
      <c r="AA86" s="63">
        <f ca="1">表1_11[[#This Row],[扣保险后工资金额]]-表1_11[[#This Row],[个人所得税]]</f>
        <v>3523.72</v>
      </c>
      <c r="AB86" s="53">
        <v>3989.5</v>
      </c>
      <c r="AC86" s="64">
        <f ca="1">(表1_11[[#This Row],[实发工资]]-表1_11[[#This Row],[上月对比]])/表1_11[[#This Row],[上月对比]]</f>
        <v>-0.11675147261561604</v>
      </c>
      <c r="AD86" s="65" t="s">
        <v>1587</v>
      </c>
    </row>
    <row r="87" spans="1:30">
      <c r="A87" s="42" t="s">
        <v>577</v>
      </c>
      <c r="B87" s="42" t="s">
        <v>664</v>
      </c>
      <c r="C87" s="40" t="s">
        <v>681</v>
      </c>
      <c r="D87" s="40" t="s">
        <v>682</v>
      </c>
      <c r="E87" s="41" t="s">
        <v>1097</v>
      </c>
      <c r="F87" s="5" t="s">
        <v>83</v>
      </c>
      <c r="G87" s="25">
        <v>41315</v>
      </c>
      <c r="H87" s="5" t="s">
        <v>657</v>
      </c>
      <c r="I87" s="5">
        <f>VLOOKUP(MID(表1_11[[#This Row],[工资等级]],1,1),表12[],MATCH(MID(表1_11[[#This Row],[工资等级]],2,2),表12[[#Headers],[1]:[10]],0)+1,0)</f>
        <v>4000</v>
      </c>
      <c r="J87" s="5">
        <v>22.5</v>
      </c>
      <c r="K87" s="27">
        <v>0.9375</v>
      </c>
      <c r="L87" s="37">
        <f>IF(表1_11[[#This Row],[出勤率]]&gt;1,1,表1_11[[#This Row],[出勤率]])*表1_11[[#This Row],[岗位工资]]</f>
        <v>3750</v>
      </c>
      <c r="M87" s="5">
        <f>LOOKUP(表1_11[[#This Row],[岗位工资]],表13[lookup],表13[奖金比率])*表1_11[[#This Row],[岗位工资]]</f>
        <v>600</v>
      </c>
      <c r="N87" s="5">
        <v>90</v>
      </c>
      <c r="O87" s="38">
        <f>表1_11[[#This Row],[奖金等级]]*表1_11[[#This Row],[绩效得分]]/100</f>
        <v>540</v>
      </c>
      <c r="P87" s="5">
        <f>IF(表1_11[[#This Row],[出勤率]]&gt;=1,200,0)</f>
        <v>0</v>
      </c>
      <c r="Q87" s="23">
        <f t="shared" ca="1" si="1"/>
        <v>250</v>
      </c>
      <c r="R87" s="23">
        <f>IF(表1_11[[#This Row],[中心]]="营销中心",VLOOKUP(表1_11[[#This Row],[职位]],表2[[话费补贴]:[营销中心]],2,0),VLOOKUP(表1_11[[#This Row],[职位]],表2[],3,0))</f>
        <v>0</v>
      </c>
      <c r="S87" s="23">
        <v>200</v>
      </c>
      <c r="T87" s="61">
        <f ca="1">ROUND(SUM(表1_11[[#This Row],[基本工资]],表1_11[[#This Row],[奖金]],表1_11[[#This Row],[全勤奖]:[防暑降温补贴]]),2)</f>
        <v>4740</v>
      </c>
      <c r="U87" s="62">
        <f ca="1">ROUND(表1_11[[#This Row],[税前应发总额]]*8%,2)</f>
        <v>379.2</v>
      </c>
      <c r="V87" s="62">
        <f ca="1">ROUND(表1_11[[#This Row],[税前应发总额]]*2%+3,2)</f>
        <v>97.8</v>
      </c>
      <c r="W87" s="62">
        <f ca="1">ROUND(表1_11[[#This Row],[税前应发总额]]*0.2%,2)</f>
        <v>9.48</v>
      </c>
      <c r="X87" s="62">
        <f ca="1">ROUND(表1_11[[#This Row],[税前应发总额]]*12%,2)</f>
        <v>568.79999999999995</v>
      </c>
      <c r="Y87" s="61">
        <f ca="1">ROUND(表1_11[[#This Row],[税前应发总额]]-SUM(表1_11[[#This Row],[养老保险]:[公积金]]),2)</f>
        <v>3684.72</v>
      </c>
      <c r="Z87" s="62">
        <f ca="1">ROUND(MAX((表1_11[[#This Row],[扣保险后工资金额]]-3500)*{3,10,20,25,30,35,45}%-{0,105,555,1005,2755,5505,13505},0),2)</f>
        <v>5.54</v>
      </c>
      <c r="AA87" s="63">
        <f ca="1">表1_11[[#This Row],[扣保险后工资金额]]-表1_11[[#This Row],[个人所得税]]</f>
        <v>3679.18</v>
      </c>
      <c r="AB87" s="53">
        <v>3526.21</v>
      </c>
      <c r="AC87" s="64">
        <f ca="1">(表1_11[[#This Row],[实发工资]]-表1_11[[#This Row],[上月对比]])/表1_11[[#This Row],[上月对比]]</f>
        <v>4.3380853664415846E-2</v>
      </c>
      <c r="AD87" s="65" t="s">
        <v>1587</v>
      </c>
    </row>
    <row r="88" spans="1:30">
      <c r="A88" s="42" t="s">
        <v>577</v>
      </c>
      <c r="B88" s="42" t="s">
        <v>664</v>
      </c>
      <c r="C88" s="40" t="s">
        <v>683</v>
      </c>
      <c r="D88" s="40" t="s">
        <v>684</v>
      </c>
      <c r="E88" s="41" t="s">
        <v>1098</v>
      </c>
      <c r="F88" s="5" t="s">
        <v>84</v>
      </c>
      <c r="G88" s="25">
        <v>41350</v>
      </c>
      <c r="H88" s="5" t="s">
        <v>657</v>
      </c>
      <c r="I88" s="5">
        <f>VLOOKUP(MID(表1_11[[#This Row],[工资等级]],1,1),表12[],MATCH(MID(表1_11[[#This Row],[工资等级]],2,2),表12[[#Headers],[1]:[10]],0)+1,0)</f>
        <v>4000</v>
      </c>
      <c r="J88" s="5">
        <v>21.5</v>
      </c>
      <c r="K88" s="27">
        <v>0.89583333333333337</v>
      </c>
      <c r="L88" s="37">
        <f>IF(表1_11[[#This Row],[出勤率]]&gt;1,1,表1_11[[#This Row],[出勤率]])*表1_11[[#This Row],[岗位工资]]</f>
        <v>3583.3333333333335</v>
      </c>
      <c r="M88" s="5">
        <f>LOOKUP(表1_11[[#This Row],[岗位工资]],表13[lookup],表13[奖金比率])*表1_11[[#This Row],[岗位工资]]</f>
        <v>600</v>
      </c>
      <c r="N88" s="5">
        <v>83</v>
      </c>
      <c r="O88" s="38">
        <f>表1_11[[#This Row],[奖金等级]]*表1_11[[#This Row],[绩效得分]]/100</f>
        <v>498</v>
      </c>
      <c r="P88" s="5">
        <f>IF(表1_11[[#This Row],[出勤率]]&gt;=1,200,0)</f>
        <v>0</v>
      </c>
      <c r="Q88" s="23">
        <f t="shared" ca="1" si="1"/>
        <v>200</v>
      </c>
      <c r="R88" s="23">
        <f>IF(表1_11[[#This Row],[中心]]="营销中心",VLOOKUP(表1_11[[#This Row],[职位]],表2[[话费补贴]:[营销中心]],2,0),VLOOKUP(表1_11[[#This Row],[职位]],表2[],3,0))</f>
        <v>0</v>
      </c>
      <c r="S88" s="23">
        <v>200</v>
      </c>
      <c r="T88" s="61">
        <f ca="1">ROUND(SUM(表1_11[[#This Row],[基本工资]],表1_11[[#This Row],[奖金]],表1_11[[#This Row],[全勤奖]:[防暑降温补贴]]),2)</f>
        <v>4481.33</v>
      </c>
      <c r="U88" s="62">
        <f ca="1">ROUND(表1_11[[#This Row],[税前应发总额]]*8%,2)</f>
        <v>358.51</v>
      </c>
      <c r="V88" s="62">
        <f ca="1">ROUND(表1_11[[#This Row],[税前应发总额]]*2%+3,2)</f>
        <v>92.63</v>
      </c>
      <c r="W88" s="62">
        <f ca="1">ROUND(表1_11[[#This Row],[税前应发总额]]*0.2%,2)</f>
        <v>8.9600000000000009</v>
      </c>
      <c r="X88" s="62">
        <f ca="1">ROUND(表1_11[[#This Row],[税前应发总额]]*12%,2)</f>
        <v>537.76</v>
      </c>
      <c r="Y88" s="61">
        <f ca="1">ROUND(表1_11[[#This Row],[税前应发总额]]-SUM(表1_11[[#This Row],[养老保险]:[公积金]]),2)</f>
        <v>3483.47</v>
      </c>
      <c r="Z88" s="62">
        <f ca="1">ROUND(MAX((表1_11[[#This Row],[扣保险后工资金额]]-3500)*{3,10,20,25,30,35,45}%-{0,105,555,1005,2755,5505,13505},0),2)</f>
        <v>0</v>
      </c>
      <c r="AA88" s="63">
        <f ca="1">表1_11[[#This Row],[扣保险后工资金额]]-表1_11[[#This Row],[个人所得税]]</f>
        <v>3483.47</v>
      </c>
      <c r="AB88" s="53">
        <v>4205.2</v>
      </c>
      <c r="AC88" s="64">
        <f ca="1">(表1_11[[#This Row],[实发工资]]-表1_11[[#This Row],[上月对比]])/表1_11[[#This Row],[上月对比]]</f>
        <v>-0.17162798440026636</v>
      </c>
      <c r="AD88" s="65" t="s">
        <v>1587</v>
      </c>
    </row>
    <row r="89" spans="1:30">
      <c r="A89" s="42" t="s">
        <v>577</v>
      </c>
      <c r="B89" s="42" t="s">
        <v>664</v>
      </c>
      <c r="C89" s="40" t="s">
        <v>685</v>
      </c>
      <c r="D89" s="40" t="s">
        <v>686</v>
      </c>
      <c r="E89" s="41" t="s">
        <v>1099</v>
      </c>
      <c r="F89" s="5" t="s">
        <v>85</v>
      </c>
      <c r="G89" s="25">
        <v>40615</v>
      </c>
      <c r="H89" s="5" t="s">
        <v>622</v>
      </c>
      <c r="I89" s="5">
        <f>VLOOKUP(MID(表1_11[[#This Row],[工资等级]],1,1),表12[],MATCH(MID(表1_11[[#This Row],[工资等级]],2,2),表12[[#Headers],[1]:[10]],0)+1,0)</f>
        <v>3600</v>
      </c>
      <c r="J89" s="5">
        <v>25.5</v>
      </c>
      <c r="K89" s="27">
        <v>1.0625</v>
      </c>
      <c r="L89" s="37">
        <f>IF(表1_11[[#This Row],[出勤率]]&gt;1,1,表1_11[[#This Row],[出勤率]])*表1_11[[#This Row],[岗位工资]]</f>
        <v>3600</v>
      </c>
      <c r="M89" s="5">
        <f>LOOKUP(表1_11[[#This Row],[岗位工资]],表13[lookup],表13[奖金比率])*表1_11[[#This Row],[岗位工资]]</f>
        <v>360</v>
      </c>
      <c r="N89" s="5">
        <v>94</v>
      </c>
      <c r="O89" s="38">
        <f>表1_11[[#This Row],[奖金等级]]*表1_11[[#This Row],[绩效得分]]/100</f>
        <v>338.4</v>
      </c>
      <c r="P89" s="5">
        <f>IF(表1_11[[#This Row],[出勤率]]&gt;=1,200,0)</f>
        <v>200</v>
      </c>
      <c r="Q89" s="23">
        <f t="shared" ca="1" si="1"/>
        <v>300</v>
      </c>
      <c r="R89" s="23">
        <f>IF(表1_11[[#This Row],[中心]]="营销中心",VLOOKUP(表1_11[[#This Row],[职位]],表2[[话费补贴]:[营销中心]],2,0),VLOOKUP(表1_11[[#This Row],[职位]],表2[],3,0))</f>
        <v>0</v>
      </c>
      <c r="S89" s="23">
        <v>200</v>
      </c>
      <c r="T89" s="61">
        <f ca="1">ROUND(SUM(表1_11[[#This Row],[基本工资]],表1_11[[#This Row],[奖金]],表1_11[[#This Row],[全勤奖]:[防暑降温补贴]]),2)</f>
        <v>4638.3999999999996</v>
      </c>
      <c r="U89" s="62">
        <f ca="1">ROUND(表1_11[[#This Row],[税前应发总额]]*8%,2)</f>
        <v>371.07</v>
      </c>
      <c r="V89" s="62">
        <f ca="1">ROUND(表1_11[[#This Row],[税前应发总额]]*2%+3,2)</f>
        <v>95.77</v>
      </c>
      <c r="W89" s="62">
        <f ca="1">ROUND(表1_11[[#This Row],[税前应发总额]]*0.2%,2)</f>
        <v>9.2799999999999994</v>
      </c>
      <c r="X89" s="62">
        <f ca="1">ROUND(表1_11[[#This Row],[税前应发总额]]*12%,2)</f>
        <v>556.61</v>
      </c>
      <c r="Y89" s="61">
        <f ca="1">ROUND(表1_11[[#This Row],[税前应发总额]]-SUM(表1_11[[#This Row],[养老保险]:[公积金]]),2)</f>
        <v>3605.67</v>
      </c>
      <c r="Z89" s="62">
        <f ca="1">ROUND(MAX((表1_11[[#This Row],[扣保险后工资金额]]-3500)*{3,10,20,25,30,35,45}%-{0,105,555,1005,2755,5505,13505},0),2)</f>
        <v>3.17</v>
      </c>
      <c r="AA89" s="63">
        <f ca="1">表1_11[[#This Row],[扣保险后工资金额]]-表1_11[[#This Row],[个人所得税]]</f>
        <v>3602.5</v>
      </c>
      <c r="AB89" s="53">
        <v>3876.03</v>
      </c>
      <c r="AC89" s="64">
        <f ca="1">(表1_11[[#This Row],[实发工资]]-表1_11[[#This Row],[上月对比]])/表1_11[[#This Row],[上月对比]]</f>
        <v>-7.056962923403591E-2</v>
      </c>
      <c r="AD89" s="65" t="s">
        <v>1587</v>
      </c>
    </row>
    <row r="90" spans="1:30">
      <c r="A90" s="42" t="s">
        <v>577</v>
      </c>
      <c r="B90" s="42" t="s">
        <v>664</v>
      </c>
      <c r="C90" s="40" t="s">
        <v>683</v>
      </c>
      <c r="D90" s="40" t="s">
        <v>684</v>
      </c>
      <c r="E90" s="41" t="s">
        <v>1100</v>
      </c>
      <c r="F90" s="5" t="s">
        <v>86</v>
      </c>
      <c r="G90" s="25">
        <v>42010</v>
      </c>
      <c r="H90" s="5" t="s">
        <v>630</v>
      </c>
      <c r="I90" s="5">
        <f>VLOOKUP(MID(表1_11[[#This Row],[工资等级]],1,1),表12[],MATCH(MID(表1_11[[#This Row],[工资等级]],2,2),表12[[#Headers],[1]:[10]],0)+1,0)</f>
        <v>2600</v>
      </c>
      <c r="J90" s="5">
        <v>21.5</v>
      </c>
      <c r="K90" s="27">
        <v>0.89583333333333337</v>
      </c>
      <c r="L90" s="37">
        <f>IF(表1_11[[#This Row],[出勤率]]&gt;1,1,表1_11[[#This Row],[出勤率]])*表1_11[[#This Row],[岗位工资]]</f>
        <v>2329.166666666667</v>
      </c>
      <c r="M90" s="5">
        <f>LOOKUP(表1_11[[#This Row],[岗位工资]],表13[lookup],表13[奖金比率])*表1_11[[#This Row],[岗位工资]]</f>
        <v>260</v>
      </c>
      <c r="N90" s="5">
        <v>93</v>
      </c>
      <c r="O90" s="38">
        <f>表1_11[[#This Row],[奖金等级]]*表1_11[[#This Row],[绩效得分]]/100</f>
        <v>241.8</v>
      </c>
      <c r="P90" s="5">
        <f>IF(表1_11[[#This Row],[出勤率]]&gt;=1,200,0)</f>
        <v>0</v>
      </c>
      <c r="Q90" s="23">
        <f t="shared" ca="1" si="1"/>
        <v>150</v>
      </c>
      <c r="R90" s="23">
        <f>IF(表1_11[[#This Row],[中心]]="营销中心",VLOOKUP(表1_11[[#This Row],[职位]],表2[[话费补贴]:[营销中心]],2,0),VLOOKUP(表1_11[[#This Row],[职位]],表2[],3,0))</f>
        <v>0</v>
      </c>
      <c r="S90" s="23">
        <v>200</v>
      </c>
      <c r="T90" s="61">
        <f ca="1">ROUND(SUM(表1_11[[#This Row],[基本工资]],表1_11[[#This Row],[奖金]],表1_11[[#This Row],[全勤奖]:[防暑降温补贴]]),2)</f>
        <v>2920.97</v>
      </c>
      <c r="U90" s="62">
        <f ca="1">ROUND(表1_11[[#This Row],[税前应发总额]]*8%,2)</f>
        <v>233.68</v>
      </c>
      <c r="V90" s="62">
        <f ca="1">ROUND(表1_11[[#This Row],[税前应发总额]]*2%+3,2)</f>
        <v>61.42</v>
      </c>
      <c r="W90" s="62">
        <f ca="1">ROUND(表1_11[[#This Row],[税前应发总额]]*0.2%,2)</f>
        <v>5.84</v>
      </c>
      <c r="X90" s="62">
        <f ca="1">ROUND(表1_11[[#This Row],[税前应发总额]]*12%,2)</f>
        <v>350.52</v>
      </c>
      <c r="Y90" s="61">
        <f ca="1">ROUND(表1_11[[#This Row],[税前应发总额]]-SUM(表1_11[[#This Row],[养老保险]:[公积金]]),2)</f>
        <v>2269.5100000000002</v>
      </c>
      <c r="Z90" s="62">
        <f ca="1">ROUND(MAX((表1_11[[#This Row],[扣保险后工资金额]]-3500)*{3,10,20,25,30,35,45}%-{0,105,555,1005,2755,5505,13505},0),2)</f>
        <v>0</v>
      </c>
      <c r="AA90" s="63">
        <f ca="1">表1_11[[#This Row],[扣保险后工资金额]]-表1_11[[#This Row],[个人所得税]]</f>
        <v>2269.5100000000002</v>
      </c>
      <c r="AB90" s="53">
        <v>2277.2800000000002</v>
      </c>
      <c r="AC90" s="64">
        <f ca="1">(表1_11[[#This Row],[实发工资]]-表1_11[[#This Row],[上月对比]])/表1_11[[#This Row],[上月对比]]</f>
        <v>-3.4119651514086897E-3</v>
      </c>
      <c r="AD90" s="65" t="s">
        <v>1587</v>
      </c>
    </row>
    <row r="91" spans="1:30">
      <c r="A91" s="42" t="s">
        <v>577</v>
      </c>
      <c r="B91" s="42" t="s">
        <v>664</v>
      </c>
      <c r="C91" s="40" t="s">
        <v>687</v>
      </c>
      <c r="D91" s="40" t="s">
        <v>688</v>
      </c>
      <c r="E91" s="41" t="s">
        <v>1101</v>
      </c>
      <c r="F91" s="5" t="s">
        <v>87</v>
      </c>
      <c r="G91" s="25">
        <v>39100</v>
      </c>
      <c r="H91" s="5" t="s">
        <v>623</v>
      </c>
      <c r="I91" s="5">
        <f>VLOOKUP(MID(表1_11[[#This Row],[工资等级]],1,1),表12[],MATCH(MID(表1_11[[#This Row],[工资等级]],2,2),表12[[#Headers],[1]:[10]],0)+1,0)</f>
        <v>3800</v>
      </c>
      <c r="J91" s="5">
        <v>24.5</v>
      </c>
      <c r="K91" s="27">
        <v>1.0208333333333333</v>
      </c>
      <c r="L91" s="37">
        <f>IF(表1_11[[#This Row],[出勤率]]&gt;1,1,表1_11[[#This Row],[出勤率]])*表1_11[[#This Row],[岗位工资]]</f>
        <v>3800</v>
      </c>
      <c r="M91" s="5">
        <f>LOOKUP(表1_11[[#This Row],[岗位工资]],表13[lookup],表13[奖金比率])*表1_11[[#This Row],[岗位工资]]</f>
        <v>380</v>
      </c>
      <c r="N91" s="5">
        <v>97</v>
      </c>
      <c r="O91" s="38">
        <f>表1_11[[#This Row],[奖金等级]]*表1_11[[#This Row],[绩效得分]]/100</f>
        <v>368.6</v>
      </c>
      <c r="P91" s="5">
        <f>IF(表1_11[[#This Row],[出勤率]]&gt;=1,200,0)</f>
        <v>200</v>
      </c>
      <c r="Q91" s="23">
        <f t="shared" ca="1" si="1"/>
        <v>500</v>
      </c>
      <c r="R91" s="23">
        <f>IF(表1_11[[#This Row],[中心]]="营销中心",VLOOKUP(表1_11[[#This Row],[职位]],表2[[话费补贴]:[营销中心]],2,0),VLOOKUP(表1_11[[#This Row],[职位]],表2[],3,0))</f>
        <v>0</v>
      </c>
      <c r="S91" s="23">
        <v>200</v>
      </c>
      <c r="T91" s="61">
        <f ca="1">ROUND(SUM(表1_11[[#This Row],[基本工资]],表1_11[[#This Row],[奖金]],表1_11[[#This Row],[全勤奖]:[防暑降温补贴]]),2)</f>
        <v>5068.6000000000004</v>
      </c>
      <c r="U91" s="62">
        <f ca="1">ROUND(表1_11[[#This Row],[税前应发总额]]*8%,2)</f>
        <v>405.49</v>
      </c>
      <c r="V91" s="62">
        <f ca="1">ROUND(表1_11[[#This Row],[税前应发总额]]*2%+3,2)</f>
        <v>104.37</v>
      </c>
      <c r="W91" s="62">
        <f ca="1">ROUND(表1_11[[#This Row],[税前应发总额]]*0.2%,2)</f>
        <v>10.14</v>
      </c>
      <c r="X91" s="62">
        <f ca="1">ROUND(表1_11[[#This Row],[税前应发总额]]*12%,2)</f>
        <v>608.23</v>
      </c>
      <c r="Y91" s="61">
        <f ca="1">ROUND(表1_11[[#This Row],[税前应发总额]]-SUM(表1_11[[#This Row],[养老保险]:[公积金]]),2)</f>
        <v>3940.37</v>
      </c>
      <c r="Z91" s="62">
        <f ca="1">ROUND(MAX((表1_11[[#This Row],[扣保险后工资金额]]-3500)*{3,10,20,25,30,35,45}%-{0,105,555,1005,2755,5505,13505},0),2)</f>
        <v>13.21</v>
      </c>
      <c r="AA91" s="63">
        <f ca="1">表1_11[[#This Row],[扣保险后工资金额]]-表1_11[[#This Row],[个人所得税]]</f>
        <v>3927.16</v>
      </c>
      <c r="AB91" s="53">
        <v>3350.22</v>
      </c>
      <c r="AC91" s="64">
        <f ca="1">(表1_11[[#This Row],[实发工资]]-表1_11[[#This Row],[上月对比]])/表1_11[[#This Row],[上月对比]]</f>
        <v>0.17220958623612781</v>
      </c>
      <c r="AD91" s="65" t="s">
        <v>1587</v>
      </c>
    </row>
    <row r="92" spans="1:30">
      <c r="A92" s="42" t="s">
        <v>577</v>
      </c>
      <c r="B92" s="42" t="s">
        <v>664</v>
      </c>
      <c r="C92" s="40" t="s">
        <v>689</v>
      </c>
      <c r="D92" s="40" t="s">
        <v>690</v>
      </c>
      <c r="E92" s="41" t="s">
        <v>1102</v>
      </c>
      <c r="F92" s="5" t="s">
        <v>88</v>
      </c>
      <c r="G92" s="25">
        <v>39117</v>
      </c>
      <c r="H92" s="5" t="s">
        <v>615</v>
      </c>
      <c r="I92" s="5">
        <f>VLOOKUP(MID(表1_11[[#This Row],[工资等级]],1,1),表12[],MATCH(MID(表1_11[[#This Row],[工资等级]],2,2),表12[[#Headers],[1]:[10]],0)+1,0)</f>
        <v>3200</v>
      </c>
      <c r="J92" s="5">
        <v>24.5</v>
      </c>
      <c r="K92" s="27">
        <v>1.0208333333333333</v>
      </c>
      <c r="L92" s="37">
        <f>IF(表1_11[[#This Row],[出勤率]]&gt;1,1,表1_11[[#This Row],[出勤率]])*表1_11[[#This Row],[岗位工资]]</f>
        <v>3200</v>
      </c>
      <c r="M92" s="5">
        <f>LOOKUP(表1_11[[#This Row],[岗位工资]],表13[lookup],表13[奖金比率])*表1_11[[#This Row],[岗位工资]]</f>
        <v>320</v>
      </c>
      <c r="N92" s="5">
        <v>91</v>
      </c>
      <c r="O92" s="38">
        <f>表1_11[[#This Row],[奖金等级]]*表1_11[[#This Row],[绩效得分]]/100</f>
        <v>291.2</v>
      </c>
      <c r="P92" s="5">
        <f>IF(表1_11[[#This Row],[出勤率]]&gt;=1,200,0)</f>
        <v>200</v>
      </c>
      <c r="Q92" s="23">
        <f t="shared" ca="1" si="1"/>
        <v>500</v>
      </c>
      <c r="R92" s="23">
        <f>IF(表1_11[[#This Row],[中心]]="营销中心",VLOOKUP(表1_11[[#This Row],[职位]],表2[[话费补贴]:[营销中心]],2,0),VLOOKUP(表1_11[[#This Row],[职位]],表2[],3,0))</f>
        <v>0</v>
      </c>
      <c r="S92" s="23">
        <v>200</v>
      </c>
      <c r="T92" s="61">
        <f ca="1">ROUND(SUM(表1_11[[#This Row],[基本工资]],表1_11[[#This Row],[奖金]],表1_11[[#This Row],[全勤奖]:[防暑降温补贴]]),2)</f>
        <v>4391.2</v>
      </c>
      <c r="U92" s="62">
        <f ca="1">ROUND(表1_11[[#This Row],[税前应发总额]]*8%,2)</f>
        <v>351.3</v>
      </c>
      <c r="V92" s="62">
        <f ca="1">ROUND(表1_11[[#This Row],[税前应发总额]]*2%+3,2)</f>
        <v>90.82</v>
      </c>
      <c r="W92" s="62">
        <f ca="1">ROUND(表1_11[[#This Row],[税前应发总额]]*0.2%,2)</f>
        <v>8.7799999999999994</v>
      </c>
      <c r="X92" s="62">
        <f ca="1">ROUND(表1_11[[#This Row],[税前应发总额]]*12%,2)</f>
        <v>526.94000000000005</v>
      </c>
      <c r="Y92" s="61">
        <f ca="1">ROUND(表1_11[[#This Row],[税前应发总额]]-SUM(表1_11[[#This Row],[养老保险]:[公积金]]),2)</f>
        <v>3413.36</v>
      </c>
      <c r="Z92" s="62">
        <f ca="1">ROUND(MAX((表1_11[[#This Row],[扣保险后工资金额]]-3500)*{3,10,20,25,30,35,45}%-{0,105,555,1005,2755,5505,13505},0),2)</f>
        <v>0</v>
      </c>
      <c r="AA92" s="63">
        <f ca="1">表1_11[[#This Row],[扣保险后工资金额]]-表1_11[[#This Row],[个人所得税]]</f>
        <v>3413.36</v>
      </c>
      <c r="AB92" s="53">
        <v>4039.51</v>
      </c>
      <c r="AC92" s="64">
        <f ca="1">(表1_11[[#This Row],[实发工资]]-表1_11[[#This Row],[上月对比]])/表1_11[[#This Row],[上月对比]]</f>
        <v>-0.15500642404648091</v>
      </c>
      <c r="AD92" s="65" t="s">
        <v>1587</v>
      </c>
    </row>
    <row r="93" spans="1:30">
      <c r="A93" s="42" t="s">
        <v>577</v>
      </c>
      <c r="B93" s="42" t="s">
        <v>664</v>
      </c>
      <c r="C93" s="40" t="s">
        <v>677</v>
      </c>
      <c r="D93" s="40" t="s">
        <v>678</v>
      </c>
      <c r="E93" s="41" t="s">
        <v>1103</v>
      </c>
      <c r="F93" s="5" t="s">
        <v>89</v>
      </c>
      <c r="G93" s="25">
        <v>42138</v>
      </c>
      <c r="H93" s="5" t="s">
        <v>610</v>
      </c>
      <c r="I93" s="5">
        <f>VLOOKUP(MID(表1_11[[#This Row],[工资等级]],1,1),表12[],MATCH(MID(表1_11[[#This Row],[工资等级]],2,2),表12[[#Headers],[1]:[10]],0)+1,0)</f>
        <v>3400</v>
      </c>
      <c r="J93" s="5">
        <v>22.5</v>
      </c>
      <c r="K93" s="27">
        <v>0.9375</v>
      </c>
      <c r="L93" s="37">
        <f>IF(表1_11[[#This Row],[出勤率]]&gt;1,1,表1_11[[#This Row],[出勤率]])*表1_11[[#This Row],[岗位工资]]</f>
        <v>3187.5</v>
      </c>
      <c r="M93" s="5">
        <f>LOOKUP(表1_11[[#This Row],[岗位工资]],表13[lookup],表13[奖金比率])*表1_11[[#This Row],[岗位工资]]</f>
        <v>340</v>
      </c>
      <c r="N93" s="5">
        <v>86</v>
      </c>
      <c r="O93" s="38">
        <f>表1_11[[#This Row],[奖金等级]]*表1_11[[#This Row],[绩效得分]]/100</f>
        <v>292.39999999999998</v>
      </c>
      <c r="P93" s="5">
        <f>IF(表1_11[[#This Row],[出勤率]]&gt;=1,200,0)</f>
        <v>0</v>
      </c>
      <c r="Q93" s="23">
        <f t="shared" ca="1" si="1"/>
        <v>100</v>
      </c>
      <c r="R93" s="23">
        <f>IF(表1_11[[#This Row],[中心]]="营销中心",VLOOKUP(表1_11[[#This Row],[职位]],表2[[话费补贴]:[营销中心]],2,0),VLOOKUP(表1_11[[#This Row],[职位]],表2[],3,0))</f>
        <v>0</v>
      </c>
      <c r="S93" s="23">
        <v>200</v>
      </c>
      <c r="T93" s="61">
        <f ca="1">ROUND(SUM(表1_11[[#This Row],[基本工资]],表1_11[[#This Row],[奖金]],表1_11[[#This Row],[全勤奖]:[防暑降温补贴]]),2)</f>
        <v>3779.9</v>
      </c>
      <c r="U93" s="62">
        <f ca="1">ROUND(表1_11[[#This Row],[税前应发总额]]*8%,2)</f>
        <v>302.39</v>
      </c>
      <c r="V93" s="62">
        <f ca="1">ROUND(表1_11[[#This Row],[税前应发总额]]*2%+3,2)</f>
        <v>78.599999999999994</v>
      </c>
      <c r="W93" s="62">
        <f ca="1">ROUND(表1_11[[#This Row],[税前应发总额]]*0.2%,2)</f>
        <v>7.56</v>
      </c>
      <c r="X93" s="62">
        <f ca="1">ROUND(表1_11[[#This Row],[税前应发总额]]*12%,2)</f>
        <v>453.59</v>
      </c>
      <c r="Y93" s="61">
        <f ca="1">ROUND(表1_11[[#This Row],[税前应发总额]]-SUM(表1_11[[#This Row],[养老保险]:[公积金]]),2)</f>
        <v>2937.76</v>
      </c>
      <c r="Z93" s="62">
        <f ca="1">ROUND(MAX((表1_11[[#This Row],[扣保险后工资金额]]-3500)*{3,10,20,25,30,35,45}%-{0,105,555,1005,2755,5505,13505},0),2)</f>
        <v>0</v>
      </c>
      <c r="AA93" s="63">
        <f ca="1">表1_11[[#This Row],[扣保险后工资金额]]-表1_11[[#This Row],[个人所得税]]</f>
        <v>2937.76</v>
      </c>
      <c r="AB93" s="53">
        <v>2592.3200000000002</v>
      </c>
      <c r="AC93" s="64">
        <f ca="1">(表1_11[[#This Row],[实发工资]]-表1_11[[#This Row],[上月对比]])/表1_11[[#This Row],[上月对比]]</f>
        <v>0.13325515368473029</v>
      </c>
      <c r="AD93" s="65" t="s">
        <v>1587</v>
      </c>
    </row>
    <row r="94" spans="1:30">
      <c r="A94" s="42" t="s">
        <v>577</v>
      </c>
      <c r="B94" s="42" t="s">
        <v>664</v>
      </c>
      <c r="C94" s="40" t="s">
        <v>689</v>
      </c>
      <c r="D94" s="40" t="s">
        <v>690</v>
      </c>
      <c r="E94" s="41" t="s">
        <v>1104</v>
      </c>
      <c r="F94" s="5" t="s">
        <v>90</v>
      </c>
      <c r="G94" s="25">
        <v>41680</v>
      </c>
      <c r="H94" s="5" t="s">
        <v>610</v>
      </c>
      <c r="I94" s="5">
        <f>VLOOKUP(MID(表1_11[[#This Row],[工资等级]],1,1),表12[],MATCH(MID(表1_11[[#This Row],[工资等级]],2,2),表12[[#Headers],[1]:[10]],0)+1,0)</f>
        <v>3400</v>
      </c>
      <c r="J94" s="5">
        <v>26</v>
      </c>
      <c r="K94" s="27">
        <v>1.0833333333333333</v>
      </c>
      <c r="L94" s="37">
        <f>IF(表1_11[[#This Row],[出勤率]]&gt;1,1,表1_11[[#This Row],[出勤率]])*表1_11[[#This Row],[岗位工资]]</f>
        <v>3400</v>
      </c>
      <c r="M94" s="5">
        <f>LOOKUP(表1_11[[#This Row],[岗位工资]],表13[lookup],表13[奖金比率])*表1_11[[#This Row],[岗位工资]]</f>
        <v>340</v>
      </c>
      <c r="N94" s="5">
        <v>81</v>
      </c>
      <c r="O94" s="38">
        <f>表1_11[[#This Row],[奖金等级]]*表1_11[[#This Row],[绩效得分]]/100</f>
        <v>275.39999999999998</v>
      </c>
      <c r="P94" s="5">
        <f>IF(表1_11[[#This Row],[出勤率]]&gt;=1,200,0)</f>
        <v>200</v>
      </c>
      <c r="Q94" s="23">
        <f t="shared" ca="1" si="1"/>
        <v>200</v>
      </c>
      <c r="R94" s="23">
        <f>IF(表1_11[[#This Row],[中心]]="营销中心",VLOOKUP(表1_11[[#This Row],[职位]],表2[[话费补贴]:[营销中心]],2,0),VLOOKUP(表1_11[[#This Row],[职位]],表2[],3,0))</f>
        <v>0</v>
      </c>
      <c r="S94" s="23">
        <v>200</v>
      </c>
      <c r="T94" s="61">
        <f ca="1">ROUND(SUM(表1_11[[#This Row],[基本工资]],表1_11[[#This Row],[奖金]],表1_11[[#This Row],[全勤奖]:[防暑降温补贴]]),2)</f>
        <v>4275.3999999999996</v>
      </c>
      <c r="U94" s="62">
        <f ca="1">ROUND(表1_11[[#This Row],[税前应发总额]]*8%,2)</f>
        <v>342.03</v>
      </c>
      <c r="V94" s="62">
        <f ca="1">ROUND(表1_11[[#This Row],[税前应发总额]]*2%+3,2)</f>
        <v>88.51</v>
      </c>
      <c r="W94" s="62">
        <f ca="1">ROUND(表1_11[[#This Row],[税前应发总额]]*0.2%,2)</f>
        <v>8.5500000000000007</v>
      </c>
      <c r="X94" s="62">
        <f ca="1">ROUND(表1_11[[#This Row],[税前应发总额]]*12%,2)</f>
        <v>513.04999999999995</v>
      </c>
      <c r="Y94" s="61">
        <f ca="1">ROUND(表1_11[[#This Row],[税前应发总额]]-SUM(表1_11[[#This Row],[养老保险]:[公积金]]),2)</f>
        <v>3323.26</v>
      </c>
      <c r="Z94" s="62">
        <f ca="1">ROUND(MAX((表1_11[[#This Row],[扣保险后工资金额]]-3500)*{3,10,20,25,30,35,45}%-{0,105,555,1005,2755,5505,13505},0),2)</f>
        <v>0</v>
      </c>
      <c r="AA94" s="63">
        <f ca="1">表1_11[[#This Row],[扣保险后工资金额]]-表1_11[[#This Row],[个人所得税]]</f>
        <v>3323.26</v>
      </c>
      <c r="AB94" s="53">
        <v>3843.6</v>
      </c>
      <c r="AC94" s="64">
        <f ca="1">(表1_11[[#This Row],[实发工资]]-表1_11[[#This Row],[上月对比]])/表1_11[[#This Row],[上月对比]]</f>
        <v>-0.135378291185347</v>
      </c>
      <c r="AD94" s="65" t="s">
        <v>1587</v>
      </c>
    </row>
    <row r="95" spans="1:30">
      <c r="A95" s="42" t="s">
        <v>577</v>
      </c>
      <c r="B95" s="42" t="s">
        <v>664</v>
      </c>
      <c r="C95" s="40" t="s">
        <v>691</v>
      </c>
      <c r="D95" s="40" t="s">
        <v>692</v>
      </c>
      <c r="E95" s="41" t="s">
        <v>1105</v>
      </c>
      <c r="F95" s="5" t="s">
        <v>91</v>
      </c>
      <c r="G95" s="25">
        <v>40017</v>
      </c>
      <c r="H95" s="5" t="s">
        <v>612</v>
      </c>
      <c r="I95" s="5">
        <f>VLOOKUP(MID(表1_11[[#This Row],[工资等级]],1,1),表12[],MATCH(MID(表1_11[[#This Row],[工资等级]],2,2),表12[[#Headers],[1]:[10]],0)+1,0)</f>
        <v>2700</v>
      </c>
      <c r="J95" s="5">
        <v>22</v>
      </c>
      <c r="K95" s="27">
        <v>0.91666666666666663</v>
      </c>
      <c r="L95" s="37">
        <f>IF(表1_11[[#This Row],[出勤率]]&gt;1,1,表1_11[[#This Row],[出勤率]])*表1_11[[#This Row],[岗位工资]]</f>
        <v>2475</v>
      </c>
      <c r="M95" s="5">
        <f>LOOKUP(表1_11[[#This Row],[岗位工资]],表13[lookup],表13[奖金比率])*表1_11[[#This Row],[岗位工资]]</f>
        <v>270</v>
      </c>
      <c r="N95" s="5">
        <v>79</v>
      </c>
      <c r="O95" s="38">
        <f>表1_11[[#This Row],[奖金等级]]*表1_11[[#This Row],[绩效得分]]/100</f>
        <v>213.3</v>
      </c>
      <c r="P95" s="5">
        <f>IF(表1_11[[#This Row],[出勤率]]&gt;=1,200,0)</f>
        <v>0</v>
      </c>
      <c r="Q95" s="23">
        <f t="shared" ca="1" si="1"/>
        <v>400</v>
      </c>
      <c r="R95" s="23">
        <f>IF(表1_11[[#This Row],[中心]]="营销中心",VLOOKUP(表1_11[[#This Row],[职位]],表2[[话费补贴]:[营销中心]],2,0),VLOOKUP(表1_11[[#This Row],[职位]],表2[],3,0))</f>
        <v>0</v>
      </c>
      <c r="S95" s="23">
        <v>200</v>
      </c>
      <c r="T95" s="61">
        <f ca="1">ROUND(SUM(表1_11[[#This Row],[基本工资]],表1_11[[#This Row],[奖金]],表1_11[[#This Row],[全勤奖]:[防暑降温补贴]]),2)</f>
        <v>3288.3</v>
      </c>
      <c r="U95" s="62">
        <f ca="1">ROUND(表1_11[[#This Row],[税前应发总额]]*8%,2)</f>
        <v>263.06</v>
      </c>
      <c r="V95" s="62">
        <f ca="1">ROUND(表1_11[[#This Row],[税前应发总额]]*2%+3,2)</f>
        <v>68.77</v>
      </c>
      <c r="W95" s="62">
        <f ca="1">ROUND(表1_11[[#This Row],[税前应发总额]]*0.2%,2)</f>
        <v>6.58</v>
      </c>
      <c r="X95" s="62">
        <f ca="1">ROUND(表1_11[[#This Row],[税前应发总额]]*12%,2)</f>
        <v>394.6</v>
      </c>
      <c r="Y95" s="61">
        <f ca="1">ROUND(表1_11[[#This Row],[税前应发总额]]-SUM(表1_11[[#This Row],[养老保险]:[公积金]]),2)</f>
        <v>2555.29</v>
      </c>
      <c r="Z95" s="62">
        <f ca="1">ROUND(MAX((表1_11[[#This Row],[扣保险后工资金额]]-3500)*{3,10,20,25,30,35,45}%-{0,105,555,1005,2755,5505,13505},0),2)</f>
        <v>0</v>
      </c>
      <c r="AA95" s="63">
        <f ca="1">表1_11[[#This Row],[扣保险后工资金额]]-表1_11[[#This Row],[个人所得税]]</f>
        <v>2555.29</v>
      </c>
      <c r="AB95" s="53">
        <v>2933.64</v>
      </c>
      <c r="AC95" s="64">
        <f ca="1">(表1_11[[#This Row],[实发工资]]-表1_11[[#This Row],[上月对比]])/表1_11[[#This Row],[上月对比]]</f>
        <v>-0.1289694713734473</v>
      </c>
      <c r="AD95" s="65" t="s">
        <v>1587</v>
      </c>
    </row>
    <row r="96" spans="1:30">
      <c r="A96" s="42" t="s">
        <v>577</v>
      </c>
      <c r="B96" s="42" t="s">
        <v>664</v>
      </c>
      <c r="C96" s="40" t="s">
        <v>693</v>
      </c>
      <c r="D96" s="40" t="s">
        <v>694</v>
      </c>
      <c r="E96" s="41" t="s">
        <v>1106</v>
      </c>
      <c r="F96" s="5" t="s">
        <v>92</v>
      </c>
      <c r="G96" s="25">
        <v>42720</v>
      </c>
      <c r="H96" s="5" t="s">
        <v>618</v>
      </c>
      <c r="I96" s="5">
        <f>VLOOKUP(MID(表1_11[[#This Row],[工资等级]],1,1),表12[],MATCH(MID(表1_11[[#This Row],[工资等级]],2,2),表12[[#Headers],[1]:[10]],0)+1,0)</f>
        <v>3000</v>
      </c>
      <c r="J96" s="5">
        <v>27</v>
      </c>
      <c r="K96" s="27">
        <v>1.125</v>
      </c>
      <c r="L96" s="37">
        <f>IF(表1_11[[#This Row],[出勤率]]&gt;1,1,表1_11[[#This Row],[出勤率]])*表1_11[[#This Row],[岗位工资]]</f>
        <v>3000</v>
      </c>
      <c r="M96" s="5">
        <f>LOOKUP(表1_11[[#This Row],[岗位工资]],表13[lookup],表13[奖金比率])*表1_11[[#This Row],[岗位工资]]</f>
        <v>300</v>
      </c>
      <c r="N96" s="5">
        <v>79</v>
      </c>
      <c r="O96" s="38">
        <f>表1_11[[#This Row],[奖金等级]]*表1_11[[#This Row],[绩效得分]]/100</f>
        <v>237</v>
      </c>
      <c r="P96" s="5">
        <f>IF(表1_11[[#This Row],[出勤率]]&gt;=1,200,0)</f>
        <v>200</v>
      </c>
      <c r="Q96" s="23">
        <f t="shared" ca="1" si="1"/>
        <v>50</v>
      </c>
      <c r="R96" s="23">
        <f>IF(表1_11[[#This Row],[中心]]="营销中心",VLOOKUP(表1_11[[#This Row],[职位]],表2[[话费补贴]:[营销中心]],2,0),VLOOKUP(表1_11[[#This Row],[职位]],表2[],3,0))</f>
        <v>0</v>
      </c>
      <c r="S96" s="23">
        <v>200</v>
      </c>
      <c r="T96" s="61">
        <f ca="1">ROUND(SUM(表1_11[[#This Row],[基本工资]],表1_11[[#This Row],[奖金]],表1_11[[#This Row],[全勤奖]:[防暑降温补贴]]),2)</f>
        <v>3687</v>
      </c>
      <c r="U96" s="62">
        <f ca="1">ROUND(表1_11[[#This Row],[税前应发总额]]*8%,2)</f>
        <v>294.95999999999998</v>
      </c>
      <c r="V96" s="62">
        <f ca="1">ROUND(表1_11[[#This Row],[税前应发总额]]*2%+3,2)</f>
        <v>76.739999999999995</v>
      </c>
      <c r="W96" s="62">
        <f ca="1">ROUND(表1_11[[#This Row],[税前应发总额]]*0.2%,2)</f>
        <v>7.37</v>
      </c>
      <c r="X96" s="62">
        <f ca="1">ROUND(表1_11[[#This Row],[税前应发总额]]*12%,2)</f>
        <v>442.44</v>
      </c>
      <c r="Y96" s="61">
        <f ca="1">ROUND(表1_11[[#This Row],[税前应发总额]]-SUM(表1_11[[#This Row],[养老保险]:[公积金]]),2)</f>
        <v>2865.49</v>
      </c>
      <c r="Z96" s="62">
        <f ca="1">ROUND(MAX((表1_11[[#This Row],[扣保险后工资金额]]-3500)*{3,10,20,25,30,35,45}%-{0,105,555,1005,2755,5505,13505},0),2)</f>
        <v>0</v>
      </c>
      <c r="AA96" s="63">
        <f ca="1">表1_11[[#This Row],[扣保险后工资金额]]-表1_11[[#This Row],[个人所得税]]</f>
        <v>2865.49</v>
      </c>
      <c r="AB96" s="53">
        <v>3410.85</v>
      </c>
      <c r="AC96" s="64">
        <f ca="1">(表1_11[[#This Row],[实发工资]]-表1_11[[#This Row],[上月对比]])/表1_11[[#This Row],[上月对比]]</f>
        <v>-0.1598897635486756</v>
      </c>
      <c r="AD96" s="65" t="s">
        <v>1587</v>
      </c>
    </row>
    <row r="97" spans="1:30">
      <c r="A97" s="42" t="s">
        <v>577</v>
      </c>
      <c r="B97" s="42" t="s">
        <v>664</v>
      </c>
      <c r="C97" s="40" t="s">
        <v>675</v>
      </c>
      <c r="D97" s="40" t="s">
        <v>676</v>
      </c>
      <c r="E97" s="41" t="s">
        <v>1107</v>
      </c>
      <c r="F97" s="5" t="s">
        <v>93</v>
      </c>
      <c r="G97" s="25">
        <v>40108</v>
      </c>
      <c r="H97" s="5" t="s">
        <v>618</v>
      </c>
      <c r="I97" s="5">
        <f>VLOOKUP(MID(表1_11[[#This Row],[工资等级]],1,1),表12[],MATCH(MID(表1_11[[#This Row],[工资等级]],2,2),表12[[#Headers],[1]:[10]],0)+1,0)</f>
        <v>3000</v>
      </c>
      <c r="J97" s="5">
        <v>22</v>
      </c>
      <c r="K97" s="27">
        <v>0.91666666666666663</v>
      </c>
      <c r="L97" s="37">
        <f>IF(表1_11[[#This Row],[出勤率]]&gt;1,1,表1_11[[#This Row],[出勤率]])*表1_11[[#This Row],[岗位工资]]</f>
        <v>2750</v>
      </c>
      <c r="M97" s="5">
        <f>LOOKUP(表1_11[[#This Row],[岗位工资]],表13[lookup],表13[奖金比率])*表1_11[[#This Row],[岗位工资]]</f>
        <v>300</v>
      </c>
      <c r="N97" s="5">
        <v>80</v>
      </c>
      <c r="O97" s="38">
        <f>表1_11[[#This Row],[奖金等级]]*表1_11[[#This Row],[绩效得分]]/100</f>
        <v>240</v>
      </c>
      <c r="P97" s="5">
        <f>IF(表1_11[[#This Row],[出勤率]]&gt;=1,200,0)</f>
        <v>0</v>
      </c>
      <c r="Q97" s="23">
        <f t="shared" ca="1" si="1"/>
        <v>400</v>
      </c>
      <c r="R97" s="23">
        <f>IF(表1_11[[#This Row],[中心]]="营销中心",VLOOKUP(表1_11[[#This Row],[职位]],表2[[话费补贴]:[营销中心]],2,0),VLOOKUP(表1_11[[#This Row],[职位]],表2[],3,0))</f>
        <v>0</v>
      </c>
      <c r="S97" s="23">
        <v>200</v>
      </c>
      <c r="T97" s="61">
        <f ca="1">ROUND(SUM(表1_11[[#This Row],[基本工资]],表1_11[[#This Row],[奖金]],表1_11[[#This Row],[全勤奖]:[防暑降温补贴]]),2)</f>
        <v>3590</v>
      </c>
      <c r="U97" s="62">
        <f ca="1">ROUND(表1_11[[#This Row],[税前应发总额]]*8%,2)</f>
        <v>287.2</v>
      </c>
      <c r="V97" s="62">
        <f ca="1">ROUND(表1_11[[#This Row],[税前应发总额]]*2%+3,2)</f>
        <v>74.8</v>
      </c>
      <c r="W97" s="62">
        <f ca="1">ROUND(表1_11[[#This Row],[税前应发总额]]*0.2%,2)</f>
        <v>7.18</v>
      </c>
      <c r="X97" s="62">
        <f ca="1">ROUND(表1_11[[#This Row],[税前应发总额]]*12%,2)</f>
        <v>430.8</v>
      </c>
      <c r="Y97" s="61">
        <f ca="1">ROUND(表1_11[[#This Row],[税前应发总额]]-SUM(表1_11[[#This Row],[养老保险]:[公积金]]),2)</f>
        <v>2790.02</v>
      </c>
      <c r="Z97" s="62">
        <f ca="1">ROUND(MAX((表1_11[[#This Row],[扣保险后工资金额]]-3500)*{3,10,20,25,30,35,45}%-{0,105,555,1005,2755,5505,13505},0),2)</f>
        <v>0</v>
      </c>
      <c r="AA97" s="63">
        <f ca="1">表1_11[[#This Row],[扣保险后工资金额]]-表1_11[[#This Row],[个人所得税]]</f>
        <v>2790.02</v>
      </c>
      <c r="AB97" s="53">
        <v>2943.7</v>
      </c>
      <c r="AC97" s="64">
        <f ca="1">(表1_11[[#This Row],[实发工资]]-表1_11[[#This Row],[上月对比]])/表1_11[[#This Row],[上月对比]]</f>
        <v>-5.2206406902877277E-2</v>
      </c>
      <c r="AD97" s="65" t="s">
        <v>1587</v>
      </c>
    </row>
    <row r="98" spans="1:30">
      <c r="A98" s="42" t="s">
        <v>577</v>
      </c>
      <c r="B98" s="42" t="s">
        <v>664</v>
      </c>
      <c r="C98" s="40" t="s">
        <v>675</v>
      </c>
      <c r="D98" s="40" t="s">
        <v>676</v>
      </c>
      <c r="E98" s="41" t="s">
        <v>1108</v>
      </c>
      <c r="F98" s="5" t="s">
        <v>94</v>
      </c>
      <c r="G98" s="25">
        <v>41557</v>
      </c>
      <c r="H98" s="5" t="s">
        <v>623</v>
      </c>
      <c r="I98" s="5">
        <f>VLOOKUP(MID(表1_11[[#This Row],[工资等级]],1,1),表12[],MATCH(MID(表1_11[[#This Row],[工资等级]],2,2),表12[[#Headers],[1]:[10]],0)+1,0)</f>
        <v>3800</v>
      </c>
      <c r="J98" s="5">
        <v>21.5</v>
      </c>
      <c r="K98" s="27">
        <v>0.89583333333333337</v>
      </c>
      <c r="L98" s="37">
        <f>IF(表1_11[[#This Row],[出勤率]]&gt;1,1,表1_11[[#This Row],[出勤率]])*表1_11[[#This Row],[岗位工资]]</f>
        <v>3404.166666666667</v>
      </c>
      <c r="M98" s="5">
        <f>LOOKUP(表1_11[[#This Row],[岗位工资]],表13[lookup],表13[奖金比率])*表1_11[[#This Row],[岗位工资]]</f>
        <v>380</v>
      </c>
      <c r="N98" s="5">
        <v>86</v>
      </c>
      <c r="O98" s="38">
        <f>表1_11[[#This Row],[奖金等级]]*表1_11[[#This Row],[绩效得分]]/100</f>
        <v>326.8</v>
      </c>
      <c r="P98" s="5">
        <f>IF(表1_11[[#This Row],[出勤率]]&gt;=1,200,0)</f>
        <v>0</v>
      </c>
      <c r="Q98" s="23">
        <f t="shared" ca="1" si="1"/>
        <v>200</v>
      </c>
      <c r="R98" s="23">
        <f>IF(表1_11[[#This Row],[中心]]="营销中心",VLOOKUP(表1_11[[#This Row],[职位]],表2[[话费补贴]:[营销中心]],2,0),VLOOKUP(表1_11[[#This Row],[职位]],表2[],3,0))</f>
        <v>0</v>
      </c>
      <c r="S98" s="23">
        <v>200</v>
      </c>
      <c r="T98" s="61">
        <f ca="1">ROUND(SUM(表1_11[[#This Row],[基本工资]],表1_11[[#This Row],[奖金]],表1_11[[#This Row],[全勤奖]:[防暑降温补贴]]),2)</f>
        <v>4130.97</v>
      </c>
      <c r="U98" s="62">
        <f ca="1">ROUND(表1_11[[#This Row],[税前应发总额]]*8%,2)</f>
        <v>330.48</v>
      </c>
      <c r="V98" s="62">
        <f ca="1">ROUND(表1_11[[#This Row],[税前应发总额]]*2%+3,2)</f>
        <v>85.62</v>
      </c>
      <c r="W98" s="62">
        <f ca="1">ROUND(表1_11[[#This Row],[税前应发总额]]*0.2%,2)</f>
        <v>8.26</v>
      </c>
      <c r="X98" s="62">
        <f ca="1">ROUND(表1_11[[#This Row],[税前应发总额]]*12%,2)</f>
        <v>495.72</v>
      </c>
      <c r="Y98" s="61">
        <f ca="1">ROUND(表1_11[[#This Row],[税前应发总额]]-SUM(表1_11[[#This Row],[养老保险]:[公积金]]),2)</f>
        <v>3210.89</v>
      </c>
      <c r="Z98" s="62">
        <f ca="1">ROUND(MAX((表1_11[[#This Row],[扣保险后工资金额]]-3500)*{3,10,20,25,30,35,45}%-{0,105,555,1005,2755,5505,13505},0),2)</f>
        <v>0</v>
      </c>
      <c r="AA98" s="63">
        <f ca="1">表1_11[[#This Row],[扣保险后工资金额]]-表1_11[[#This Row],[个人所得税]]</f>
        <v>3210.89</v>
      </c>
      <c r="AB98" s="53">
        <v>2857.46</v>
      </c>
      <c r="AC98" s="64">
        <f ca="1">(表1_11[[#This Row],[实发工资]]-表1_11[[#This Row],[上月对比]])/表1_11[[#This Row],[上月对比]]</f>
        <v>0.12368677076844464</v>
      </c>
      <c r="AD98" s="65" t="s">
        <v>1587</v>
      </c>
    </row>
    <row r="99" spans="1:30">
      <c r="A99" s="42" t="s">
        <v>577</v>
      </c>
      <c r="B99" s="42" t="s">
        <v>664</v>
      </c>
      <c r="C99" s="40" t="s">
        <v>675</v>
      </c>
      <c r="D99" s="40" t="s">
        <v>676</v>
      </c>
      <c r="E99" s="41" t="s">
        <v>1109</v>
      </c>
      <c r="F99" s="5" t="s">
        <v>95</v>
      </c>
      <c r="G99" s="25">
        <v>39183</v>
      </c>
      <c r="H99" s="5" t="s">
        <v>623</v>
      </c>
      <c r="I99" s="5">
        <f>VLOOKUP(MID(表1_11[[#This Row],[工资等级]],1,1),表12[],MATCH(MID(表1_11[[#This Row],[工资等级]],2,2),表12[[#Headers],[1]:[10]],0)+1,0)</f>
        <v>3800</v>
      </c>
      <c r="J99" s="5">
        <v>23</v>
      </c>
      <c r="K99" s="27">
        <v>0.95833333333333337</v>
      </c>
      <c r="L99" s="37">
        <f>IF(表1_11[[#This Row],[出勤率]]&gt;1,1,表1_11[[#This Row],[出勤率]])*表1_11[[#This Row],[岗位工资]]</f>
        <v>3641.666666666667</v>
      </c>
      <c r="M99" s="5">
        <f>LOOKUP(表1_11[[#This Row],[岗位工资]],表13[lookup],表13[奖金比率])*表1_11[[#This Row],[岗位工资]]</f>
        <v>380</v>
      </c>
      <c r="N99" s="5">
        <v>89</v>
      </c>
      <c r="O99" s="38">
        <f>表1_11[[#This Row],[奖金等级]]*表1_11[[#This Row],[绩效得分]]/100</f>
        <v>338.2</v>
      </c>
      <c r="P99" s="5">
        <f>IF(表1_11[[#This Row],[出勤率]]&gt;=1,200,0)</f>
        <v>0</v>
      </c>
      <c r="Q99" s="23">
        <f t="shared" ca="1" si="1"/>
        <v>500</v>
      </c>
      <c r="R99" s="23">
        <f>IF(表1_11[[#This Row],[中心]]="营销中心",VLOOKUP(表1_11[[#This Row],[职位]],表2[[话费补贴]:[营销中心]],2,0),VLOOKUP(表1_11[[#This Row],[职位]],表2[],3,0))</f>
        <v>0</v>
      </c>
      <c r="S99" s="23">
        <v>200</v>
      </c>
      <c r="T99" s="61">
        <f ca="1">ROUND(SUM(表1_11[[#This Row],[基本工资]],表1_11[[#This Row],[奖金]],表1_11[[#This Row],[全勤奖]:[防暑降温补贴]]),2)</f>
        <v>4679.87</v>
      </c>
      <c r="U99" s="62">
        <f ca="1">ROUND(表1_11[[#This Row],[税前应发总额]]*8%,2)</f>
        <v>374.39</v>
      </c>
      <c r="V99" s="62">
        <f ca="1">ROUND(表1_11[[#This Row],[税前应发总额]]*2%+3,2)</f>
        <v>96.6</v>
      </c>
      <c r="W99" s="62">
        <f ca="1">ROUND(表1_11[[#This Row],[税前应发总额]]*0.2%,2)</f>
        <v>9.36</v>
      </c>
      <c r="X99" s="62">
        <f ca="1">ROUND(表1_11[[#This Row],[税前应发总额]]*12%,2)</f>
        <v>561.58000000000004</v>
      </c>
      <c r="Y99" s="61">
        <f ca="1">ROUND(表1_11[[#This Row],[税前应发总额]]-SUM(表1_11[[#This Row],[养老保险]:[公积金]]),2)</f>
        <v>3637.94</v>
      </c>
      <c r="Z99" s="62">
        <f ca="1">ROUND(MAX((表1_11[[#This Row],[扣保险后工资金额]]-3500)*{3,10,20,25,30,35,45}%-{0,105,555,1005,2755,5505,13505},0),2)</f>
        <v>4.1399999999999997</v>
      </c>
      <c r="AA99" s="63">
        <f ca="1">表1_11[[#This Row],[扣保险后工资金额]]-表1_11[[#This Row],[个人所得税]]</f>
        <v>3633.8</v>
      </c>
      <c r="AB99" s="53">
        <v>4077.04</v>
      </c>
      <c r="AC99" s="64">
        <f ca="1">(表1_11[[#This Row],[实发工资]]-表1_11[[#This Row],[上月对比]])/表1_11[[#This Row],[上月对比]]</f>
        <v>-0.10871612738653527</v>
      </c>
      <c r="AD99" s="65" t="s">
        <v>1587</v>
      </c>
    </row>
    <row r="100" spans="1:30">
      <c r="A100" s="42" t="s">
        <v>577</v>
      </c>
      <c r="B100" s="42" t="s">
        <v>664</v>
      </c>
      <c r="C100" s="40" t="s">
        <v>695</v>
      </c>
      <c r="D100" s="40" t="s">
        <v>696</v>
      </c>
      <c r="E100" s="41" t="s">
        <v>1110</v>
      </c>
      <c r="F100" s="5" t="s">
        <v>96</v>
      </c>
      <c r="G100" s="25">
        <v>40971</v>
      </c>
      <c r="H100" s="5" t="s">
        <v>622</v>
      </c>
      <c r="I100" s="5">
        <f>VLOOKUP(MID(表1_11[[#This Row],[工资等级]],1,1),表12[],MATCH(MID(表1_11[[#This Row],[工资等级]],2,2),表12[[#Headers],[1]:[10]],0)+1,0)</f>
        <v>3600</v>
      </c>
      <c r="J100" s="5">
        <v>27.5</v>
      </c>
      <c r="K100" s="27">
        <v>1.1458333333333333</v>
      </c>
      <c r="L100" s="37">
        <f>IF(表1_11[[#This Row],[出勤率]]&gt;1,1,表1_11[[#This Row],[出勤率]])*表1_11[[#This Row],[岗位工资]]</f>
        <v>3600</v>
      </c>
      <c r="M100" s="5">
        <f>LOOKUP(表1_11[[#This Row],[岗位工资]],表13[lookup],表13[奖金比率])*表1_11[[#This Row],[岗位工资]]</f>
        <v>360</v>
      </c>
      <c r="N100" s="5">
        <v>88</v>
      </c>
      <c r="O100" s="38">
        <f>表1_11[[#This Row],[奖金等级]]*表1_11[[#This Row],[绩效得分]]/100</f>
        <v>316.8</v>
      </c>
      <c r="P100" s="5">
        <f>IF(表1_11[[#This Row],[出勤率]]&gt;=1,200,0)</f>
        <v>200</v>
      </c>
      <c r="Q100" s="23">
        <f t="shared" ca="1" si="1"/>
        <v>300</v>
      </c>
      <c r="R100" s="23">
        <f>IF(表1_11[[#This Row],[中心]]="营销中心",VLOOKUP(表1_11[[#This Row],[职位]],表2[[话费补贴]:[营销中心]],2,0),VLOOKUP(表1_11[[#This Row],[职位]],表2[],3,0))</f>
        <v>0</v>
      </c>
      <c r="S100" s="23">
        <v>200</v>
      </c>
      <c r="T100" s="61">
        <f ca="1">ROUND(SUM(表1_11[[#This Row],[基本工资]],表1_11[[#This Row],[奖金]],表1_11[[#This Row],[全勤奖]:[防暑降温补贴]]),2)</f>
        <v>4616.8</v>
      </c>
      <c r="U100" s="62">
        <f ca="1">ROUND(表1_11[[#This Row],[税前应发总额]]*8%,2)</f>
        <v>369.34</v>
      </c>
      <c r="V100" s="62">
        <f ca="1">ROUND(表1_11[[#This Row],[税前应发总额]]*2%+3,2)</f>
        <v>95.34</v>
      </c>
      <c r="W100" s="62">
        <f ca="1">ROUND(表1_11[[#This Row],[税前应发总额]]*0.2%,2)</f>
        <v>9.23</v>
      </c>
      <c r="X100" s="62">
        <f ca="1">ROUND(表1_11[[#This Row],[税前应发总额]]*12%,2)</f>
        <v>554.02</v>
      </c>
      <c r="Y100" s="61">
        <f ca="1">ROUND(表1_11[[#This Row],[税前应发总额]]-SUM(表1_11[[#This Row],[养老保险]:[公积金]]),2)</f>
        <v>3588.87</v>
      </c>
      <c r="Z100" s="62">
        <f ca="1">ROUND(MAX((表1_11[[#This Row],[扣保险后工资金额]]-3500)*{3,10,20,25,30,35,45}%-{0,105,555,1005,2755,5505,13505},0),2)</f>
        <v>2.67</v>
      </c>
      <c r="AA100" s="63">
        <f ca="1">表1_11[[#This Row],[扣保险后工资金额]]-表1_11[[#This Row],[个人所得税]]</f>
        <v>3586.2</v>
      </c>
      <c r="AB100" s="53">
        <v>3903.32</v>
      </c>
      <c r="AC100" s="64">
        <f ca="1">(表1_11[[#This Row],[实发工资]]-表1_11[[#This Row],[上月对比]])/表1_11[[#This Row],[上月对比]]</f>
        <v>-8.1243659243925764E-2</v>
      </c>
      <c r="AD100" s="65" t="s">
        <v>1587</v>
      </c>
    </row>
    <row r="101" spans="1:30">
      <c r="A101" s="42" t="s">
        <v>577</v>
      </c>
      <c r="B101" s="42" t="s">
        <v>664</v>
      </c>
      <c r="C101" s="40" t="s">
        <v>695</v>
      </c>
      <c r="D101" s="40" t="s">
        <v>696</v>
      </c>
      <c r="E101" s="41" t="s">
        <v>1111</v>
      </c>
      <c r="F101" s="5" t="s">
        <v>97</v>
      </c>
      <c r="G101" s="25">
        <v>41488</v>
      </c>
      <c r="H101" s="5" t="s">
        <v>624</v>
      </c>
      <c r="I101" s="5">
        <f>VLOOKUP(MID(表1_11[[#This Row],[工资等级]],1,1),表12[],MATCH(MID(表1_11[[#This Row],[工资等级]],2,2),表12[[#Headers],[1]:[10]],0)+1,0)</f>
        <v>2800</v>
      </c>
      <c r="J101" s="5">
        <v>23</v>
      </c>
      <c r="K101" s="27">
        <v>0.95833333333333337</v>
      </c>
      <c r="L101" s="37">
        <f>IF(表1_11[[#This Row],[出勤率]]&gt;1,1,表1_11[[#This Row],[出勤率]])*表1_11[[#This Row],[岗位工资]]</f>
        <v>2683.3333333333335</v>
      </c>
      <c r="M101" s="5">
        <f>LOOKUP(表1_11[[#This Row],[岗位工资]],表13[lookup],表13[奖金比率])*表1_11[[#This Row],[岗位工资]]</f>
        <v>280</v>
      </c>
      <c r="N101" s="5">
        <v>90</v>
      </c>
      <c r="O101" s="38">
        <f>表1_11[[#This Row],[奖金等级]]*表1_11[[#This Row],[绩效得分]]/100</f>
        <v>252</v>
      </c>
      <c r="P101" s="5">
        <f>IF(表1_11[[#This Row],[出勤率]]&gt;=1,200,0)</f>
        <v>0</v>
      </c>
      <c r="Q101" s="23">
        <f t="shared" ca="1" si="1"/>
        <v>200</v>
      </c>
      <c r="R101" s="23">
        <f>IF(表1_11[[#This Row],[中心]]="营销中心",VLOOKUP(表1_11[[#This Row],[职位]],表2[[话费补贴]:[营销中心]],2,0),VLOOKUP(表1_11[[#This Row],[职位]],表2[],3,0))</f>
        <v>0</v>
      </c>
      <c r="S101" s="23">
        <v>200</v>
      </c>
      <c r="T101" s="61">
        <f ca="1">ROUND(SUM(表1_11[[#This Row],[基本工资]],表1_11[[#This Row],[奖金]],表1_11[[#This Row],[全勤奖]:[防暑降温补贴]]),2)</f>
        <v>3335.33</v>
      </c>
      <c r="U101" s="62">
        <f ca="1">ROUND(表1_11[[#This Row],[税前应发总额]]*8%,2)</f>
        <v>266.83</v>
      </c>
      <c r="V101" s="62">
        <f ca="1">ROUND(表1_11[[#This Row],[税前应发总额]]*2%+3,2)</f>
        <v>69.709999999999994</v>
      </c>
      <c r="W101" s="62">
        <f ca="1">ROUND(表1_11[[#This Row],[税前应发总额]]*0.2%,2)</f>
        <v>6.67</v>
      </c>
      <c r="X101" s="62">
        <f ca="1">ROUND(表1_11[[#This Row],[税前应发总额]]*12%,2)</f>
        <v>400.24</v>
      </c>
      <c r="Y101" s="61">
        <f ca="1">ROUND(表1_11[[#This Row],[税前应发总额]]-SUM(表1_11[[#This Row],[养老保险]:[公积金]]),2)</f>
        <v>2591.88</v>
      </c>
      <c r="Z101" s="62">
        <f ca="1">ROUND(MAX((表1_11[[#This Row],[扣保险后工资金额]]-3500)*{3,10,20,25,30,35,45}%-{0,105,555,1005,2755,5505,13505},0),2)</f>
        <v>0</v>
      </c>
      <c r="AA101" s="63">
        <f ca="1">表1_11[[#This Row],[扣保险后工资金额]]-表1_11[[#This Row],[个人所得税]]</f>
        <v>2591.88</v>
      </c>
      <c r="AB101" s="53">
        <v>2817.88</v>
      </c>
      <c r="AC101" s="64">
        <f ca="1">(表1_11[[#This Row],[实发工资]]-表1_11[[#This Row],[上月对比]])/表1_11[[#This Row],[上月对比]]</f>
        <v>-8.0202137777336147E-2</v>
      </c>
      <c r="AD101" s="65" t="s">
        <v>1587</v>
      </c>
    </row>
    <row r="102" spans="1:30">
      <c r="A102" s="42" t="s">
        <v>577</v>
      </c>
      <c r="B102" s="42" t="s">
        <v>664</v>
      </c>
      <c r="C102" s="40" t="s">
        <v>697</v>
      </c>
      <c r="D102" s="40" t="s">
        <v>698</v>
      </c>
      <c r="E102" s="41" t="s">
        <v>1112</v>
      </c>
      <c r="F102" s="5" t="s">
        <v>98</v>
      </c>
      <c r="G102" s="25">
        <v>42726</v>
      </c>
      <c r="H102" s="5" t="s">
        <v>615</v>
      </c>
      <c r="I102" s="5">
        <f>VLOOKUP(MID(表1_11[[#This Row],[工资等级]],1,1),表12[],MATCH(MID(表1_11[[#This Row],[工资等级]],2,2),表12[[#Headers],[1]:[10]],0)+1,0)</f>
        <v>3200</v>
      </c>
      <c r="J102" s="5">
        <v>21</v>
      </c>
      <c r="K102" s="27">
        <v>0.875</v>
      </c>
      <c r="L102" s="37">
        <f>IF(表1_11[[#This Row],[出勤率]]&gt;1,1,表1_11[[#This Row],[出勤率]])*表1_11[[#This Row],[岗位工资]]</f>
        <v>2800</v>
      </c>
      <c r="M102" s="5">
        <f>LOOKUP(表1_11[[#This Row],[岗位工资]],表13[lookup],表13[奖金比率])*表1_11[[#This Row],[岗位工资]]</f>
        <v>320</v>
      </c>
      <c r="N102" s="5">
        <v>85</v>
      </c>
      <c r="O102" s="38">
        <f>表1_11[[#This Row],[奖金等级]]*表1_11[[#This Row],[绩效得分]]/100</f>
        <v>272</v>
      </c>
      <c r="P102" s="5">
        <f>IF(表1_11[[#This Row],[出勤率]]&gt;=1,200,0)</f>
        <v>0</v>
      </c>
      <c r="Q102" s="23">
        <f t="shared" ca="1" si="1"/>
        <v>50</v>
      </c>
      <c r="R102" s="23">
        <f>IF(表1_11[[#This Row],[中心]]="营销中心",VLOOKUP(表1_11[[#This Row],[职位]],表2[[话费补贴]:[营销中心]],2,0),VLOOKUP(表1_11[[#This Row],[职位]],表2[],3,0))</f>
        <v>0</v>
      </c>
      <c r="S102" s="23">
        <v>200</v>
      </c>
      <c r="T102" s="61">
        <f ca="1">ROUND(SUM(表1_11[[#This Row],[基本工资]],表1_11[[#This Row],[奖金]],表1_11[[#This Row],[全勤奖]:[防暑降温补贴]]),2)</f>
        <v>3322</v>
      </c>
      <c r="U102" s="62">
        <f ca="1">ROUND(表1_11[[#This Row],[税前应发总额]]*8%,2)</f>
        <v>265.76</v>
      </c>
      <c r="V102" s="62">
        <f ca="1">ROUND(表1_11[[#This Row],[税前应发总额]]*2%+3,2)</f>
        <v>69.44</v>
      </c>
      <c r="W102" s="62">
        <f ca="1">ROUND(表1_11[[#This Row],[税前应发总额]]*0.2%,2)</f>
        <v>6.64</v>
      </c>
      <c r="X102" s="62">
        <f ca="1">ROUND(表1_11[[#This Row],[税前应发总额]]*12%,2)</f>
        <v>398.64</v>
      </c>
      <c r="Y102" s="61">
        <f ca="1">ROUND(表1_11[[#This Row],[税前应发总额]]-SUM(表1_11[[#This Row],[养老保险]:[公积金]]),2)</f>
        <v>2581.52</v>
      </c>
      <c r="Z102" s="62">
        <f ca="1">ROUND(MAX((表1_11[[#This Row],[扣保险后工资金额]]-3500)*{3,10,20,25,30,35,45}%-{0,105,555,1005,2755,5505,13505},0),2)</f>
        <v>0</v>
      </c>
      <c r="AA102" s="63">
        <f ca="1">表1_11[[#This Row],[扣保险后工资金额]]-表1_11[[#This Row],[个人所得税]]</f>
        <v>2581.52</v>
      </c>
      <c r="AB102" s="53">
        <v>2835.22</v>
      </c>
      <c r="AC102" s="64">
        <f ca="1">(表1_11[[#This Row],[实发工资]]-表1_11[[#This Row],[上月对比]])/表1_11[[#This Row],[上月对比]]</f>
        <v>-8.9481592257390899E-2</v>
      </c>
      <c r="AD102" s="65" t="s">
        <v>1587</v>
      </c>
    </row>
    <row r="103" spans="1:30">
      <c r="A103" s="42" t="s">
        <v>577</v>
      </c>
      <c r="B103" s="42" t="s">
        <v>664</v>
      </c>
      <c r="C103" s="40" t="s">
        <v>675</v>
      </c>
      <c r="D103" s="40" t="s">
        <v>676</v>
      </c>
      <c r="E103" s="41" t="s">
        <v>1113</v>
      </c>
      <c r="F103" s="5" t="s">
        <v>99</v>
      </c>
      <c r="G103" s="25">
        <v>40011</v>
      </c>
      <c r="H103" s="5" t="s">
        <v>624</v>
      </c>
      <c r="I103" s="5">
        <f>VLOOKUP(MID(表1_11[[#This Row],[工资等级]],1,1),表12[],MATCH(MID(表1_11[[#This Row],[工资等级]],2,2),表12[[#Headers],[1]:[10]],0)+1,0)</f>
        <v>2800</v>
      </c>
      <c r="J103" s="5">
        <v>23</v>
      </c>
      <c r="K103" s="27">
        <v>0.95833333333333337</v>
      </c>
      <c r="L103" s="37">
        <f>IF(表1_11[[#This Row],[出勤率]]&gt;1,1,表1_11[[#This Row],[出勤率]])*表1_11[[#This Row],[岗位工资]]</f>
        <v>2683.3333333333335</v>
      </c>
      <c r="M103" s="5">
        <f>LOOKUP(表1_11[[#This Row],[岗位工资]],表13[lookup],表13[奖金比率])*表1_11[[#This Row],[岗位工资]]</f>
        <v>280</v>
      </c>
      <c r="N103" s="5">
        <v>86</v>
      </c>
      <c r="O103" s="38">
        <f>表1_11[[#This Row],[奖金等级]]*表1_11[[#This Row],[绩效得分]]/100</f>
        <v>240.8</v>
      </c>
      <c r="P103" s="5">
        <f>IF(表1_11[[#This Row],[出勤率]]&gt;=1,200,0)</f>
        <v>0</v>
      </c>
      <c r="Q103" s="23">
        <f t="shared" ca="1" si="1"/>
        <v>400</v>
      </c>
      <c r="R103" s="23">
        <f>IF(表1_11[[#This Row],[中心]]="营销中心",VLOOKUP(表1_11[[#This Row],[职位]],表2[[话费补贴]:[营销中心]],2,0),VLOOKUP(表1_11[[#This Row],[职位]],表2[],3,0))</f>
        <v>0</v>
      </c>
      <c r="S103" s="23">
        <v>200</v>
      </c>
      <c r="T103" s="61">
        <f ca="1">ROUND(SUM(表1_11[[#This Row],[基本工资]],表1_11[[#This Row],[奖金]],表1_11[[#This Row],[全勤奖]:[防暑降温补贴]]),2)</f>
        <v>3524.13</v>
      </c>
      <c r="U103" s="62">
        <f ca="1">ROUND(表1_11[[#This Row],[税前应发总额]]*8%,2)</f>
        <v>281.93</v>
      </c>
      <c r="V103" s="62">
        <f ca="1">ROUND(表1_11[[#This Row],[税前应发总额]]*2%+3,2)</f>
        <v>73.48</v>
      </c>
      <c r="W103" s="62">
        <f ca="1">ROUND(表1_11[[#This Row],[税前应发总额]]*0.2%,2)</f>
        <v>7.05</v>
      </c>
      <c r="X103" s="62">
        <f ca="1">ROUND(表1_11[[#This Row],[税前应发总额]]*12%,2)</f>
        <v>422.9</v>
      </c>
      <c r="Y103" s="61">
        <f ca="1">ROUND(表1_11[[#This Row],[税前应发总额]]-SUM(表1_11[[#This Row],[养老保险]:[公积金]]),2)</f>
        <v>2738.77</v>
      </c>
      <c r="Z103" s="62">
        <f ca="1">ROUND(MAX((表1_11[[#This Row],[扣保险后工资金额]]-3500)*{3,10,20,25,30,35,45}%-{0,105,555,1005,2755,5505,13505},0),2)</f>
        <v>0</v>
      </c>
      <c r="AA103" s="63">
        <f ca="1">表1_11[[#This Row],[扣保险后工资金额]]-表1_11[[#This Row],[个人所得税]]</f>
        <v>2738.77</v>
      </c>
      <c r="AB103" s="53">
        <v>2713.67</v>
      </c>
      <c r="AC103" s="64">
        <f ca="1">(表1_11[[#This Row],[实发工资]]-表1_11[[#This Row],[上月对比]])/表1_11[[#This Row],[上月对比]]</f>
        <v>9.2494665895263267E-3</v>
      </c>
      <c r="AD103" s="65" t="s">
        <v>1587</v>
      </c>
    </row>
    <row r="104" spans="1:30">
      <c r="A104" s="42" t="s">
        <v>577</v>
      </c>
      <c r="B104" s="42" t="s">
        <v>664</v>
      </c>
      <c r="C104" s="40" t="s">
        <v>675</v>
      </c>
      <c r="D104" s="40" t="s">
        <v>676</v>
      </c>
      <c r="E104" s="41" t="s">
        <v>1114</v>
      </c>
      <c r="F104" s="5" t="s">
        <v>100</v>
      </c>
      <c r="G104" s="25">
        <v>39877</v>
      </c>
      <c r="H104" s="5" t="s">
        <v>615</v>
      </c>
      <c r="I104" s="5">
        <f>VLOOKUP(MID(表1_11[[#This Row],[工资等级]],1,1),表12[],MATCH(MID(表1_11[[#This Row],[工资等级]],2,2),表12[[#Headers],[1]:[10]],0)+1,0)</f>
        <v>3200</v>
      </c>
      <c r="J104" s="5">
        <v>23</v>
      </c>
      <c r="K104" s="27">
        <v>0.95833333333333337</v>
      </c>
      <c r="L104" s="37">
        <f>IF(表1_11[[#This Row],[出勤率]]&gt;1,1,表1_11[[#This Row],[出勤率]])*表1_11[[#This Row],[岗位工资]]</f>
        <v>3066.666666666667</v>
      </c>
      <c r="M104" s="5">
        <f>LOOKUP(表1_11[[#This Row],[岗位工资]],表13[lookup],表13[奖金比率])*表1_11[[#This Row],[岗位工资]]</f>
        <v>320</v>
      </c>
      <c r="N104" s="5">
        <v>99</v>
      </c>
      <c r="O104" s="38">
        <f>表1_11[[#This Row],[奖金等级]]*表1_11[[#This Row],[绩效得分]]/100</f>
        <v>316.8</v>
      </c>
      <c r="P104" s="5">
        <f>IF(表1_11[[#This Row],[出勤率]]&gt;=1,200,0)</f>
        <v>0</v>
      </c>
      <c r="Q104" s="23">
        <f t="shared" ca="1" si="1"/>
        <v>400</v>
      </c>
      <c r="R104" s="23">
        <f>IF(表1_11[[#This Row],[中心]]="营销中心",VLOOKUP(表1_11[[#This Row],[职位]],表2[[话费补贴]:[营销中心]],2,0),VLOOKUP(表1_11[[#This Row],[职位]],表2[],3,0))</f>
        <v>0</v>
      </c>
      <c r="S104" s="23">
        <v>200</v>
      </c>
      <c r="T104" s="61">
        <f ca="1">ROUND(SUM(表1_11[[#This Row],[基本工资]],表1_11[[#This Row],[奖金]],表1_11[[#This Row],[全勤奖]:[防暑降温补贴]]),2)</f>
        <v>3983.47</v>
      </c>
      <c r="U104" s="62">
        <f ca="1">ROUND(表1_11[[#This Row],[税前应发总额]]*8%,2)</f>
        <v>318.68</v>
      </c>
      <c r="V104" s="62">
        <f ca="1">ROUND(表1_11[[#This Row],[税前应发总额]]*2%+3,2)</f>
        <v>82.67</v>
      </c>
      <c r="W104" s="62">
        <f ca="1">ROUND(表1_11[[#This Row],[税前应发总额]]*0.2%,2)</f>
        <v>7.97</v>
      </c>
      <c r="X104" s="62">
        <f ca="1">ROUND(表1_11[[#This Row],[税前应发总额]]*12%,2)</f>
        <v>478.02</v>
      </c>
      <c r="Y104" s="61">
        <f ca="1">ROUND(表1_11[[#This Row],[税前应发总额]]-SUM(表1_11[[#This Row],[养老保险]:[公积金]]),2)</f>
        <v>3096.13</v>
      </c>
      <c r="Z104" s="62">
        <f ca="1">ROUND(MAX((表1_11[[#This Row],[扣保险后工资金额]]-3500)*{3,10,20,25,30,35,45}%-{0,105,555,1005,2755,5505,13505},0),2)</f>
        <v>0</v>
      </c>
      <c r="AA104" s="63">
        <f ca="1">表1_11[[#This Row],[扣保险后工资金额]]-表1_11[[#This Row],[个人所得税]]</f>
        <v>3096.13</v>
      </c>
      <c r="AB104" s="53">
        <v>3381.11</v>
      </c>
      <c r="AC104" s="64">
        <f ca="1">(表1_11[[#This Row],[实发工资]]-表1_11[[#This Row],[上月对比]])/表1_11[[#This Row],[上月对比]]</f>
        <v>-8.4285929768626283E-2</v>
      </c>
      <c r="AD104" s="65" t="s">
        <v>1587</v>
      </c>
    </row>
    <row r="105" spans="1:30">
      <c r="A105" s="42" t="s">
        <v>577</v>
      </c>
      <c r="B105" s="42" t="s">
        <v>664</v>
      </c>
      <c r="C105" s="40" t="s">
        <v>675</v>
      </c>
      <c r="D105" s="40" t="s">
        <v>676</v>
      </c>
      <c r="E105" s="41" t="s">
        <v>1115</v>
      </c>
      <c r="F105" s="5" t="s">
        <v>101</v>
      </c>
      <c r="G105" s="25">
        <v>38690</v>
      </c>
      <c r="H105" s="5" t="s">
        <v>624</v>
      </c>
      <c r="I105" s="5">
        <f>VLOOKUP(MID(表1_11[[#This Row],[工资等级]],1,1),表12[],MATCH(MID(表1_11[[#This Row],[工资等级]],2,2),表12[[#Headers],[1]:[10]],0)+1,0)</f>
        <v>2800</v>
      </c>
      <c r="J105" s="5">
        <v>27</v>
      </c>
      <c r="K105" s="27">
        <v>1.125</v>
      </c>
      <c r="L105" s="37">
        <f>IF(表1_11[[#This Row],[出勤率]]&gt;1,1,表1_11[[#This Row],[出勤率]])*表1_11[[#This Row],[岗位工资]]</f>
        <v>2800</v>
      </c>
      <c r="M105" s="5">
        <f>LOOKUP(表1_11[[#This Row],[岗位工资]],表13[lookup],表13[奖金比率])*表1_11[[#This Row],[岗位工资]]</f>
        <v>280</v>
      </c>
      <c r="N105" s="5">
        <v>81</v>
      </c>
      <c r="O105" s="38">
        <f>表1_11[[#This Row],[奖金等级]]*表1_11[[#This Row],[绩效得分]]/100</f>
        <v>226.8</v>
      </c>
      <c r="P105" s="5">
        <f>IF(表1_11[[#This Row],[出勤率]]&gt;=1,200,0)</f>
        <v>200</v>
      </c>
      <c r="Q105" s="23">
        <f t="shared" ca="1" si="1"/>
        <v>500</v>
      </c>
      <c r="R105" s="23">
        <f>IF(表1_11[[#This Row],[中心]]="营销中心",VLOOKUP(表1_11[[#This Row],[职位]],表2[[话费补贴]:[营销中心]],2,0),VLOOKUP(表1_11[[#This Row],[职位]],表2[],3,0))</f>
        <v>0</v>
      </c>
      <c r="S105" s="23">
        <v>200</v>
      </c>
      <c r="T105" s="61">
        <f ca="1">ROUND(SUM(表1_11[[#This Row],[基本工资]],表1_11[[#This Row],[奖金]],表1_11[[#This Row],[全勤奖]:[防暑降温补贴]]),2)</f>
        <v>3926.8</v>
      </c>
      <c r="U105" s="62">
        <f ca="1">ROUND(表1_11[[#This Row],[税前应发总额]]*8%,2)</f>
        <v>314.14</v>
      </c>
      <c r="V105" s="62">
        <f ca="1">ROUND(表1_11[[#This Row],[税前应发总额]]*2%+3,2)</f>
        <v>81.540000000000006</v>
      </c>
      <c r="W105" s="62">
        <f ca="1">ROUND(表1_11[[#This Row],[税前应发总额]]*0.2%,2)</f>
        <v>7.85</v>
      </c>
      <c r="X105" s="62">
        <f ca="1">ROUND(表1_11[[#This Row],[税前应发总额]]*12%,2)</f>
        <v>471.22</v>
      </c>
      <c r="Y105" s="61">
        <f ca="1">ROUND(表1_11[[#This Row],[税前应发总额]]-SUM(表1_11[[#This Row],[养老保险]:[公积金]]),2)</f>
        <v>3052.05</v>
      </c>
      <c r="Z105" s="62">
        <f ca="1">ROUND(MAX((表1_11[[#This Row],[扣保险后工资金额]]-3500)*{3,10,20,25,30,35,45}%-{0,105,555,1005,2755,5505,13505},0),2)</f>
        <v>0</v>
      </c>
      <c r="AA105" s="63">
        <f ca="1">表1_11[[#This Row],[扣保险后工资金额]]-表1_11[[#This Row],[个人所得税]]</f>
        <v>3052.05</v>
      </c>
      <c r="AB105" s="53">
        <v>3296</v>
      </c>
      <c r="AC105" s="64">
        <f ca="1">(表1_11[[#This Row],[实发工资]]-表1_11[[#This Row],[上月对比]])/表1_11[[#This Row],[上月对比]]</f>
        <v>-7.4013956310679557E-2</v>
      </c>
      <c r="AD105" s="65" t="s">
        <v>1587</v>
      </c>
    </row>
    <row r="106" spans="1:30">
      <c r="A106" s="42" t="s">
        <v>577</v>
      </c>
      <c r="B106" s="42" t="s">
        <v>664</v>
      </c>
      <c r="C106" s="40" t="s">
        <v>675</v>
      </c>
      <c r="D106" s="40" t="s">
        <v>676</v>
      </c>
      <c r="E106" s="41" t="s">
        <v>1116</v>
      </c>
      <c r="F106" s="5" t="s">
        <v>102</v>
      </c>
      <c r="G106" s="25">
        <v>40859</v>
      </c>
      <c r="H106" s="5" t="s">
        <v>622</v>
      </c>
      <c r="I106" s="5">
        <f>VLOOKUP(MID(表1_11[[#This Row],[工资等级]],1,1),表12[],MATCH(MID(表1_11[[#This Row],[工资等级]],2,2),表12[[#Headers],[1]:[10]],0)+1,0)</f>
        <v>3600</v>
      </c>
      <c r="J106" s="5">
        <v>25.5</v>
      </c>
      <c r="K106" s="27">
        <v>1.0625</v>
      </c>
      <c r="L106" s="37">
        <f>IF(表1_11[[#This Row],[出勤率]]&gt;1,1,表1_11[[#This Row],[出勤率]])*表1_11[[#This Row],[岗位工资]]</f>
        <v>3600</v>
      </c>
      <c r="M106" s="5">
        <f>LOOKUP(表1_11[[#This Row],[岗位工资]],表13[lookup],表13[奖金比率])*表1_11[[#This Row],[岗位工资]]</f>
        <v>360</v>
      </c>
      <c r="N106" s="5">
        <v>95</v>
      </c>
      <c r="O106" s="38">
        <f>表1_11[[#This Row],[奖金等级]]*表1_11[[#This Row],[绩效得分]]/100</f>
        <v>342</v>
      </c>
      <c r="P106" s="5">
        <f>IF(表1_11[[#This Row],[出勤率]]&gt;=1,200,0)</f>
        <v>200</v>
      </c>
      <c r="Q106" s="23">
        <f t="shared" ca="1" si="1"/>
        <v>300</v>
      </c>
      <c r="R106" s="23">
        <f>IF(表1_11[[#This Row],[中心]]="营销中心",VLOOKUP(表1_11[[#This Row],[职位]],表2[[话费补贴]:[营销中心]],2,0),VLOOKUP(表1_11[[#This Row],[职位]],表2[],3,0))</f>
        <v>0</v>
      </c>
      <c r="S106" s="23">
        <v>200</v>
      </c>
      <c r="T106" s="61">
        <f ca="1">ROUND(SUM(表1_11[[#This Row],[基本工资]],表1_11[[#This Row],[奖金]],表1_11[[#This Row],[全勤奖]:[防暑降温补贴]]),2)</f>
        <v>4642</v>
      </c>
      <c r="U106" s="62">
        <f ca="1">ROUND(表1_11[[#This Row],[税前应发总额]]*8%,2)</f>
        <v>371.36</v>
      </c>
      <c r="V106" s="62">
        <f ca="1">ROUND(表1_11[[#This Row],[税前应发总额]]*2%+3,2)</f>
        <v>95.84</v>
      </c>
      <c r="W106" s="62">
        <f ca="1">ROUND(表1_11[[#This Row],[税前应发总额]]*0.2%,2)</f>
        <v>9.2799999999999994</v>
      </c>
      <c r="X106" s="62">
        <f ca="1">ROUND(表1_11[[#This Row],[税前应发总额]]*12%,2)</f>
        <v>557.04</v>
      </c>
      <c r="Y106" s="61">
        <f ca="1">ROUND(表1_11[[#This Row],[税前应发总额]]-SUM(表1_11[[#This Row],[养老保险]:[公积金]]),2)</f>
        <v>3608.48</v>
      </c>
      <c r="Z106" s="62">
        <f ca="1">ROUND(MAX((表1_11[[#This Row],[扣保险后工资金额]]-3500)*{3,10,20,25,30,35,45}%-{0,105,555,1005,2755,5505,13505},0),2)</f>
        <v>3.25</v>
      </c>
      <c r="AA106" s="63">
        <f ca="1">表1_11[[#This Row],[扣保险后工资金额]]-表1_11[[#This Row],[个人所得税]]</f>
        <v>3605.23</v>
      </c>
      <c r="AB106" s="53">
        <v>3784.42</v>
      </c>
      <c r="AC106" s="64">
        <f ca="1">(表1_11[[#This Row],[实发工资]]-表1_11[[#This Row],[上月对比]])/表1_11[[#This Row],[上月对比]]</f>
        <v>-4.7349395680183502E-2</v>
      </c>
      <c r="AD106" s="65" t="s">
        <v>1587</v>
      </c>
    </row>
    <row r="107" spans="1:30">
      <c r="A107" s="42" t="s">
        <v>577</v>
      </c>
      <c r="B107" s="42" t="s">
        <v>664</v>
      </c>
      <c r="C107" s="40" t="s">
        <v>675</v>
      </c>
      <c r="D107" s="40" t="s">
        <v>676</v>
      </c>
      <c r="E107" s="41" t="s">
        <v>1117</v>
      </c>
      <c r="F107" s="5" t="s">
        <v>103</v>
      </c>
      <c r="G107" s="25">
        <v>38443</v>
      </c>
      <c r="H107" s="5" t="s">
        <v>612</v>
      </c>
      <c r="I107" s="5">
        <f>VLOOKUP(MID(表1_11[[#This Row],[工资等级]],1,1),表12[],MATCH(MID(表1_11[[#This Row],[工资等级]],2,2),表12[[#Headers],[1]:[10]],0)+1,0)</f>
        <v>2700</v>
      </c>
      <c r="J107" s="5">
        <v>22.5</v>
      </c>
      <c r="K107" s="27">
        <v>0.9375</v>
      </c>
      <c r="L107" s="37">
        <f>IF(表1_11[[#This Row],[出勤率]]&gt;1,1,表1_11[[#This Row],[出勤率]])*表1_11[[#This Row],[岗位工资]]</f>
        <v>2531.25</v>
      </c>
      <c r="M107" s="5">
        <f>LOOKUP(表1_11[[#This Row],[岗位工资]],表13[lookup],表13[奖金比率])*表1_11[[#This Row],[岗位工资]]</f>
        <v>270</v>
      </c>
      <c r="N107" s="5">
        <v>91</v>
      </c>
      <c r="O107" s="38">
        <f>表1_11[[#This Row],[奖金等级]]*表1_11[[#This Row],[绩效得分]]/100</f>
        <v>245.7</v>
      </c>
      <c r="P107" s="5">
        <f>IF(表1_11[[#This Row],[出勤率]]&gt;=1,200,0)</f>
        <v>0</v>
      </c>
      <c r="Q107" s="23">
        <f t="shared" ca="1" si="1"/>
        <v>500</v>
      </c>
      <c r="R107" s="23">
        <f>IF(表1_11[[#This Row],[中心]]="营销中心",VLOOKUP(表1_11[[#This Row],[职位]],表2[[话费补贴]:[营销中心]],2,0),VLOOKUP(表1_11[[#This Row],[职位]],表2[],3,0))</f>
        <v>0</v>
      </c>
      <c r="S107" s="23">
        <v>200</v>
      </c>
      <c r="T107" s="61">
        <f ca="1">ROUND(SUM(表1_11[[#This Row],[基本工资]],表1_11[[#This Row],[奖金]],表1_11[[#This Row],[全勤奖]:[防暑降温补贴]]),2)</f>
        <v>3476.95</v>
      </c>
      <c r="U107" s="62">
        <f ca="1">ROUND(表1_11[[#This Row],[税前应发总额]]*8%,2)</f>
        <v>278.16000000000003</v>
      </c>
      <c r="V107" s="62">
        <f ca="1">ROUND(表1_11[[#This Row],[税前应发总额]]*2%+3,2)</f>
        <v>72.540000000000006</v>
      </c>
      <c r="W107" s="62">
        <f ca="1">ROUND(表1_11[[#This Row],[税前应发总额]]*0.2%,2)</f>
        <v>6.95</v>
      </c>
      <c r="X107" s="62">
        <f ca="1">ROUND(表1_11[[#This Row],[税前应发总额]]*12%,2)</f>
        <v>417.23</v>
      </c>
      <c r="Y107" s="61">
        <f ca="1">ROUND(表1_11[[#This Row],[税前应发总额]]-SUM(表1_11[[#This Row],[养老保险]:[公积金]]),2)</f>
        <v>2702.07</v>
      </c>
      <c r="Z107" s="62">
        <f ca="1">ROUND(MAX((表1_11[[#This Row],[扣保险后工资金额]]-3500)*{3,10,20,25,30,35,45}%-{0,105,555,1005,2755,5505,13505},0),2)</f>
        <v>0</v>
      </c>
      <c r="AA107" s="63">
        <f ca="1">表1_11[[#This Row],[扣保险后工资金额]]-表1_11[[#This Row],[个人所得税]]</f>
        <v>2702.07</v>
      </c>
      <c r="AB107" s="53">
        <v>2893.28</v>
      </c>
      <c r="AC107" s="64">
        <f ca="1">(表1_11[[#This Row],[实发工资]]-表1_11[[#This Row],[上月对比]])/表1_11[[#This Row],[上月对比]]</f>
        <v>-6.6087623734999726E-2</v>
      </c>
      <c r="AD107" s="65" t="s">
        <v>1587</v>
      </c>
    </row>
    <row r="108" spans="1:30">
      <c r="A108" s="42" t="s">
        <v>577</v>
      </c>
      <c r="B108" s="42" t="s">
        <v>664</v>
      </c>
      <c r="C108" s="40" t="s">
        <v>697</v>
      </c>
      <c r="D108" s="40" t="s">
        <v>698</v>
      </c>
      <c r="E108" s="41" t="s">
        <v>1118</v>
      </c>
      <c r="F108" s="5" t="s">
        <v>104</v>
      </c>
      <c r="G108" s="25">
        <v>39869</v>
      </c>
      <c r="H108" s="5" t="s">
        <v>610</v>
      </c>
      <c r="I108" s="5">
        <f>VLOOKUP(MID(表1_11[[#This Row],[工资等级]],1,1),表12[],MATCH(MID(表1_11[[#This Row],[工资等级]],2,2),表12[[#Headers],[1]:[10]],0)+1,0)</f>
        <v>3400</v>
      </c>
      <c r="J108" s="5">
        <v>21.5</v>
      </c>
      <c r="K108" s="27">
        <v>0.89583333333333337</v>
      </c>
      <c r="L108" s="37">
        <f>IF(表1_11[[#This Row],[出勤率]]&gt;1,1,表1_11[[#This Row],[出勤率]])*表1_11[[#This Row],[岗位工资]]</f>
        <v>3045.8333333333335</v>
      </c>
      <c r="M108" s="5">
        <f>LOOKUP(表1_11[[#This Row],[岗位工资]],表13[lookup],表13[奖金比率])*表1_11[[#This Row],[岗位工资]]</f>
        <v>340</v>
      </c>
      <c r="N108" s="5">
        <v>80</v>
      </c>
      <c r="O108" s="38">
        <f>表1_11[[#This Row],[奖金等级]]*表1_11[[#This Row],[绩效得分]]/100</f>
        <v>272</v>
      </c>
      <c r="P108" s="5">
        <f>IF(表1_11[[#This Row],[出勤率]]&gt;=1,200,0)</f>
        <v>0</v>
      </c>
      <c r="Q108" s="23">
        <f t="shared" ca="1" si="1"/>
        <v>450</v>
      </c>
      <c r="R108" s="23">
        <f>IF(表1_11[[#This Row],[中心]]="营销中心",VLOOKUP(表1_11[[#This Row],[职位]],表2[[话费补贴]:[营销中心]],2,0),VLOOKUP(表1_11[[#This Row],[职位]],表2[],3,0))</f>
        <v>0</v>
      </c>
      <c r="S108" s="23">
        <v>200</v>
      </c>
      <c r="T108" s="61">
        <f ca="1">ROUND(SUM(表1_11[[#This Row],[基本工资]],表1_11[[#This Row],[奖金]],表1_11[[#This Row],[全勤奖]:[防暑降温补贴]]),2)</f>
        <v>3967.83</v>
      </c>
      <c r="U108" s="62">
        <f ca="1">ROUND(表1_11[[#This Row],[税前应发总额]]*8%,2)</f>
        <v>317.43</v>
      </c>
      <c r="V108" s="62">
        <f ca="1">ROUND(表1_11[[#This Row],[税前应发总额]]*2%+3,2)</f>
        <v>82.36</v>
      </c>
      <c r="W108" s="62">
        <f ca="1">ROUND(表1_11[[#This Row],[税前应发总额]]*0.2%,2)</f>
        <v>7.94</v>
      </c>
      <c r="X108" s="62">
        <f ca="1">ROUND(表1_11[[#This Row],[税前应发总额]]*12%,2)</f>
        <v>476.14</v>
      </c>
      <c r="Y108" s="61">
        <f ca="1">ROUND(表1_11[[#This Row],[税前应发总额]]-SUM(表1_11[[#This Row],[养老保险]:[公积金]]),2)</f>
        <v>3083.96</v>
      </c>
      <c r="Z108" s="62">
        <f ca="1">ROUND(MAX((表1_11[[#This Row],[扣保险后工资金额]]-3500)*{3,10,20,25,30,35,45}%-{0,105,555,1005,2755,5505,13505},0),2)</f>
        <v>0</v>
      </c>
      <c r="AA108" s="63">
        <f ca="1">表1_11[[#This Row],[扣保险后工资金额]]-表1_11[[#This Row],[个人所得税]]</f>
        <v>3083.96</v>
      </c>
      <c r="AB108" s="53">
        <v>3199.88</v>
      </c>
      <c r="AC108" s="64">
        <f ca="1">(表1_11[[#This Row],[实发工资]]-表1_11[[#This Row],[上月对比]])/表1_11[[#This Row],[上月对比]]</f>
        <v>-3.6226358488443341E-2</v>
      </c>
      <c r="AD108" s="65" t="s">
        <v>1587</v>
      </c>
    </row>
    <row r="109" spans="1:30">
      <c r="A109" s="42" t="s">
        <v>577</v>
      </c>
      <c r="B109" s="42" t="s">
        <v>664</v>
      </c>
      <c r="C109" s="40" t="s">
        <v>695</v>
      </c>
      <c r="D109" s="40" t="s">
        <v>696</v>
      </c>
      <c r="E109" s="41" t="s">
        <v>1119</v>
      </c>
      <c r="F109" s="5" t="s">
        <v>105</v>
      </c>
      <c r="G109" s="25">
        <v>40370</v>
      </c>
      <c r="H109" s="5" t="s">
        <v>630</v>
      </c>
      <c r="I109" s="5">
        <f>VLOOKUP(MID(表1_11[[#This Row],[工资等级]],1,1),表12[],MATCH(MID(表1_11[[#This Row],[工资等级]],2,2),表12[[#Headers],[1]:[10]],0)+1,0)</f>
        <v>2600</v>
      </c>
      <c r="J109" s="5">
        <v>27.5</v>
      </c>
      <c r="K109" s="27">
        <v>1.1458333333333333</v>
      </c>
      <c r="L109" s="37">
        <f>IF(表1_11[[#This Row],[出勤率]]&gt;1,1,表1_11[[#This Row],[出勤率]])*表1_11[[#This Row],[岗位工资]]</f>
        <v>2600</v>
      </c>
      <c r="M109" s="5">
        <f>LOOKUP(表1_11[[#This Row],[岗位工资]],表13[lookup],表13[奖金比率])*表1_11[[#This Row],[岗位工资]]</f>
        <v>260</v>
      </c>
      <c r="N109" s="5">
        <v>80</v>
      </c>
      <c r="O109" s="38">
        <f>表1_11[[#This Row],[奖金等级]]*表1_11[[#This Row],[绩效得分]]/100</f>
        <v>208</v>
      </c>
      <c r="P109" s="5">
        <f>IF(表1_11[[#This Row],[出勤率]]&gt;=1,200,0)</f>
        <v>200</v>
      </c>
      <c r="Q109" s="23">
        <f t="shared" ca="1" si="1"/>
        <v>350</v>
      </c>
      <c r="R109" s="23">
        <f>IF(表1_11[[#This Row],[中心]]="营销中心",VLOOKUP(表1_11[[#This Row],[职位]],表2[[话费补贴]:[营销中心]],2,0),VLOOKUP(表1_11[[#This Row],[职位]],表2[],3,0))</f>
        <v>0</v>
      </c>
      <c r="S109" s="23">
        <v>200</v>
      </c>
      <c r="T109" s="61">
        <f ca="1">ROUND(SUM(表1_11[[#This Row],[基本工资]],表1_11[[#This Row],[奖金]],表1_11[[#This Row],[全勤奖]:[防暑降温补贴]]),2)</f>
        <v>3558</v>
      </c>
      <c r="U109" s="62">
        <f ca="1">ROUND(表1_11[[#This Row],[税前应发总额]]*8%,2)</f>
        <v>284.64</v>
      </c>
      <c r="V109" s="62">
        <f ca="1">ROUND(表1_11[[#This Row],[税前应发总额]]*2%+3,2)</f>
        <v>74.16</v>
      </c>
      <c r="W109" s="62">
        <f ca="1">ROUND(表1_11[[#This Row],[税前应发总额]]*0.2%,2)</f>
        <v>7.12</v>
      </c>
      <c r="X109" s="62">
        <f ca="1">ROUND(表1_11[[#This Row],[税前应发总额]]*12%,2)</f>
        <v>426.96</v>
      </c>
      <c r="Y109" s="61">
        <f ca="1">ROUND(表1_11[[#This Row],[税前应发总额]]-SUM(表1_11[[#This Row],[养老保险]:[公积金]]),2)</f>
        <v>2765.12</v>
      </c>
      <c r="Z109" s="62">
        <f ca="1">ROUND(MAX((表1_11[[#This Row],[扣保险后工资金额]]-3500)*{3,10,20,25,30,35,45}%-{0,105,555,1005,2755,5505,13505},0),2)</f>
        <v>0</v>
      </c>
      <c r="AA109" s="63">
        <f ca="1">表1_11[[#This Row],[扣保险后工资金额]]-表1_11[[#This Row],[个人所得税]]</f>
        <v>2765.12</v>
      </c>
      <c r="AB109" s="53">
        <v>2708.98</v>
      </c>
      <c r="AC109" s="64">
        <f ca="1">(表1_11[[#This Row],[实发工资]]-表1_11[[#This Row],[上月对比]])/表1_11[[#This Row],[上月对比]]</f>
        <v>2.0723667210536759E-2</v>
      </c>
      <c r="AD109" s="65" t="s">
        <v>1587</v>
      </c>
    </row>
    <row r="110" spans="1:30">
      <c r="A110" s="42" t="s">
        <v>577</v>
      </c>
      <c r="B110" s="42" t="s">
        <v>664</v>
      </c>
      <c r="C110" s="40" t="s">
        <v>695</v>
      </c>
      <c r="D110" s="40" t="s">
        <v>696</v>
      </c>
      <c r="E110" s="41" t="s">
        <v>1120</v>
      </c>
      <c r="F110" s="5" t="s">
        <v>106</v>
      </c>
      <c r="G110" s="25">
        <v>39484</v>
      </c>
      <c r="H110" s="5" t="s">
        <v>657</v>
      </c>
      <c r="I110" s="5">
        <f>VLOOKUP(MID(表1_11[[#This Row],[工资等级]],1,1),表12[],MATCH(MID(表1_11[[#This Row],[工资等级]],2,2),表12[[#Headers],[1]:[10]],0)+1,0)</f>
        <v>4000</v>
      </c>
      <c r="J110" s="5">
        <v>24.5</v>
      </c>
      <c r="K110" s="27">
        <v>1.0208333333333333</v>
      </c>
      <c r="L110" s="37">
        <f>IF(表1_11[[#This Row],[出勤率]]&gt;1,1,表1_11[[#This Row],[出勤率]])*表1_11[[#This Row],[岗位工资]]</f>
        <v>4000</v>
      </c>
      <c r="M110" s="5">
        <f>LOOKUP(表1_11[[#This Row],[岗位工资]],表13[lookup],表13[奖金比率])*表1_11[[#This Row],[岗位工资]]</f>
        <v>600</v>
      </c>
      <c r="N110" s="5">
        <v>99</v>
      </c>
      <c r="O110" s="38">
        <f>表1_11[[#This Row],[奖金等级]]*表1_11[[#This Row],[绩效得分]]/100</f>
        <v>594</v>
      </c>
      <c r="P110" s="5">
        <f>IF(表1_11[[#This Row],[出勤率]]&gt;=1,200,0)</f>
        <v>200</v>
      </c>
      <c r="Q110" s="23">
        <f t="shared" ca="1" si="1"/>
        <v>500</v>
      </c>
      <c r="R110" s="23">
        <f>IF(表1_11[[#This Row],[中心]]="营销中心",VLOOKUP(表1_11[[#This Row],[职位]],表2[[话费补贴]:[营销中心]],2,0),VLOOKUP(表1_11[[#This Row],[职位]],表2[],3,0))</f>
        <v>0</v>
      </c>
      <c r="S110" s="23">
        <v>200</v>
      </c>
      <c r="T110" s="61">
        <f ca="1">ROUND(SUM(表1_11[[#This Row],[基本工资]],表1_11[[#This Row],[奖金]],表1_11[[#This Row],[全勤奖]:[防暑降温补贴]]),2)</f>
        <v>5494</v>
      </c>
      <c r="U110" s="62">
        <f ca="1">ROUND(表1_11[[#This Row],[税前应发总额]]*8%,2)</f>
        <v>439.52</v>
      </c>
      <c r="V110" s="62">
        <f ca="1">ROUND(表1_11[[#This Row],[税前应发总额]]*2%+3,2)</f>
        <v>112.88</v>
      </c>
      <c r="W110" s="62">
        <f ca="1">ROUND(表1_11[[#This Row],[税前应发总额]]*0.2%,2)</f>
        <v>10.99</v>
      </c>
      <c r="X110" s="62">
        <f ca="1">ROUND(表1_11[[#This Row],[税前应发总额]]*12%,2)</f>
        <v>659.28</v>
      </c>
      <c r="Y110" s="61">
        <f ca="1">ROUND(表1_11[[#This Row],[税前应发总额]]-SUM(表1_11[[#This Row],[养老保险]:[公积金]]),2)</f>
        <v>4271.33</v>
      </c>
      <c r="Z110" s="62">
        <f ca="1">ROUND(MAX((表1_11[[#This Row],[扣保险后工资金额]]-3500)*{3,10,20,25,30,35,45}%-{0,105,555,1005,2755,5505,13505},0),2)</f>
        <v>23.14</v>
      </c>
      <c r="AA110" s="63">
        <f ca="1">表1_11[[#This Row],[扣保险后工资金额]]-表1_11[[#This Row],[个人所得税]]</f>
        <v>4248.1899999999996</v>
      </c>
      <c r="AB110" s="53">
        <v>4732.82</v>
      </c>
      <c r="AC110" s="64">
        <f ca="1">(表1_11[[#This Row],[实发工资]]-表1_11[[#This Row],[上月对比]])/表1_11[[#This Row],[上月对比]]</f>
        <v>-0.10239772482367809</v>
      </c>
      <c r="AD110" s="65" t="s">
        <v>1587</v>
      </c>
    </row>
    <row r="111" spans="1:30">
      <c r="A111" s="42" t="s">
        <v>577</v>
      </c>
      <c r="B111" s="42" t="s">
        <v>664</v>
      </c>
      <c r="C111" s="40" t="s">
        <v>695</v>
      </c>
      <c r="D111" s="40" t="s">
        <v>696</v>
      </c>
      <c r="E111" s="41" t="s">
        <v>1121</v>
      </c>
      <c r="F111" s="5" t="s">
        <v>107</v>
      </c>
      <c r="G111" s="25">
        <v>42565</v>
      </c>
      <c r="H111" s="5" t="s">
        <v>624</v>
      </c>
      <c r="I111" s="5">
        <f>VLOOKUP(MID(表1_11[[#This Row],[工资等级]],1,1),表12[],MATCH(MID(表1_11[[#This Row],[工资等级]],2,2),表12[[#Headers],[1]:[10]],0)+1,0)</f>
        <v>2800</v>
      </c>
      <c r="J111" s="5">
        <v>22</v>
      </c>
      <c r="K111" s="27">
        <v>0.91666666666666663</v>
      </c>
      <c r="L111" s="37">
        <f>IF(表1_11[[#This Row],[出勤率]]&gt;1,1,表1_11[[#This Row],[出勤率]])*表1_11[[#This Row],[岗位工资]]</f>
        <v>2566.6666666666665</v>
      </c>
      <c r="M111" s="5">
        <f>LOOKUP(表1_11[[#This Row],[岗位工资]],表13[lookup],表13[奖金比率])*表1_11[[#This Row],[岗位工资]]</f>
        <v>280</v>
      </c>
      <c r="N111" s="5">
        <v>92</v>
      </c>
      <c r="O111" s="38">
        <f>表1_11[[#This Row],[奖金等级]]*表1_11[[#This Row],[绩效得分]]/100</f>
        <v>257.60000000000002</v>
      </c>
      <c r="P111" s="5">
        <f>IF(表1_11[[#This Row],[出勤率]]&gt;=1,200,0)</f>
        <v>0</v>
      </c>
      <c r="Q111" s="23">
        <f t="shared" ca="1" si="1"/>
        <v>50</v>
      </c>
      <c r="R111" s="23">
        <f>IF(表1_11[[#This Row],[中心]]="营销中心",VLOOKUP(表1_11[[#This Row],[职位]],表2[[话费补贴]:[营销中心]],2,0),VLOOKUP(表1_11[[#This Row],[职位]],表2[],3,0))</f>
        <v>0</v>
      </c>
      <c r="S111" s="23">
        <v>200</v>
      </c>
      <c r="T111" s="61">
        <f ca="1">ROUND(SUM(表1_11[[#This Row],[基本工资]],表1_11[[#This Row],[奖金]],表1_11[[#This Row],[全勤奖]:[防暑降温补贴]]),2)</f>
        <v>3074.27</v>
      </c>
      <c r="U111" s="62">
        <f ca="1">ROUND(表1_11[[#This Row],[税前应发总额]]*8%,2)</f>
        <v>245.94</v>
      </c>
      <c r="V111" s="62">
        <f ca="1">ROUND(表1_11[[#This Row],[税前应发总额]]*2%+3,2)</f>
        <v>64.489999999999995</v>
      </c>
      <c r="W111" s="62">
        <f ca="1">ROUND(表1_11[[#This Row],[税前应发总额]]*0.2%,2)</f>
        <v>6.15</v>
      </c>
      <c r="X111" s="62">
        <f ca="1">ROUND(表1_11[[#This Row],[税前应发总额]]*12%,2)</f>
        <v>368.91</v>
      </c>
      <c r="Y111" s="61">
        <f ca="1">ROUND(表1_11[[#This Row],[税前应发总额]]-SUM(表1_11[[#This Row],[养老保险]:[公积金]]),2)</f>
        <v>2388.7800000000002</v>
      </c>
      <c r="Z111" s="62">
        <f ca="1">ROUND(MAX((表1_11[[#This Row],[扣保险后工资金额]]-3500)*{3,10,20,25,30,35,45}%-{0,105,555,1005,2755,5505,13505},0),2)</f>
        <v>0</v>
      </c>
      <c r="AA111" s="63">
        <f ca="1">表1_11[[#This Row],[扣保险后工资金额]]-表1_11[[#This Row],[个人所得税]]</f>
        <v>2388.7800000000002</v>
      </c>
      <c r="AB111" s="53">
        <v>2460.52</v>
      </c>
      <c r="AC111" s="64">
        <f ca="1">(表1_11[[#This Row],[实发工资]]-表1_11[[#This Row],[上月对比]])/表1_11[[#This Row],[上月对比]]</f>
        <v>-2.9156438476419529E-2</v>
      </c>
      <c r="AD111" s="65" t="s">
        <v>1587</v>
      </c>
    </row>
    <row r="112" spans="1:30">
      <c r="A112" s="42" t="s">
        <v>577</v>
      </c>
      <c r="B112" s="42" t="s">
        <v>664</v>
      </c>
      <c r="C112" s="40" t="s">
        <v>699</v>
      </c>
      <c r="D112" s="40" t="s">
        <v>700</v>
      </c>
      <c r="E112" s="41" t="s">
        <v>1122</v>
      </c>
      <c r="F112" s="5" t="s">
        <v>108</v>
      </c>
      <c r="G112" s="25">
        <v>40387</v>
      </c>
      <c r="H112" s="5" t="s">
        <v>623</v>
      </c>
      <c r="I112" s="5">
        <f>VLOOKUP(MID(表1_11[[#This Row],[工资等级]],1,1),表12[],MATCH(MID(表1_11[[#This Row],[工资等级]],2,2),表12[[#Headers],[1]:[10]],0)+1,0)</f>
        <v>3800</v>
      </c>
      <c r="J112" s="5">
        <v>23.5</v>
      </c>
      <c r="K112" s="27">
        <v>0.97916666666666663</v>
      </c>
      <c r="L112" s="37">
        <f>IF(表1_11[[#This Row],[出勤率]]&gt;1,1,表1_11[[#This Row],[出勤率]])*表1_11[[#This Row],[岗位工资]]</f>
        <v>3720.833333333333</v>
      </c>
      <c r="M112" s="5">
        <f>LOOKUP(表1_11[[#This Row],[岗位工资]],表13[lookup],表13[奖金比率])*表1_11[[#This Row],[岗位工资]]</f>
        <v>380</v>
      </c>
      <c r="N112" s="5">
        <v>95</v>
      </c>
      <c r="O112" s="38">
        <f>表1_11[[#This Row],[奖金等级]]*表1_11[[#This Row],[绩效得分]]/100</f>
        <v>361</v>
      </c>
      <c r="P112" s="5">
        <f>IF(表1_11[[#This Row],[出勤率]]&gt;=1,200,0)</f>
        <v>0</v>
      </c>
      <c r="Q112" s="23">
        <f t="shared" ca="1" si="1"/>
        <v>350</v>
      </c>
      <c r="R112" s="23">
        <f>IF(表1_11[[#This Row],[中心]]="营销中心",VLOOKUP(表1_11[[#This Row],[职位]],表2[[话费补贴]:[营销中心]],2,0),VLOOKUP(表1_11[[#This Row],[职位]],表2[],3,0))</f>
        <v>0</v>
      </c>
      <c r="S112" s="23">
        <v>200</v>
      </c>
      <c r="T112" s="61">
        <f ca="1">ROUND(SUM(表1_11[[#This Row],[基本工资]],表1_11[[#This Row],[奖金]],表1_11[[#This Row],[全勤奖]:[防暑降温补贴]]),2)</f>
        <v>4631.83</v>
      </c>
      <c r="U112" s="62">
        <f ca="1">ROUND(表1_11[[#This Row],[税前应发总额]]*8%,2)</f>
        <v>370.55</v>
      </c>
      <c r="V112" s="62">
        <f ca="1">ROUND(表1_11[[#This Row],[税前应发总额]]*2%+3,2)</f>
        <v>95.64</v>
      </c>
      <c r="W112" s="62">
        <f ca="1">ROUND(表1_11[[#This Row],[税前应发总额]]*0.2%,2)</f>
        <v>9.26</v>
      </c>
      <c r="X112" s="62">
        <f ca="1">ROUND(表1_11[[#This Row],[税前应发总额]]*12%,2)</f>
        <v>555.82000000000005</v>
      </c>
      <c r="Y112" s="61">
        <f ca="1">ROUND(表1_11[[#This Row],[税前应发总额]]-SUM(表1_11[[#This Row],[养老保险]:[公积金]]),2)</f>
        <v>3600.56</v>
      </c>
      <c r="Z112" s="62">
        <f ca="1">ROUND(MAX((表1_11[[#This Row],[扣保险后工资金额]]-3500)*{3,10,20,25,30,35,45}%-{0,105,555,1005,2755,5505,13505},0),2)</f>
        <v>3.02</v>
      </c>
      <c r="AA112" s="63">
        <f ca="1">表1_11[[#This Row],[扣保险后工资金额]]-表1_11[[#This Row],[个人所得税]]</f>
        <v>3597.54</v>
      </c>
      <c r="AB112" s="53">
        <v>4207.3500000000004</v>
      </c>
      <c r="AC112" s="64">
        <f ca="1">(表1_11[[#This Row],[实发工资]]-表1_11[[#This Row],[上月对比]])/表1_11[[#This Row],[上月对比]]</f>
        <v>-0.14493921351919864</v>
      </c>
      <c r="AD112" s="65" t="s">
        <v>1587</v>
      </c>
    </row>
    <row r="113" spans="1:30">
      <c r="A113" s="42" t="s">
        <v>577</v>
      </c>
      <c r="B113" s="42" t="s">
        <v>664</v>
      </c>
      <c r="C113" s="40" t="s">
        <v>695</v>
      </c>
      <c r="D113" s="40" t="s">
        <v>696</v>
      </c>
      <c r="E113" s="41" t="s">
        <v>1123</v>
      </c>
      <c r="F113" s="5" t="s">
        <v>109</v>
      </c>
      <c r="G113" s="25">
        <v>41555</v>
      </c>
      <c r="H113" s="5" t="s">
        <v>615</v>
      </c>
      <c r="I113" s="5">
        <f>VLOOKUP(MID(表1_11[[#This Row],[工资等级]],1,1),表12[],MATCH(MID(表1_11[[#This Row],[工资等级]],2,2),表12[[#Headers],[1]:[10]],0)+1,0)</f>
        <v>3200</v>
      </c>
      <c r="J113" s="5">
        <v>21</v>
      </c>
      <c r="K113" s="27">
        <v>0.875</v>
      </c>
      <c r="L113" s="37">
        <f>IF(表1_11[[#This Row],[出勤率]]&gt;1,1,表1_11[[#This Row],[出勤率]])*表1_11[[#This Row],[岗位工资]]</f>
        <v>2800</v>
      </c>
      <c r="M113" s="5">
        <f>LOOKUP(表1_11[[#This Row],[岗位工资]],表13[lookup],表13[奖金比率])*表1_11[[#This Row],[岗位工资]]</f>
        <v>320</v>
      </c>
      <c r="N113" s="5">
        <v>96</v>
      </c>
      <c r="O113" s="38">
        <f>表1_11[[#This Row],[奖金等级]]*表1_11[[#This Row],[绩效得分]]/100</f>
        <v>307.2</v>
      </c>
      <c r="P113" s="5">
        <f>IF(表1_11[[#This Row],[出勤率]]&gt;=1,200,0)</f>
        <v>0</v>
      </c>
      <c r="Q113" s="23">
        <f t="shared" ca="1" si="1"/>
        <v>200</v>
      </c>
      <c r="R113" s="23">
        <f>IF(表1_11[[#This Row],[中心]]="营销中心",VLOOKUP(表1_11[[#This Row],[职位]],表2[[话费补贴]:[营销中心]],2,0),VLOOKUP(表1_11[[#This Row],[职位]],表2[],3,0))</f>
        <v>0</v>
      </c>
      <c r="S113" s="23">
        <v>200</v>
      </c>
      <c r="T113" s="61">
        <f ca="1">ROUND(SUM(表1_11[[#This Row],[基本工资]],表1_11[[#This Row],[奖金]],表1_11[[#This Row],[全勤奖]:[防暑降温补贴]]),2)</f>
        <v>3507.2</v>
      </c>
      <c r="U113" s="62">
        <f ca="1">ROUND(表1_11[[#This Row],[税前应发总额]]*8%,2)</f>
        <v>280.58</v>
      </c>
      <c r="V113" s="62">
        <f ca="1">ROUND(表1_11[[#This Row],[税前应发总额]]*2%+3,2)</f>
        <v>73.14</v>
      </c>
      <c r="W113" s="62">
        <f ca="1">ROUND(表1_11[[#This Row],[税前应发总额]]*0.2%,2)</f>
        <v>7.01</v>
      </c>
      <c r="X113" s="62">
        <f ca="1">ROUND(表1_11[[#This Row],[税前应发总额]]*12%,2)</f>
        <v>420.86</v>
      </c>
      <c r="Y113" s="61">
        <f ca="1">ROUND(表1_11[[#This Row],[税前应发总额]]-SUM(表1_11[[#This Row],[养老保险]:[公积金]]),2)</f>
        <v>2725.61</v>
      </c>
      <c r="Z113" s="62">
        <f ca="1">ROUND(MAX((表1_11[[#This Row],[扣保险后工资金额]]-3500)*{3,10,20,25,30,35,45}%-{0,105,555,1005,2755,5505,13505},0),2)</f>
        <v>0</v>
      </c>
      <c r="AA113" s="63">
        <f ca="1">表1_11[[#This Row],[扣保险后工资金额]]-表1_11[[#This Row],[个人所得税]]</f>
        <v>2725.61</v>
      </c>
      <c r="AB113" s="53">
        <v>2466.2199999999998</v>
      </c>
      <c r="AC113" s="64">
        <f ca="1">(表1_11[[#This Row],[实发工资]]-表1_11[[#This Row],[上月对比]])/表1_11[[#This Row],[上月对比]]</f>
        <v>0.10517715370080542</v>
      </c>
      <c r="AD113" s="65" t="s">
        <v>1587</v>
      </c>
    </row>
    <row r="114" spans="1:30">
      <c r="A114" s="42" t="s">
        <v>577</v>
      </c>
      <c r="B114" s="42" t="s">
        <v>664</v>
      </c>
      <c r="C114" s="40" t="s">
        <v>699</v>
      </c>
      <c r="D114" s="40" t="s">
        <v>700</v>
      </c>
      <c r="E114" s="41" t="s">
        <v>1124</v>
      </c>
      <c r="F114" s="5" t="s">
        <v>110</v>
      </c>
      <c r="G114" s="25">
        <v>38244</v>
      </c>
      <c r="H114" s="5" t="s">
        <v>623</v>
      </c>
      <c r="I114" s="5">
        <f>VLOOKUP(MID(表1_11[[#This Row],[工资等级]],1,1),表12[],MATCH(MID(表1_11[[#This Row],[工资等级]],2,2),表12[[#Headers],[1]:[10]],0)+1,0)</f>
        <v>3800</v>
      </c>
      <c r="J114" s="5">
        <v>25</v>
      </c>
      <c r="K114" s="27">
        <v>1.0416666666666667</v>
      </c>
      <c r="L114" s="37">
        <f>IF(表1_11[[#This Row],[出勤率]]&gt;1,1,表1_11[[#This Row],[出勤率]])*表1_11[[#This Row],[岗位工资]]</f>
        <v>3800</v>
      </c>
      <c r="M114" s="5">
        <f>LOOKUP(表1_11[[#This Row],[岗位工资]],表13[lookup],表13[奖金比率])*表1_11[[#This Row],[岗位工资]]</f>
        <v>380</v>
      </c>
      <c r="N114" s="5">
        <v>95</v>
      </c>
      <c r="O114" s="38">
        <f>表1_11[[#This Row],[奖金等级]]*表1_11[[#This Row],[绩效得分]]/100</f>
        <v>361</v>
      </c>
      <c r="P114" s="5">
        <f>IF(表1_11[[#This Row],[出勤率]]&gt;=1,200,0)</f>
        <v>200</v>
      </c>
      <c r="Q114" s="23">
        <f t="shared" ca="1" si="1"/>
        <v>500</v>
      </c>
      <c r="R114" s="23">
        <f>IF(表1_11[[#This Row],[中心]]="营销中心",VLOOKUP(表1_11[[#This Row],[职位]],表2[[话费补贴]:[营销中心]],2,0),VLOOKUP(表1_11[[#This Row],[职位]],表2[],3,0))</f>
        <v>0</v>
      </c>
      <c r="S114" s="23">
        <v>200</v>
      </c>
      <c r="T114" s="61">
        <f ca="1">ROUND(SUM(表1_11[[#This Row],[基本工资]],表1_11[[#This Row],[奖金]],表1_11[[#This Row],[全勤奖]:[防暑降温补贴]]),2)</f>
        <v>5061</v>
      </c>
      <c r="U114" s="62">
        <f ca="1">ROUND(表1_11[[#This Row],[税前应发总额]]*8%,2)</f>
        <v>404.88</v>
      </c>
      <c r="V114" s="62">
        <f ca="1">ROUND(表1_11[[#This Row],[税前应发总额]]*2%+3,2)</f>
        <v>104.22</v>
      </c>
      <c r="W114" s="62">
        <f ca="1">ROUND(表1_11[[#This Row],[税前应发总额]]*0.2%,2)</f>
        <v>10.119999999999999</v>
      </c>
      <c r="X114" s="62">
        <f ca="1">ROUND(表1_11[[#This Row],[税前应发总额]]*12%,2)</f>
        <v>607.32000000000005</v>
      </c>
      <c r="Y114" s="61">
        <f ca="1">ROUND(表1_11[[#This Row],[税前应发总额]]-SUM(表1_11[[#This Row],[养老保险]:[公积金]]),2)</f>
        <v>3934.46</v>
      </c>
      <c r="Z114" s="62">
        <f ca="1">ROUND(MAX((表1_11[[#This Row],[扣保险后工资金额]]-3500)*{3,10,20,25,30,35,45}%-{0,105,555,1005,2755,5505,13505},0),2)</f>
        <v>13.03</v>
      </c>
      <c r="AA114" s="63">
        <f ca="1">表1_11[[#This Row],[扣保险后工资金额]]-表1_11[[#This Row],[个人所得税]]</f>
        <v>3921.43</v>
      </c>
      <c r="AB114" s="53">
        <v>3966.43</v>
      </c>
      <c r="AC114" s="64">
        <f ca="1">(表1_11[[#This Row],[实发工资]]-表1_11[[#This Row],[上月对比]])/表1_11[[#This Row],[上月对比]]</f>
        <v>-1.134521471449137E-2</v>
      </c>
      <c r="AD114" s="65" t="s">
        <v>1587</v>
      </c>
    </row>
    <row r="115" spans="1:30">
      <c r="A115" s="42" t="s">
        <v>577</v>
      </c>
      <c r="B115" s="42" t="s">
        <v>664</v>
      </c>
      <c r="C115" s="40" t="s">
        <v>675</v>
      </c>
      <c r="D115" s="40" t="s">
        <v>676</v>
      </c>
      <c r="E115" s="41" t="s">
        <v>1125</v>
      </c>
      <c r="F115" s="5" t="s">
        <v>111</v>
      </c>
      <c r="G115" s="25">
        <v>42551</v>
      </c>
      <c r="H115" s="5" t="s">
        <v>630</v>
      </c>
      <c r="I115" s="5">
        <f>VLOOKUP(MID(表1_11[[#This Row],[工资等级]],1,1),表12[],MATCH(MID(表1_11[[#This Row],[工资等级]],2,2),表12[[#Headers],[1]:[10]],0)+1,0)</f>
        <v>2600</v>
      </c>
      <c r="J115" s="5">
        <v>23.5</v>
      </c>
      <c r="K115" s="27">
        <v>0.97916666666666663</v>
      </c>
      <c r="L115" s="37">
        <f>IF(表1_11[[#This Row],[出勤率]]&gt;1,1,表1_11[[#This Row],[出勤率]])*表1_11[[#This Row],[岗位工资]]</f>
        <v>2545.833333333333</v>
      </c>
      <c r="M115" s="5">
        <f>LOOKUP(表1_11[[#This Row],[岗位工资]],表13[lookup],表13[奖金比率])*表1_11[[#This Row],[岗位工资]]</f>
        <v>260</v>
      </c>
      <c r="N115" s="5">
        <v>98</v>
      </c>
      <c r="O115" s="38">
        <f>表1_11[[#This Row],[奖金等级]]*表1_11[[#This Row],[绩效得分]]/100</f>
        <v>254.8</v>
      </c>
      <c r="P115" s="5">
        <f>IF(表1_11[[#This Row],[出勤率]]&gt;=1,200,0)</f>
        <v>0</v>
      </c>
      <c r="Q115" s="23">
        <f t="shared" ca="1" si="1"/>
        <v>50</v>
      </c>
      <c r="R115" s="23">
        <f>IF(表1_11[[#This Row],[中心]]="营销中心",VLOOKUP(表1_11[[#This Row],[职位]],表2[[话费补贴]:[营销中心]],2,0),VLOOKUP(表1_11[[#This Row],[职位]],表2[],3,0))</f>
        <v>0</v>
      </c>
      <c r="S115" s="23">
        <v>200</v>
      </c>
      <c r="T115" s="61">
        <f ca="1">ROUND(SUM(表1_11[[#This Row],[基本工资]],表1_11[[#This Row],[奖金]],表1_11[[#This Row],[全勤奖]:[防暑降温补贴]]),2)</f>
        <v>3050.63</v>
      </c>
      <c r="U115" s="62">
        <f ca="1">ROUND(表1_11[[#This Row],[税前应发总额]]*8%,2)</f>
        <v>244.05</v>
      </c>
      <c r="V115" s="62">
        <f ca="1">ROUND(表1_11[[#This Row],[税前应发总额]]*2%+3,2)</f>
        <v>64.010000000000005</v>
      </c>
      <c r="W115" s="62">
        <f ca="1">ROUND(表1_11[[#This Row],[税前应发总额]]*0.2%,2)</f>
        <v>6.1</v>
      </c>
      <c r="X115" s="62">
        <f ca="1">ROUND(表1_11[[#This Row],[税前应发总额]]*12%,2)</f>
        <v>366.08</v>
      </c>
      <c r="Y115" s="61">
        <f ca="1">ROUND(表1_11[[#This Row],[税前应发总额]]-SUM(表1_11[[#This Row],[养老保险]:[公积金]]),2)</f>
        <v>2370.39</v>
      </c>
      <c r="Z115" s="62">
        <f ca="1">ROUND(MAX((表1_11[[#This Row],[扣保险后工资金额]]-3500)*{3,10,20,25,30,35,45}%-{0,105,555,1005,2755,5505,13505},0),2)</f>
        <v>0</v>
      </c>
      <c r="AA115" s="63">
        <f ca="1">表1_11[[#This Row],[扣保险后工资金额]]-表1_11[[#This Row],[个人所得税]]</f>
        <v>2370.39</v>
      </c>
      <c r="AB115" s="53">
        <v>2454.2199999999998</v>
      </c>
      <c r="AC115" s="64">
        <f ca="1">(表1_11[[#This Row],[实发工资]]-表1_11[[#This Row],[上月对比]])/表1_11[[#This Row],[上月对比]]</f>
        <v>-3.4157491993382798E-2</v>
      </c>
      <c r="AD115" s="65" t="s">
        <v>1587</v>
      </c>
    </row>
    <row r="116" spans="1:30">
      <c r="A116" s="42" t="s">
        <v>577</v>
      </c>
      <c r="B116" s="42" t="s">
        <v>664</v>
      </c>
      <c r="C116" s="40" t="s">
        <v>699</v>
      </c>
      <c r="D116" s="40" t="s">
        <v>700</v>
      </c>
      <c r="E116" s="41" t="s">
        <v>1126</v>
      </c>
      <c r="F116" s="5" t="s">
        <v>112</v>
      </c>
      <c r="G116" s="25">
        <v>38557</v>
      </c>
      <c r="H116" s="5" t="s">
        <v>623</v>
      </c>
      <c r="I116" s="5">
        <f>VLOOKUP(MID(表1_11[[#This Row],[工资等级]],1,1),表12[],MATCH(MID(表1_11[[#This Row],[工资等级]],2,2),表12[[#Headers],[1]:[10]],0)+1,0)</f>
        <v>3800</v>
      </c>
      <c r="J116" s="5">
        <v>21</v>
      </c>
      <c r="K116" s="27">
        <v>0.875</v>
      </c>
      <c r="L116" s="37">
        <f>IF(表1_11[[#This Row],[出勤率]]&gt;1,1,表1_11[[#This Row],[出勤率]])*表1_11[[#This Row],[岗位工资]]</f>
        <v>3325</v>
      </c>
      <c r="M116" s="5">
        <f>LOOKUP(表1_11[[#This Row],[岗位工资]],表13[lookup],表13[奖金比率])*表1_11[[#This Row],[岗位工资]]</f>
        <v>380</v>
      </c>
      <c r="N116" s="5">
        <v>97</v>
      </c>
      <c r="O116" s="38">
        <f>表1_11[[#This Row],[奖金等级]]*表1_11[[#This Row],[绩效得分]]/100</f>
        <v>368.6</v>
      </c>
      <c r="P116" s="5">
        <f>IF(表1_11[[#This Row],[出勤率]]&gt;=1,200,0)</f>
        <v>0</v>
      </c>
      <c r="Q116" s="23">
        <f t="shared" ca="1" si="1"/>
        <v>500</v>
      </c>
      <c r="R116" s="23">
        <f>IF(表1_11[[#This Row],[中心]]="营销中心",VLOOKUP(表1_11[[#This Row],[职位]],表2[[话费补贴]:[营销中心]],2,0),VLOOKUP(表1_11[[#This Row],[职位]],表2[],3,0))</f>
        <v>0</v>
      </c>
      <c r="S116" s="23">
        <v>200</v>
      </c>
      <c r="T116" s="61">
        <f ca="1">ROUND(SUM(表1_11[[#This Row],[基本工资]],表1_11[[#This Row],[奖金]],表1_11[[#This Row],[全勤奖]:[防暑降温补贴]]),2)</f>
        <v>4393.6000000000004</v>
      </c>
      <c r="U116" s="62">
        <f ca="1">ROUND(表1_11[[#This Row],[税前应发总额]]*8%,2)</f>
        <v>351.49</v>
      </c>
      <c r="V116" s="62">
        <f ca="1">ROUND(表1_11[[#This Row],[税前应发总额]]*2%+3,2)</f>
        <v>90.87</v>
      </c>
      <c r="W116" s="62">
        <f ca="1">ROUND(表1_11[[#This Row],[税前应发总额]]*0.2%,2)</f>
        <v>8.7899999999999991</v>
      </c>
      <c r="X116" s="62">
        <f ca="1">ROUND(表1_11[[#This Row],[税前应发总额]]*12%,2)</f>
        <v>527.23</v>
      </c>
      <c r="Y116" s="61">
        <f ca="1">ROUND(表1_11[[#This Row],[税前应发总额]]-SUM(表1_11[[#This Row],[养老保险]:[公积金]]),2)</f>
        <v>3415.22</v>
      </c>
      <c r="Z116" s="62">
        <f ca="1">ROUND(MAX((表1_11[[#This Row],[扣保险后工资金额]]-3500)*{3,10,20,25,30,35,45}%-{0,105,555,1005,2755,5505,13505},0),2)</f>
        <v>0</v>
      </c>
      <c r="AA116" s="63">
        <f ca="1">表1_11[[#This Row],[扣保险后工资金额]]-表1_11[[#This Row],[个人所得税]]</f>
        <v>3415.22</v>
      </c>
      <c r="AB116" s="53">
        <v>3499.4</v>
      </c>
      <c r="AC116" s="64">
        <f ca="1">(表1_11[[#This Row],[实发工资]]-表1_11[[#This Row],[上月对比]])/表1_11[[#This Row],[上月对比]]</f>
        <v>-2.4055552380408154E-2</v>
      </c>
      <c r="AD116" s="65" t="s">
        <v>1587</v>
      </c>
    </row>
    <row r="117" spans="1:30">
      <c r="A117" s="42" t="s">
        <v>577</v>
      </c>
      <c r="B117" s="42" t="s">
        <v>664</v>
      </c>
      <c r="C117" s="40" t="s">
        <v>697</v>
      </c>
      <c r="D117" s="40" t="s">
        <v>698</v>
      </c>
      <c r="E117" s="41" t="s">
        <v>1127</v>
      </c>
      <c r="F117" s="5" t="s">
        <v>113</v>
      </c>
      <c r="G117" s="25">
        <v>40751</v>
      </c>
      <c r="H117" s="5" t="s">
        <v>622</v>
      </c>
      <c r="I117" s="5">
        <f>VLOOKUP(MID(表1_11[[#This Row],[工资等级]],1,1),表12[],MATCH(MID(表1_11[[#This Row],[工资等级]],2,2),表12[[#Headers],[1]:[10]],0)+1,0)</f>
        <v>3600</v>
      </c>
      <c r="J117" s="5">
        <v>25</v>
      </c>
      <c r="K117" s="27">
        <v>1.0416666666666667</v>
      </c>
      <c r="L117" s="37">
        <f>IF(表1_11[[#This Row],[出勤率]]&gt;1,1,表1_11[[#This Row],[出勤率]])*表1_11[[#This Row],[岗位工资]]</f>
        <v>3600</v>
      </c>
      <c r="M117" s="5">
        <f>LOOKUP(表1_11[[#This Row],[岗位工资]],表13[lookup],表13[奖金比率])*表1_11[[#This Row],[岗位工资]]</f>
        <v>360</v>
      </c>
      <c r="N117" s="5">
        <v>85</v>
      </c>
      <c r="O117" s="38">
        <f>表1_11[[#This Row],[奖金等级]]*表1_11[[#This Row],[绩效得分]]/100</f>
        <v>306</v>
      </c>
      <c r="P117" s="5">
        <f>IF(表1_11[[#This Row],[出勤率]]&gt;=1,200,0)</f>
        <v>200</v>
      </c>
      <c r="Q117" s="23">
        <f t="shared" ca="1" si="1"/>
        <v>300</v>
      </c>
      <c r="R117" s="23">
        <f>IF(表1_11[[#This Row],[中心]]="营销中心",VLOOKUP(表1_11[[#This Row],[职位]],表2[[话费补贴]:[营销中心]],2,0),VLOOKUP(表1_11[[#This Row],[职位]],表2[],3,0))</f>
        <v>0</v>
      </c>
      <c r="S117" s="23">
        <v>200</v>
      </c>
      <c r="T117" s="61">
        <f ca="1">ROUND(SUM(表1_11[[#This Row],[基本工资]],表1_11[[#This Row],[奖金]],表1_11[[#This Row],[全勤奖]:[防暑降温补贴]]),2)</f>
        <v>4606</v>
      </c>
      <c r="U117" s="62">
        <f ca="1">ROUND(表1_11[[#This Row],[税前应发总额]]*8%,2)</f>
        <v>368.48</v>
      </c>
      <c r="V117" s="62">
        <f ca="1">ROUND(表1_11[[#This Row],[税前应发总额]]*2%+3,2)</f>
        <v>95.12</v>
      </c>
      <c r="W117" s="62">
        <f ca="1">ROUND(表1_11[[#This Row],[税前应发总额]]*0.2%,2)</f>
        <v>9.2100000000000009</v>
      </c>
      <c r="X117" s="62">
        <f ca="1">ROUND(表1_11[[#This Row],[税前应发总额]]*12%,2)</f>
        <v>552.72</v>
      </c>
      <c r="Y117" s="61">
        <f ca="1">ROUND(表1_11[[#This Row],[税前应发总额]]-SUM(表1_11[[#This Row],[养老保险]:[公积金]]),2)</f>
        <v>3580.47</v>
      </c>
      <c r="Z117" s="62">
        <f ca="1">ROUND(MAX((表1_11[[#This Row],[扣保险后工资金额]]-3500)*{3,10,20,25,30,35,45}%-{0,105,555,1005,2755,5505,13505},0),2)</f>
        <v>2.41</v>
      </c>
      <c r="AA117" s="63">
        <f ca="1">表1_11[[#This Row],[扣保险后工资金额]]-表1_11[[#This Row],[个人所得税]]</f>
        <v>3578.06</v>
      </c>
      <c r="AB117" s="53">
        <v>3460.47</v>
      </c>
      <c r="AC117" s="64">
        <f ca="1">(表1_11[[#This Row],[实发工资]]-表1_11[[#This Row],[上月对比]])/表1_11[[#This Row],[上月对比]]</f>
        <v>3.398093322583353E-2</v>
      </c>
      <c r="AD117" s="65" t="s">
        <v>1587</v>
      </c>
    </row>
    <row r="118" spans="1:30">
      <c r="A118" s="42" t="s">
        <v>577</v>
      </c>
      <c r="B118" s="42" t="s">
        <v>664</v>
      </c>
      <c r="C118" s="40" t="s">
        <v>697</v>
      </c>
      <c r="D118" s="40" t="s">
        <v>698</v>
      </c>
      <c r="E118" s="41" t="s">
        <v>1128</v>
      </c>
      <c r="F118" s="5" t="s">
        <v>114</v>
      </c>
      <c r="G118" s="25">
        <v>40251</v>
      </c>
      <c r="H118" s="5" t="s">
        <v>622</v>
      </c>
      <c r="I118" s="5">
        <f>VLOOKUP(MID(表1_11[[#This Row],[工资等级]],1,1),表12[],MATCH(MID(表1_11[[#This Row],[工资等级]],2,2),表12[[#Headers],[1]:[10]],0)+1,0)</f>
        <v>3600</v>
      </c>
      <c r="J118" s="5">
        <v>24</v>
      </c>
      <c r="K118" s="27">
        <v>1</v>
      </c>
      <c r="L118" s="37">
        <f>IF(表1_11[[#This Row],[出勤率]]&gt;1,1,表1_11[[#This Row],[出勤率]])*表1_11[[#This Row],[岗位工资]]</f>
        <v>3600</v>
      </c>
      <c r="M118" s="5">
        <f>LOOKUP(表1_11[[#This Row],[岗位工资]],表13[lookup],表13[奖金比率])*表1_11[[#This Row],[岗位工资]]</f>
        <v>360</v>
      </c>
      <c r="N118" s="5">
        <v>82</v>
      </c>
      <c r="O118" s="38">
        <f>表1_11[[#This Row],[奖金等级]]*表1_11[[#This Row],[绩效得分]]/100</f>
        <v>295.2</v>
      </c>
      <c r="P118" s="5">
        <f>IF(表1_11[[#This Row],[出勤率]]&gt;=1,200,0)</f>
        <v>200</v>
      </c>
      <c r="Q118" s="23">
        <f t="shared" ca="1" si="1"/>
        <v>350</v>
      </c>
      <c r="R118" s="23">
        <f>IF(表1_11[[#This Row],[中心]]="营销中心",VLOOKUP(表1_11[[#This Row],[职位]],表2[[话费补贴]:[营销中心]],2,0),VLOOKUP(表1_11[[#This Row],[职位]],表2[],3,0))</f>
        <v>0</v>
      </c>
      <c r="S118" s="23">
        <v>200</v>
      </c>
      <c r="T118" s="61">
        <f ca="1">ROUND(SUM(表1_11[[#This Row],[基本工资]],表1_11[[#This Row],[奖金]],表1_11[[#This Row],[全勤奖]:[防暑降温补贴]]),2)</f>
        <v>4645.2</v>
      </c>
      <c r="U118" s="62">
        <f ca="1">ROUND(表1_11[[#This Row],[税前应发总额]]*8%,2)</f>
        <v>371.62</v>
      </c>
      <c r="V118" s="62">
        <f ca="1">ROUND(表1_11[[#This Row],[税前应发总额]]*2%+3,2)</f>
        <v>95.9</v>
      </c>
      <c r="W118" s="62">
        <f ca="1">ROUND(表1_11[[#This Row],[税前应发总额]]*0.2%,2)</f>
        <v>9.2899999999999991</v>
      </c>
      <c r="X118" s="62">
        <f ca="1">ROUND(表1_11[[#This Row],[税前应发总额]]*12%,2)</f>
        <v>557.41999999999996</v>
      </c>
      <c r="Y118" s="61">
        <f ca="1">ROUND(表1_11[[#This Row],[税前应发总额]]-SUM(表1_11[[#This Row],[养老保险]:[公积金]]),2)</f>
        <v>3610.97</v>
      </c>
      <c r="Z118" s="62">
        <f ca="1">ROUND(MAX((表1_11[[#This Row],[扣保险后工资金额]]-3500)*{3,10,20,25,30,35,45}%-{0,105,555,1005,2755,5505,13505},0),2)</f>
        <v>3.33</v>
      </c>
      <c r="AA118" s="63">
        <f ca="1">表1_11[[#This Row],[扣保险后工资金额]]-表1_11[[#This Row],[个人所得税]]</f>
        <v>3607.64</v>
      </c>
      <c r="AB118" s="53">
        <v>3777.36</v>
      </c>
      <c r="AC118" s="64">
        <f ca="1">(表1_11[[#This Row],[实发工资]]-表1_11[[#This Row],[上月对比]])/表1_11[[#This Row],[上月对比]]</f>
        <v>-4.4930851176483114E-2</v>
      </c>
      <c r="AD118" s="65" t="s">
        <v>1587</v>
      </c>
    </row>
    <row r="119" spans="1:30">
      <c r="A119" s="42" t="s">
        <v>577</v>
      </c>
      <c r="B119" s="42" t="s">
        <v>664</v>
      </c>
      <c r="C119" s="40" t="s">
        <v>655</v>
      </c>
      <c r="D119" s="40" t="s">
        <v>656</v>
      </c>
      <c r="E119" s="41" t="s">
        <v>1129</v>
      </c>
      <c r="F119" s="5" t="s">
        <v>115</v>
      </c>
      <c r="G119" s="25">
        <v>40729</v>
      </c>
      <c r="H119" s="5" t="s">
        <v>618</v>
      </c>
      <c r="I119" s="5">
        <f>VLOOKUP(MID(表1_11[[#This Row],[工资等级]],1,1),表12[],MATCH(MID(表1_11[[#This Row],[工资等级]],2,2),表12[[#Headers],[1]:[10]],0)+1,0)</f>
        <v>3000</v>
      </c>
      <c r="J119" s="5">
        <v>23.5</v>
      </c>
      <c r="K119" s="27">
        <v>0.97916666666666663</v>
      </c>
      <c r="L119" s="37">
        <f>IF(表1_11[[#This Row],[出勤率]]&gt;1,1,表1_11[[#This Row],[出勤率]])*表1_11[[#This Row],[岗位工资]]</f>
        <v>2937.5</v>
      </c>
      <c r="M119" s="5">
        <f>LOOKUP(表1_11[[#This Row],[岗位工资]],表13[lookup],表13[奖金比率])*表1_11[[#This Row],[岗位工资]]</f>
        <v>300</v>
      </c>
      <c r="N119" s="5">
        <v>83</v>
      </c>
      <c r="O119" s="38">
        <f>表1_11[[#This Row],[奖金等级]]*表1_11[[#This Row],[绩效得分]]/100</f>
        <v>249</v>
      </c>
      <c r="P119" s="5">
        <f>IF(表1_11[[#This Row],[出勤率]]&gt;=1,200,0)</f>
        <v>0</v>
      </c>
      <c r="Q119" s="23">
        <f t="shared" ca="1" si="1"/>
        <v>300</v>
      </c>
      <c r="R119" s="23">
        <f>IF(表1_11[[#This Row],[中心]]="营销中心",VLOOKUP(表1_11[[#This Row],[职位]],表2[[话费补贴]:[营销中心]],2,0),VLOOKUP(表1_11[[#This Row],[职位]],表2[],3,0))</f>
        <v>0</v>
      </c>
      <c r="S119" s="23">
        <v>200</v>
      </c>
      <c r="T119" s="61">
        <f ca="1">ROUND(SUM(表1_11[[#This Row],[基本工资]],表1_11[[#This Row],[奖金]],表1_11[[#This Row],[全勤奖]:[防暑降温补贴]]),2)</f>
        <v>3686.5</v>
      </c>
      <c r="U119" s="62">
        <f ca="1">ROUND(表1_11[[#This Row],[税前应发总额]]*8%,2)</f>
        <v>294.92</v>
      </c>
      <c r="V119" s="62">
        <f ca="1">ROUND(表1_11[[#This Row],[税前应发总额]]*2%+3,2)</f>
        <v>76.73</v>
      </c>
      <c r="W119" s="62">
        <f ca="1">ROUND(表1_11[[#This Row],[税前应发总额]]*0.2%,2)</f>
        <v>7.37</v>
      </c>
      <c r="X119" s="62">
        <f ca="1">ROUND(表1_11[[#This Row],[税前应发总额]]*12%,2)</f>
        <v>442.38</v>
      </c>
      <c r="Y119" s="61">
        <f ca="1">ROUND(表1_11[[#This Row],[税前应发总额]]-SUM(表1_11[[#This Row],[养老保险]:[公积金]]),2)</f>
        <v>2865.1</v>
      </c>
      <c r="Z119" s="62">
        <f ca="1">ROUND(MAX((表1_11[[#This Row],[扣保险后工资金额]]-3500)*{3,10,20,25,30,35,45}%-{0,105,555,1005,2755,5505,13505},0),2)</f>
        <v>0</v>
      </c>
      <c r="AA119" s="63">
        <f ca="1">表1_11[[#This Row],[扣保险后工资金额]]-表1_11[[#This Row],[个人所得税]]</f>
        <v>2865.1</v>
      </c>
      <c r="AB119" s="53">
        <v>2852.1</v>
      </c>
      <c r="AC119" s="64">
        <f ca="1">(表1_11[[#This Row],[实发工资]]-表1_11[[#This Row],[上月对比]])/表1_11[[#This Row],[上月对比]]</f>
        <v>4.5580449493355778E-3</v>
      </c>
      <c r="AD119" s="65" t="s">
        <v>1587</v>
      </c>
    </row>
    <row r="120" spans="1:30">
      <c r="A120" s="42" t="s">
        <v>577</v>
      </c>
      <c r="B120" s="42" t="s">
        <v>664</v>
      </c>
      <c r="C120" s="40" t="s">
        <v>599</v>
      </c>
      <c r="D120" s="40" t="s">
        <v>626</v>
      </c>
      <c r="E120" s="41" t="s">
        <v>1130</v>
      </c>
      <c r="F120" s="5" t="s">
        <v>116</v>
      </c>
      <c r="G120" s="25">
        <v>39400</v>
      </c>
      <c r="H120" s="5" t="s">
        <v>622</v>
      </c>
      <c r="I120" s="5">
        <f>VLOOKUP(MID(表1_11[[#This Row],[工资等级]],1,1),表12[],MATCH(MID(表1_11[[#This Row],[工资等级]],2,2),表12[[#Headers],[1]:[10]],0)+1,0)</f>
        <v>3600</v>
      </c>
      <c r="J120" s="5">
        <v>21</v>
      </c>
      <c r="K120" s="27">
        <v>0.875</v>
      </c>
      <c r="L120" s="37">
        <f>IF(表1_11[[#This Row],[出勤率]]&gt;1,1,表1_11[[#This Row],[出勤率]])*表1_11[[#This Row],[岗位工资]]</f>
        <v>3150</v>
      </c>
      <c r="M120" s="5">
        <f>LOOKUP(表1_11[[#This Row],[岗位工资]],表13[lookup],表13[奖金比率])*表1_11[[#This Row],[岗位工资]]</f>
        <v>360</v>
      </c>
      <c r="N120" s="5">
        <v>79</v>
      </c>
      <c r="O120" s="38">
        <f>表1_11[[#This Row],[奖金等级]]*表1_11[[#This Row],[绩效得分]]/100</f>
        <v>284.39999999999998</v>
      </c>
      <c r="P120" s="5">
        <f>IF(表1_11[[#This Row],[出勤率]]&gt;=1,200,0)</f>
        <v>0</v>
      </c>
      <c r="Q120" s="23">
        <f t="shared" ca="1" si="1"/>
        <v>500</v>
      </c>
      <c r="R120" s="23">
        <f>IF(表1_11[[#This Row],[中心]]="营销中心",VLOOKUP(表1_11[[#This Row],[职位]],表2[[话费补贴]:[营销中心]],2,0),VLOOKUP(表1_11[[#This Row],[职位]],表2[],3,0))</f>
        <v>0</v>
      </c>
      <c r="S120" s="23">
        <v>200</v>
      </c>
      <c r="T120" s="61">
        <f ca="1">ROUND(SUM(表1_11[[#This Row],[基本工资]],表1_11[[#This Row],[奖金]],表1_11[[#This Row],[全勤奖]:[防暑降温补贴]]),2)</f>
        <v>4134.3999999999996</v>
      </c>
      <c r="U120" s="62">
        <f ca="1">ROUND(表1_11[[#This Row],[税前应发总额]]*8%,2)</f>
        <v>330.75</v>
      </c>
      <c r="V120" s="62">
        <f ca="1">ROUND(表1_11[[#This Row],[税前应发总额]]*2%+3,2)</f>
        <v>85.69</v>
      </c>
      <c r="W120" s="62">
        <f ca="1">ROUND(表1_11[[#This Row],[税前应发总额]]*0.2%,2)</f>
        <v>8.27</v>
      </c>
      <c r="X120" s="62">
        <f ca="1">ROUND(表1_11[[#This Row],[税前应发总额]]*12%,2)</f>
        <v>496.13</v>
      </c>
      <c r="Y120" s="61">
        <f ca="1">ROUND(表1_11[[#This Row],[税前应发总额]]-SUM(表1_11[[#This Row],[养老保险]:[公积金]]),2)</f>
        <v>3213.56</v>
      </c>
      <c r="Z120" s="62">
        <f ca="1">ROUND(MAX((表1_11[[#This Row],[扣保险后工资金额]]-3500)*{3,10,20,25,30,35,45}%-{0,105,555,1005,2755,5505,13505},0),2)</f>
        <v>0</v>
      </c>
      <c r="AA120" s="63">
        <f ca="1">表1_11[[#This Row],[扣保险后工资金额]]-表1_11[[#This Row],[个人所得税]]</f>
        <v>3213.56</v>
      </c>
      <c r="AB120" s="53">
        <v>3272.44</v>
      </c>
      <c r="AC120" s="64">
        <f ca="1">(表1_11[[#This Row],[实发工资]]-表1_11[[#This Row],[上月对比]])/表1_11[[#This Row],[上月对比]]</f>
        <v>-1.7992690469496801E-2</v>
      </c>
      <c r="AD120" s="65" t="s">
        <v>1587</v>
      </c>
    </row>
    <row r="121" spans="1:30">
      <c r="A121" s="42" t="s">
        <v>577</v>
      </c>
      <c r="B121" s="42" t="s">
        <v>664</v>
      </c>
      <c r="C121" s="40" t="s">
        <v>693</v>
      </c>
      <c r="D121" s="40" t="s">
        <v>694</v>
      </c>
      <c r="E121" s="41" t="s">
        <v>1131</v>
      </c>
      <c r="F121" s="5" t="s">
        <v>117</v>
      </c>
      <c r="G121" s="25">
        <v>38252</v>
      </c>
      <c r="H121" s="5" t="s">
        <v>657</v>
      </c>
      <c r="I121" s="5">
        <f>VLOOKUP(MID(表1_11[[#This Row],[工资等级]],1,1),表12[],MATCH(MID(表1_11[[#This Row],[工资等级]],2,2),表12[[#Headers],[1]:[10]],0)+1,0)</f>
        <v>4000</v>
      </c>
      <c r="J121" s="5">
        <v>21.5</v>
      </c>
      <c r="K121" s="27">
        <v>0.89583333333333337</v>
      </c>
      <c r="L121" s="37">
        <f>IF(表1_11[[#This Row],[出勤率]]&gt;1,1,表1_11[[#This Row],[出勤率]])*表1_11[[#This Row],[岗位工资]]</f>
        <v>3583.3333333333335</v>
      </c>
      <c r="M121" s="5">
        <f>LOOKUP(表1_11[[#This Row],[岗位工资]],表13[lookup],表13[奖金比率])*表1_11[[#This Row],[岗位工资]]</f>
        <v>600</v>
      </c>
      <c r="N121" s="5">
        <v>80</v>
      </c>
      <c r="O121" s="38">
        <f>表1_11[[#This Row],[奖金等级]]*表1_11[[#This Row],[绩效得分]]/100</f>
        <v>480</v>
      </c>
      <c r="P121" s="5">
        <f>IF(表1_11[[#This Row],[出勤率]]&gt;=1,200,0)</f>
        <v>0</v>
      </c>
      <c r="Q121" s="23">
        <f t="shared" ca="1" si="1"/>
        <v>500</v>
      </c>
      <c r="R121" s="23">
        <f>IF(表1_11[[#This Row],[中心]]="营销中心",VLOOKUP(表1_11[[#This Row],[职位]],表2[[话费补贴]:[营销中心]],2,0),VLOOKUP(表1_11[[#This Row],[职位]],表2[],3,0))</f>
        <v>0</v>
      </c>
      <c r="S121" s="23">
        <v>200</v>
      </c>
      <c r="T121" s="61">
        <f ca="1">ROUND(SUM(表1_11[[#This Row],[基本工资]],表1_11[[#This Row],[奖金]],表1_11[[#This Row],[全勤奖]:[防暑降温补贴]]),2)</f>
        <v>4763.33</v>
      </c>
      <c r="U121" s="62">
        <f ca="1">ROUND(表1_11[[#This Row],[税前应发总额]]*8%,2)</f>
        <v>381.07</v>
      </c>
      <c r="V121" s="62">
        <f ca="1">ROUND(表1_11[[#This Row],[税前应发总额]]*2%+3,2)</f>
        <v>98.27</v>
      </c>
      <c r="W121" s="62">
        <f ca="1">ROUND(表1_11[[#This Row],[税前应发总额]]*0.2%,2)</f>
        <v>9.5299999999999994</v>
      </c>
      <c r="X121" s="62">
        <f ca="1">ROUND(表1_11[[#This Row],[税前应发总额]]*12%,2)</f>
        <v>571.6</v>
      </c>
      <c r="Y121" s="61">
        <f ca="1">ROUND(表1_11[[#This Row],[税前应发总额]]-SUM(表1_11[[#This Row],[养老保险]:[公积金]]),2)</f>
        <v>3702.86</v>
      </c>
      <c r="Z121" s="62">
        <f ca="1">ROUND(MAX((表1_11[[#This Row],[扣保险后工资金额]]-3500)*{3,10,20,25,30,35,45}%-{0,105,555,1005,2755,5505,13505},0),2)</f>
        <v>6.09</v>
      </c>
      <c r="AA121" s="63">
        <f ca="1">表1_11[[#This Row],[扣保险后工资金额]]-表1_11[[#This Row],[个人所得税]]</f>
        <v>3696.77</v>
      </c>
      <c r="AB121" s="53">
        <v>3965.24</v>
      </c>
      <c r="AC121" s="64">
        <f ca="1">(表1_11[[#This Row],[实发工资]]-表1_11[[#This Row],[上月对比]])/表1_11[[#This Row],[上月对比]]</f>
        <v>-6.7705863957793183E-2</v>
      </c>
      <c r="AD121" s="65" t="s">
        <v>1587</v>
      </c>
    </row>
    <row r="122" spans="1:30">
      <c r="A122" s="42" t="s">
        <v>577</v>
      </c>
      <c r="B122" s="42" t="s">
        <v>664</v>
      </c>
      <c r="C122" s="40" t="s">
        <v>655</v>
      </c>
      <c r="D122" s="40" t="s">
        <v>656</v>
      </c>
      <c r="E122" s="41" t="s">
        <v>1132</v>
      </c>
      <c r="F122" s="5" t="s">
        <v>118</v>
      </c>
      <c r="G122" s="25">
        <v>41027</v>
      </c>
      <c r="H122" s="5" t="s">
        <v>622</v>
      </c>
      <c r="I122" s="5">
        <f>VLOOKUP(MID(表1_11[[#This Row],[工资等级]],1,1),表12[],MATCH(MID(表1_11[[#This Row],[工资等级]],2,2),表12[[#Headers],[1]:[10]],0)+1,0)</f>
        <v>3600</v>
      </c>
      <c r="J122" s="5">
        <v>24.5</v>
      </c>
      <c r="K122" s="27">
        <v>1.0208333333333333</v>
      </c>
      <c r="L122" s="37">
        <f>IF(表1_11[[#This Row],[出勤率]]&gt;1,1,表1_11[[#This Row],[出勤率]])*表1_11[[#This Row],[岗位工资]]</f>
        <v>3600</v>
      </c>
      <c r="M122" s="5">
        <f>LOOKUP(表1_11[[#This Row],[岗位工资]],表13[lookup],表13[奖金比率])*表1_11[[#This Row],[岗位工资]]</f>
        <v>360</v>
      </c>
      <c r="N122" s="5">
        <v>86</v>
      </c>
      <c r="O122" s="38">
        <f>表1_11[[#This Row],[奖金等级]]*表1_11[[#This Row],[绩效得分]]/100</f>
        <v>309.60000000000002</v>
      </c>
      <c r="P122" s="5">
        <f>IF(表1_11[[#This Row],[出勤率]]&gt;=1,200,0)</f>
        <v>200</v>
      </c>
      <c r="Q122" s="23">
        <f t="shared" ca="1" si="1"/>
        <v>250</v>
      </c>
      <c r="R122" s="23">
        <f>IF(表1_11[[#This Row],[中心]]="营销中心",VLOOKUP(表1_11[[#This Row],[职位]],表2[[话费补贴]:[营销中心]],2,0),VLOOKUP(表1_11[[#This Row],[职位]],表2[],3,0))</f>
        <v>0</v>
      </c>
      <c r="S122" s="23">
        <v>200</v>
      </c>
      <c r="T122" s="61">
        <f ca="1">ROUND(SUM(表1_11[[#This Row],[基本工资]],表1_11[[#This Row],[奖金]],表1_11[[#This Row],[全勤奖]:[防暑降温补贴]]),2)</f>
        <v>4559.6000000000004</v>
      </c>
      <c r="U122" s="62">
        <f ca="1">ROUND(表1_11[[#This Row],[税前应发总额]]*8%,2)</f>
        <v>364.77</v>
      </c>
      <c r="V122" s="62">
        <f ca="1">ROUND(表1_11[[#This Row],[税前应发总额]]*2%+3,2)</f>
        <v>94.19</v>
      </c>
      <c r="W122" s="62">
        <f ca="1">ROUND(表1_11[[#This Row],[税前应发总额]]*0.2%,2)</f>
        <v>9.1199999999999992</v>
      </c>
      <c r="X122" s="62">
        <f ca="1">ROUND(表1_11[[#This Row],[税前应发总额]]*12%,2)</f>
        <v>547.15</v>
      </c>
      <c r="Y122" s="61">
        <f ca="1">ROUND(表1_11[[#This Row],[税前应发总额]]-SUM(表1_11[[#This Row],[养老保险]:[公积金]]),2)</f>
        <v>3544.37</v>
      </c>
      <c r="Z122" s="62">
        <f ca="1">ROUND(MAX((表1_11[[#This Row],[扣保险后工资金额]]-3500)*{3,10,20,25,30,35,45}%-{0,105,555,1005,2755,5505,13505},0),2)</f>
        <v>1.33</v>
      </c>
      <c r="AA122" s="63">
        <f ca="1">表1_11[[#This Row],[扣保险后工资金额]]-表1_11[[#This Row],[个人所得税]]</f>
        <v>3543.04</v>
      </c>
      <c r="AB122" s="53">
        <v>4053.35</v>
      </c>
      <c r="AC122" s="64">
        <f ca="1">(表1_11[[#This Row],[实发工资]]-表1_11[[#This Row],[上月对比]])/表1_11[[#This Row],[上月对比]]</f>
        <v>-0.12589833101015208</v>
      </c>
      <c r="AD122" s="65" t="s">
        <v>1587</v>
      </c>
    </row>
    <row r="123" spans="1:30">
      <c r="A123" s="42" t="s">
        <v>577</v>
      </c>
      <c r="B123" s="42" t="s">
        <v>664</v>
      </c>
      <c r="C123" s="40" t="s">
        <v>599</v>
      </c>
      <c r="D123" s="40" t="s">
        <v>626</v>
      </c>
      <c r="E123" s="41" t="s">
        <v>1133</v>
      </c>
      <c r="F123" s="5" t="s">
        <v>119</v>
      </c>
      <c r="G123" s="25">
        <v>42359</v>
      </c>
      <c r="H123" s="5" t="s">
        <v>623</v>
      </c>
      <c r="I123" s="5">
        <f>VLOOKUP(MID(表1_11[[#This Row],[工资等级]],1,1),表12[],MATCH(MID(表1_11[[#This Row],[工资等级]],2,2),表12[[#Headers],[1]:[10]],0)+1,0)</f>
        <v>3800</v>
      </c>
      <c r="J123" s="5">
        <v>25</v>
      </c>
      <c r="K123" s="27">
        <v>1.0416666666666667</v>
      </c>
      <c r="L123" s="37">
        <f>IF(表1_11[[#This Row],[出勤率]]&gt;1,1,表1_11[[#This Row],[出勤率]])*表1_11[[#This Row],[岗位工资]]</f>
        <v>3800</v>
      </c>
      <c r="M123" s="5">
        <f>LOOKUP(表1_11[[#This Row],[岗位工资]],表13[lookup],表13[奖金比率])*表1_11[[#This Row],[岗位工资]]</f>
        <v>380</v>
      </c>
      <c r="N123" s="5">
        <v>84</v>
      </c>
      <c r="O123" s="38">
        <f>表1_11[[#This Row],[奖金等级]]*表1_11[[#This Row],[绩效得分]]/100</f>
        <v>319.2</v>
      </c>
      <c r="P123" s="5">
        <f>IF(表1_11[[#This Row],[出勤率]]&gt;=1,200,0)</f>
        <v>200</v>
      </c>
      <c r="Q123" s="23">
        <f t="shared" ca="1" si="1"/>
        <v>100</v>
      </c>
      <c r="R123" s="23">
        <f>IF(表1_11[[#This Row],[中心]]="营销中心",VLOOKUP(表1_11[[#This Row],[职位]],表2[[话费补贴]:[营销中心]],2,0),VLOOKUP(表1_11[[#This Row],[职位]],表2[],3,0))</f>
        <v>0</v>
      </c>
      <c r="S123" s="23">
        <v>200</v>
      </c>
      <c r="T123" s="61">
        <f ca="1">ROUND(SUM(表1_11[[#This Row],[基本工资]],表1_11[[#This Row],[奖金]],表1_11[[#This Row],[全勤奖]:[防暑降温补贴]]),2)</f>
        <v>4619.2</v>
      </c>
      <c r="U123" s="62">
        <f ca="1">ROUND(表1_11[[#This Row],[税前应发总额]]*8%,2)</f>
        <v>369.54</v>
      </c>
      <c r="V123" s="62">
        <f ca="1">ROUND(表1_11[[#This Row],[税前应发总额]]*2%+3,2)</f>
        <v>95.38</v>
      </c>
      <c r="W123" s="62">
        <f ca="1">ROUND(表1_11[[#This Row],[税前应发总额]]*0.2%,2)</f>
        <v>9.24</v>
      </c>
      <c r="X123" s="62">
        <f ca="1">ROUND(表1_11[[#This Row],[税前应发总额]]*12%,2)</f>
        <v>554.29999999999995</v>
      </c>
      <c r="Y123" s="61">
        <f ca="1">ROUND(表1_11[[#This Row],[税前应发总额]]-SUM(表1_11[[#This Row],[养老保险]:[公积金]]),2)</f>
        <v>3590.74</v>
      </c>
      <c r="Z123" s="62">
        <f ca="1">ROUND(MAX((表1_11[[#This Row],[扣保险后工资金额]]-3500)*{3,10,20,25,30,35,45}%-{0,105,555,1005,2755,5505,13505},0),2)</f>
        <v>2.72</v>
      </c>
      <c r="AA123" s="63">
        <f ca="1">表1_11[[#This Row],[扣保险后工资金额]]-表1_11[[#This Row],[个人所得税]]</f>
        <v>3588.02</v>
      </c>
      <c r="AB123" s="53">
        <v>3408.18</v>
      </c>
      <c r="AC123" s="64">
        <f ca="1">(表1_11[[#This Row],[实发工资]]-表1_11[[#This Row],[上月对比]])/表1_11[[#This Row],[上月对比]]</f>
        <v>5.276716605343619E-2</v>
      </c>
      <c r="AD123" s="65" t="s">
        <v>1587</v>
      </c>
    </row>
    <row r="124" spans="1:30">
      <c r="A124" s="42" t="s">
        <v>577</v>
      </c>
      <c r="B124" s="42" t="s">
        <v>664</v>
      </c>
      <c r="C124" s="40" t="s">
        <v>701</v>
      </c>
      <c r="D124" s="40" t="s">
        <v>702</v>
      </c>
      <c r="E124" s="41" t="s">
        <v>1134</v>
      </c>
      <c r="F124" s="5" t="s">
        <v>120</v>
      </c>
      <c r="G124" s="25">
        <v>41282</v>
      </c>
      <c r="H124" s="5" t="s">
        <v>610</v>
      </c>
      <c r="I124" s="5">
        <f>VLOOKUP(MID(表1_11[[#This Row],[工资等级]],1,1),表12[],MATCH(MID(表1_11[[#This Row],[工资等级]],2,2),表12[[#Headers],[1]:[10]],0)+1,0)</f>
        <v>3400</v>
      </c>
      <c r="J124" s="5">
        <v>23</v>
      </c>
      <c r="K124" s="27">
        <v>0.95833333333333337</v>
      </c>
      <c r="L124" s="37">
        <f>IF(表1_11[[#This Row],[出勤率]]&gt;1,1,表1_11[[#This Row],[出勤率]])*表1_11[[#This Row],[岗位工资]]</f>
        <v>3258.3333333333335</v>
      </c>
      <c r="M124" s="5">
        <f>LOOKUP(表1_11[[#This Row],[岗位工资]],表13[lookup],表13[奖金比率])*表1_11[[#This Row],[岗位工资]]</f>
        <v>340</v>
      </c>
      <c r="N124" s="5">
        <v>82</v>
      </c>
      <c r="O124" s="38">
        <f>表1_11[[#This Row],[奖金等级]]*表1_11[[#This Row],[绩效得分]]/100</f>
        <v>278.8</v>
      </c>
      <c r="P124" s="5">
        <f>IF(表1_11[[#This Row],[出勤率]]&gt;=1,200,0)</f>
        <v>0</v>
      </c>
      <c r="Q124" s="23">
        <f t="shared" ca="1" si="1"/>
        <v>250</v>
      </c>
      <c r="R124" s="23">
        <f>IF(表1_11[[#This Row],[中心]]="营销中心",VLOOKUP(表1_11[[#This Row],[职位]],表2[[话费补贴]:[营销中心]],2,0),VLOOKUP(表1_11[[#This Row],[职位]],表2[],3,0))</f>
        <v>0</v>
      </c>
      <c r="S124" s="23">
        <v>200</v>
      </c>
      <c r="T124" s="61">
        <f ca="1">ROUND(SUM(表1_11[[#This Row],[基本工资]],表1_11[[#This Row],[奖金]],表1_11[[#This Row],[全勤奖]:[防暑降温补贴]]),2)</f>
        <v>3987.13</v>
      </c>
      <c r="U124" s="62">
        <f ca="1">ROUND(表1_11[[#This Row],[税前应发总额]]*8%,2)</f>
        <v>318.97000000000003</v>
      </c>
      <c r="V124" s="62">
        <f ca="1">ROUND(表1_11[[#This Row],[税前应发总额]]*2%+3,2)</f>
        <v>82.74</v>
      </c>
      <c r="W124" s="62">
        <f ca="1">ROUND(表1_11[[#This Row],[税前应发总额]]*0.2%,2)</f>
        <v>7.97</v>
      </c>
      <c r="X124" s="62">
        <f ca="1">ROUND(表1_11[[#This Row],[税前应发总额]]*12%,2)</f>
        <v>478.46</v>
      </c>
      <c r="Y124" s="61">
        <f ca="1">ROUND(表1_11[[#This Row],[税前应发总额]]-SUM(表1_11[[#This Row],[养老保险]:[公积金]]),2)</f>
        <v>3098.99</v>
      </c>
      <c r="Z124" s="62">
        <f ca="1">ROUND(MAX((表1_11[[#This Row],[扣保险后工资金额]]-3500)*{3,10,20,25,30,35,45}%-{0,105,555,1005,2755,5505,13505},0),2)</f>
        <v>0</v>
      </c>
      <c r="AA124" s="63">
        <f ca="1">表1_11[[#This Row],[扣保险后工资金额]]-表1_11[[#This Row],[个人所得税]]</f>
        <v>3098.99</v>
      </c>
      <c r="AB124" s="53">
        <v>2720.81</v>
      </c>
      <c r="AC124" s="64">
        <f ca="1">(表1_11[[#This Row],[实发工资]]-表1_11[[#This Row],[上月对比]])/表1_11[[#This Row],[上月对比]]</f>
        <v>0.13899537270151163</v>
      </c>
      <c r="AD124" s="65" t="s">
        <v>1587</v>
      </c>
    </row>
    <row r="125" spans="1:30">
      <c r="A125" s="42" t="s">
        <v>577</v>
      </c>
      <c r="B125" s="42" t="s">
        <v>664</v>
      </c>
      <c r="C125" s="40" t="s">
        <v>655</v>
      </c>
      <c r="D125" s="40" t="s">
        <v>656</v>
      </c>
      <c r="E125" s="41" t="s">
        <v>1135</v>
      </c>
      <c r="F125" s="5" t="s">
        <v>121</v>
      </c>
      <c r="G125" s="25">
        <v>41630</v>
      </c>
      <c r="H125" s="5" t="s">
        <v>617</v>
      </c>
      <c r="I125" s="5">
        <f>VLOOKUP(MID(表1_11[[#This Row],[工资等级]],1,1),表12[],MATCH(MID(表1_11[[#This Row],[工资等级]],2,2),表12[[#Headers],[1]:[10]],0)+1,0)</f>
        <v>2500</v>
      </c>
      <c r="J125" s="5">
        <v>25</v>
      </c>
      <c r="K125" s="27">
        <v>1.0416666666666667</v>
      </c>
      <c r="L125" s="37">
        <f>IF(表1_11[[#This Row],[出勤率]]&gt;1,1,表1_11[[#This Row],[出勤率]])*表1_11[[#This Row],[岗位工资]]</f>
        <v>2500</v>
      </c>
      <c r="M125" s="5">
        <f>LOOKUP(表1_11[[#This Row],[岗位工资]],表13[lookup],表13[奖金比率])*表1_11[[#This Row],[岗位工资]]</f>
        <v>250</v>
      </c>
      <c r="N125" s="5">
        <v>93</v>
      </c>
      <c r="O125" s="38">
        <f>表1_11[[#This Row],[奖金等级]]*表1_11[[#This Row],[绩效得分]]/100</f>
        <v>232.5</v>
      </c>
      <c r="P125" s="5">
        <f>IF(表1_11[[#This Row],[出勤率]]&gt;=1,200,0)</f>
        <v>200</v>
      </c>
      <c r="Q125" s="23">
        <f t="shared" ca="1" si="1"/>
        <v>200</v>
      </c>
      <c r="R125" s="23">
        <f>IF(表1_11[[#This Row],[中心]]="营销中心",VLOOKUP(表1_11[[#This Row],[职位]],表2[[话费补贴]:[营销中心]],2,0),VLOOKUP(表1_11[[#This Row],[职位]],表2[],3,0))</f>
        <v>0</v>
      </c>
      <c r="S125" s="23">
        <v>200</v>
      </c>
      <c r="T125" s="61">
        <f ca="1">ROUND(SUM(表1_11[[#This Row],[基本工资]],表1_11[[#This Row],[奖金]],表1_11[[#This Row],[全勤奖]:[防暑降温补贴]]),2)</f>
        <v>3332.5</v>
      </c>
      <c r="U125" s="62">
        <f ca="1">ROUND(表1_11[[#This Row],[税前应发总额]]*8%,2)</f>
        <v>266.60000000000002</v>
      </c>
      <c r="V125" s="62">
        <f ca="1">ROUND(表1_11[[#This Row],[税前应发总额]]*2%+3,2)</f>
        <v>69.650000000000006</v>
      </c>
      <c r="W125" s="62">
        <f ca="1">ROUND(表1_11[[#This Row],[税前应发总额]]*0.2%,2)</f>
        <v>6.67</v>
      </c>
      <c r="X125" s="62">
        <f ca="1">ROUND(表1_11[[#This Row],[税前应发总额]]*12%,2)</f>
        <v>399.9</v>
      </c>
      <c r="Y125" s="61">
        <f ca="1">ROUND(表1_11[[#This Row],[税前应发总额]]-SUM(表1_11[[#This Row],[养老保险]:[公积金]]),2)</f>
        <v>2589.6799999999998</v>
      </c>
      <c r="Z125" s="62">
        <f ca="1">ROUND(MAX((表1_11[[#This Row],[扣保险后工资金额]]-3500)*{3,10,20,25,30,35,45}%-{0,105,555,1005,2755,5505,13505},0),2)</f>
        <v>0</v>
      </c>
      <c r="AA125" s="63">
        <f ca="1">表1_11[[#This Row],[扣保险后工资金额]]-表1_11[[#This Row],[个人所得税]]</f>
        <v>2589.6799999999998</v>
      </c>
      <c r="AB125" s="53">
        <v>2271.9299999999998</v>
      </c>
      <c r="AC125" s="64">
        <f ca="1">(表1_11[[#This Row],[实发工资]]-表1_11[[#This Row],[上月对比]])/表1_11[[#This Row],[上月对比]]</f>
        <v>0.13985906255914576</v>
      </c>
      <c r="AD125" s="65" t="s">
        <v>1587</v>
      </c>
    </row>
    <row r="126" spans="1:30">
      <c r="A126" s="42" t="s">
        <v>577</v>
      </c>
      <c r="B126" s="42" t="s">
        <v>664</v>
      </c>
      <c r="C126" s="40" t="s">
        <v>691</v>
      </c>
      <c r="D126" s="40" t="s">
        <v>692</v>
      </c>
      <c r="E126" s="41" t="s">
        <v>1136</v>
      </c>
      <c r="F126" s="5" t="s">
        <v>122</v>
      </c>
      <c r="G126" s="25">
        <v>38752</v>
      </c>
      <c r="H126" s="5" t="s">
        <v>618</v>
      </c>
      <c r="I126" s="5">
        <f>VLOOKUP(MID(表1_11[[#This Row],[工资等级]],1,1),表12[],MATCH(MID(表1_11[[#This Row],[工资等级]],2,2),表12[[#Headers],[1]:[10]],0)+1,0)</f>
        <v>3000</v>
      </c>
      <c r="J126" s="5">
        <v>26.5</v>
      </c>
      <c r="K126" s="27">
        <v>1.1041666666666667</v>
      </c>
      <c r="L126" s="37">
        <f>IF(表1_11[[#This Row],[出勤率]]&gt;1,1,表1_11[[#This Row],[出勤率]])*表1_11[[#This Row],[岗位工资]]</f>
        <v>3000</v>
      </c>
      <c r="M126" s="5">
        <f>LOOKUP(表1_11[[#This Row],[岗位工资]],表13[lookup],表13[奖金比率])*表1_11[[#This Row],[岗位工资]]</f>
        <v>300</v>
      </c>
      <c r="N126" s="5">
        <v>97</v>
      </c>
      <c r="O126" s="38">
        <f>表1_11[[#This Row],[奖金等级]]*表1_11[[#This Row],[绩效得分]]/100</f>
        <v>291</v>
      </c>
      <c r="P126" s="5">
        <f>IF(表1_11[[#This Row],[出勤率]]&gt;=1,200,0)</f>
        <v>200</v>
      </c>
      <c r="Q126" s="23">
        <f t="shared" ca="1" si="1"/>
        <v>500</v>
      </c>
      <c r="R126" s="23">
        <f>IF(表1_11[[#This Row],[中心]]="营销中心",VLOOKUP(表1_11[[#This Row],[职位]],表2[[话费补贴]:[营销中心]],2,0),VLOOKUP(表1_11[[#This Row],[职位]],表2[],3,0))</f>
        <v>0</v>
      </c>
      <c r="S126" s="23">
        <v>200</v>
      </c>
      <c r="T126" s="61">
        <f ca="1">ROUND(SUM(表1_11[[#This Row],[基本工资]],表1_11[[#This Row],[奖金]],表1_11[[#This Row],[全勤奖]:[防暑降温补贴]]),2)</f>
        <v>4191</v>
      </c>
      <c r="U126" s="62">
        <f ca="1">ROUND(表1_11[[#This Row],[税前应发总额]]*8%,2)</f>
        <v>335.28</v>
      </c>
      <c r="V126" s="62">
        <f ca="1">ROUND(表1_11[[#This Row],[税前应发总额]]*2%+3,2)</f>
        <v>86.82</v>
      </c>
      <c r="W126" s="62">
        <f ca="1">ROUND(表1_11[[#This Row],[税前应发总额]]*0.2%,2)</f>
        <v>8.3800000000000008</v>
      </c>
      <c r="X126" s="62">
        <f ca="1">ROUND(表1_11[[#This Row],[税前应发总额]]*12%,2)</f>
        <v>502.92</v>
      </c>
      <c r="Y126" s="61">
        <f ca="1">ROUND(表1_11[[#This Row],[税前应发总额]]-SUM(表1_11[[#This Row],[养老保险]:[公积金]]),2)</f>
        <v>3257.6</v>
      </c>
      <c r="Z126" s="62">
        <f ca="1">ROUND(MAX((表1_11[[#This Row],[扣保险后工资金额]]-3500)*{3,10,20,25,30,35,45}%-{0,105,555,1005,2755,5505,13505},0),2)</f>
        <v>0</v>
      </c>
      <c r="AA126" s="63">
        <f ca="1">表1_11[[#This Row],[扣保险后工资金额]]-表1_11[[#This Row],[个人所得税]]</f>
        <v>3257.6</v>
      </c>
      <c r="AB126" s="53">
        <v>3213.47</v>
      </c>
      <c r="AC126" s="64">
        <f ca="1">(表1_11[[#This Row],[实发工资]]-表1_11[[#This Row],[上月对比]])/表1_11[[#This Row],[上月对比]]</f>
        <v>1.373281841747398E-2</v>
      </c>
      <c r="AD126" s="65" t="s">
        <v>1587</v>
      </c>
    </row>
    <row r="127" spans="1:30">
      <c r="A127" s="42" t="s">
        <v>577</v>
      </c>
      <c r="B127" s="42" t="s">
        <v>664</v>
      </c>
      <c r="C127" s="40" t="s">
        <v>701</v>
      </c>
      <c r="D127" s="40" t="s">
        <v>702</v>
      </c>
      <c r="E127" s="41" t="s">
        <v>1137</v>
      </c>
      <c r="F127" s="5" t="s">
        <v>123</v>
      </c>
      <c r="G127" s="25">
        <v>41008</v>
      </c>
      <c r="H127" s="5" t="s">
        <v>657</v>
      </c>
      <c r="I127" s="5">
        <f>VLOOKUP(MID(表1_11[[#This Row],[工资等级]],1,1),表12[],MATCH(MID(表1_11[[#This Row],[工资等级]],2,2),表12[[#Headers],[1]:[10]],0)+1,0)</f>
        <v>4000</v>
      </c>
      <c r="J127" s="5">
        <v>26</v>
      </c>
      <c r="K127" s="27">
        <v>1.0833333333333333</v>
      </c>
      <c r="L127" s="37">
        <f>IF(表1_11[[#This Row],[出勤率]]&gt;1,1,表1_11[[#This Row],[出勤率]])*表1_11[[#This Row],[岗位工资]]</f>
        <v>4000</v>
      </c>
      <c r="M127" s="5">
        <f>LOOKUP(表1_11[[#This Row],[岗位工资]],表13[lookup],表13[奖金比率])*表1_11[[#This Row],[岗位工资]]</f>
        <v>600</v>
      </c>
      <c r="N127" s="5">
        <v>83</v>
      </c>
      <c r="O127" s="38">
        <f>表1_11[[#This Row],[奖金等级]]*表1_11[[#This Row],[绩效得分]]/100</f>
        <v>498</v>
      </c>
      <c r="P127" s="5">
        <f>IF(表1_11[[#This Row],[出勤率]]&gt;=1,200,0)</f>
        <v>200</v>
      </c>
      <c r="Q127" s="23">
        <f t="shared" ca="1" si="1"/>
        <v>250</v>
      </c>
      <c r="R127" s="23">
        <f>IF(表1_11[[#This Row],[中心]]="营销中心",VLOOKUP(表1_11[[#This Row],[职位]],表2[[话费补贴]:[营销中心]],2,0),VLOOKUP(表1_11[[#This Row],[职位]],表2[],3,0))</f>
        <v>0</v>
      </c>
      <c r="S127" s="23">
        <v>200</v>
      </c>
      <c r="T127" s="61">
        <f ca="1">ROUND(SUM(表1_11[[#This Row],[基本工资]],表1_11[[#This Row],[奖金]],表1_11[[#This Row],[全勤奖]:[防暑降温补贴]]),2)</f>
        <v>5148</v>
      </c>
      <c r="U127" s="62">
        <f ca="1">ROUND(表1_11[[#This Row],[税前应发总额]]*8%,2)</f>
        <v>411.84</v>
      </c>
      <c r="V127" s="62">
        <f ca="1">ROUND(表1_11[[#This Row],[税前应发总额]]*2%+3,2)</f>
        <v>105.96</v>
      </c>
      <c r="W127" s="62">
        <f ca="1">ROUND(表1_11[[#This Row],[税前应发总额]]*0.2%,2)</f>
        <v>10.3</v>
      </c>
      <c r="X127" s="62">
        <f ca="1">ROUND(表1_11[[#This Row],[税前应发总额]]*12%,2)</f>
        <v>617.76</v>
      </c>
      <c r="Y127" s="61">
        <f ca="1">ROUND(表1_11[[#This Row],[税前应发总额]]-SUM(表1_11[[#This Row],[养老保险]:[公积金]]),2)</f>
        <v>4002.14</v>
      </c>
      <c r="Z127" s="62">
        <f ca="1">ROUND(MAX((表1_11[[#This Row],[扣保险后工资金额]]-3500)*{3,10,20,25,30,35,45}%-{0,105,555,1005,2755,5505,13505},0),2)</f>
        <v>15.06</v>
      </c>
      <c r="AA127" s="63">
        <f ca="1">表1_11[[#This Row],[扣保险后工资金额]]-表1_11[[#This Row],[个人所得税]]</f>
        <v>3987.08</v>
      </c>
      <c r="AB127" s="53">
        <v>4405.72</v>
      </c>
      <c r="AC127" s="64">
        <f ca="1">(表1_11[[#This Row],[实发工资]]-表1_11[[#This Row],[上月对比]])/表1_11[[#This Row],[上月对比]]</f>
        <v>-9.5021926041600535E-2</v>
      </c>
      <c r="AD127" s="65" t="s">
        <v>1587</v>
      </c>
    </row>
    <row r="128" spans="1:30">
      <c r="A128" s="42" t="s">
        <v>577</v>
      </c>
      <c r="B128" s="42" t="s">
        <v>664</v>
      </c>
      <c r="C128" s="40" t="s">
        <v>655</v>
      </c>
      <c r="D128" s="40" t="s">
        <v>656</v>
      </c>
      <c r="E128" s="41" t="s">
        <v>1138</v>
      </c>
      <c r="F128" s="5" t="s">
        <v>124</v>
      </c>
      <c r="G128" s="25">
        <v>40779</v>
      </c>
      <c r="H128" s="5" t="s">
        <v>624</v>
      </c>
      <c r="I128" s="5">
        <f>VLOOKUP(MID(表1_11[[#This Row],[工资等级]],1,1),表12[],MATCH(MID(表1_11[[#This Row],[工资等级]],2,2),表12[[#Headers],[1]:[10]],0)+1,0)</f>
        <v>2800</v>
      </c>
      <c r="J128" s="5">
        <v>26</v>
      </c>
      <c r="K128" s="27">
        <v>1.0833333333333333</v>
      </c>
      <c r="L128" s="37">
        <f>IF(表1_11[[#This Row],[出勤率]]&gt;1,1,表1_11[[#This Row],[出勤率]])*表1_11[[#This Row],[岗位工资]]</f>
        <v>2800</v>
      </c>
      <c r="M128" s="5">
        <f>LOOKUP(表1_11[[#This Row],[岗位工资]],表13[lookup],表13[奖金比率])*表1_11[[#This Row],[岗位工资]]</f>
        <v>280</v>
      </c>
      <c r="N128" s="5">
        <v>83</v>
      </c>
      <c r="O128" s="38">
        <f>表1_11[[#This Row],[奖金等级]]*表1_11[[#This Row],[绩效得分]]/100</f>
        <v>232.4</v>
      </c>
      <c r="P128" s="5">
        <f>IF(表1_11[[#This Row],[出勤率]]&gt;=1,200,0)</f>
        <v>200</v>
      </c>
      <c r="Q128" s="23">
        <f t="shared" ca="1" si="1"/>
        <v>300</v>
      </c>
      <c r="R128" s="23">
        <f>IF(表1_11[[#This Row],[中心]]="营销中心",VLOOKUP(表1_11[[#This Row],[职位]],表2[[话费补贴]:[营销中心]],2,0),VLOOKUP(表1_11[[#This Row],[职位]],表2[],3,0))</f>
        <v>0</v>
      </c>
      <c r="S128" s="23">
        <v>200</v>
      </c>
      <c r="T128" s="61">
        <f ca="1">ROUND(SUM(表1_11[[#This Row],[基本工资]],表1_11[[#This Row],[奖金]],表1_11[[#This Row],[全勤奖]:[防暑降温补贴]]),2)</f>
        <v>3732.4</v>
      </c>
      <c r="U128" s="62">
        <f ca="1">ROUND(表1_11[[#This Row],[税前应发总额]]*8%,2)</f>
        <v>298.58999999999997</v>
      </c>
      <c r="V128" s="62">
        <f ca="1">ROUND(表1_11[[#This Row],[税前应发总额]]*2%+3,2)</f>
        <v>77.650000000000006</v>
      </c>
      <c r="W128" s="62">
        <f ca="1">ROUND(表1_11[[#This Row],[税前应发总额]]*0.2%,2)</f>
        <v>7.46</v>
      </c>
      <c r="X128" s="62">
        <f ca="1">ROUND(表1_11[[#This Row],[税前应发总额]]*12%,2)</f>
        <v>447.89</v>
      </c>
      <c r="Y128" s="61">
        <f ca="1">ROUND(表1_11[[#This Row],[税前应发总额]]-SUM(表1_11[[#This Row],[养老保险]:[公积金]]),2)</f>
        <v>2900.81</v>
      </c>
      <c r="Z128" s="62">
        <f ca="1">ROUND(MAX((表1_11[[#This Row],[扣保险后工资金额]]-3500)*{3,10,20,25,30,35,45}%-{0,105,555,1005,2755,5505,13505},0),2)</f>
        <v>0</v>
      </c>
      <c r="AA128" s="63">
        <f ca="1">表1_11[[#This Row],[扣保险后工资金额]]-表1_11[[#This Row],[个人所得税]]</f>
        <v>2900.81</v>
      </c>
      <c r="AB128" s="53">
        <v>3353.52</v>
      </c>
      <c r="AC128" s="64">
        <f ca="1">(表1_11[[#This Row],[实发工资]]-表1_11[[#This Row],[上月对比]])/表1_11[[#This Row],[上月对比]]</f>
        <v>-0.1349954674491281</v>
      </c>
      <c r="AD128" s="65" t="s">
        <v>1587</v>
      </c>
    </row>
    <row r="129" spans="1:30">
      <c r="A129" s="42" t="s">
        <v>577</v>
      </c>
      <c r="B129" s="42" t="s">
        <v>664</v>
      </c>
      <c r="C129" s="40" t="s">
        <v>642</v>
      </c>
      <c r="D129" s="40" t="s">
        <v>643</v>
      </c>
      <c r="E129" s="41" t="s">
        <v>1139</v>
      </c>
      <c r="F129" s="5" t="s">
        <v>125</v>
      </c>
      <c r="G129" s="25">
        <v>38659</v>
      </c>
      <c r="H129" s="5" t="s">
        <v>610</v>
      </c>
      <c r="I129" s="5">
        <f>VLOOKUP(MID(表1_11[[#This Row],[工资等级]],1,1),表12[],MATCH(MID(表1_11[[#This Row],[工资等级]],2,2),表12[[#Headers],[1]:[10]],0)+1,0)</f>
        <v>3400</v>
      </c>
      <c r="J129" s="5">
        <v>24</v>
      </c>
      <c r="K129" s="27">
        <v>1</v>
      </c>
      <c r="L129" s="37">
        <f>IF(表1_11[[#This Row],[出勤率]]&gt;1,1,表1_11[[#This Row],[出勤率]])*表1_11[[#This Row],[岗位工资]]</f>
        <v>3400</v>
      </c>
      <c r="M129" s="5">
        <f>LOOKUP(表1_11[[#This Row],[岗位工资]],表13[lookup],表13[奖金比率])*表1_11[[#This Row],[岗位工资]]</f>
        <v>340</v>
      </c>
      <c r="N129" s="5">
        <v>89</v>
      </c>
      <c r="O129" s="38">
        <f>表1_11[[#This Row],[奖金等级]]*表1_11[[#This Row],[绩效得分]]/100</f>
        <v>302.60000000000002</v>
      </c>
      <c r="P129" s="5">
        <f>IF(表1_11[[#This Row],[出勤率]]&gt;=1,200,0)</f>
        <v>200</v>
      </c>
      <c r="Q129" s="23">
        <f t="shared" ca="1" si="1"/>
        <v>500</v>
      </c>
      <c r="R129" s="23">
        <f>IF(表1_11[[#This Row],[中心]]="营销中心",VLOOKUP(表1_11[[#This Row],[职位]],表2[[话费补贴]:[营销中心]],2,0),VLOOKUP(表1_11[[#This Row],[职位]],表2[],3,0))</f>
        <v>0</v>
      </c>
      <c r="S129" s="23">
        <v>200</v>
      </c>
      <c r="T129" s="61">
        <f ca="1">ROUND(SUM(表1_11[[#This Row],[基本工资]],表1_11[[#This Row],[奖金]],表1_11[[#This Row],[全勤奖]:[防暑降温补贴]]),2)</f>
        <v>4602.6000000000004</v>
      </c>
      <c r="U129" s="62">
        <f ca="1">ROUND(表1_11[[#This Row],[税前应发总额]]*8%,2)</f>
        <v>368.21</v>
      </c>
      <c r="V129" s="62">
        <f ca="1">ROUND(表1_11[[#This Row],[税前应发总额]]*2%+3,2)</f>
        <v>95.05</v>
      </c>
      <c r="W129" s="62">
        <f ca="1">ROUND(表1_11[[#This Row],[税前应发总额]]*0.2%,2)</f>
        <v>9.2100000000000009</v>
      </c>
      <c r="X129" s="62">
        <f ca="1">ROUND(表1_11[[#This Row],[税前应发总额]]*12%,2)</f>
        <v>552.30999999999995</v>
      </c>
      <c r="Y129" s="61">
        <f ca="1">ROUND(表1_11[[#This Row],[税前应发总额]]-SUM(表1_11[[#This Row],[养老保险]:[公积金]]),2)</f>
        <v>3577.82</v>
      </c>
      <c r="Z129" s="62">
        <f ca="1">ROUND(MAX((表1_11[[#This Row],[扣保险后工资金额]]-3500)*{3,10,20,25,30,35,45}%-{0,105,555,1005,2755,5505,13505},0),2)</f>
        <v>2.33</v>
      </c>
      <c r="AA129" s="63">
        <f ca="1">表1_11[[#This Row],[扣保险后工资金额]]-表1_11[[#This Row],[个人所得税]]</f>
        <v>3575.4900000000002</v>
      </c>
      <c r="AB129" s="53">
        <v>3537.19</v>
      </c>
      <c r="AC129" s="64">
        <f ca="1">(表1_11[[#This Row],[实发工资]]-表1_11[[#This Row],[上月对比]])/表1_11[[#This Row],[上月对比]]</f>
        <v>1.0827803991303883E-2</v>
      </c>
      <c r="AD129" s="65" t="s">
        <v>1587</v>
      </c>
    </row>
    <row r="130" spans="1:30">
      <c r="A130" s="42" t="s">
        <v>577</v>
      </c>
      <c r="B130" s="42" t="s">
        <v>664</v>
      </c>
      <c r="C130" s="40" t="s">
        <v>655</v>
      </c>
      <c r="D130" s="40" t="s">
        <v>656</v>
      </c>
      <c r="E130" s="41" t="s">
        <v>1140</v>
      </c>
      <c r="F130" s="5" t="s">
        <v>126</v>
      </c>
      <c r="G130" s="25">
        <v>39752</v>
      </c>
      <c r="H130" s="5" t="s">
        <v>615</v>
      </c>
      <c r="I130" s="5">
        <f>VLOOKUP(MID(表1_11[[#This Row],[工资等级]],1,1),表12[],MATCH(MID(表1_11[[#This Row],[工资等级]],2,2),表12[[#Headers],[1]:[10]],0)+1,0)</f>
        <v>3200</v>
      </c>
      <c r="J130" s="5">
        <v>27</v>
      </c>
      <c r="K130" s="27">
        <v>1.125</v>
      </c>
      <c r="L130" s="37">
        <f>IF(表1_11[[#This Row],[出勤率]]&gt;1,1,表1_11[[#This Row],[出勤率]])*表1_11[[#This Row],[岗位工资]]</f>
        <v>3200</v>
      </c>
      <c r="M130" s="5">
        <f>LOOKUP(表1_11[[#This Row],[岗位工资]],表13[lookup],表13[奖金比率])*表1_11[[#This Row],[岗位工资]]</f>
        <v>320</v>
      </c>
      <c r="N130" s="5">
        <v>79</v>
      </c>
      <c r="O130" s="38">
        <f>表1_11[[#This Row],[奖金等级]]*表1_11[[#This Row],[绩效得分]]/100</f>
        <v>252.8</v>
      </c>
      <c r="P130" s="5">
        <f>IF(表1_11[[#This Row],[出勤率]]&gt;=1,200,0)</f>
        <v>200</v>
      </c>
      <c r="Q130" s="23">
        <f t="shared" ref="Q130:Q193" ca="1" si="2">IF(工龄&gt;=10,500,工龄*50)</f>
        <v>450</v>
      </c>
      <c r="R130" s="23">
        <f>IF(表1_11[[#This Row],[中心]]="营销中心",VLOOKUP(表1_11[[#This Row],[职位]],表2[[话费补贴]:[营销中心]],2,0),VLOOKUP(表1_11[[#This Row],[职位]],表2[],3,0))</f>
        <v>0</v>
      </c>
      <c r="S130" s="23">
        <v>200</v>
      </c>
      <c r="T130" s="61">
        <f ca="1">ROUND(SUM(表1_11[[#This Row],[基本工资]],表1_11[[#This Row],[奖金]],表1_11[[#This Row],[全勤奖]:[防暑降温补贴]]),2)</f>
        <v>4302.8</v>
      </c>
      <c r="U130" s="62">
        <f ca="1">ROUND(表1_11[[#This Row],[税前应发总额]]*8%,2)</f>
        <v>344.22</v>
      </c>
      <c r="V130" s="62">
        <f ca="1">ROUND(表1_11[[#This Row],[税前应发总额]]*2%+3,2)</f>
        <v>89.06</v>
      </c>
      <c r="W130" s="62">
        <f ca="1">ROUND(表1_11[[#This Row],[税前应发总额]]*0.2%,2)</f>
        <v>8.61</v>
      </c>
      <c r="X130" s="62">
        <f ca="1">ROUND(表1_11[[#This Row],[税前应发总额]]*12%,2)</f>
        <v>516.34</v>
      </c>
      <c r="Y130" s="61">
        <f ca="1">ROUND(表1_11[[#This Row],[税前应发总额]]-SUM(表1_11[[#This Row],[养老保险]:[公积金]]),2)</f>
        <v>3344.57</v>
      </c>
      <c r="Z130" s="62">
        <f ca="1">ROUND(MAX((表1_11[[#This Row],[扣保险后工资金额]]-3500)*{3,10,20,25,30,35,45}%-{0,105,555,1005,2755,5505,13505},0),2)</f>
        <v>0</v>
      </c>
      <c r="AA130" s="63">
        <f ca="1">表1_11[[#This Row],[扣保险后工资金额]]-表1_11[[#This Row],[个人所得税]]</f>
        <v>3344.57</v>
      </c>
      <c r="AB130" s="53">
        <v>3323.11</v>
      </c>
      <c r="AC130" s="64">
        <f ca="1">(表1_11[[#This Row],[实发工资]]-表1_11[[#This Row],[上月对比]])/表1_11[[#This Row],[上月对比]]</f>
        <v>6.4578060912819724E-3</v>
      </c>
      <c r="AD130" s="65" t="s">
        <v>1587</v>
      </c>
    </row>
    <row r="131" spans="1:30">
      <c r="A131" s="42" t="s">
        <v>577</v>
      </c>
      <c r="B131" s="42" t="s">
        <v>664</v>
      </c>
      <c r="C131" s="40" t="s">
        <v>599</v>
      </c>
      <c r="D131" s="40" t="s">
        <v>626</v>
      </c>
      <c r="E131" s="41" t="s">
        <v>1141</v>
      </c>
      <c r="F131" s="5" t="s">
        <v>127</v>
      </c>
      <c r="G131" s="25">
        <v>39130</v>
      </c>
      <c r="H131" s="5" t="s">
        <v>657</v>
      </c>
      <c r="I131" s="5">
        <f>VLOOKUP(MID(表1_11[[#This Row],[工资等级]],1,1),表12[],MATCH(MID(表1_11[[#This Row],[工资等级]],2,2),表12[[#Headers],[1]:[10]],0)+1,0)</f>
        <v>4000</v>
      </c>
      <c r="J131" s="5">
        <v>23</v>
      </c>
      <c r="K131" s="27">
        <v>0.95833333333333337</v>
      </c>
      <c r="L131" s="37">
        <f>IF(表1_11[[#This Row],[出勤率]]&gt;1,1,表1_11[[#This Row],[出勤率]])*表1_11[[#This Row],[岗位工资]]</f>
        <v>3833.3333333333335</v>
      </c>
      <c r="M131" s="5">
        <f>LOOKUP(表1_11[[#This Row],[岗位工资]],表13[lookup],表13[奖金比率])*表1_11[[#This Row],[岗位工资]]</f>
        <v>600</v>
      </c>
      <c r="N131" s="5">
        <v>99</v>
      </c>
      <c r="O131" s="38">
        <f>表1_11[[#This Row],[奖金等级]]*表1_11[[#This Row],[绩效得分]]/100</f>
        <v>594</v>
      </c>
      <c r="P131" s="5">
        <f>IF(表1_11[[#This Row],[出勤率]]&gt;=1,200,0)</f>
        <v>0</v>
      </c>
      <c r="Q131" s="23">
        <f t="shared" ca="1" si="2"/>
        <v>500</v>
      </c>
      <c r="R131" s="23">
        <f>IF(表1_11[[#This Row],[中心]]="营销中心",VLOOKUP(表1_11[[#This Row],[职位]],表2[[话费补贴]:[营销中心]],2,0),VLOOKUP(表1_11[[#This Row],[职位]],表2[],3,0))</f>
        <v>0</v>
      </c>
      <c r="S131" s="23">
        <v>200</v>
      </c>
      <c r="T131" s="61">
        <f ca="1">ROUND(SUM(表1_11[[#This Row],[基本工资]],表1_11[[#This Row],[奖金]],表1_11[[#This Row],[全勤奖]:[防暑降温补贴]]),2)</f>
        <v>5127.33</v>
      </c>
      <c r="U131" s="62">
        <f ca="1">ROUND(表1_11[[#This Row],[税前应发总额]]*8%,2)</f>
        <v>410.19</v>
      </c>
      <c r="V131" s="62">
        <f ca="1">ROUND(表1_11[[#This Row],[税前应发总额]]*2%+3,2)</f>
        <v>105.55</v>
      </c>
      <c r="W131" s="62">
        <f ca="1">ROUND(表1_11[[#This Row],[税前应发总额]]*0.2%,2)</f>
        <v>10.25</v>
      </c>
      <c r="X131" s="62">
        <f ca="1">ROUND(表1_11[[#This Row],[税前应发总额]]*12%,2)</f>
        <v>615.28</v>
      </c>
      <c r="Y131" s="61">
        <f ca="1">ROUND(表1_11[[#This Row],[税前应发总额]]-SUM(表1_11[[#This Row],[养老保险]:[公积金]]),2)</f>
        <v>3986.06</v>
      </c>
      <c r="Z131" s="62">
        <f ca="1">ROUND(MAX((表1_11[[#This Row],[扣保险后工资金额]]-3500)*{3,10,20,25,30,35,45}%-{0,105,555,1005,2755,5505,13505},0),2)</f>
        <v>14.58</v>
      </c>
      <c r="AA131" s="63">
        <f ca="1">表1_11[[#This Row],[扣保险后工资金额]]-表1_11[[#This Row],[个人所得税]]</f>
        <v>3971.48</v>
      </c>
      <c r="AB131" s="53">
        <v>3716.98</v>
      </c>
      <c r="AC131" s="64">
        <f ca="1">(表1_11[[#This Row],[实发工资]]-表1_11[[#This Row],[上月对比]])/表1_11[[#This Row],[上月对比]]</f>
        <v>6.846956400088243E-2</v>
      </c>
      <c r="AD131" s="65" t="s">
        <v>1587</v>
      </c>
    </row>
    <row r="132" spans="1:30">
      <c r="A132" s="42" t="s">
        <v>577</v>
      </c>
      <c r="B132" s="42" t="s">
        <v>664</v>
      </c>
      <c r="C132" s="40" t="s">
        <v>693</v>
      </c>
      <c r="D132" s="40" t="s">
        <v>694</v>
      </c>
      <c r="E132" s="41" t="s">
        <v>1142</v>
      </c>
      <c r="F132" s="5" t="s">
        <v>128</v>
      </c>
      <c r="G132" s="25">
        <v>38307</v>
      </c>
      <c r="H132" s="5" t="s">
        <v>624</v>
      </c>
      <c r="I132" s="5">
        <f>VLOOKUP(MID(表1_11[[#This Row],[工资等级]],1,1),表12[],MATCH(MID(表1_11[[#This Row],[工资等级]],2,2),表12[[#Headers],[1]:[10]],0)+1,0)</f>
        <v>2800</v>
      </c>
      <c r="J132" s="5">
        <v>23</v>
      </c>
      <c r="K132" s="27">
        <v>0.95833333333333337</v>
      </c>
      <c r="L132" s="37">
        <f>IF(表1_11[[#This Row],[出勤率]]&gt;1,1,表1_11[[#This Row],[出勤率]])*表1_11[[#This Row],[岗位工资]]</f>
        <v>2683.3333333333335</v>
      </c>
      <c r="M132" s="5">
        <f>LOOKUP(表1_11[[#This Row],[岗位工资]],表13[lookup],表13[奖金比率])*表1_11[[#This Row],[岗位工资]]</f>
        <v>280</v>
      </c>
      <c r="N132" s="5">
        <v>97</v>
      </c>
      <c r="O132" s="38">
        <f>表1_11[[#This Row],[奖金等级]]*表1_11[[#This Row],[绩效得分]]/100</f>
        <v>271.60000000000002</v>
      </c>
      <c r="P132" s="5">
        <f>IF(表1_11[[#This Row],[出勤率]]&gt;=1,200,0)</f>
        <v>0</v>
      </c>
      <c r="Q132" s="23">
        <f t="shared" ca="1" si="2"/>
        <v>500</v>
      </c>
      <c r="R132" s="23">
        <f>IF(表1_11[[#This Row],[中心]]="营销中心",VLOOKUP(表1_11[[#This Row],[职位]],表2[[话费补贴]:[营销中心]],2,0),VLOOKUP(表1_11[[#This Row],[职位]],表2[],3,0))</f>
        <v>0</v>
      </c>
      <c r="S132" s="23">
        <v>200</v>
      </c>
      <c r="T132" s="61">
        <f ca="1">ROUND(SUM(表1_11[[#This Row],[基本工资]],表1_11[[#This Row],[奖金]],表1_11[[#This Row],[全勤奖]:[防暑降温补贴]]),2)</f>
        <v>3654.93</v>
      </c>
      <c r="U132" s="62">
        <f ca="1">ROUND(表1_11[[#This Row],[税前应发总额]]*8%,2)</f>
        <v>292.39</v>
      </c>
      <c r="V132" s="62">
        <f ca="1">ROUND(表1_11[[#This Row],[税前应发总额]]*2%+3,2)</f>
        <v>76.099999999999994</v>
      </c>
      <c r="W132" s="62">
        <f ca="1">ROUND(表1_11[[#This Row],[税前应发总额]]*0.2%,2)</f>
        <v>7.31</v>
      </c>
      <c r="X132" s="62">
        <f ca="1">ROUND(表1_11[[#This Row],[税前应发总额]]*12%,2)</f>
        <v>438.59</v>
      </c>
      <c r="Y132" s="61">
        <f ca="1">ROUND(表1_11[[#This Row],[税前应发总额]]-SUM(表1_11[[#This Row],[养老保险]:[公积金]]),2)</f>
        <v>2840.54</v>
      </c>
      <c r="Z132" s="62">
        <f ca="1">ROUND(MAX((表1_11[[#This Row],[扣保险后工资金额]]-3500)*{3,10,20,25,30,35,45}%-{0,105,555,1005,2755,5505,13505},0),2)</f>
        <v>0</v>
      </c>
      <c r="AA132" s="63">
        <f ca="1">表1_11[[#This Row],[扣保险后工资金额]]-表1_11[[#This Row],[个人所得税]]</f>
        <v>2840.54</v>
      </c>
      <c r="AB132" s="53">
        <v>2499.6799999999998</v>
      </c>
      <c r="AC132" s="64">
        <f ca="1">(表1_11[[#This Row],[实发工资]]-表1_11[[#This Row],[上月对比]])/表1_11[[#This Row],[上月对比]]</f>
        <v>0.13636145426614613</v>
      </c>
      <c r="AD132" s="65" t="s">
        <v>1587</v>
      </c>
    </row>
    <row r="133" spans="1:30">
      <c r="A133" s="42" t="s">
        <v>577</v>
      </c>
      <c r="B133" s="42" t="s">
        <v>664</v>
      </c>
      <c r="C133" s="40" t="s">
        <v>701</v>
      </c>
      <c r="D133" s="40" t="s">
        <v>702</v>
      </c>
      <c r="E133" s="41" t="s">
        <v>1143</v>
      </c>
      <c r="F133" s="5" t="s">
        <v>129</v>
      </c>
      <c r="G133" s="25">
        <v>42712</v>
      </c>
      <c r="H133" s="5" t="s">
        <v>617</v>
      </c>
      <c r="I133" s="5">
        <f>VLOOKUP(MID(表1_11[[#This Row],[工资等级]],1,1),表12[],MATCH(MID(表1_11[[#This Row],[工资等级]],2,2),表12[[#Headers],[1]:[10]],0)+1,0)</f>
        <v>2500</v>
      </c>
      <c r="J133" s="5">
        <v>22</v>
      </c>
      <c r="K133" s="27">
        <v>0.91666666666666663</v>
      </c>
      <c r="L133" s="37">
        <f>IF(表1_11[[#This Row],[出勤率]]&gt;1,1,表1_11[[#This Row],[出勤率]])*表1_11[[#This Row],[岗位工资]]</f>
        <v>2291.6666666666665</v>
      </c>
      <c r="M133" s="5">
        <f>LOOKUP(表1_11[[#This Row],[岗位工资]],表13[lookup],表13[奖金比率])*表1_11[[#This Row],[岗位工资]]</f>
        <v>250</v>
      </c>
      <c r="N133" s="5">
        <v>86</v>
      </c>
      <c r="O133" s="38">
        <f>表1_11[[#This Row],[奖金等级]]*表1_11[[#This Row],[绩效得分]]/100</f>
        <v>215</v>
      </c>
      <c r="P133" s="5">
        <f>IF(表1_11[[#This Row],[出勤率]]&gt;=1,200,0)</f>
        <v>0</v>
      </c>
      <c r="Q133" s="23">
        <f t="shared" ca="1" si="2"/>
        <v>50</v>
      </c>
      <c r="R133" s="23">
        <f>IF(表1_11[[#This Row],[中心]]="营销中心",VLOOKUP(表1_11[[#This Row],[职位]],表2[[话费补贴]:[营销中心]],2,0),VLOOKUP(表1_11[[#This Row],[职位]],表2[],3,0))</f>
        <v>0</v>
      </c>
      <c r="S133" s="23">
        <v>200</v>
      </c>
      <c r="T133" s="61">
        <f ca="1">ROUND(SUM(表1_11[[#This Row],[基本工资]],表1_11[[#This Row],[奖金]],表1_11[[#This Row],[全勤奖]:[防暑降温补贴]]),2)</f>
        <v>2756.67</v>
      </c>
      <c r="U133" s="62">
        <f ca="1">ROUND(表1_11[[#This Row],[税前应发总额]]*8%,2)</f>
        <v>220.53</v>
      </c>
      <c r="V133" s="62">
        <f ca="1">ROUND(表1_11[[#This Row],[税前应发总额]]*2%+3,2)</f>
        <v>58.13</v>
      </c>
      <c r="W133" s="62">
        <f ca="1">ROUND(表1_11[[#This Row],[税前应发总额]]*0.2%,2)</f>
        <v>5.51</v>
      </c>
      <c r="X133" s="62">
        <f ca="1">ROUND(表1_11[[#This Row],[税前应发总额]]*12%,2)</f>
        <v>330.8</v>
      </c>
      <c r="Y133" s="61">
        <f ca="1">ROUND(表1_11[[#This Row],[税前应发总额]]-SUM(表1_11[[#This Row],[养老保险]:[公积金]]),2)</f>
        <v>2141.6999999999998</v>
      </c>
      <c r="Z133" s="62">
        <f ca="1">ROUND(MAX((表1_11[[#This Row],[扣保险后工资金额]]-3500)*{3,10,20,25,30,35,45}%-{0,105,555,1005,2755,5505,13505},0),2)</f>
        <v>0</v>
      </c>
      <c r="AA133" s="63">
        <f ca="1">表1_11[[#This Row],[扣保险后工资金额]]-表1_11[[#This Row],[个人所得税]]</f>
        <v>2141.6999999999998</v>
      </c>
      <c r="AB133" s="53">
        <v>2386.1</v>
      </c>
      <c r="AC133" s="64">
        <f ca="1">(表1_11[[#This Row],[实发工资]]-表1_11[[#This Row],[上月对比]])/表1_11[[#This Row],[上月对比]]</f>
        <v>-0.10242655379070453</v>
      </c>
      <c r="AD133" s="65" t="s">
        <v>1587</v>
      </c>
    </row>
    <row r="134" spans="1:30">
      <c r="A134" s="42" t="s">
        <v>577</v>
      </c>
      <c r="B134" s="42" t="s">
        <v>664</v>
      </c>
      <c r="C134" s="40" t="s">
        <v>655</v>
      </c>
      <c r="D134" s="40" t="s">
        <v>656</v>
      </c>
      <c r="E134" s="41" t="s">
        <v>1144</v>
      </c>
      <c r="F134" s="5" t="s">
        <v>130</v>
      </c>
      <c r="G134" s="25">
        <v>41905</v>
      </c>
      <c r="H134" s="5" t="s">
        <v>612</v>
      </c>
      <c r="I134" s="5">
        <f>VLOOKUP(MID(表1_11[[#This Row],[工资等级]],1,1),表12[],MATCH(MID(表1_11[[#This Row],[工资等级]],2,2),表12[[#Headers],[1]:[10]],0)+1,0)</f>
        <v>2700</v>
      </c>
      <c r="J134" s="5">
        <v>26.5</v>
      </c>
      <c r="K134" s="27">
        <v>1.1041666666666667</v>
      </c>
      <c r="L134" s="37">
        <f>IF(表1_11[[#This Row],[出勤率]]&gt;1,1,表1_11[[#This Row],[出勤率]])*表1_11[[#This Row],[岗位工资]]</f>
        <v>2700</v>
      </c>
      <c r="M134" s="5">
        <f>LOOKUP(表1_11[[#This Row],[岗位工资]],表13[lookup],表13[奖金比率])*表1_11[[#This Row],[岗位工资]]</f>
        <v>270</v>
      </c>
      <c r="N134" s="5">
        <v>79</v>
      </c>
      <c r="O134" s="38">
        <f>表1_11[[#This Row],[奖金等级]]*表1_11[[#This Row],[绩效得分]]/100</f>
        <v>213.3</v>
      </c>
      <c r="P134" s="5">
        <f>IF(表1_11[[#This Row],[出勤率]]&gt;=1,200,0)</f>
        <v>200</v>
      </c>
      <c r="Q134" s="23">
        <f t="shared" ca="1" si="2"/>
        <v>150</v>
      </c>
      <c r="R134" s="23">
        <f>IF(表1_11[[#This Row],[中心]]="营销中心",VLOOKUP(表1_11[[#This Row],[职位]],表2[[话费补贴]:[营销中心]],2,0),VLOOKUP(表1_11[[#This Row],[职位]],表2[],3,0))</f>
        <v>0</v>
      </c>
      <c r="S134" s="23">
        <v>200</v>
      </c>
      <c r="T134" s="61">
        <f ca="1">ROUND(SUM(表1_11[[#This Row],[基本工资]],表1_11[[#This Row],[奖金]],表1_11[[#This Row],[全勤奖]:[防暑降温补贴]]),2)</f>
        <v>3463.3</v>
      </c>
      <c r="U134" s="62">
        <f ca="1">ROUND(表1_11[[#This Row],[税前应发总额]]*8%,2)</f>
        <v>277.06</v>
      </c>
      <c r="V134" s="62">
        <f ca="1">ROUND(表1_11[[#This Row],[税前应发总额]]*2%+3,2)</f>
        <v>72.27</v>
      </c>
      <c r="W134" s="62">
        <f ca="1">ROUND(表1_11[[#This Row],[税前应发总额]]*0.2%,2)</f>
        <v>6.93</v>
      </c>
      <c r="X134" s="62">
        <f ca="1">ROUND(表1_11[[#This Row],[税前应发总额]]*12%,2)</f>
        <v>415.6</v>
      </c>
      <c r="Y134" s="61">
        <f ca="1">ROUND(表1_11[[#This Row],[税前应发总额]]-SUM(表1_11[[#This Row],[养老保险]:[公积金]]),2)</f>
        <v>2691.44</v>
      </c>
      <c r="Z134" s="62">
        <f ca="1">ROUND(MAX((表1_11[[#This Row],[扣保险后工资金额]]-3500)*{3,10,20,25,30,35,45}%-{0,105,555,1005,2755,5505,13505},0),2)</f>
        <v>0</v>
      </c>
      <c r="AA134" s="63">
        <f ca="1">表1_11[[#This Row],[扣保险后工资金额]]-表1_11[[#This Row],[个人所得税]]</f>
        <v>2691.44</v>
      </c>
      <c r="AB134" s="53">
        <v>3018.74</v>
      </c>
      <c r="AC134" s="64">
        <f ca="1">(表1_11[[#This Row],[实发工资]]-表1_11[[#This Row],[上月对比]])/表1_11[[#This Row],[上月对比]]</f>
        <v>-0.10842271941273503</v>
      </c>
      <c r="AD134" s="65" t="s">
        <v>1587</v>
      </c>
    </row>
    <row r="135" spans="1:30">
      <c r="A135" s="42" t="s">
        <v>577</v>
      </c>
      <c r="B135" s="42" t="s">
        <v>664</v>
      </c>
      <c r="C135" s="40" t="s">
        <v>599</v>
      </c>
      <c r="D135" s="40" t="s">
        <v>626</v>
      </c>
      <c r="E135" s="41" t="s">
        <v>1145</v>
      </c>
      <c r="F135" s="5" t="s">
        <v>131</v>
      </c>
      <c r="G135" s="25">
        <v>40875</v>
      </c>
      <c r="H135" s="5" t="s">
        <v>617</v>
      </c>
      <c r="I135" s="5">
        <f>VLOOKUP(MID(表1_11[[#This Row],[工资等级]],1,1),表12[],MATCH(MID(表1_11[[#This Row],[工资等级]],2,2),表12[[#Headers],[1]:[10]],0)+1,0)</f>
        <v>2500</v>
      </c>
      <c r="J135" s="5">
        <v>21.5</v>
      </c>
      <c r="K135" s="27">
        <v>0.89583333333333337</v>
      </c>
      <c r="L135" s="37">
        <f>IF(表1_11[[#This Row],[出勤率]]&gt;1,1,表1_11[[#This Row],[出勤率]])*表1_11[[#This Row],[岗位工资]]</f>
        <v>2239.5833333333335</v>
      </c>
      <c r="M135" s="5">
        <f>LOOKUP(表1_11[[#This Row],[岗位工资]],表13[lookup],表13[奖金比率])*表1_11[[#This Row],[岗位工资]]</f>
        <v>250</v>
      </c>
      <c r="N135" s="5">
        <v>99</v>
      </c>
      <c r="O135" s="38">
        <f>表1_11[[#This Row],[奖金等级]]*表1_11[[#This Row],[绩效得分]]/100</f>
        <v>247.5</v>
      </c>
      <c r="P135" s="5">
        <f>IF(表1_11[[#This Row],[出勤率]]&gt;=1,200,0)</f>
        <v>0</v>
      </c>
      <c r="Q135" s="23">
        <f t="shared" ca="1" si="2"/>
        <v>300</v>
      </c>
      <c r="R135" s="23">
        <f>IF(表1_11[[#This Row],[中心]]="营销中心",VLOOKUP(表1_11[[#This Row],[职位]],表2[[话费补贴]:[营销中心]],2,0),VLOOKUP(表1_11[[#This Row],[职位]],表2[],3,0))</f>
        <v>0</v>
      </c>
      <c r="S135" s="23">
        <v>200</v>
      </c>
      <c r="T135" s="61">
        <f ca="1">ROUND(SUM(表1_11[[#This Row],[基本工资]],表1_11[[#This Row],[奖金]],表1_11[[#This Row],[全勤奖]:[防暑降温补贴]]),2)</f>
        <v>2987.08</v>
      </c>
      <c r="U135" s="62">
        <f ca="1">ROUND(表1_11[[#This Row],[税前应发总额]]*8%,2)</f>
        <v>238.97</v>
      </c>
      <c r="V135" s="62">
        <f ca="1">ROUND(表1_11[[#This Row],[税前应发总额]]*2%+3,2)</f>
        <v>62.74</v>
      </c>
      <c r="W135" s="62">
        <f ca="1">ROUND(表1_11[[#This Row],[税前应发总额]]*0.2%,2)</f>
        <v>5.97</v>
      </c>
      <c r="X135" s="62">
        <f ca="1">ROUND(表1_11[[#This Row],[税前应发总额]]*12%,2)</f>
        <v>358.45</v>
      </c>
      <c r="Y135" s="61">
        <f ca="1">ROUND(表1_11[[#This Row],[税前应发总额]]-SUM(表1_11[[#This Row],[养老保险]:[公积金]]),2)</f>
        <v>2320.9499999999998</v>
      </c>
      <c r="Z135" s="62">
        <f ca="1">ROUND(MAX((表1_11[[#This Row],[扣保险后工资金额]]-3500)*{3,10,20,25,30,35,45}%-{0,105,555,1005,2755,5505,13505},0),2)</f>
        <v>0</v>
      </c>
      <c r="AA135" s="63">
        <f ca="1">表1_11[[#This Row],[扣保险后工资金额]]-表1_11[[#This Row],[个人所得税]]</f>
        <v>2320.9499999999998</v>
      </c>
      <c r="AB135" s="53">
        <v>1996.4</v>
      </c>
      <c r="AC135" s="64">
        <f ca="1">(表1_11[[#This Row],[实发工资]]-表1_11[[#This Row],[上月对比]])/表1_11[[#This Row],[上月对比]]</f>
        <v>0.16256762171909422</v>
      </c>
      <c r="AD135" s="65" t="s">
        <v>1587</v>
      </c>
    </row>
    <row r="136" spans="1:30">
      <c r="A136" s="42" t="s">
        <v>577</v>
      </c>
      <c r="B136" s="42" t="s">
        <v>664</v>
      </c>
      <c r="C136" s="40" t="s">
        <v>703</v>
      </c>
      <c r="D136" s="40" t="s">
        <v>704</v>
      </c>
      <c r="E136" s="41" t="s">
        <v>1146</v>
      </c>
      <c r="F136" s="5" t="s">
        <v>132</v>
      </c>
      <c r="G136" s="25">
        <v>41593</v>
      </c>
      <c r="H136" s="5" t="s">
        <v>618</v>
      </c>
      <c r="I136" s="5">
        <f>VLOOKUP(MID(表1_11[[#This Row],[工资等级]],1,1),表12[],MATCH(MID(表1_11[[#This Row],[工资等级]],2,2),表12[[#Headers],[1]:[10]],0)+1,0)</f>
        <v>3000</v>
      </c>
      <c r="J136" s="5">
        <v>26</v>
      </c>
      <c r="K136" s="27">
        <v>1.0833333333333333</v>
      </c>
      <c r="L136" s="37">
        <f>IF(表1_11[[#This Row],[出勤率]]&gt;1,1,表1_11[[#This Row],[出勤率]])*表1_11[[#This Row],[岗位工资]]</f>
        <v>3000</v>
      </c>
      <c r="M136" s="5">
        <f>LOOKUP(表1_11[[#This Row],[岗位工资]],表13[lookup],表13[奖金比率])*表1_11[[#This Row],[岗位工资]]</f>
        <v>300</v>
      </c>
      <c r="N136" s="5">
        <v>94</v>
      </c>
      <c r="O136" s="38">
        <f>表1_11[[#This Row],[奖金等级]]*表1_11[[#This Row],[绩效得分]]/100</f>
        <v>282</v>
      </c>
      <c r="P136" s="5">
        <f>IF(表1_11[[#This Row],[出勤率]]&gt;=1,200,0)</f>
        <v>200</v>
      </c>
      <c r="Q136" s="23">
        <f t="shared" ca="1" si="2"/>
        <v>200</v>
      </c>
      <c r="R136" s="23">
        <f>IF(表1_11[[#This Row],[中心]]="营销中心",VLOOKUP(表1_11[[#This Row],[职位]],表2[[话费补贴]:[营销中心]],2,0),VLOOKUP(表1_11[[#This Row],[职位]],表2[],3,0))</f>
        <v>0</v>
      </c>
      <c r="S136" s="23">
        <v>200</v>
      </c>
      <c r="T136" s="61">
        <f ca="1">ROUND(SUM(表1_11[[#This Row],[基本工资]],表1_11[[#This Row],[奖金]],表1_11[[#This Row],[全勤奖]:[防暑降温补贴]]),2)</f>
        <v>3882</v>
      </c>
      <c r="U136" s="62">
        <f ca="1">ROUND(表1_11[[#This Row],[税前应发总额]]*8%,2)</f>
        <v>310.56</v>
      </c>
      <c r="V136" s="62">
        <f ca="1">ROUND(表1_11[[#This Row],[税前应发总额]]*2%+3,2)</f>
        <v>80.64</v>
      </c>
      <c r="W136" s="62">
        <f ca="1">ROUND(表1_11[[#This Row],[税前应发总额]]*0.2%,2)</f>
        <v>7.76</v>
      </c>
      <c r="X136" s="62">
        <f ca="1">ROUND(表1_11[[#This Row],[税前应发总额]]*12%,2)</f>
        <v>465.84</v>
      </c>
      <c r="Y136" s="61">
        <f ca="1">ROUND(表1_11[[#This Row],[税前应发总额]]-SUM(表1_11[[#This Row],[养老保险]:[公积金]]),2)</f>
        <v>3017.2</v>
      </c>
      <c r="Z136" s="62">
        <f ca="1">ROUND(MAX((表1_11[[#This Row],[扣保险后工资金额]]-3500)*{3,10,20,25,30,35,45}%-{0,105,555,1005,2755,5505,13505},0),2)</f>
        <v>0</v>
      </c>
      <c r="AA136" s="63">
        <f ca="1">表1_11[[#This Row],[扣保险后工资金额]]-表1_11[[#This Row],[个人所得税]]</f>
        <v>3017.2</v>
      </c>
      <c r="AB136" s="53">
        <v>3137.2</v>
      </c>
      <c r="AC136" s="64">
        <f ca="1">(表1_11[[#This Row],[实发工资]]-表1_11[[#This Row],[上月对比]])/表1_11[[#This Row],[上月对比]]</f>
        <v>-3.8250669386714273E-2</v>
      </c>
      <c r="AD136" s="65" t="s">
        <v>1587</v>
      </c>
    </row>
    <row r="137" spans="1:30">
      <c r="A137" s="42" t="s">
        <v>577</v>
      </c>
      <c r="B137" s="42" t="s">
        <v>664</v>
      </c>
      <c r="C137" s="40" t="s">
        <v>705</v>
      </c>
      <c r="D137" s="40" t="s">
        <v>706</v>
      </c>
      <c r="E137" s="41" t="s">
        <v>1147</v>
      </c>
      <c r="F137" s="5" t="s">
        <v>133</v>
      </c>
      <c r="G137" s="25">
        <v>38633</v>
      </c>
      <c r="H137" s="5" t="s">
        <v>615</v>
      </c>
      <c r="I137" s="5">
        <f>VLOOKUP(MID(表1_11[[#This Row],[工资等级]],1,1),表12[],MATCH(MID(表1_11[[#This Row],[工资等级]],2,2),表12[[#Headers],[1]:[10]],0)+1,0)</f>
        <v>3200</v>
      </c>
      <c r="J137" s="5">
        <v>27</v>
      </c>
      <c r="K137" s="27">
        <v>1.125</v>
      </c>
      <c r="L137" s="37">
        <f>IF(表1_11[[#This Row],[出勤率]]&gt;1,1,表1_11[[#This Row],[出勤率]])*表1_11[[#This Row],[岗位工资]]</f>
        <v>3200</v>
      </c>
      <c r="M137" s="5">
        <f>LOOKUP(表1_11[[#This Row],[岗位工资]],表13[lookup],表13[奖金比率])*表1_11[[#This Row],[岗位工资]]</f>
        <v>320</v>
      </c>
      <c r="N137" s="5">
        <v>85</v>
      </c>
      <c r="O137" s="38">
        <f>表1_11[[#This Row],[奖金等级]]*表1_11[[#This Row],[绩效得分]]/100</f>
        <v>272</v>
      </c>
      <c r="P137" s="5">
        <f>IF(表1_11[[#This Row],[出勤率]]&gt;=1,200,0)</f>
        <v>200</v>
      </c>
      <c r="Q137" s="23">
        <f t="shared" ca="1" si="2"/>
        <v>500</v>
      </c>
      <c r="R137" s="23">
        <f>IF(表1_11[[#This Row],[中心]]="营销中心",VLOOKUP(表1_11[[#This Row],[职位]],表2[[话费补贴]:[营销中心]],2,0),VLOOKUP(表1_11[[#This Row],[职位]],表2[],3,0))</f>
        <v>0</v>
      </c>
      <c r="S137" s="23">
        <v>200</v>
      </c>
      <c r="T137" s="61">
        <f ca="1">ROUND(SUM(表1_11[[#This Row],[基本工资]],表1_11[[#This Row],[奖金]],表1_11[[#This Row],[全勤奖]:[防暑降温补贴]]),2)</f>
        <v>4372</v>
      </c>
      <c r="U137" s="62">
        <f ca="1">ROUND(表1_11[[#This Row],[税前应发总额]]*8%,2)</f>
        <v>349.76</v>
      </c>
      <c r="V137" s="62">
        <f ca="1">ROUND(表1_11[[#This Row],[税前应发总额]]*2%+3,2)</f>
        <v>90.44</v>
      </c>
      <c r="W137" s="62">
        <f ca="1">ROUND(表1_11[[#This Row],[税前应发总额]]*0.2%,2)</f>
        <v>8.74</v>
      </c>
      <c r="X137" s="62">
        <f ca="1">ROUND(表1_11[[#This Row],[税前应发总额]]*12%,2)</f>
        <v>524.64</v>
      </c>
      <c r="Y137" s="61">
        <f ca="1">ROUND(表1_11[[#This Row],[税前应发总额]]-SUM(表1_11[[#This Row],[养老保险]:[公积金]]),2)</f>
        <v>3398.42</v>
      </c>
      <c r="Z137" s="62">
        <f ca="1">ROUND(MAX((表1_11[[#This Row],[扣保险后工资金额]]-3500)*{3,10,20,25,30,35,45}%-{0,105,555,1005,2755,5505,13505},0),2)</f>
        <v>0</v>
      </c>
      <c r="AA137" s="63">
        <f ca="1">表1_11[[#This Row],[扣保险后工资金额]]-表1_11[[#This Row],[个人所得税]]</f>
        <v>3398.42</v>
      </c>
      <c r="AB137" s="53">
        <v>3839.68</v>
      </c>
      <c r="AC137" s="64">
        <f ca="1">(表1_11[[#This Row],[实发工资]]-表1_11[[#This Row],[上月对比]])/表1_11[[#This Row],[上月对比]]</f>
        <v>-0.11492103508625713</v>
      </c>
      <c r="AD137" s="65" t="s">
        <v>1587</v>
      </c>
    </row>
    <row r="138" spans="1:30">
      <c r="A138" s="42" t="s">
        <v>577</v>
      </c>
      <c r="B138" s="42" t="s">
        <v>664</v>
      </c>
      <c r="C138" s="40" t="s">
        <v>697</v>
      </c>
      <c r="D138" s="40" t="s">
        <v>698</v>
      </c>
      <c r="E138" s="41" t="s">
        <v>1148</v>
      </c>
      <c r="F138" s="5" t="s">
        <v>134</v>
      </c>
      <c r="G138" s="25">
        <v>40356</v>
      </c>
      <c r="H138" s="5" t="s">
        <v>624</v>
      </c>
      <c r="I138" s="5">
        <f>VLOOKUP(MID(表1_11[[#This Row],[工资等级]],1,1),表12[],MATCH(MID(表1_11[[#This Row],[工资等级]],2,2),表12[[#Headers],[1]:[10]],0)+1,0)</f>
        <v>2800</v>
      </c>
      <c r="J138" s="5">
        <v>25.5</v>
      </c>
      <c r="K138" s="27">
        <v>1.0625</v>
      </c>
      <c r="L138" s="37">
        <f>IF(表1_11[[#This Row],[出勤率]]&gt;1,1,表1_11[[#This Row],[出勤率]])*表1_11[[#This Row],[岗位工资]]</f>
        <v>2800</v>
      </c>
      <c r="M138" s="5">
        <f>LOOKUP(表1_11[[#This Row],[岗位工资]],表13[lookup],表13[奖金比率])*表1_11[[#This Row],[岗位工资]]</f>
        <v>280</v>
      </c>
      <c r="N138" s="5">
        <v>80</v>
      </c>
      <c r="O138" s="38">
        <f>表1_11[[#This Row],[奖金等级]]*表1_11[[#This Row],[绩效得分]]/100</f>
        <v>224</v>
      </c>
      <c r="P138" s="5">
        <f>IF(表1_11[[#This Row],[出勤率]]&gt;=1,200,0)</f>
        <v>200</v>
      </c>
      <c r="Q138" s="23">
        <f t="shared" ca="1" si="2"/>
        <v>350</v>
      </c>
      <c r="R138" s="23">
        <f>IF(表1_11[[#This Row],[中心]]="营销中心",VLOOKUP(表1_11[[#This Row],[职位]],表2[[话费补贴]:[营销中心]],2,0),VLOOKUP(表1_11[[#This Row],[职位]],表2[],3,0))</f>
        <v>0</v>
      </c>
      <c r="S138" s="23">
        <v>200</v>
      </c>
      <c r="T138" s="61">
        <f ca="1">ROUND(SUM(表1_11[[#This Row],[基本工资]],表1_11[[#This Row],[奖金]],表1_11[[#This Row],[全勤奖]:[防暑降温补贴]]),2)</f>
        <v>3774</v>
      </c>
      <c r="U138" s="62">
        <f ca="1">ROUND(表1_11[[#This Row],[税前应发总额]]*8%,2)</f>
        <v>301.92</v>
      </c>
      <c r="V138" s="62">
        <f ca="1">ROUND(表1_11[[#This Row],[税前应发总额]]*2%+3,2)</f>
        <v>78.48</v>
      </c>
      <c r="W138" s="62">
        <f ca="1">ROUND(表1_11[[#This Row],[税前应发总额]]*0.2%,2)</f>
        <v>7.55</v>
      </c>
      <c r="X138" s="62">
        <f ca="1">ROUND(表1_11[[#This Row],[税前应发总额]]*12%,2)</f>
        <v>452.88</v>
      </c>
      <c r="Y138" s="61">
        <f ca="1">ROUND(表1_11[[#This Row],[税前应发总额]]-SUM(表1_11[[#This Row],[养老保险]:[公积金]]),2)</f>
        <v>2933.17</v>
      </c>
      <c r="Z138" s="62">
        <f ca="1">ROUND(MAX((表1_11[[#This Row],[扣保险后工资金额]]-3500)*{3,10,20,25,30,35,45}%-{0,105,555,1005,2755,5505,13505},0),2)</f>
        <v>0</v>
      </c>
      <c r="AA138" s="63">
        <f ca="1">表1_11[[#This Row],[扣保险后工资金额]]-表1_11[[#This Row],[个人所得税]]</f>
        <v>2933.17</v>
      </c>
      <c r="AB138" s="53">
        <v>2778.53</v>
      </c>
      <c r="AC138" s="64">
        <f ca="1">(表1_11[[#This Row],[实发工资]]-表1_11[[#This Row],[上月对比]])/表1_11[[#This Row],[上月对比]]</f>
        <v>5.5655328537032124E-2</v>
      </c>
      <c r="AD138" s="65" t="s">
        <v>1587</v>
      </c>
    </row>
    <row r="139" spans="1:30">
      <c r="A139" s="42" t="s">
        <v>577</v>
      </c>
      <c r="B139" s="42" t="s">
        <v>664</v>
      </c>
      <c r="C139" s="40" t="s">
        <v>655</v>
      </c>
      <c r="D139" s="40" t="s">
        <v>656</v>
      </c>
      <c r="E139" s="41" t="s">
        <v>1149</v>
      </c>
      <c r="F139" s="5" t="s">
        <v>135</v>
      </c>
      <c r="G139" s="25">
        <v>38880</v>
      </c>
      <c r="H139" s="5" t="s">
        <v>622</v>
      </c>
      <c r="I139" s="5">
        <f>VLOOKUP(MID(表1_11[[#This Row],[工资等级]],1,1),表12[],MATCH(MID(表1_11[[#This Row],[工资等级]],2,2),表12[[#Headers],[1]:[10]],0)+1,0)</f>
        <v>3600</v>
      </c>
      <c r="J139" s="5">
        <v>23.5</v>
      </c>
      <c r="K139" s="27">
        <v>0.97916666666666663</v>
      </c>
      <c r="L139" s="37">
        <f>IF(表1_11[[#This Row],[出勤率]]&gt;1,1,表1_11[[#This Row],[出勤率]])*表1_11[[#This Row],[岗位工资]]</f>
        <v>3525</v>
      </c>
      <c r="M139" s="5">
        <f>LOOKUP(表1_11[[#This Row],[岗位工资]],表13[lookup],表13[奖金比率])*表1_11[[#This Row],[岗位工资]]</f>
        <v>360</v>
      </c>
      <c r="N139" s="5">
        <v>79</v>
      </c>
      <c r="O139" s="38">
        <f>表1_11[[#This Row],[奖金等级]]*表1_11[[#This Row],[绩效得分]]/100</f>
        <v>284.39999999999998</v>
      </c>
      <c r="P139" s="5">
        <f>IF(表1_11[[#This Row],[出勤率]]&gt;=1,200,0)</f>
        <v>0</v>
      </c>
      <c r="Q139" s="23">
        <f t="shared" ca="1" si="2"/>
        <v>500</v>
      </c>
      <c r="R139" s="23">
        <f>IF(表1_11[[#This Row],[中心]]="营销中心",VLOOKUP(表1_11[[#This Row],[职位]],表2[[话费补贴]:[营销中心]],2,0),VLOOKUP(表1_11[[#This Row],[职位]],表2[],3,0))</f>
        <v>0</v>
      </c>
      <c r="S139" s="23">
        <v>200</v>
      </c>
      <c r="T139" s="61">
        <f ca="1">ROUND(SUM(表1_11[[#This Row],[基本工资]],表1_11[[#This Row],[奖金]],表1_11[[#This Row],[全勤奖]:[防暑降温补贴]]),2)</f>
        <v>4509.3999999999996</v>
      </c>
      <c r="U139" s="62">
        <f ca="1">ROUND(表1_11[[#This Row],[税前应发总额]]*8%,2)</f>
        <v>360.75</v>
      </c>
      <c r="V139" s="62">
        <f ca="1">ROUND(表1_11[[#This Row],[税前应发总额]]*2%+3,2)</f>
        <v>93.19</v>
      </c>
      <c r="W139" s="62">
        <f ca="1">ROUND(表1_11[[#This Row],[税前应发总额]]*0.2%,2)</f>
        <v>9.02</v>
      </c>
      <c r="X139" s="62">
        <f ca="1">ROUND(表1_11[[#This Row],[税前应发总额]]*12%,2)</f>
        <v>541.13</v>
      </c>
      <c r="Y139" s="61">
        <f ca="1">ROUND(表1_11[[#This Row],[税前应发总额]]-SUM(表1_11[[#This Row],[养老保险]:[公积金]]),2)</f>
        <v>3505.31</v>
      </c>
      <c r="Z139" s="62">
        <f ca="1">ROUND(MAX((表1_11[[#This Row],[扣保险后工资金额]]-3500)*{3,10,20,25,30,35,45}%-{0,105,555,1005,2755,5505,13505},0),2)</f>
        <v>0.16</v>
      </c>
      <c r="AA139" s="63">
        <f ca="1">表1_11[[#This Row],[扣保险后工资金额]]-表1_11[[#This Row],[个人所得税]]</f>
        <v>3505.15</v>
      </c>
      <c r="AB139" s="53">
        <v>4002.07</v>
      </c>
      <c r="AC139" s="64">
        <f ca="1">(表1_11[[#This Row],[实发工资]]-表1_11[[#This Row],[上月对比]])/表1_11[[#This Row],[上月对比]]</f>
        <v>-0.12416574422736236</v>
      </c>
      <c r="AD139" s="65" t="s">
        <v>1587</v>
      </c>
    </row>
    <row r="140" spans="1:30">
      <c r="A140" s="42" t="s">
        <v>577</v>
      </c>
      <c r="B140" s="42" t="s">
        <v>664</v>
      </c>
      <c r="C140" s="40" t="s">
        <v>691</v>
      </c>
      <c r="D140" s="40" t="s">
        <v>692</v>
      </c>
      <c r="E140" s="41" t="s">
        <v>1150</v>
      </c>
      <c r="F140" s="5" t="s">
        <v>136</v>
      </c>
      <c r="G140" s="25">
        <v>41707</v>
      </c>
      <c r="H140" s="5" t="s">
        <v>615</v>
      </c>
      <c r="I140" s="5">
        <f>VLOOKUP(MID(表1_11[[#This Row],[工资等级]],1,1),表12[],MATCH(MID(表1_11[[#This Row],[工资等级]],2,2),表12[[#Headers],[1]:[10]],0)+1,0)</f>
        <v>3200</v>
      </c>
      <c r="J140" s="5">
        <v>22.5</v>
      </c>
      <c r="K140" s="27">
        <v>0.9375</v>
      </c>
      <c r="L140" s="37">
        <f>IF(表1_11[[#This Row],[出勤率]]&gt;1,1,表1_11[[#This Row],[出勤率]])*表1_11[[#This Row],[岗位工资]]</f>
        <v>3000</v>
      </c>
      <c r="M140" s="5">
        <f>LOOKUP(表1_11[[#This Row],[岗位工资]],表13[lookup],表13[奖金比率])*表1_11[[#This Row],[岗位工资]]</f>
        <v>320</v>
      </c>
      <c r="N140" s="5">
        <v>80</v>
      </c>
      <c r="O140" s="38">
        <f>表1_11[[#This Row],[奖金等级]]*表1_11[[#This Row],[绩效得分]]/100</f>
        <v>256</v>
      </c>
      <c r="P140" s="5">
        <f>IF(表1_11[[#This Row],[出勤率]]&gt;=1,200,0)</f>
        <v>0</v>
      </c>
      <c r="Q140" s="23">
        <f t="shared" ca="1" si="2"/>
        <v>150</v>
      </c>
      <c r="R140" s="23">
        <f>IF(表1_11[[#This Row],[中心]]="营销中心",VLOOKUP(表1_11[[#This Row],[职位]],表2[[话费补贴]:[营销中心]],2,0),VLOOKUP(表1_11[[#This Row],[职位]],表2[],3,0))</f>
        <v>0</v>
      </c>
      <c r="S140" s="23">
        <v>200</v>
      </c>
      <c r="T140" s="61">
        <f ca="1">ROUND(SUM(表1_11[[#This Row],[基本工资]],表1_11[[#This Row],[奖金]],表1_11[[#This Row],[全勤奖]:[防暑降温补贴]]),2)</f>
        <v>3606</v>
      </c>
      <c r="U140" s="62">
        <f ca="1">ROUND(表1_11[[#This Row],[税前应发总额]]*8%,2)</f>
        <v>288.48</v>
      </c>
      <c r="V140" s="62">
        <f ca="1">ROUND(表1_11[[#This Row],[税前应发总额]]*2%+3,2)</f>
        <v>75.12</v>
      </c>
      <c r="W140" s="62">
        <f ca="1">ROUND(表1_11[[#This Row],[税前应发总额]]*0.2%,2)</f>
        <v>7.21</v>
      </c>
      <c r="X140" s="62">
        <f ca="1">ROUND(表1_11[[#This Row],[税前应发总额]]*12%,2)</f>
        <v>432.72</v>
      </c>
      <c r="Y140" s="61">
        <f ca="1">ROUND(表1_11[[#This Row],[税前应发总额]]-SUM(表1_11[[#This Row],[养老保险]:[公积金]]),2)</f>
        <v>2802.47</v>
      </c>
      <c r="Z140" s="62">
        <f ca="1">ROUND(MAX((表1_11[[#This Row],[扣保险后工资金额]]-3500)*{3,10,20,25,30,35,45}%-{0,105,555,1005,2755,5505,13505},0),2)</f>
        <v>0</v>
      </c>
      <c r="AA140" s="63">
        <f ca="1">表1_11[[#This Row],[扣保险后工资金额]]-表1_11[[#This Row],[个人所得税]]</f>
        <v>2802.47</v>
      </c>
      <c r="AB140" s="53">
        <v>3377.9</v>
      </c>
      <c r="AC140" s="64">
        <f ca="1">(表1_11[[#This Row],[实发工资]]-表1_11[[#This Row],[上月对比]])/表1_11[[#This Row],[上月对比]]</f>
        <v>-0.17035140175848909</v>
      </c>
      <c r="AD140" s="65" t="s">
        <v>1587</v>
      </c>
    </row>
    <row r="141" spans="1:30">
      <c r="A141" s="42" t="s">
        <v>577</v>
      </c>
      <c r="B141" s="42" t="s">
        <v>664</v>
      </c>
      <c r="C141" s="40" t="s">
        <v>599</v>
      </c>
      <c r="D141" s="40" t="s">
        <v>626</v>
      </c>
      <c r="E141" s="41" t="s">
        <v>1151</v>
      </c>
      <c r="F141" s="5" t="s">
        <v>137</v>
      </c>
      <c r="G141" s="25">
        <v>42535</v>
      </c>
      <c r="H141" s="5" t="s">
        <v>617</v>
      </c>
      <c r="I141" s="5">
        <f>VLOOKUP(MID(表1_11[[#This Row],[工资等级]],1,1),表12[],MATCH(MID(表1_11[[#This Row],[工资等级]],2,2),表12[[#Headers],[1]:[10]],0)+1,0)</f>
        <v>2500</v>
      </c>
      <c r="J141" s="5">
        <v>23.5</v>
      </c>
      <c r="K141" s="27">
        <v>0.97916666666666663</v>
      </c>
      <c r="L141" s="37">
        <f>IF(表1_11[[#This Row],[出勤率]]&gt;1,1,表1_11[[#This Row],[出勤率]])*表1_11[[#This Row],[岗位工资]]</f>
        <v>2447.9166666666665</v>
      </c>
      <c r="M141" s="5">
        <f>LOOKUP(表1_11[[#This Row],[岗位工资]],表13[lookup],表13[奖金比率])*表1_11[[#This Row],[岗位工资]]</f>
        <v>250</v>
      </c>
      <c r="N141" s="5">
        <v>97</v>
      </c>
      <c r="O141" s="38">
        <f>表1_11[[#This Row],[奖金等级]]*表1_11[[#This Row],[绩效得分]]/100</f>
        <v>242.5</v>
      </c>
      <c r="P141" s="5">
        <f>IF(表1_11[[#This Row],[出勤率]]&gt;=1,200,0)</f>
        <v>0</v>
      </c>
      <c r="Q141" s="23">
        <f t="shared" ca="1" si="2"/>
        <v>50</v>
      </c>
      <c r="R141" s="23">
        <f>IF(表1_11[[#This Row],[中心]]="营销中心",VLOOKUP(表1_11[[#This Row],[职位]],表2[[话费补贴]:[营销中心]],2,0),VLOOKUP(表1_11[[#This Row],[职位]],表2[],3,0))</f>
        <v>0</v>
      </c>
      <c r="S141" s="23">
        <v>200</v>
      </c>
      <c r="T141" s="61">
        <f ca="1">ROUND(SUM(表1_11[[#This Row],[基本工资]],表1_11[[#This Row],[奖金]],表1_11[[#This Row],[全勤奖]:[防暑降温补贴]]),2)</f>
        <v>2940.42</v>
      </c>
      <c r="U141" s="62">
        <f ca="1">ROUND(表1_11[[#This Row],[税前应发总额]]*8%,2)</f>
        <v>235.23</v>
      </c>
      <c r="V141" s="62">
        <f ca="1">ROUND(表1_11[[#This Row],[税前应发总额]]*2%+3,2)</f>
        <v>61.81</v>
      </c>
      <c r="W141" s="62">
        <f ca="1">ROUND(表1_11[[#This Row],[税前应发总额]]*0.2%,2)</f>
        <v>5.88</v>
      </c>
      <c r="X141" s="62">
        <f ca="1">ROUND(表1_11[[#This Row],[税前应发总额]]*12%,2)</f>
        <v>352.85</v>
      </c>
      <c r="Y141" s="61">
        <f ca="1">ROUND(表1_11[[#This Row],[税前应发总额]]-SUM(表1_11[[#This Row],[养老保险]:[公积金]]),2)</f>
        <v>2284.65</v>
      </c>
      <c r="Z141" s="62">
        <f ca="1">ROUND(MAX((表1_11[[#This Row],[扣保险后工资金额]]-3500)*{3,10,20,25,30,35,45}%-{0,105,555,1005,2755,5505,13505},0),2)</f>
        <v>0</v>
      </c>
      <c r="AA141" s="63">
        <f ca="1">表1_11[[#This Row],[扣保险后工资金额]]-表1_11[[#This Row],[个人所得税]]</f>
        <v>2284.65</v>
      </c>
      <c r="AB141" s="53">
        <v>2596.0500000000002</v>
      </c>
      <c r="AC141" s="64">
        <f ca="1">(表1_11[[#This Row],[实发工资]]-表1_11[[#This Row],[上月对比]])/表1_11[[#This Row],[上月对比]]</f>
        <v>-0.11995146472525571</v>
      </c>
      <c r="AD141" s="65" t="s">
        <v>1587</v>
      </c>
    </row>
    <row r="142" spans="1:30">
      <c r="A142" s="42" t="s">
        <v>577</v>
      </c>
      <c r="B142" s="42" t="s">
        <v>664</v>
      </c>
      <c r="C142" s="40" t="s">
        <v>599</v>
      </c>
      <c r="D142" s="40" t="s">
        <v>626</v>
      </c>
      <c r="E142" s="41" t="s">
        <v>1152</v>
      </c>
      <c r="F142" s="5" t="s">
        <v>138</v>
      </c>
      <c r="G142" s="25">
        <v>38699</v>
      </c>
      <c r="H142" s="5" t="s">
        <v>622</v>
      </c>
      <c r="I142" s="5">
        <f>VLOOKUP(MID(表1_11[[#This Row],[工资等级]],1,1),表12[],MATCH(MID(表1_11[[#This Row],[工资等级]],2,2),表12[[#Headers],[1]:[10]],0)+1,0)</f>
        <v>3600</v>
      </c>
      <c r="J142" s="5">
        <v>23.5</v>
      </c>
      <c r="K142" s="27">
        <v>0.97916666666666663</v>
      </c>
      <c r="L142" s="37">
        <f>IF(表1_11[[#This Row],[出勤率]]&gt;1,1,表1_11[[#This Row],[出勤率]])*表1_11[[#This Row],[岗位工资]]</f>
        <v>3525</v>
      </c>
      <c r="M142" s="5">
        <f>LOOKUP(表1_11[[#This Row],[岗位工资]],表13[lookup],表13[奖金比率])*表1_11[[#This Row],[岗位工资]]</f>
        <v>360</v>
      </c>
      <c r="N142" s="5">
        <v>94</v>
      </c>
      <c r="O142" s="38">
        <f>表1_11[[#This Row],[奖金等级]]*表1_11[[#This Row],[绩效得分]]/100</f>
        <v>338.4</v>
      </c>
      <c r="P142" s="5">
        <f>IF(表1_11[[#This Row],[出勤率]]&gt;=1,200,0)</f>
        <v>0</v>
      </c>
      <c r="Q142" s="23">
        <f t="shared" ca="1" si="2"/>
        <v>500</v>
      </c>
      <c r="R142" s="23">
        <f>IF(表1_11[[#This Row],[中心]]="营销中心",VLOOKUP(表1_11[[#This Row],[职位]],表2[[话费补贴]:[营销中心]],2,0),VLOOKUP(表1_11[[#This Row],[职位]],表2[],3,0))</f>
        <v>0</v>
      </c>
      <c r="S142" s="23">
        <v>200</v>
      </c>
      <c r="T142" s="61">
        <f ca="1">ROUND(SUM(表1_11[[#This Row],[基本工资]],表1_11[[#This Row],[奖金]],表1_11[[#This Row],[全勤奖]:[防暑降温补贴]]),2)</f>
        <v>4563.3999999999996</v>
      </c>
      <c r="U142" s="62">
        <f ca="1">ROUND(表1_11[[#This Row],[税前应发总额]]*8%,2)</f>
        <v>365.07</v>
      </c>
      <c r="V142" s="62">
        <f ca="1">ROUND(表1_11[[#This Row],[税前应发总额]]*2%+3,2)</f>
        <v>94.27</v>
      </c>
      <c r="W142" s="62">
        <f ca="1">ROUND(表1_11[[#This Row],[税前应发总额]]*0.2%,2)</f>
        <v>9.1300000000000008</v>
      </c>
      <c r="X142" s="62">
        <f ca="1">ROUND(表1_11[[#This Row],[税前应发总额]]*12%,2)</f>
        <v>547.61</v>
      </c>
      <c r="Y142" s="61">
        <f ca="1">ROUND(表1_11[[#This Row],[税前应发总额]]-SUM(表1_11[[#This Row],[养老保险]:[公积金]]),2)</f>
        <v>3547.32</v>
      </c>
      <c r="Z142" s="62">
        <f ca="1">ROUND(MAX((表1_11[[#This Row],[扣保险后工资金额]]-3500)*{3,10,20,25,30,35,45}%-{0,105,555,1005,2755,5505,13505},0),2)</f>
        <v>1.42</v>
      </c>
      <c r="AA142" s="63">
        <f ca="1">表1_11[[#This Row],[扣保险后工资金额]]-表1_11[[#This Row],[个人所得税]]</f>
        <v>3545.9</v>
      </c>
      <c r="AB142" s="53">
        <v>3909.47</v>
      </c>
      <c r="AC142" s="64">
        <f ca="1">(表1_11[[#This Row],[实发工资]]-表1_11[[#This Row],[上月对比]])/表1_11[[#This Row],[上月对比]]</f>
        <v>-9.2997260498226028E-2</v>
      </c>
      <c r="AD142" s="65" t="s">
        <v>1587</v>
      </c>
    </row>
    <row r="143" spans="1:30">
      <c r="A143" s="42" t="s">
        <v>577</v>
      </c>
      <c r="B143" s="42" t="s">
        <v>664</v>
      </c>
      <c r="C143" s="40" t="s">
        <v>599</v>
      </c>
      <c r="D143" s="40" t="s">
        <v>626</v>
      </c>
      <c r="E143" s="41" t="s">
        <v>1153</v>
      </c>
      <c r="F143" s="5" t="s">
        <v>139</v>
      </c>
      <c r="G143" s="25">
        <v>41456</v>
      </c>
      <c r="H143" s="5" t="s">
        <v>623</v>
      </c>
      <c r="I143" s="5">
        <f>VLOOKUP(MID(表1_11[[#This Row],[工资等级]],1,1),表12[],MATCH(MID(表1_11[[#This Row],[工资等级]],2,2),表12[[#Headers],[1]:[10]],0)+1,0)</f>
        <v>3800</v>
      </c>
      <c r="J143" s="5">
        <v>24.5</v>
      </c>
      <c r="K143" s="27">
        <v>1.0208333333333333</v>
      </c>
      <c r="L143" s="37">
        <f>IF(表1_11[[#This Row],[出勤率]]&gt;1,1,表1_11[[#This Row],[出勤率]])*表1_11[[#This Row],[岗位工资]]</f>
        <v>3800</v>
      </c>
      <c r="M143" s="5">
        <f>LOOKUP(表1_11[[#This Row],[岗位工资]],表13[lookup],表13[奖金比率])*表1_11[[#This Row],[岗位工资]]</f>
        <v>380</v>
      </c>
      <c r="N143" s="5">
        <v>91</v>
      </c>
      <c r="O143" s="38">
        <f>表1_11[[#This Row],[奖金等级]]*表1_11[[#This Row],[绩效得分]]/100</f>
        <v>345.8</v>
      </c>
      <c r="P143" s="5">
        <f>IF(表1_11[[#This Row],[出勤率]]&gt;=1,200,0)</f>
        <v>200</v>
      </c>
      <c r="Q143" s="23">
        <f t="shared" ca="1" si="2"/>
        <v>200</v>
      </c>
      <c r="R143" s="23">
        <f>IF(表1_11[[#This Row],[中心]]="营销中心",VLOOKUP(表1_11[[#This Row],[职位]],表2[[话费补贴]:[营销中心]],2,0),VLOOKUP(表1_11[[#This Row],[职位]],表2[],3,0))</f>
        <v>0</v>
      </c>
      <c r="S143" s="23">
        <v>200</v>
      </c>
      <c r="T143" s="61">
        <f ca="1">ROUND(SUM(表1_11[[#This Row],[基本工资]],表1_11[[#This Row],[奖金]],表1_11[[#This Row],[全勤奖]:[防暑降温补贴]]),2)</f>
        <v>4745.8</v>
      </c>
      <c r="U143" s="62">
        <f ca="1">ROUND(表1_11[[#This Row],[税前应发总额]]*8%,2)</f>
        <v>379.66</v>
      </c>
      <c r="V143" s="62">
        <f ca="1">ROUND(表1_11[[#This Row],[税前应发总额]]*2%+3,2)</f>
        <v>97.92</v>
      </c>
      <c r="W143" s="62">
        <f ca="1">ROUND(表1_11[[#This Row],[税前应发总额]]*0.2%,2)</f>
        <v>9.49</v>
      </c>
      <c r="X143" s="62">
        <f ca="1">ROUND(表1_11[[#This Row],[税前应发总额]]*12%,2)</f>
        <v>569.5</v>
      </c>
      <c r="Y143" s="61">
        <f ca="1">ROUND(表1_11[[#This Row],[税前应发总额]]-SUM(表1_11[[#This Row],[养老保险]:[公积金]]),2)</f>
        <v>3689.23</v>
      </c>
      <c r="Z143" s="62">
        <f ca="1">ROUND(MAX((表1_11[[#This Row],[扣保险后工资金额]]-3500)*{3,10,20,25,30,35,45}%-{0,105,555,1005,2755,5505,13505},0),2)</f>
        <v>5.68</v>
      </c>
      <c r="AA143" s="63">
        <f ca="1">表1_11[[#This Row],[扣保险后工资金额]]-表1_11[[#This Row],[个人所得税]]</f>
        <v>3683.55</v>
      </c>
      <c r="AB143" s="53">
        <v>4159.51</v>
      </c>
      <c r="AC143" s="64">
        <f ca="1">(表1_11[[#This Row],[实发工资]]-表1_11[[#This Row],[上月对比]])/表1_11[[#This Row],[上月对比]]</f>
        <v>-0.11442693971164873</v>
      </c>
      <c r="AD143" s="65" t="s">
        <v>1587</v>
      </c>
    </row>
    <row r="144" spans="1:30">
      <c r="A144" s="42" t="s">
        <v>577</v>
      </c>
      <c r="B144" s="42" t="s">
        <v>664</v>
      </c>
      <c r="C144" s="40" t="s">
        <v>707</v>
      </c>
      <c r="D144" s="40" t="s">
        <v>708</v>
      </c>
      <c r="E144" s="41" t="s">
        <v>1154</v>
      </c>
      <c r="F144" s="5" t="s">
        <v>140</v>
      </c>
      <c r="G144" s="25">
        <v>39700</v>
      </c>
      <c r="H144" s="5" t="s">
        <v>610</v>
      </c>
      <c r="I144" s="5">
        <f>VLOOKUP(MID(表1_11[[#This Row],[工资等级]],1,1),表12[],MATCH(MID(表1_11[[#This Row],[工资等级]],2,2),表12[[#Headers],[1]:[10]],0)+1,0)</f>
        <v>3400</v>
      </c>
      <c r="J144" s="5">
        <v>21.5</v>
      </c>
      <c r="K144" s="27">
        <v>0.89583333333333337</v>
      </c>
      <c r="L144" s="37">
        <f>IF(表1_11[[#This Row],[出勤率]]&gt;1,1,表1_11[[#This Row],[出勤率]])*表1_11[[#This Row],[岗位工资]]</f>
        <v>3045.8333333333335</v>
      </c>
      <c r="M144" s="5">
        <f>LOOKUP(表1_11[[#This Row],[岗位工资]],表13[lookup],表13[奖金比率])*表1_11[[#This Row],[岗位工资]]</f>
        <v>340</v>
      </c>
      <c r="N144" s="5">
        <v>93</v>
      </c>
      <c r="O144" s="38">
        <f>表1_11[[#This Row],[奖金等级]]*表1_11[[#This Row],[绩效得分]]/100</f>
        <v>316.2</v>
      </c>
      <c r="P144" s="5">
        <f>IF(表1_11[[#This Row],[出勤率]]&gt;=1,200,0)</f>
        <v>0</v>
      </c>
      <c r="Q144" s="23">
        <f t="shared" ca="1" si="2"/>
        <v>450</v>
      </c>
      <c r="R144" s="23">
        <f>IF(表1_11[[#This Row],[中心]]="营销中心",VLOOKUP(表1_11[[#This Row],[职位]],表2[[话费补贴]:[营销中心]],2,0),VLOOKUP(表1_11[[#This Row],[职位]],表2[],3,0))</f>
        <v>0</v>
      </c>
      <c r="S144" s="23">
        <v>200</v>
      </c>
      <c r="T144" s="61">
        <f ca="1">ROUND(SUM(表1_11[[#This Row],[基本工资]],表1_11[[#This Row],[奖金]],表1_11[[#This Row],[全勤奖]:[防暑降温补贴]]),2)</f>
        <v>4012.03</v>
      </c>
      <c r="U144" s="62">
        <f ca="1">ROUND(表1_11[[#This Row],[税前应发总额]]*8%,2)</f>
        <v>320.95999999999998</v>
      </c>
      <c r="V144" s="62">
        <f ca="1">ROUND(表1_11[[#This Row],[税前应发总额]]*2%+3,2)</f>
        <v>83.24</v>
      </c>
      <c r="W144" s="62">
        <f ca="1">ROUND(表1_11[[#This Row],[税前应发总额]]*0.2%,2)</f>
        <v>8.02</v>
      </c>
      <c r="X144" s="62">
        <f ca="1">ROUND(表1_11[[#This Row],[税前应发总额]]*12%,2)</f>
        <v>481.44</v>
      </c>
      <c r="Y144" s="61">
        <f ca="1">ROUND(表1_11[[#This Row],[税前应发总额]]-SUM(表1_11[[#This Row],[养老保险]:[公积金]]),2)</f>
        <v>3118.37</v>
      </c>
      <c r="Z144" s="62">
        <f ca="1">ROUND(MAX((表1_11[[#This Row],[扣保险后工资金额]]-3500)*{3,10,20,25,30,35,45}%-{0,105,555,1005,2755,5505,13505},0),2)</f>
        <v>0</v>
      </c>
      <c r="AA144" s="63">
        <f ca="1">表1_11[[#This Row],[扣保险后工资金额]]-表1_11[[#This Row],[个人所得税]]</f>
        <v>3118.37</v>
      </c>
      <c r="AB144" s="53">
        <v>2878.67</v>
      </c>
      <c r="AC144" s="64">
        <f ca="1">(表1_11[[#This Row],[实发工资]]-表1_11[[#This Row],[上月对比]])/表1_11[[#This Row],[上月对比]]</f>
        <v>8.3267620116234162E-2</v>
      </c>
      <c r="AD144" s="65" t="s">
        <v>1587</v>
      </c>
    </row>
    <row r="145" spans="1:30">
      <c r="A145" s="42" t="s">
        <v>577</v>
      </c>
      <c r="B145" s="42" t="s">
        <v>664</v>
      </c>
      <c r="C145" s="40" t="s">
        <v>599</v>
      </c>
      <c r="D145" s="40" t="s">
        <v>626</v>
      </c>
      <c r="E145" s="41" t="s">
        <v>1155</v>
      </c>
      <c r="F145" s="5" t="s">
        <v>141</v>
      </c>
      <c r="G145" s="25">
        <v>39637</v>
      </c>
      <c r="H145" s="5" t="s">
        <v>610</v>
      </c>
      <c r="I145" s="5">
        <f>VLOOKUP(MID(表1_11[[#This Row],[工资等级]],1,1),表12[],MATCH(MID(表1_11[[#This Row],[工资等级]],2,2),表12[[#Headers],[1]:[10]],0)+1,0)</f>
        <v>3400</v>
      </c>
      <c r="J145" s="5">
        <v>25</v>
      </c>
      <c r="K145" s="27">
        <v>1.0416666666666667</v>
      </c>
      <c r="L145" s="37">
        <f>IF(表1_11[[#This Row],[出勤率]]&gt;1,1,表1_11[[#This Row],[出勤率]])*表1_11[[#This Row],[岗位工资]]</f>
        <v>3400</v>
      </c>
      <c r="M145" s="5">
        <f>LOOKUP(表1_11[[#This Row],[岗位工资]],表13[lookup],表13[奖金比率])*表1_11[[#This Row],[岗位工资]]</f>
        <v>340</v>
      </c>
      <c r="N145" s="5">
        <v>85</v>
      </c>
      <c r="O145" s="38">
        <f>表1_11[[#This Row],[奖金等级]]*表1_11[[#This Row],[绩效得分]]/100</f>
        <v>289</v>
      </c>
      <c r="P145" s="5">
        <f>IF(表1_11[[#This Row],[出勤率]]&gt;=1,200,0)</f>
        <v>200</v>
      </c>
      <c r="Q145" s="23">
        <f t="shared" ca="1" si="2"/>
        <v>450</v>
      </c>
      <c r="R145" s="23">
        <f>IF(表1_11[[#This Row],[中心]]="营销中心",VLOOKUP(表1_11[[#This Row],[职位]],表2[[话费补贴]:[营销中心]],2,0),VLOOKUP(表1_11[[#This Row],[职位]],表2[],3,0))</f>
        <v>0</v>
      </c>
      <c r="S145" s="23">
        <v>200</v>
      </c>
      <c r="T145" s="61">
        <f ca="1">ROUND(SUM(表1_11[[#This Row],[基本工资]],表1_11[[#This Row],[奖金]],表1_11[[#This Row],[全勤奖]:[防暑降温补贴]]),2)</f>
        <v>4539</v>
      </c>
      <c r="U145" s="62">
        <f ca="1">ROUND(表1_11[[#This Row],[税前应发总额]]*8%,2)</f>
        <v>363.12</v>
      </c>
      <c r="V145" s="62">
        <f ca="1">ROUND(表1_11[[#This Row],[税前应发总额]]*2%+3,2)</f>
        <v>93.78</v>
      </c>
      <c r="W145" s="62">
        <f ca="1">ROUND(表1_11[[#This Row],[税前应发总额]]*0.2%,2)</f>
        <v>9.08</v>
      </c>
      <c r="X145" s="62">
        <f ca="1">ROUND(表1_11[[#This Row],[税前应发总额]]*12%,2)</f>
        <v>544.67999999999995</v>
      </c>
      <c r="Y145" s="61">
        <f ca="1">ROUND(表1_11[[#This Row],[税前应发总额]]-SUM(表1_11[[#This Row],[养老保险]:[公积金]]),2)</f>
        <v>3528.34</v>
      </c>
      <c r="Z145" s="62">
        <f ca="1">ROUND(MAX((表1_11[[#This Row],[扣保险后工资金额]]-3500)*{3,10,20,25,30,35,45}%-{0,105,555,1005,2755,5505,13505},0),2)</f>
        <v>0.85</v>
      </c>
      <c r="AA145" s="63">
        <f ca="1">表1_11[[#This Row],[扣保险后工资金额]]-表1_11[[#This Row],[个人所得税]]</f>
        <v>3527.4900000000002</v>
      </c>
      <c r="AB145" s="53">
        <v>3532.35</v>
      </c>
      <c r="AC145" s="64">
        <f ca="1">(表1_11[[#This Row],[实发工资]]-表1_11[[#This Row],[上月对比]])/表1_11[[#This Row],[上月对比]]</f>
        <v>-1.3758546010445376E-3</v>
      </c>
      <c r="AD145" s="65" t="s">
        <v>1587</v>
      </c>
    </row>
    <row r="146" spans="1:30">
      <c r="A146" s="42" t="s">
        <v>577</v>
      </c>
      <c r="B146" s="42" t="s">
        <v>664</v>
      </c>
      <c r="C146" s="40" t="s">
        <v>709</v>
      </c>
      <c r="D146" s="40" t="s">
        <v>710</v>
      </c>
      <c r="E146" s="41" t="s">
        <v>1156</v>
      </c>
      <c r="F146" s="5" t="s">
        <v>142</v>
      </c>
      <c r="G146" s="25">
        <v>40697</v>
      </c>
      <c r="H146" s="5" t="s">
        <v>630</v>
      </c>
      <c r="I146" s="5">
        <f>VLOOKUP(MID(表1_11[[#This Row],[工资等级]],1,1),表12[],MATCH(MID(表1_11[[#This Row],[工资等级]],2,2),表12[[#Headers],[1]:[10]],0)+1,0)</f>
        <v>2600</v>
      </c>
      <c r="J146" s="5">
        <v>24.5</v>
      </c>
      <c r="K146" s="27">
        <v>1.0208333333333333</v>
      </c>
      <c r="L146" s="37">
        <f>IF(表1_11[[#This Row],[出勤率]]&gt;1,1,表1_11[[#This Row],[出勤率]])*表1_11[[#This Row],[岗位工资]]</f>
        <v>2600</v>
      </c>
      <c r="M146" s="5">
        <f>LOOKUP(表1_11[[#This Row],[岗位工资]],表13[lookup],表13[奖金比率])*表1_11[[#This Row],[岗位工资]]</f>
        <v>260</v>
      </c>
      <c r="N146" s="5">
        <v>86</v>
      </c>
      <c r="O146" s="38">
        <f>表1_11[[#This Row],[奖金等级]]*表1_11[[#This Row],[绩效得分]]/100</f>
        <v>223.6</v>
      </c>
      <c r="P146" s="5">
        <f>IF(表1_11[[#This Row],[出勤率]]&gt;=1,200,0)</f>
        <v>200</v>
      </c>
      <c r="Q146" s="23">
        <f t="shared" ca="1" si="2"/>
        <v>300</v>
      </c>
      <c r="R146" s="23">
        <f>IF(表1_11[[#This Row],[中心]]="营销中心",VLOOKUP(表1_11[[#This Row],[职位]],表2[[话费补贴]:[营销中心]],2,0),VLOOKUP(表1_11[[#This Row],[职位]],表2[],3,0))</f>
        <v>0</v>
      </c>
      <c r="S146" s="23">
        <v>200</v>
      </c>
      <c r="T146" s="61">
        <f ca="1">ROUND(SUM(表1_11[[#This Row],[基本工资]],表1_11[[#This Row],[奖金]],表1_11[[#This Row],[全勤奖]:[防暑降温补贴]]),2)</f>
        <v>3523.6</v>
      </c>
      <c r="U146" s="62">
        <f ca="1">ROUND(表1_11[[#This Row],[税前应发总额]]*8%,2)</f>
        <v>281.89</v>
      </c>
      <c r="V146" s="62">
        <f ca="1">ROUND(表1_11[[#This Row],[税前应发总额]]*2%+3,2)</f>
        <v>73.47</v>
      </c>
      <c r="W146" s="62">
        <f ca="1">ROUND(表1_11[[#This Row],[税前应发总额]]*0.2%,2)</f>
        <v>7.05</v>
      </c>
      <c r="X146" s="62">
        <f ca="1">ROUND(表1_11[[#This Row],[税前应发总额]]*12%,2)</f>
        <v>422.83</v>
      </c>
      <c r="Y146" s="61">
        <f ca="1">ROUND(表1_11[[#This Row],[税前应发总额]]-SUM(表1_11[[#This Row],[养老保险]:[公积金]]),2)</f>
        <v>2738.36</v>
      </c>
      <c r="Z146" s="62">
        <f ca="1">ROUND(MAX((表1_11[[#This Row],[扣保险后工资金额]]-3500)*{3,10,20,25,30,35,45}%-{0,105,555,1005,2755,5505,13505},0),2)</f>
        <v>0</v>
      </c>
      <c r="AA146" s="63">
        <f ca="1">表1_11[[#This Row],[扣保险后工资金额]]-表1_11[[#This Row],[个人所得税]]</f>
        <v>2738.36</v>
      </c>
      <c r="AB146" s="53">
        <v>2539.4</v>
      </c>
      <c r="AC146" s="64">
        <f ca="1">(表1_11[[#This Row],[实发工资]]-表1_11[[#This Row],[上月对比]])/表1_11[[#This Row],[上月对比]]</f>
        <v>7.8349216350318981E-2</v>
      </c>
      <c r="AD146" s="65" t="s">
        <v>1587</v>
      </c>
    </row>
    <row r="147" spans="1:30">
      <c r="A147" s="42" t="s">
        <v>577</v>
      </c>
      <c r="B147" s="42" t="s">
        <v>664</v>
      </c>
      <c r="C147" s="40" t="s">
        <v>711</v>
      </c>
      <c r="D147" s="40" t="s">
        <v>712</v>
      </c>
      <c r="E147" s="41" t="s">
        <v>1157</v>
      </c>
      <c r="F147" s="5" t="s">
        <v>143</v>
      </c>
      <c r="G147" s="25">
        <v>42580</v>
      </c>
      <c r="H147" s="5" t="s">
        <v>630</v>
      </c>
      <c r="I147" s="5">
        <f>VLOOKUP(MID(表1_11[[#This Row],[工资等级]],1,1),表12[],MATCH(MID(表1_11[[#This Row],[工资等级]],2,2),表12[[#Headers],[1]:[10]],0)+1,0)</f>
        <v>2600</v>
      </c>
      <c r="J147" s="5">
        <v>23</v>
      </c>
      <c r="K147" s="27">
        <v>0.95833333333333337</v>
      </c>
      <c r="L147" s="37">
        <f>IF(表1_11[[#This Row],[出勤率]]&gt;1,1,表1_11[[#This Row],[出勤率]])*表1_11[[#This Row],[岗位工资]]</f>
        <v>2491.666666666667</v>
      </c>
      <c r="M147" s="5">
        <f>LOOKUP(表1_11[[#This Row],[岗位工资]],表13[lookup],表13[奖金比率])*表1_11[[#This Row],[岗位工资]]</f>
        <v>260</v>
      </c>
      <c r="N147" s="5">
        <v>80</v>
      </c>
      <c r="O147" s="38">
        <f>表1_11[[#This Row],[奖金等级]]*表1_11[[#This Row],[绩效得分]]/100</f>
        <v>208</v>
      </c>
      <c r="P147" s="5">
        <f>IF(表1_11[[#This Row],[出勤率]]&gt;=1,200,0)</f>
        <v>0</v>
      </c>
      <c r="Q147" s="23">
        <f t="shared" ca="1" si="2"/>
        <v>50</v>
      </c>
      <c r="R147" s="23">
        <f>IF(表1_11[[#This Row],[中心]]="营销中心",VLOOKUP(表1_11[[#This Row],[职位]],表2[[话费补贴]:[营销中心]],2,0),VLOOKUP(表1_11[[#This Row],[职位]],表2[],3,0))</f>
        <v>0</v>
      </c>
      <c r="S147" s="23">
        <v>200</v>
      </c>
      <c r="T147" s="61">
        <f ca="1">ROUND(SUM(表1_11[[#This Row],[基本工资]],表1_11[[#This Row],[奖金]],表1_11[[#This Row],[全勤奖]:[防暑降温补贴]]),2)</f>
        <v>2949.67</v>
      </c>
      <c r="U147" s="62">
        <f ca="1">ROUND(表1_11[[#This Row],[税前应发总额]]*8%,2)</f>
        <v>235.97</v>
      </c>
      <c r="V147" s="62">
        <f ca="1">ROUND(表1_11[[#This Row],[税前应发总额]]*2%+3,2)</f>
        <v>61.99</v>
      </c>
      <c r="W147" s="62">
        <f ca="1">ROUND(表1_11[[#This Row],[税前应发总额]]*0.2%,2)</f>
        <v>5.9</v>
      </c>
      <c r="X147" s="62">
        <f ca="1">ROUND(表1_11[[#This Row],[税前应发总额]]*12%,2)</f>
        <v>353.96</v>
      </c>
      <c r="Y147" s="61">
        <f ca="1">ROUND(表1_11[[#This Row],[税前应发总额]]-SUM(表1_11[[#This Row],[养老保险]:[公积金]]),2)</f>
        <v>2291.85</v>
      </c>
      <c r="Z147" s="62">
        <f ca="1">ROUND(MAX((表1_11[[#This Row],[扣保险后工资金额]]-3500)*{3,10,20,25,30,35,45}%-{0,105,555,1005,2755,5505,13505},0),2)</f>
        <v>0</v>
      </c>
      <c r="AA147" s="63">
        <f ca="1">表1_11[[#This Row],[扣保险后工资金额]]-表1_11[[#This Row],[个人所得税]]</f>
        <v>2291.85</v>
      </c>
      <c r="AB147" s="53">
        <v>2223.7399999999998</v>
      </c>
      <c r="AC147" s="64">
        <f ca="1">(表1_11[[#This Row],[实发工资]]-表1_11[[#This Row],[上月对比]])/表1_11[[#This Row],[上月对比]]</f>
        <v>3.0628580679396031E-2</v>
      </c>
      <c r="AD147" s="65" t="s">
        <v>1587</v>
      </c>
    </row>
    <row r="148" spans="1:30">
      <c r="A148" s="42" t="s">
        <v>577</v>
      </c>
      <c r="B148" s="42" t="s">
        <v>664</v>
      </c>
      <c r="C148" s="40" t="s">
        <v>713</v>
      </c>
      <c r="D148" s="40" t="s">
        <v>714</v>
      </c>
      <c r="E148" s="41" t="s">
        <v>1158</v>
      </c>
      <c r="F148" s="5" t="s">
        <v>144</v>
      </c>
      <c r="G148" s="25">
        <v>40717</v>
      </c>
      <c r="H148" s="5" t="s">
        <v>622</v>
      </c>
      <c r="I148" s="5">
        <f>VLOOKUP(MID(表1_11[[#This Row],[工资等级]],1,1),表12[],MATCH(MID(表1_11[[#This Row],[工资等级]],2,2),表12[[#Headers],[1]:[10]],0)+1,0)</f>
        <v>3600</v>
      </c>
      <c r="J148" s="5">
        <v>24.5</v>
      </c>
      <c r="K148" s="27">
        <v>1.0208333333333333</v>
      </c>
      <c r="L148" s="37">
        <f>IF(表1_11[[#This Row],[出勤率]]&gt;1,1,表1_11[[#This Row],[出勤率]])*表1_11[[#This Row],[岗位工资]]</f>
        <v>3600</v>
      </c>
      <c r="M148" s="5">
        <f>LOOKUP(表1_11[[#This Row],[岗位工资]],表13[lookup],表13[奖金比率])*表1_11[[#This Row],[岗位工资]]</f>
        <v>360</v>
      </c>
      <c r="N148" s="5">
        <v>79</v>
      </c>
      <c r="O148" s="38">
        <f>表1_11[[#This Row],[奖金等级]]*表1_11[[#This Row],[绩效得分]]/100</f>
        <v>284.39999999999998</v>
      </c>
      <c r="P148" s="5">
        <f>IF(表1_11[[#This Row],[出勤率]]&gt;=1,200,0)</f>
        <v>200</v>
      </c>
      <c r="Q148" s="23">
        <f t="shared" ca="1" si="2"/>
        <v>300</v>
      </c>
      <c r="R148" s="23">
        <f>IF(表1_11[[#This Row],[中心]]="营销中心",VLOOKUP(表1_11[[#This Row],[职位]],表2[[话费补贴]:[营销中心]],2,0),VLOOKUP(表1_11[[#This Row],[职位]],表2[],3,0))</f>
        <v>0</v>
      </c>
      <c r="S148" s="23">
        <v>200</v>
      </c>
      <c r="T148" s="61">
        <f ca="1">ROUND(SUM(表1_11[[#This Row],[基本工资]],表1_11[[#This Row],[奖金]],表1_11[[#This Row],[全勤奖]:[防暑降温补贴]]),2)</f>
        <v>4584.3999999999996</v>
      </c>
      <c r="U148" s="62">
        <f ca="1">ROUND(表1_11[[#This Row],[税前应发总额]]*8%,2)</f>
        <v>366.75</v>
      </c>
      <c r="V148" s="62">
        <f ca="1">ROUND(表1_11[[#This Row],[税前应发总额]]*2%+3,2)</f>
        <v>94.69</v>
      </c>
      <c r="W148" s="62">
        <f ca="1">ROUND(表1_11[[#This Row],[税前应发总额]]*0.2%,2)</f>
        <v>9.17</v>
      </c>
      <c r="X148" s="62">
        <f ca="1">ROUND(表1_11[[#This Row],[税前应发总额]]*12%,2)</f>
        <v>550.13</v>
      </c>
      <c r="Y148" s="61">
        <f ca="1">ROUND(表1_11[[#This Row],[税前应发总额]]-SUM(表1_11[[#This Row],[养老保险]:[公积金]]),2)</f>
        <v>3563.66</v>
      </c>
      <c r="Z148" s="62">
        <f ca="1">ROUND(MAX((表1_11[[#This Row],[扣保险后工资金额]]-3500)*{3,10,20,25,30,35,45}%-{0,105,555,1005,2755,5505,13505},0),2)</f>
        <v>1.91</v>
      </c>
      <c r="AA148" s="63">
        <f ca="1">表1_11[[#This Row],[扣保险后工资金额]]-表1_11[[#This Row],[个人所得税]]</f>
        <v>3561.75</v>
      </c>
      <c r="AB148" s="53">
        <v>3949.94</v>
      </c>
      <c r="AC148" s="64">
        <f ca="1">(表1_11[[#This Row],[实发工资]]-表1_11[[#This Row],[上月对比]])/表1_11[[#This Row],[上月对比]]</f>
        <v>-9.8277442188995284E-2</v>
      </c>
      <c r="AD148" s="65" t="s">
        <v>1587</v>
      </c>
    </row>
    <row r="149" spans="1:30">
      <c r="A149" s="42" t="s">
        <v>577</v>
      </c>
      <c r="B149" s="42" t="s">
        <v>664</v>
      </c>
      <c r="C149" s="40" t="s">
        <v>599</v>
      </c>
      <c r="D149" s="40" t="s">
        <v>626</v>
      </c>
      <c r="E149" s="41" t="s">
        <v>1159</v>
      </c>
      <c r="F149" s="5" t="s">
        <v>145</v>
      </c>
      <c r="G149" s="25">
        <v>41819</v>
      </c>
      <c r="H149" s="5" t="s">
        <v>612</v>
      </c>
      <c r="I149" s="5">
        <f>VLOOKUP(MID(表1_11[[#This Row],[工资等级]],1,1),表12[],MATCH(MID(表1_11[[#This Row],[工资等级]],2,2),表12[[#Headers],[1]:[10]],0)+1,0)</f>
        <v>2700</v>
      </c>
      <c r="J149" s="5">
        <v>22</v>
      </c>
      <c r="K149" s="27">
        <v>0.91666666666666663</v>
      </c>
      <c r="L149" s="37">
        <f>IF(表1_11[[#This Row],[出勤率]]&gt;1,1,表1_11[[#This Row],[出勤率]])*表1_11[[#This Row],[岗位工资]]</f>
        <v>2475</v>
      </c>
      <c r="M149" s="5">
        <f>LOOKUP(表1_11[[#This Row],[岗位工资]],表13[lookup],表13[奖金比率])*表1_11[[#This Row],[岗位工资]]</f>
        <v>270</v>
      </c>
      <c r="N149" s="5">
        <v>94</v>
      </c>
      <c r="O149" s="38">
        <f>表1_11[[#This Row],[奖金等级]]*表1_11[[#This Row],[绩效得分]]/100</f>
        <v>253.8</v>
      </c>
      <c r="P149" s="5">
        <f>IF(表1_11[[#This Row],[出勤率]]&gt;=1,200,0)</f>
        <v>0</v>
      </c>
      <c r="Q149" s="23">
        <f t="shared" ca="1" si="2"/>
        <v>150</v>
      </c>
      <c r="R149" s="23">
        <f>IF(表1_11[[#This Row],[中心]]="营销中心",VLOOKUP(表1_11[[#This Row],[职位]],表2[[话费补贴]:[营销中心]],2,0),VLOOKUP(表1_11[[#This Row],[职位]],表2[],3,0))</f>
        <v>0</v>
      </c>
      <c r="S149" s="23">
        <v>200</v>
      </c>
      <c r="T149" s="61">
        <f ca="1">ROUND(SUM(表1_11[[#This Row],[基本工资]],表1_11[[#This Row],[奖金]],表1_11[[#This Row],[全勤奖]:[防暑降温补贴]]),2)</f>
        <v>3078.8</v>
      </c>
      <c r="U149" s="62">
        <f ca="1">ROUND(表1_11[[#This Row],[税前应发总额]]*8%,2)</f>
        <v>246.3</v>
      </c>
      <c r="V149" s="62">
        <f ca="1">ROUND(表1_11[[#This Row],[税前应发总额]]*2%+3,2)</f>
        <v>64.58</v>
      </c>
      <c r="W149" s="62">
        <f ca="1">ROUND(表1_11[[#This Row],[税前应发总额]]*0.2%,2)</f>
        <v>6.16</v>
      </c>
      <c r="X149" s="62">
        <f ca="1">ROUND(表1_11[[#This Row],[税前应发总额]]*12%,2)</f>
        <v>369.46</v>
      </c>
      <c r="Y149" s="61">
        <f ca="1">ROUND(表1_11[[#This Row],[税前应发总额]]-SUM(表1_11[[#This Row],[养老保险]:[公积金]]),2)</f>
        <v>2392.3000000000002</v>
      </c>
      <c r="Z149" s="62">
        <f ca="1">ROUND(MAX((表1_11[[#This Row],[扣保险后工资金额]]-3500)*{3,10,20,25,30,35,45}%-{0,105,555,1005,2755,5505,13505},0),2)</f>
        <v>0</v>
      </c>
      <c r="AA149" s="63">
        <f ca="1">表1_11[[#This Row],[扣保险后工资金额]]-表1_11[[#This Row],[个人所得税]]</f>
        <v>2392.3000000000002</v>
      </c>
      <c r="AB149" s="53">
        <v>2516.7199999999998</v>
      </c>
      <c r="AC149" s="64">
        <f ca="1">(表1_11[[#This Row],[实发工资]]-表1_11[[#This Row],[上月对比]])/表1_11[[#This Row],[上月对比]]</f>
        <v>-4.9437362916812208E-2</v>
      </c>
      <c r="AD149" s="65" t="s">
        <v>1587</v>
      </c>
    </row>
    <row r="150" spans="1:30">
      <c r="A150" s="42" t="s">
        <v>577</v>
      </c>
      <c r="B150" s="42" t="s">
        <v>664</v>
      </c>
      <c r="C150" s="40" t="s">
        <v>715</v>
      </c>
      <c r="D150" s="40" t="s">
        <v>716</v>
      </c>
      <c r="E150" s="41" t="s">
        <v>1160</v>
      </c>
      <c r="F150" s="5" t="s">
        <v>146</v>
      </c>
      <c r="G150" s="25">
        <v>40133</v>
      </c>
      <c r="H150" s="5" t="s">
        <v>610</v>
      </c>
      <c r="I150" s="5">
        <f>VLOOKUP(MID(表1_11[[#This Row],[工资等级]],1,1),表12[],MATCH(MID(表1_11[[#This Row],[工资等级]],2,2),表12[[#Headers],[1]:[10]],0)+1,0)</f>
        <v>3400</v>
      </c>
      <c r="J150" s="5">
        <v>26.5</v>
      </c>
      <c r="K150" s="27">
        <v>1.1041666666666667</v>
      </c>
      <c r="L150" s="37">
        <f>IF(表1_11[[#This Row],[出勤率]]&gt;1,1,表1_11[[#This Row],[出勤率]])*表1_11[[#This Row],[岗位工资]]</f>
        <v>3400</v>
      </c>
      <c r="M150" s="5">
        <f>LOOKUP(表1_11[[#This Row],[岗位工资]],表13[lookup],表13[奖金比率])*表1_11[[#This Row],[岗位工资]]</f>
        <v>340</v>
      </c>
      <c r="N150" s="5">
        <v>82</v>
      </c>
      <c r="O150" s="38">
        <f>表1_11[[#This Row],[奖金等级]]*表1_11[[#This Row],[绩效得分]]/100</f>
        <v>278.8</v>
      </c>
      <c r="P150" s="5">
        <f>IF(表1_11[[#This Row],[出勤率]]&gt;=1,200,0)</f>
        <v>200</v>
      </c>
      <c r="Q150" s="23">
        <f t="shared" ca="1" si="2"/>
        <v>400</v>
      </c>
      <c r="R150" s="23">
        <f>IF(表1_11[[#This Row],[中心]]="营销中心",VLOOKUP(表1_11[[#This Row],[职位]],表2[[话费补贴]:[营销中心]],2,0),VLOOKUP(表1_11[[#This Row],[职位]],表2[],3,0))</f>
        <v>0</v>
      </c>
      <c r="S150" s="23">
        <v>200</v>
      </c>
      <c r="T150" s="61">
        <f ca="1">ROUND(SUM(表1_11[[#This Row],[基本工资]],表1_11[[#This Row],[奖金]],表1_11[[#This Row],[全勤奖]:[防暑降温补贴]]),2)</f>
        <v>4478.8</v>
      </c>
      <c r="U150" s="62">
        <f ca="1">ROUND(表1_11[[#This Row],[税前应发总额]]*8%,2)</f>
        <v>358.3</v>
      </c>
      <c r="V150" s="62">
        <f ca="1">ROUND(表1_11[[#This Row],[税前应发总额]]*2%+3,2)</f>
        <v>92.58</v>
      </c>
      <c r="W150" s="62">
        <f ca="1">ROUND(表1_11[[#This Row],[税前应发总额]]*0.2%,2)</f>
        <v>8.9600000000000009</v>
      </c>
      <c r="X150" s="62">
        <f ca="1">ROUND(表1_11[[#This Row],[税前应发总额]]*12%,2)</f>
        <v>537.46</v>
      </c>
      <c r="Y150" s="61">
        <f ca="1">ROUND(表1_11[[#This Row],[税前应发总额]]-SUM(表1_11[[#This Row],[养老保险]:[公积金]]),2)</f>
        <v>3481.5</v>
      </c>
      <c r="Z150" s="62">
        <f ca="1">ROUND(MAX((表1_11[[#This Row],[扣保险后工资金额]]-3500)*{3,10,20,25,30,35,45}%-{0,105,555,1005,2755,5505,13505},0),2)</f>
        <v>0</v>
      </c>
      <c r="AA150" s="63">
        <f ca="1">表1_11[[#This Row],[扣保险后工资金额]]-表1_11[[#This Row],[个人所得税]]</f>
        <v>3481.5</v>
      </c>
      <c r="AB150" s="53">
        <v>3055.1</v>
      </c>
      <c r="AC150" s="64">
        <f ca="1">(表1_11[[#This Row],[实发工资]]-表1_11[[#This Row],[上月对比]])/表1_11[[#This Row],[上月对比]]</f>
        <v>0.13956989951229096</v>
      </c>
      <c r="AD150" s="65" t="s">
        <v>1587</v>
      </c>
    </row>
    <row r="151" spans="1:30">
      <c r="A151" s="42" t="s">
        <v>577</v>
      </c>
      <c r="B151" s="42" t="s">
        <v>664</v>
      </c>
      <c r="C151" s="40" t="s">
        <v>713</v>
      </c>
      <c r="D151" s="40" t="s">
        <v>714</v>
      </c>
      <c r="E151" s="41" t="s">
        <v>1161</v>
      </c>
      <c r="F151" s="5" t="s">
        <v>147</v>
      </c>
      <c r="G151" s="25">
        <v>40958</v>
      </c>
      <c r="H151" s="5" t="s">
        <v>612</v>
      </c>
      <c r="I151" s="5">
        <f>VLOOKUP(MID(表1_11[[#This Row],[工资等级]],1,1),表12[],MATCH(MID(表1_11[[#This Row],[工资等级]],2,2),表12[[#Headers],[1]:[10]],0)+1,0)</f>
        <v>2700</v>
      </c>
      <c r="J151" s="5">
        <v>22</v>
      </c>
      <c r="K151" s="27">
        <v>0.91666666666666663</v>
      </c>
      <c r="L151" s="37">
        <f>IF(表1_11[[#This Row],[出勤率]]&gt;1,1,表1_11[[#This Row],[出勤率]])*表1_11[[#This Row],[岗位工资]]</f>
        <v>2475</v>
      </c>
      <c r="M151" s="5">
        <f>LOOKUP(表1_11[[#This Row],[岗位工资]],表13[lookup],表13[奖金比率])*表1_11[[#This Row],[岗位工资]]</f>
        <v>270</v>
      </c>
      <c r="N151" s="5">
        <v>90</v>
      </c>
      <c r="O151" s="38">
        <f>表1_11[[#This Row],[奖金等级]]*表1_11[[#This Row],[绩效得分]]/100</f>
        <v>243</v>
      </c>
      <c r="P151" s="5">
        <f>IF(表1_11[[#This Row],[出勤率]]&gt;=1,200,0)</f>
        <v>0</v>
      </c>
      <c r="Q151" s="23">
        <f t="shared" ca="1" si="2"/>
        <v>300</v>
      </c>
      <c r="R151" s="23">
        <f>IF(表1_11[[#This Row],[中心]]="营销中心",VLOOKUP(表1_11[[#This Row],[职位]],表2[[话费补贴]:[营销中心]],2,0),VLOOKUP(表1_11[[#This Row],[职位]],表2[],3,0))</f>
        <v>0</v>
      </c>
      <c r="S151" s="23">
        <v>200</v>
      </c>
      <c r="T151" s="61">
        <f ca="1">ROUND(SUM(表1_11[[#This Row],[基本工资]],表1_11[[#This Row],[奖金]],表1_11[[#This Row],[全勤奖]:[防暑降温补贴]]),2)</f>
        <v>3218</v>
      </c>
      <c r="U151" s="62">
        <f ca="1">ROUND(表1_11[[#This Row],[税前应发总额]]*8%,2)</f>
        <v>257.44</v>
      </c>
      <c r="V151" s="62">
        <f ca="1">ROUND(表1_11[[#This Row],[税前应发总额]]*2%+3,2)</f>
        <v>67.36</v>
      </c>
      <c r="W151" s="62">
        <f ca="1">ROUND(表1_11[[#This Row],[税前应发总额]]*0.2%,2)</f>
        <v>6.44</v>
      </c>
      <c r="X151" s="62">
        <f ca="1">ROUND(表1_11[[#This Row],[税前应发总额]]*12%,2)</f>
        <v>386.16</v>
      </c>
      <c r="Y151" s="61">
        <f ca="1">ROUND(表1_11[[#This Row],[税前应发总额]]-SUM(表1_11[[#This Row],[养老保险]:[公积金]]),2)</f>
        <v>2500.6</v>
      </c>
      <c r="Z151" s="62">
        <f ca="1">ROUND(MAX((表1_11[[#This Row],[扣保险后工资金额]]-3500)*{3,10,20,25,30,35,45}%-{0,105,555,1005,2755,5505,13505},0),2)</f>
        <v>0</v>
      </c>
      <c r="AA151" s="63">
        <f ca="1">表1_11[[#This Row],[扣保险后工资金额]]-表1_11[[#This Row],[个人所得税]]</f>
        <v>2500.6</v>
      </c>
      <c r="AB151" s="53">
        <v>2504.5100000000002</v>
      </c>
      <c r="AC151" s="64">
        <f ca="1">(表1_11[[#This Row],[实发工资]]-表1_11[[#This Row],[上月对比]])/表1_11[[#This Row],[上月对比]]</f>
        <v>-1.5611836247410907E-3</v>
      </c>
      <c r="AD151" s="65" t="s">
        <v>1587</v>
      </c>
    </row>
    <row r="152" spans="1:30">
      <c r="A152" s="42" t="s">
        <v>577</v>
      </c>
      <c r="B152" s="42" t="s">
        <v>664</v>
      </c>
      <c r="C152" s="40" t="s">
        <v>673</v>
      </c>
      <c r="D152" s="40" t="s">
        <v>674</v>
      </c>
      <c r="E152" s="41" t="s">
        <v>1162</v>
      </c>
      <c r="F152" s="5" t="s">
        <v>148</v>
      </c>
      <c r="G152" s="25">
        <v>39403</v>
      </c>
      <c r="H152" s="5" t="s">
        <v>617</v>
      </c>
      <c r="I152" s="5">
        <f>VLOOKUP(MID(表1_11[[#This Row],[工资等级]],1,1),表12[],MATCH(MID(表1_11[[#This Row],[工资等级]],2,2),表12[[#Headers],[1]:[10]],0)+1,0)</f>
        <v>2500</v>
      </c>
      <c r="J152" s="5">
        <v>26</v>
      </c>
      <c r="K152" s="27">
        <v>1.0833333333333333</v>
      </c>
      <c r="L152" s="37">
        <f>IF(表1_11[[#This Row],[出勤率]]&gt;1,1,表1_11[[#This Row],[出勤率]])*表1_11[[#This Row],[岗位工资]]</f>
        <v>2500</v>
      </c>
      <c r="M152" s="5">
        <f>LOOKUP(表1_11[[#This Row],[岗位工资]],表13[lookup],表13[奖金比率])*表1_11[[#This Row],[岗位工资]]</f>
        <v>250</v>
      </c>
      <c r="N152" s="5">
        <v>83</v>
      </c>
      <c r="O152" s="38">
        <f>表1_11[[#This Row],[奖金等级]]*表1_11[[#This Row],[绩效得分]]/100</f>
        <v>207.5</v>
      </c>
      <c r="P152" s="5">
        <f>IF(表1_11[[#This Row],[出勤率]]&gt;=1,200,0)</f>
        <v>200</v>
      </c>
      <c r="Q152" s="23">
        <f t="shared" ca="1" si="2"/>
        <v>500</v>
      </c>
      <c r="R152" s="23">
        <f>IF(表1_11[[#This Row],[中心]]="营销中心",VLOOKUP(表1_11[[#This Row],[职位]],表2[[话费补贴]:[营销中心]],2,0),VLOOKUP(表1_11[[#This Row],[职位]],表2[],3,0))</f>
        <v>0</v>
      </c>
      <c r="S152" s="23">
        <v>200</v>
      </c>
      <c r="T152" s="61">
        <f ca="1">ROUND(SUM(表1_11[[#This Row],[基本工资]],表1_11[[#This Row],[奖金]],表1_11[[#This Row],[全勤奖]:[防暑降温补贴]]),2)</f>
        <v>3607.5</v>
      </c>
      <c r="U152" s="62">
        <f ca="1">ROUND(表1_11[[#This Row],[税前应发总额]]*8%,2)</f>
        <v>288.60000000000002</v>
      </c>
      <c r="V152" s="62">
        <f ca="1">ROUND(表1_11[[#This Row],[税前应发总额]]*2%+3,2)</f>
        <v>75.150000000000006</v>
      </c>
      <c r="W152" s="62">
        <f ca="1">ROUND(表1_11[[#This Row],[税前应发总额]]*0.2%,2)</f>
        <v>7.22</v>
      </c>
      <c r="X152" s="62">
        <f ca="1">ROUND(表1_11[[#This Row],[税前应发总额]]*12%,2)</f>
        <v>432.9</v>
      </c>
      <c r="Y152" s="61">
        <f ca="1">ROUND(表1_11[[#This Row],[税前应发总额]]-SUM(表1_11[[#This Row],[养老保险]:[公积金]]),2)</f>
        <v>2803.63</v>
      </c>
      <c r="Z152" s="62">
        <f ca="1">ROUND(MAX((表1_11[[#This Row],[扣保险后工资金额]]-3500)*{3,10,20,25,30,35,45}%-{0,105,555,1005,2755,5505,13505},0),2)</f>
        <v>0</v>
      </c>
      <c r="AA152" s="63">
        <f ca="1">表1_11[[#This Row],[扣保险后工资金额]]-表1_11[[#This Row],[个人所得税]]</f>
        <v>2803.63</v>
      </c>
      <c r="AB152" s="53">
        <v>2620.96</v>
      </c>
      <c r="AC152" s="64">
        <f ca="1">(表1_11[[#This Row],[实发工资]]-表1_11[[#This Row],[上月对比]])/表1_11[[#This Row],[上月对比]]</f>
        <v>6.9695836640009792E-2</v>
      </c>
      <c r="AD152" s="65" t="s">
        <v>1587</v>
      </c>
    </row>
    <row r="153" spans="1:30">
      <c r="A153" s="42" t="s">
        <v>577</v>
      </c>
      <c r="B153" s="42" t="s">
        <v>664</v>
      </c>
      <c r="C153" s="40" t="s">
        <v>599</v>
      </c>
      <c r="D153" s="40" t="s">
        <v>626</v>
      </c>
      <c r="E153" s="41" t="s">
        <v>1163</v>
      </c>
      <c r="F153" s="5" t="s">
        <v>149</v>
      </c>
      <c r="G153" s="25">
        <v>39968</v>
      </c>
      <c r="H153" s="5" t="s">
        <v>622</v>
      </c>
      <c r="I153" s="5">
        <f>VLOOKUP(MID(表1_11[[#This Row],[工资等级]],1,1),表12[],MATCH(MID(表1_11[[#This Row],[工资等级]],2,2),表12[[#Headers],[1]:[10]],0)+1,0)</f>
        <v>3600</v>
      </c>
      <c r="J153" s="5">
        <v>21</v>
      </c>
      <c r="K153" s="27">
        <v>0.875</v>
      </c>
      <c r="L153" s="37">
        <f>IF(表1_11[[#This Row],[出勤率]]&gt;1,1,表1_11[[#This Row],[出勤率]])*表1_11[[#This Row],[岗位工资]]</f>
        <v>3150</v>
      </c>
      <c r="M153" s="5">
        <f>LOOKUP(表1_11[[#This Row],[岗位工资]],表13[lookup],表13[奖金比率])*表1_11[[#This Row],[岗位工资]]</f>
        <v>360</v>
      </c>
      <c r="N153" s="5">
        <v>85</v>
      </c>
      <c r="O153" s="38">
        <f>表1_11[[#This Row],[奖金等级]]*表1_11[[#This Row],[绩效得分]]/100</f>
        <v>306</v>
      </c>
      <c r="P153" s="5">
        <f>IF(表1_11[[#This Row],[出勤率]]&gt;=1,200,0)</f>
        <v>0</v>
      </c>
      <c r="Q153" s="23">
        <f t="shared" ca="1" si="2"/>
        <v>400</v>
      </c>
      <c r="R153" s="23">
        <f>IF(表1_11[[#This Row],[中心]]="营销中心",VLOOKUP(表1_11[[#This Row],[职位]],表2[[话费补贴]:[营销中心]],2,0),VLOOKUP(表1_11[[#This Row],[职位]],表2[],3,0))</f>
        <v>0</v>
      </c>
      <c r="S153" s="23">
        <v>200</v>
      </c>
      <c r="T153" s="61">
        <f ca="1">ROUND(SUM(表1_11[[#This Row],[基本工资]],表1_11[[#This Row],[奖金]],表1_11[[#This Row],[全勤奖]:[防暑降温补贴]]),2)</f>
        <v>4056</v>
      </c>
      <c r="U153" s="62">
        <f ca="1">ROUND(表1_11[[#This Row],[税前应发总额]]*8%,2)</f>
        <v>324.48</v>
      </c>
      <c r="V153" s="62">
        <f ca="1">ROUND(表1_11[[#This Row],[税前应发总额]]*2%+3,2)</f>
        <v>84.12</v>
      </c>
      <c r="W153" s="62">
        <f ca="1">ROUND(表1_11[[#This Row],[税前应发总额]]*0.2%,2)</f>
        <v>8.11</v>
      </c>
      <c r="X153" s="62">
        <f ca="1">ROUND(表1_11[[#This Row],[税前应发总额]]*12%,2)</f>
        <v>486.72</v>
      </c>
      <c r="Y153" s="61">
        <f ca="1">ROUND(表1_11[[#This Row],[税前应发总额]]-SUM(表1_11[[#This Row],[养老保险]:[公积金]]),2)</f>
        <v>3152.57</v>
      </c>
      <c r="Z153" s="62">
        <f ca="1">ROUND(MAX((表1_11[[#This Row],[扣保险后工资金额]]-3500)*{3,10,20,25,30,35,45}%-{0,105,555,1005,2755,5505,13505},0),2)</f>
        <v>0</v>
      </c>
      <c r="AA153" s="63">
        <f ca="1">表1_11[[#This Row],[扣保险后工资金额]]-表1_11[[#This Row],[个人所得税]]</f>
        <v>3152.57</v>
      </c>
      <c r="AB153" s="53">
        <v>3512.4</v>
      </c>
      <c r="AC153" s="64">
        <f ca="1">(表1_11[[#This Row],[实发工资]]-表1_11[[#This Row],[上月对比]])/表1_11[[#This Row],[上月对比]]</f>
        <v>-0.10244562122765058</v>
      </c>
      <c r="AD153" s="65" t="s">
        <v>1587</v>
      </c>
    </row>
    <row r="154" spans="1:30">
      <c r="A154" s="42" t="s">
        <v>577</v>
      </c>
      <c r="B154" s="42" t="s">
        <v>664</v>
      </c>
      <c r="C154" s="40" t="s">
        <v>717</v>
      </c>
      <c r="D154" s="40" t="s">
        <v>718</v>
      </c>
      <c r="E154" s="41" t="s">
        <v>1164</v>
      </c>
      <c r="F154" s="5" t="s">
        <v>150</v>
      </c>
      <c r="G154" s="25">
        <v>38832</v>
      </c>
      <c r="H154" s="5" t="s">
        <v>657</v>
      </c>
      <c r="I154" s="5">
        <f>VLOOKUP(MID(表1_11[[#This Row],[工资等级]],1,1),表12[],MATCH(MID(表1_11[[#This Row],[工资等级]],2,2),表12[[#Headers],[1]:[10]],0)+1,0)</f>
        <v>4000</v>
      </c>
      <c r="J154" s="5">
        <v>23</v>
      </c>
      <c r="K154" s="27">
        <v>0.95833333333333337</v>
      </c>
      <c r="L154" s="37">
        <f>IF(表1_11[[#This Row],[出勤率]]&gt;1,1,表1_11[[#This Row],[出勤率]])*表1_11[[#This Row],[岗位工资]]</f>
        <v>3833.3333333333335</v>
      </c>
      <c r="M154" s="5">
        <f>LOOKUP(表1_11[[#This Row],[岗位工资]],表13[lookup],表13[奖金比率])*表1_11[[#This Row],[岗位工资]]</f>
        <v>600</v>
      </c>
      <c r="N154" s="5">
        <v>89</v>
      </c>
      <c r="O154" s="38">
        <f>表1_11[[#This Row],[奖金等级]]*表1_11[[#This Row],[绩效得分]]/100</f>
        <v>534</v>
      </c>
      <c r="P154" s="5">
        <f>IF(表1_11[[#This Row],[出勤率]]&gt;=1,200,0)</f>
        <v>0</v>
      </c>
      <c r="Q154" s="23">
        <f t="shared" ca="1" si="2"/>
        <v>500</v>
      </c>
      <c r="R154" s="23">
        <f>IF(表1_11[[#This Row],[中心]]="营销中心",VLOOKUP(表1_11[[#This Row],[职位]],表2[[话费补贴]:[营销中心]],2,0),VLOOKUP(表1_11[[#This Row],[职位]],表2[],3,0))</f>
        <v>0</v>
      </c>
      <c r="S154" s="23">
        <v>200</v>
      </c>
      <c r="T154" s="61">
        <f ca="1">ROUND(SUM(表1_11[[#This Row],[基本工资]],表1_11[[#This Row],[奖金]],表1_11[[#This Row],[全勤奖]:[防暑降温补贴]]),2)</f>
        <v>5067.33</v>
      </c>
      <c r="U154" s="62">
        <f ca="1">ROUND(表1_11[[#This Row],[税前应发总额]]*8%,2)</f>
        <v>405.39</v>
      </c>
      <c r="V154" s="62">
        <f ca="1">ROUND(表1_11[[#This Row],[税前应发总额]]*2%+3,2)</f>
        <v>104.35</v>
      </c>
      <c r="W154" s="62">
        <f ca="1">ROUND(表1_11[[#This Row],[税前应发总额]]*0.2%,2)</f>
        <v>10.130000000000001</v>
      </c>
      <c r="X154" s="62">
        <f ca="1">ROUND(表1_11[[#This Row],[税前应发总额]]*12%,2)</f>
        <v>608.08000000000004</v>
      </c>
      <c r="Y154" s="61">
        <f ca="1">ROUND(表1_11[[#This Row],[税前应发总额]]-SUM(表1_11[[#This Row],[养老保险]:[公积金]]),2)</f>
        <v>3939.38</v>
      </c>
      <c r="Z154" s="62">
        <f ca="1">ROUND(MAX((表1_11[[#This Row],[扣保险后工资金额]]-3500)*{3,10,20,25,30,35,45}%-{0,105,555,1005,2755,5505,13505},0),2)</f>
        <v>13.18</v>
      </c>
      <c r="AA154" s="63">
        <f ca="1">表1_11[[#This Row],[扣保险后工资金额]]-表1_11[[#This Row],[个人所得税]]</f>
        <v>3926.2000000000003</v>
      </c>
      <c r="AB154" s="53">
        <v>4269.01</v>
      </c>
      <c r="AC154" s="64">
        <f ca="1">(表1_11[[#This Row],[实发工资]]-表1_11[[#This Row],[上月对比]])/表1_11[[#This Row],[上月对比]]</f>
        <v>-8.0301990391214814E-2</v>
      </c>
      <c r="AD154" s="65" t="s">
        <v>1587</v>
      </c>
    </row>
    <row r="155" spans="1:30">
      <c r="A155" s="42" t="s">
        <v>577</v>
      </c>
      <c r="B155" s="42" t="s">
        <v>664</v>
      </c>
      <c r="C155" s="40" t="s">
        <v>719</v>
      </c>
      <c r="D155" s="40" t="s">
        <v>720</v>
      </c>
      <c r="E155" s="41" t="s">
        <v>1165</v>
      </c>
      <c r="F155" s="5" t="s">
        <v>151</v>
      </c>
      <c r="G155" s="25">
        <v>41345</v>
      </c>
      <c r="H155" s="5" t="s">
        <v>610</v>
      </c>
      <c r="I155" s="5">
        <f>VLOOKUP(MID(表1_11[[#This Row],[工资等级]],1,1),表12[],MATCH(MID(表1_11[[#This Row],[工资等级]],2,2),表12[[#Headers],[1]:[10]],0)+1,0)</f>
        <v>3400</v>
      </c>
      <c r="J155" s="5">
        <v>22</v>
      </c>
      <c r="K155" s="27">
        <v>0.91666666666666663</v>
      </c>
      <c r="L155" s="37">
        <f>IF(表1_11[[#This Row],[出勤率]]&gt;1,1,表1_11[[#This Row],[出勤率]])*表1_11[[#This Row],[岗位工资]]</f>
        <v>3116.6666666666665</v>
      </c>
      <c r="M155" s="5">
        <f>LOOKUP(表1_11[[#This Row],[岗位工资]],表13[lookup],表13[奖金比率])*表1_11[[#This Row],[岗位工资]]</f>
        <v>340</v>
      </c>
      <c r="N155" s="5">
        <v>89</v>
      </c>
      <c r="O155" s="38">
        <f>表1_11[[#This Row],[奖金等级]]*表1_11[[#This Row],[绩效得分]]/100</f>
        <v>302.60000000000002</v>
      </c>
      <c r="P155" s="5">
        <f>IF(表1_11[[#This Row],[出勤率]]&gt;=1,200,0)</f>
        <v>0</v>
      </c>
      <c r="Q155" s="23">
        <f t="shared" ca="1" si="2"/>
        <v>200</v>
      </c>
      <c r="R155" s="23">
        <f>IF(表1_11[[#This Row],[中心]]="营销中心",VLOOKUP(表1_11[[#This Row],[职位]],表2[[话费补贴]:[营销中心]],2,0),VLOOKUP(表1_11[[#This Row],[职位]],表2[],3,0))</f>
        <v>0</v>
      </c>
      <c r="S155" s="23">
        <v>200</v>
      </c>
      <c r="T155" s="61">
        <f ca="1">ROUND(SUM(表1_11[[#This Row],[基本工资]],表1_11[[#This Row],[奖金]],表1_11[[#This Row],[全勤奖]:[防暑降温补贴]]),2)</f>
        <v>3819.27</v>
      </c>
      <c r="U155" s="62">
        <f ca="1">ROUND(表1_11[[#This Row],[税前应发总额]]*8%,2)</f>
        <v>305.54000000000002</v>
      </c>
      <c r="V155" s="62">
        <f ca="1">ROUND(表1_11[[#This Row],[税前应发总额]]*2%+3,2)</f>
        <v>79.39</v>
      </c>
      <c r="W155" s="62">
        <f ca="1">ROUND(表1_11[[#This Row],[税前应发总额]]*0.2%,2)</f>
        <v>7.64</v>
      </c>
      <c r="X155" s="62">
        <f ca="1">ROUND(表1_11[[#This Row],[税前应发总额]]*12%,2)</f>
        <v>458.31</v>
      </c>
      <c r="Y155" s="61">
        <f ca="1">ROUND(表1_11[[#This Row],[税前应发总额]]-SUM(表1_11[[#This Row],[养老保险]:[公积金]]),2)</f>
        <v>2968.39</v>
      </c>
      <c r="Z155" s="62">
        <f ca="1">ROUND(MAX((表1_11[[#This Row],[扣保险后工资金额]]-3500)*{3,10,20,25,30,35,45}%-{0,105,555,1005,2755,5505,13505},0),2)</f>
        <v>0</v>
      </c>
      <c r="AA155" s="63">
        <f ca="1">表1_11[[#This Row],[扣保险后工资金额]]-表1_11[[#This Row],[个人所得税]]</f>
        <v>2968.39</v>
      </c>
      <c r="AB155" s="53">
        <v>3593.81</v>
      </c>
      <c r="AC155" s="64">
        <f ca="1">(表1_11[[#This Row],[实发工资]]-表1_11[[#This Row],[上月对比]])/表1_11[[#This Row],[上月对比]]</f>
        <v>-0.17402700754909137</v>
      </c>
      <c r="AD155" s="65" t="s">
        <v>1587</v>
      </c>
    </row>
    <row r="156" spans="1:30">
      <c r="A156" s="42" t="s">
        <v>577</v>
      </c>
      <c r="B156" s="42" t="s">
        <v>664</v>
      </c>
      <c r="C156" s="40" t="s">
        <v>721</v>
      </c>
      <c r="D156" s="40" t="s">
        <v>722</v>
      </c>
      <c r="E156" s="41" t="s">
        <v>1166</v>
      </c>
      <c r="F156" s="5" t="s">
        <v>152</v>
      </c>
      <c r="G156" s="25">
        <v>41079</v>
      </c>
      <c r="H156" s="5" t="s">
        <v>630</v>
      </c>
      <c r="I156" s="5">
        <f>VLOOKUP(MID(表1_11[[#This Row],[工资等级]],1,1),表12[],MATCH(MID(表1_11[[#This Row],[工资等级]],2,2),表12[[#Headers],[1]:[10]],0)+1,0)</f>
        <v>2600</v>
      </c>
      <c r="J156" s="5">
        <v>25.5</v>
      </c>
      <c r="K156" s="27">
        <v>1.0625</v>
      </c>
      <c r="L156" s="37">
        <f>IF(表1_11[[#This Row],[出勤率]]&gt;1,1,表1_11[[#This Row],[出勤率]])*表1_11[[#This Row],[岗位工资]]</f>
        <v>2600</v>
      </c>
      <c r="M156" s="5">
        <f>LOOKUP(表1_11[[#This Row],[岗位工资]],表13[lookup],表13[奖金比率])*表1_11[[#This Row],[岗位工资]]</f>
        <v>260</v>
      </c>
      <c r="N156" s="5">
        <v>82</v>
      </c>
      <c r="O156" s="38">
        <f>表1_11[[#This Row],[奖金等级]]*表1_11[[#This Row],[绩效得分]]/100</f>
        <v>213.2</v>
      </c>
      <c r="P156" s="5">
        <f>IF(表1_11[[#This Row],[出勤率]]&gt;=1,200,0)</f>
        <v>200</v>
      </c>
      <c r="Q156" s="23">
        <f t="shared" ca="1" si="2"/>
        <v>250</v>
      </c>
      <c r="R156" s="23">
        <f>IF(表1_11[[#This Row],[中心]]="营销中心",VLOOKUP(表1_11[[#This Row],[职位]],表2[[话费补贴]:[营销中心]],2,0),VLOOKUP(表1_11[[#This Row],[职位]],表2[],3,0))</f>
        <v>0</v>
      </c>
      <c r="S156" s="23">
        <v>200</v>
      </c>
      <c r="T156" s="61">
        <f ca="1">ROUND(SUM(表1_11[[#This Row],[基本工资]],表1_11[[#This Row],[奖金]],表1_11[[#This Row],[全勤奖]:[防暑降温补贴]]),2)</f>
        <v>3463.2</v>
      </c>
      <c r="U156" s="62">
        <f ca="1">ROUND(表1_11[[#This Row],[税前应发总额]]*8%,2)</f>
        <v>277.06</v>
      </c>
      <c r="V156" s="62">
        <f ca="1">ROUND(表1_11[[#This Row],[税前应发总额]]*2%+3,2)</f>
        <v>72.260000000000005</v>
      </c>
      <c r="W156" s="62">
        <f ca="1">ROUND(表1_11[[#This Row],[税前应发总额]]*0.2%,2)</f>
        <v>6.93</v>
      </c>
      <c r="X156" s="62">
        <f ca="1">ROUND(表1_11[[#This Row],[税前应发总额]]*12%,2)</f>
        <v>415.58</v>
      </c>
      <c r="Y156" s="61">
        <f ca="1">ROUND(表1_11[[#This Row],[税前应发总额]]-SUM(表1_11[[#This Row],[养老保险]:[公积金]]),2)</f>
        <v>2691.37</v>
      </c>
      <c r="Z156" s="62">
        <f ca="1">ROUND(MAX((表1_11[[#This Row],[扣保险后工资金额]]-3500)*{3,10,20,25,30,35,45}%-{0,105,555,1005,2755,5505,13505},0),2)</f>
        <v>0</v>
      </c>
      <c r="AA156" s="63">
        <f ca="1">表1_11[[#This Row],[扣保险后工资金额]]-表1_11[[#This Row],[个人所得税]]</f>
        <v>2691.37</v>
      </c>
      <c r="AB156" s="53">
        <v>2848.07</v>
      </c>
      <c r="AC156" s="64">
        <f ca="1">(表1_11[[#This Row],[实发工资]]-表1_11[[#This Row],[上月对比]])/表1_11[[#This Row],[上月对比]]</f>
        <v>-5.501971510531703E-2</v>
      </c>
      <c r="AD156" s="65" t="s">
        <v>1587</v>
      </c>
    </row>
    <row r="157" spans="1:30">
      <c r="A157" s="42" t="s">
        <v>577</v>
      </c>
      <c r="B157" s="42" t="s">
        <v>664</v>
      </c>
      <c r="C157" s="40" t="s">
        <v>723</v>
      </c>
      <c r="D157" s="40" t="s">
        <v>724</v>
      </c>
      <c r="E157" s="41" t="s">
        <v>1167</v>
      </c>
      <c r="F157" s="5" t="s">
        <v>153</v>
      </c>
      <c r="G157" s="25">
        <v>40047</v>
      </c>
      <c r="H157" s="5" t="s">
        <v>630</v>
      </c>
      <c r="I157" s="5">
        <f>VLOOKUP(MID(表1_11[[#This Row],[工资等级]],1,1),表12[],MATCH(MID(表1_11[[#This Row],[工资等级]],2,2),表12[[#Headers],[1]:[10]],0)+1,0)</f>
        <v>2600</v>
      </c>
      <c r="J157" s="5">
        <v>24</v>
      </c>
      <c r="K157" s="27">
        <v>1</v>
      </c>
      <c r="L157" s="37">
        <f>IF(表1_11[[#This Row],[出勤率]]&gt;1,1,表1_11[[#This Row],[出勤率]])*表1_11[[#This Row],[岗位工资]]</f>
        <v>2600</v>
      </c>
      <c r="M157" s="5">
        <f>LOOKUP(表1_11[[#This Row],[岗位工资]],表13[lookup],表13[奖金比率])*表1_11[[#This Row],[岗位工资]]</f>
        <v>260</v>
      </c>
      <c r="N157" s="5">
        <v>81</v>
      </c>
      <c r="O157" s="38">
        <f>表1_11[[#This Row],[奖金等级]]*表1_11[[#This Row],[绩效得分]]/100</f>
        <v>210.6</v>
      </c>
      <c r="P157" s="5">
        <f>IF(表1_11[[#This Row],[出勤率]]&gt;=1,200,0)</f>
        <v>200</v>
      </c>
      <c r="Q157" s="23">
        <f t="shared" ca="1" si="2"/>
        <v>400</v>
      </c>
      <c r="R157" s="23">
        <f>IF(表1_11[[#This Row],[中心]]="营销中心",VLOOKUP(表1_11[[#This Row],[职位]],表2[[话费补贴]:[营销中心]],2,0),VLOOKUP(表1_11[[#This Row],[职位]],表2[],3,0))</f>
        <v>0</v>
      </c>
      <c r="S157" s="23">
        <v>200</v>
      </c>
      <c r="T157" s="61">
        <f ca="1">ROUND(SUM(表1_11[[#This Row],[基本工资]],表1_11[[#This Row],[奖金]],表1_11[[#This Row],[全勤奖]:[防暑降温补贴]]),2)</f>
        <v>3610.6</v>
      </c>
      <c r="U157" s="62">
        <f ca="1">ROUND(表1_11[[#This Row],[税前应发总额]]*8%,2)</f>
        <v>288.85000000000002</v>
      </c>
      <c r="V157" s="62">
        <f ca="1">ROUND(表1_11[[#This Row],[税前应发总额]]*2%+3,2)</f>
        <v>75.209999999999994</v>
      </c>
      <c r="W157" s="62">
        <f ca="1">ROUND(表1_11[[#This Row],[税前应发总额]]*0.2%,2)</f>
        <v>7.22</v>
      </c>
      <c r="X157" s="62">
        <f ca="1">ROUND(表1_11[[#This Row],[税前应发总额]]*12%,2)</f>
        <v>433.27</v>
      </c>
      <c r="Y157" s="61">
        <f ca="1">ROUND(表1_11[[#This Row],[税前应发总额]]-SUM(表1_11[[#This Row],[养老保险]:[公积金]]),2)</f>
        <v>2806.05</v>
      </c>
      <c r="Z157" s="62">
        <f ca="1">ROUND(MAX((表1_11[[#This Row],[扣保险后工资金额]]-3500)*{3,10,20,25,30,35,45}%-{0,105,555,1005,2755,5505,13505},0),2)</f>
        <v>0</v>
      </c>
      <c r="AA157" s="63">
        <f ca="1">表1_11[[#This Row],[扣保险后工资金额]]-表1_11[[#This Row],[个人所得税]]</f>
        <v>2806.05</v>
      </c>
      <c r="AB157" s="53">
        <v>2763.51</v>
      </c>
      <c r="AC157" s="64">
        <f ca="1">(表1_11[[#This Row],[实发工资]]-表1_11[[#This Row],[上月对比]])/表1_11[[#This Row],[上月对比]]</f>
        <v>1.5393467003918915E-2</v>
      </c>
      <c r="AD157" s="65" t="s">
        <v>1587</v>
      </c>
    </row>
    <row r="158" spans="1:30">
      <c r="A158" s="42" t="s">
        <v>577</v>
      </c>
      <c r="B158" s="42" t="s">
        <v>664</v>
      </c>
      <c r="C158" s="40" t="s">
        <v>715</v>
      </c>
      <c r="D158" s="40" t="s">
        <v>716</v>
      </c>
      <c r="E158" s="41" t="s">
        <v>1168</v>
      </c>
      <c r="F158" s="5" t="s">
        <v>154</v>
      </c>
      <c r="G158" s="25">
        <v>42497</v>
      </c>
      <c r="H158" s="5" t="s">
        <v>615</v>
      </c>
      <c r="I158" s="5">
        <f>VLOOKUP(MID(表1_11[[#This Row],[工资等级]],1,1),表12[],MATCH(MID(表1_11[[#This Row],[工资等级]],2,2),表12[[#Headers],[1]:[10]],0)+1,0)</f>
        <v>3200</v>
      </c>
      <c r="J158" s="5">
        <v>27.5</v>
      </c>
      <c r="K158" s="27">
        <v>1.1458333333333333</v>
      </c>
      <c r="L158" s="37">
        <f>IF(表1_11[[#This Row],[出勤率]]&gt;1,1,表1_11[[#This Row],[出勤率]])*表1_11[[#This Row],[岗位工资]]</f>
        <v>3200</v>
      </c>
      <c r="M158" s="5">
        <f>LOOKUP(表1_11[[#This Row],[岗位工资]],表13[lookup],表13[奖金比率])*表1_11[[#This Row],[岗位工资]]</f>
        <v>320</v>
      </c>
      <c r="N158" s="5">
        <v>86</v>
      </c>
      <c r="O158" s="38">
        <f>表1_11[[#This Row],[奖金等级]]*表1_11[[#This Row],[绩效得分]]/100</f>
        <v>275.2</v>
      </c>
      <c r="P158" s="5">
        <f>IF(表1_11[[#This Row],[出勤率]]&gt;=1,200,0)</f>
        <v>200</v>
      </c>
      <c r="Q158" s="23">
        <f t="shared" ca="1" si="2"/>
        <v>50</v>
      </c>
      <c r="R158" s="23">
        <f>IF(表1_11[[#This Row],[中心]]="营销中心",VLOOKUP(表1_11[[#This Row],[职位]],表2[[话费补贴]:[营销中心]],2,0),VLOOKUP(表1_11[[#This Row],[职位]],表2[],3,0))</f>
        <v>0</v>
      </c>
      <c r="S158" s="23">
        <v>200</v>
      </c>
      <c r="T158" s="61">
        <f ca="1">ROUND(SUM(表1_11[[#This Row],[基本工资]],表1_11[[#This Row],[奖金]],表1_11[[#This Row],[全勤奖]:[防暑降温补贴]]),2)</f>
        <v>3925.2</v>
      </c>
      <c r="U158" s="62">
        <f ca="1">ROUND(表1_11[[#This Row],[税前应发总额]]*8%,2)</f>
        <v>314.02</v>
      </c>
      <c r="V158" s="62">
        <f ca="1">ROUND(表1_11[[#This Row],[税前应发总额]]*2%+3,2)</f>
        <v>81.5</v>
      </c>
      <c r="W158" s="62">
        <f ca="1">ROUND(表1_11[[#This Row],[税前应发总额]]*0.2%,2)</f>
        <v>7.85</v>
      </c>
      <c r="X158" s="62">
        <f ca="1">ROUND(表1_11[[#This Row],[税前应发总额]]*12%,2)</f>
        <v>471.02</v>
      </c>
      <c r="Y158" s="61">
        <f ca="1">ROUND(表1_11[[#This Row],[税前应发总额]]-SUM(表1_11[[#This Row],[养老保险]:[公积金]]),2)</f>
        <v>3050.81</v>
      </c>
      <c r="Z158" s="62">
        <f ca="1">ROUND(MAX((表1_11[[#This Row],[扣保险后工资金额]]-3500)*{3,10,20,25,30,35,45}%-{0,105,555,1005,2755,5505,13505},0),2)</f>
        <v>0</v>
      </c>
      <c r="AA158" s="63">
        <f ca="1">表1_11[[#This Row],[扣保险后工资金额]]-表1_11[[#This Row],[个人所得税]]</f>
        <v>3050.81</v>
      </c>
      <c r="AB158" s="53">
        <v>3042.03</v>
      </c>
      <c r="AC158" s="64">
        <f ca="1">(表1_11[[#This Row],[实发工资]]-表1_11[[#This Row],[上月对比]])/表1_11[[#This Row],[上月对比]]</f>
        <v>2.8862305762927206E-3</v>
      </c>
      <c r="AD158" s="65" t="s">
        <v>1587</v>
      </c>
    </row>
    <row r="159" spans="1:30">
      <c r="A159" s="43" t="s">
        <v>577</v>
      </c>
      <c r="B159" s="42" t="s">
        <v>664</v>
      </c>
      <c r="C159" s="40" t="s">
        <v>673</v>
      </c>
      <c r="D159" s="40" t="s">
        <v>674</v>
      </c>
      <c r="E159" s="41" t="s">
        <v>1169</v>
      </c>
      <c r="F159" s="5" t="s">
        <v>155</v>
      </c>
      <c r="G159" s="25">
        <v>39696</v>
      </c>
      <c r="H159" s="5" t="s">
        <v>657</v>
      </c>
      <c r="I159" s="5">
        <f>VLOOKUP(MID(表1_11[[#This Row],[工资等级]],1,1),表12[],MATCH(MID(表1_11[[#This Row],[工资等级]],2,2),表12[[#Headers],[1]:[10]],0)+1,0)</f>
        <v>4000</v>
      </c>
      <c r="J159" s="5">
        <v>25</v>
      </c>
      <c r="K159" s="27">
        <v>1.0416666666666667</v>
      </c>
      <c r="L159" s="37">
        <f>IF(表1_11[[#This Row],[出勤率]]&gt;1,1,表1_11[[#This Row],[出勤率]])*表1_11[[#This Row],[岗位工资]]</f>
        <v>4000</v>
      </c>
      <c r="M159" s="5">
        <f>LOOKUP(表1_11[[#This Row],[岗位工资]],表13[lookup],表13[奖金比率])*表1_11[[#This Row],[岗位工资]]</f>
        <v>600</v>
      </c>
      <c r="N159" s="5">
        <v>82</v>
      </c>
      <c r="O159" s="38">
        <f>表1_11[[#This Row],[奖金等级]]*表1_11[[#This Row],[绩效得分]]/100</f>
        <v>492</v>
      </c>
      <c r="P159" s="5">
        <f>IF(表1_11[[#This Row],[出勤率]]&gt;=1,200,0)</f>
        <v>200</v>
      </c>
      <c r="Q159" s="23">
        <f t="shared" ca="1" si="2"/>
        <v>450</v>
      </c>
      <c r="R159" s="23">
        <f>IF(表1_11[[#This Row],[中心]]="营销中心",VLOOKUP(表1_11[[#This Row],[职位]],表2[[话费补贴]:[营销中心]],2,0),VLOOKUP(表1_11[[#This Row],[职位]],表2[],3,0))</f>
        <v>0</v>
      </c>
      <c r="S159" s="23">
        <v>200</v>
      </c>
      <c r="T159" s="61">
        <f ca="1">ROUND(SUM(表1_11[[#This Row],[基本工资]],表1_11[[#This Row],[奖金]],表1_11[[#This Row],[全勤奖]:[防暑降温补贴]]),2)</f>
        <v>5342</v>
      </c>
      <c r="U159" s="62">
        <f ca="1">ROUND(表1_11[[#This Row],[税前应发总额]]*8%,2)</f>
        <v>427.36</v>
      </c>
      <c r="V159" s="62">
        <f ca="1">ROUND(表1_11[[#This Row],[税前应发总额]]*2%+3,2)</f>
        <v>109.84</v>
      </c>
      <c r="W159" s="62">
        <f ca="1">ROUND(表1_11[[#This Row],[税前应发总额]]*0.2%,2)</f>
        <v>10.68</v>
      </c>
      <c r="X159" s="62">
        <f ca="1">ROUND(表1_11[[#This Row],[税前应发总额]]*12%,2)</f>
        <v>641.04</v>
      </c>
      <c r="Y159" s="61">
        <f ca="1">ROUND(表1_11[[#This Row],[税前应发总额]]-SUM(表1_11[[#This Row],[养老保险]:[公积金]]),2)</f>
        <v>4153.08</v>
      </c>
      <c r="Z159" s="62">
        <f ca="1">ROUND(MAX((表1_11[[#This Row],[扣保险后工资金额]]-3500)*{3,10,20,25,30,35,45}%-{0,105,555,1005,2755,5505,13505},0),2)</f>
        <v>19.59</v>
      </c>
      <c r="AA159" s="63">
        <f ca="1">表1_11[[#This Row],[扣保险后工资金额]]-表1_11[[#This Row],[个人所得税]]</f>
        <v>4133.49</v>
      </c>
      <c r="AB159" s="53">
        <v>3929.68</v>
      </c>
      <c r="AC159" s="64">
        <f ca="1">(表1_11[[#This Row],[实发工资]]-表1_11[[#This Row],[上月对比]])/表1_11[[#This Row],[上月对比]]</f>
        <v>5.1864273935791197E-2</v>
      </c>
      <c r="AD159" s="65" t="s">
        <v>1587</v>
      </c>
    </row>
    <row r="160" spans="1:30">
      <c r="A160" s="43" t="s">
        <v>577</v>
      </c>
      <c r="B160" s="42" t="s">
        <v>664</v>
      </c>
      <c r="C160" s="40" t="s">
        <v>599</v>
      </c>
      <c r="D160" s="40" t="s">
        <v>626</v>
      </c>
      <c r="E160" s="41" t="s">
        <v>1170</v>
      </c>
      <c r="F160" s="5" t="s">
        <v>156</v>
      </c>
      <c r="G160" s="25">
        <v>39136</v>
      </c>
      <c r="H160" s="5" t="s">
        <v>624</v>
      </c>
      <c r="I160" s="5">
        <f>VLOOKUP(MID(表1_11[[#This Row],[工资等级]],1,1),表12[],MATCH(MID(表1_11[[#This Row],[工资等级]],2,2),表12[[#Headers],[1]:[10]],0)+1,0)</f>
        <v>2800</v>
      </c>
      <c r="J160" s="5">
        <v>26.5</v>
      </c>
      <c r="K160" s="27">
        <v>1.1041666666666667</v>
      </c>
      <c r="L160" s="37">
        <f>IF(表1_11[[#This Row],[出勤率]]&gt;1,1,表1_11[[#This Row],[出勤率]])*表1_11[[#This Row],[岗位工资]]</f>
        <v>2800</v>
      </c>
      <c r="M160" s="5">
        <f>LOOKUP(表1_11[[#This Row],[岗位工资]],表13[lookup],表13[奖金比率])*表1_11[[#This Row],[岗位工资]]</f>
        <v>280</v>
      </c>
      <c r="N160" s="5">
        <v>91</v>
      </c>
      <c r="O160" s="38">
        <f>表1_11[[#This Row],[奖金等级]]*表1_11[[#This Row],[绩效得分]]/100</f>
        <v>254.8</v>
      </c>
      <c r="P160" s="5">
        <f>IF(表1_11[[#This Row],[出勤率]]&gt;=1,200,0)</f>
        <v>200</v>
      </c>
      <c r="Q160" s="23">
        <f t="shared" ca="1" si="2"/>
        <v>500</v>
      </c>
      <c r="R160" s="23">
        <f>IF(表1_11[[#This Row],[中心]]="营销中心",VLOOKUP(表1_11[[#This Row],[职位]],表2[[话费补贴]:[营销中心]],2,0),VLOOKUP(表1_11[[#This Row],[职位]],表2[],3,0))</f>
        <v>0</v>
      </c>
      <c r="S160" s="23">
        <v>200</v>
      </c>
      <c r="T160" s="61">
        <f ca="1">ROUND(SUM(表1_11[[#This Row],[基本工资]],表1_11[[#This Row],[奖金]],表1_11[[#This Row],[全勤奖]:[防暑降温补贴]]),2)</f>
        <v>3954.8</v>
      </c>
      <c r="U160" s="62">
        <f ca="1">ROUND(表1_11[[#This Row],[税前应发总额]]*8%,2)</f>
        <v>316.38</v>
      </c>
      <c r="V160" s="62">
        <f ca="1">ROUND(表1_11[[#This Row],[税前应发总额]]*2%+3,2)</f>
        <v>82.1</v>
      </c>
      <c r="W160" s="62">
        <f ca="1">ROUND(表1_11[[#This Row],[税前应发总额]]*0.2%,2)</f>
        <v>7.91</v>
      </c>
      <c r="X160" s="62">
        <f ca="1">ROUND(表1_11[[#This Row],[税前应发总额]]*12%,2)</f>
        <v>474.58</v>
      </c>
      <c r="Y160" s="61">
        <f ca="1">ROUND(表1_11[[#This Row],[税前应发总额]]-SUM(表1_11[[#This Row],[养老保险]:[公积金]]),2)</f>
        <v>3073.83</v>
      </c>
      <c r="Z160" s="62">
        <f ca="1">ROUND(MAX((表1_11[[#This Row],[扣保险后工资金额]]-3500)*{3,10,20,25,30,35,45}%-{0,105,555,1005,2755,5505,13505},0),2)</f>
        <v>0</v>
      </c>
      <c r="AA160" s="63">
        <f ca="1">表1_11[[#This Row],[扣保险后工资金额]]-表1_11[[#This Row],[个人所得税]]</f>
        <v>3073.83</v>
      </c>
      <c r="AB160" s="53">
        <v>3366.84</v>
      </c>
      <c r="AC160" s="64">
        <f ca="1">(表1_11[[#This Row],[实发工资]]-表1_11[[#This Row],[上月对比]])/表1_11[[#This Row],[上月对比]]</f>
        <v>-8.7028192607905397E-2</v>
      </c>
      <c r="AD160" s="65" t="s">
        <v>1587</v>
      </c>
    </row>
    <row r="161" spans="1:30">
      <c r="A161" s="43" t="s">
        <v>577</v>
      </c>
      <c r="B161" s="42" t="s">
        <v>664</v>
      </c>
      <c r="C161" s="40" t="s">
        <v>717</v>
      </c>
      <c r="D161" s="40" t="s">
        <v>718</v>
      </c>
      <c r="E161" s="41" t="s">
        <v>1171</v>
      </c>
      <c r="F161" s="5" t="s">
        <v>157</v>
      </c>
      <c r="G161" s="25">
        <v>38618</v>
      </c>
      <c r="H161" s="5" t="s">
        <v>612</v>
      </c>
      <c r="I161" s="5">
        <f>VLOOKUP(MID(表1_11[[#This Row],[工资等级]],1,1),表12[],MATCH(MID(表1_11[[#This Row],[工资等级]],2,2),表12[[#Headers],[1]:[10]],0)+1,0)</f>
        <v>2700</v>
      </c>
      <c r="J161" s="5">
        <v>27</v>
      </c>
      <c r="K161" s="27">
        <v>1.125</v>
      </c>
      <c r="L161" s="37">
        <f>IF(表1_11[[#This Row],[出勤率]]&gt;1,1,表1_11[[#This Row],[出勤率]])*表1_11[[#This Row],[岗位工资]]</f>
        <v>2700</v>
      </c>
      <c r="M161" s="5">
        <f>LOOKUP(表1_11[[#This Row],[岗位工资]],表13[lookup],表13[奖金比率])*表1_11[[#This Row],[岗位工资]]</f>
        <v>270</v>
      </c>
      <c r="N161" s="5">
        <v>97</v>
      </c>
      <c r="O161" s="38">
        <f>表1_11[[#This Row],[奖金等级]]*表1_11[[#This Row],[绩效得分]]/100</f>
        <v>261.89999999999998</v>
      </c>
      <c r="P161" s="5">
        <f>IF(表1_11[[#This Row],[出勤率]]&gt;=1,200,0)</f>
        <v>200</v>
      </c>
      <c r="Q161" s="23">
        <f t="shared" ca="1" si="2"/>
        <v>500</v>
      </c>
      <c r="R161" s="23">
        <f>IF(表1_11[[#This Row],[中心]]="营销中心",VLOOKUP(表1_11[[#This Row],[职位]],表2[[话费补贴]:[营销中心]],2,0),VLOOKUP(表1_11[[#This Row],[职位]],表2[],3,0))</f>
        <v>0</v>
      </c>
      <c r="S161" s="23">
        <v>200</v>
      </c>
      <c r="T161" s="61">
        <f ca="1">ROUND(SUM(表1_11[[#This Row],[基本工资]],表1_11[[#This Row],[奖金]],表1_11[[#This Row],[全勤奖]:[防暑降温补贴]]),2)</f>
        <v>3861.9</v>
      </c>
      <c r="U161" s="62">
        <f ca="1">ROUND(表1_11[[#This Row],[税前应发总额]]*8%,2)</f>
        <v>308.95</v>
      </c>
      <c r="V161" s="62">
        <f ca="1">ROUND(表1_11[[#This Row],[税前应发总额]]*2%+3,2)</f>
        <v>80.239999999999995</v>
      </c>
      <c r="W161" s="62">
        <f ca="1">ROUND(表1_11[[#This Row],[税前应发总额]]*0.2%,2)</f>
        <v>7.72</v>
      </c>
      <c r="X161" s="62">
        <f ca="1">ROUND(表1_11[[#This Row],[税前应发总额]]*12%,2)</f>
        <v>463.43</v>
      </c>
      <c r="Y161" s="61">
        <f ca="1">ROUND(表1_11[[#This Row],[税前应发总额]]-SUM(表1_11[[#This Row],[养老保险]:[公积金]]),2)</f>
        <v>3001.56</v>
      </c>
      <c r="Z161" s="62">
        <f ca="1">ROUND(MAX((表1_11[[#This Row],[扣保险后工资金额]]-3500)*{3,10,20,25,30,35,45}%-{0,105,555,1005,2755,5505,13505},0),2)</f>
        <v>0</v>
      </c>
      <c r="AA161" s="63">
        <f ca="1">表1_11[[#This Row],[扣保险后工资金额]]-表1_11[[#This Row],[个人所得税]]</f>
        <v>3001.56</v>
      </c>
      <c r="AB161" s="53">
        <v>2847.22</v>
      </c>
      <c r="AC161" s="64">
        <f ca="1">(表1_11[[#This Row],[实发工资]]-表1_11[[#This Row],[上月对比]])/表1_11[[#This Row],[上月对比]]</f>
        <v>5.4207261820301965E-2</v>
      </c>
      <c r="AD161" s="65" t="s">
        <v>1587</v>
      </c>
    </row>
    <row r="162" spans="1:30">
      <c r="A162" s="43" t="s">
        <v>577</v>
      </c>
      <c r="B162" s="42" t="s">
        <v>664</v>
      </c>
      <c r="C162" s="40" t="s">
        <v>719</v>
      </c>
      <c r="D162" s="40" t="s">
        <v>720</v>
      </c>
      <c r="E162" s="41" t="s">
        <v>1172</v>
      </c>
      <c r="F162" s="5" t="s">
        <v>158</v>
      </c>
      <c r="G162" s="25">
        <v>38993</v>
      </c>
      <c r="H162" s="5" t="s">
        <v>610</v>
      </c>
      <c r="I162" s="5">
        <f>VLOOKUP(MID(表1_11[[#This Row],[工资等级]],1,1),表12[],MATCH(MID(表1_11[[#This Row],[工资等级]],2,2),表12[[#Headers],[1]:[10]],0)+1,0)</f>
        <v>3400</v>
      </c>
      <c r="J162" s="5">
        <v>26.5</v>
      </c>
      <c r="K162" s="27">
        <v>1.1041666666666667</v>
      </c>
      <c r="L162" s="37">
        <f>IF(表1_11[[#This Row],[出勤率]]&gt;1,1,表1_11[[#This Row],[出勤率]])*表1_11[[#This Row],[岗位工资]]</f>
        <v>3400</v>
      </c>
      <c r="M162" s="5">
        <f>LOOKUP(表1_11[[#This Row],[岗位工资]],表13[lookup],表13[奖金比率])*表1_11[[#This Row],[岗位工资]]</f>
        <v>340</v>
      </c>
      <c r="N162" s="5">
        <v>95</v>
      </c>
      <c r="O162" s="38">
        <f>表1_11[[#This Row],[奖金等级]]*表1_11[[#This Row],[绩效得分]]/100</f>
        <v>323</v>
      </c>
      <c r="P162" s="5">
        <f>IF(表1_11[[#This Row],[出勤率]]&gt;=1,200,0)</f>
        <v>200</v>
      </c>
      <c r="Q162" s="23">
        <f t="shared" ca="1" si="2"/>
        <v>500</v>
      </c>
      <c r="R162" s="23">
        <f>IF(表1_11[[#This Row],[中心]]="营销中心",VLOOKUP(表1_11[[#This Row],[职位]],表2[[话费补贴]:[营销中心]],2,0),VLOOKUP(表1_11[[#This Row],[职位]],表2[],3,0))</f>
        <v>0</v>
      </c>
      <c r="S162" s="23">
        <v>200</v>
      </c>
      <c r="T162" s="61">
        <f ca="1">ROUND(SUM(表1_11[[#This Row],[基本工资]],表1_11[[#This Row],[奖金]],表1_11[[#This Row],[全勤奖]:[防暑降温补贴]]),2)</f>
        <v>4623</v>
      </c>
      <c r="U162" s="62">
        <f ca="1">ROUND(表1_11[[#This Row],[税前应发总额]]*8%,2)</f>
        <v>369.84</v>
      </c>
      <c r="V162" s="62">
        <f ca="1">ROUND(表1_11[[#This Row],[税前应发总额]]*2%+3,2)</f>
        <v>95.46</v>
      </c>
      <c r="W162" s="62">
        <f ca="1">ROUND(表1_11[[#This Row],[税前应发总额]]*0.2%,2)</f>
        <v>9.25</v>
      </c>
      <c r="X162" s="62">
        <f ca="1">ROUND(表1_11[[#This Row],[税前应发总额]]*12%,2)</f>
        <v>554.76</v>
      </c>
      <c r="Y162" s="61">
        <f ca="1">ROUND(表1_11[[#This Row],[税前应发总额]]-SUM(表1_11[[#This Row],[养老保险]:[公积金]]),2)</f>
        <v>3593.69</v>
      </c>
      <c r="Z162" s="62">
        <f ca="1">ROUND(MAX((表1_11[[#This Row],[扣保险后工资金额]]-3500)*{3,10,20,25,30,35,45}%-{0,105,555,1005,2755,5505,13505},0),2)</f>
        <v>2.81</v>
      </c>
      <c r="AA162" s="63">
        <f ca="1">表1_11[[#This Row],[扣保险后工资金额]]-表1_11[[#This Row],[个人所得税]]</f>
        <v>3590.88</v>
      </c>
      <c r="AB162" s="53">
        <v>3914.06</v>
      </c>
      <c r="AC162" s="64">
        <f ca="1">(表1_11[[#This Row],[实发工资]]-表1_11[[#This Row],[上月对比]])/表1_11[[#This Row],[上月对比]]</f>
        <v>-8.2568994854447769E-2</v>
      </c>
      <c r="AD162" s="65" t="s">
        <v>1587</v>
      </c>
    </row>
    <row r="163" spans="1:30">
      <c r="A163" s="43" t="s">
        <v>577</v>
      </c>
      <c r="B163" s="42" t="s">
        <v>664</v>
      </c>
      <c r="C163" s="40" t="s">
        <v>717</v>
      </c>
      <c r="D163" s="40" t="s">
        <v>718</v>
      </c>
      <c r="E163" s="41" t="s">
        <v>1173</v>
      </c>
      <c r="F163" s="5" t="s">
        <v>159</v>
      </c>
      <c r="G163" s="25">
        <v>41591</v>
      </c>
      <c r="H163" s="5" t="s">
        <v>657</v>
      </c>
      <c r="I163" s="5">
        <f>VLOOKUP(MID(表1_11[[#This Row],[工资等级]],1,1),表12[],MATCH(MID(表1_11[[#This Row],[工资等级]],2,2),表12[[#Headers],[1]:[10]],0)+1,0)</f>
        <v>4000</v>
      </c>
      <c r="J163" s="5">
        <v>25.5</v>
      </c>
      <c r="K163" s="27">
        <v>1.0625</v>
      </c>
      <c r="L163" s="37">
        <f>IF(表1_11[[#This Row],[出勤率]]&gt;1,1,表1_11[[#This Row],[出勤率]])*表1_11[[#This Row],[岗位工资]]</f>
        <v>4000</v>
      </c>
      <c r="M163" s="5">
        <f>LOOKUP(表1_11[[#This Row],[岗位工资]],表13[lookup],表13[奖金比率])*表1_11[[#This Row],[岗位工资]]</f>
        <v>600</v>
      </c>
      <c r="N163" s="5">
        <v>97</v>
      </c>
      <c r="O163" s="38">
        <f>表1_11[[#This Row],[奖金等级]]*表1_11[[#This Row],[绩效得分]]/100</f>
        <v>582</v>
      </c>
      <c r="P163" s="5">
        <f>IF(表1_11[[#This Row],[出勤率]]&gt;=1,200,0)</f>
        <v>200</v>
      </c>
      <c r="Q163" s="23">
        <f t="shared" ca="1" si="2"/>
        <v>200</v>
      </c>
      <c r="R163" s="23">
        <f>IF(表1_11[[#This Row],[中心]]="营销中心",VLOOKUP(表1_11[[#This Row],[职位]],表2[[话费补贴]:[营销中心]],2,0),VLOOKUP(表1_11[[#This Row],[职位]],表2[],3,0))</f>
        <v>0</v>
      </c>
      <c r="S163" s="23">
        <v>200</v>
      </c>
      <c r="T163" s="61">
        <f ca="1">ROUND(SUM(表1_11[[#This Row],[基本工资]],表1_11[[#This Row],[奖金]],表1_11[[#This Row],[全勤奖]:[防暑降温补贴]]),2)</f>
        <v>5182</v>
      </c>
      <c r="U163" s="62">
        <f ca="1">ROUND(表1_11[[#This Row],[税前应发总额]]*8%,2)</f>
        <v>414.56</v>
      </c>
      <c r="V163" s="62">
        <f ca="1">ROUND(表1_11[[#This Row],[税前应发总额]]*2%+3,2)</f>
        <v>106.64</v>
      </c>
      <c r="W163" s="62">
        <f ca="1">ROUND(表1_11[[#This Row],[税前应发总额]]*0.2%,2)</f>
        <v>10.36</v>
      </c>
      <c r="X163" s="62">
        <f ca="1">ROUND(表1_11[[#This Row],[税前应发总额]]*12%,2)</f>
        <v>621.84</v>
      </c>
      <c r="Y163" s="61">
        <f ca="1">ROUND(表1_11[[#This Row],[税前应发总额]]-SUM(表1_11[[#This Row],[养老保险]:[公积金]]),2)</f>
        <v>4028.6</v>
      </c>
      <c r="Z163" s="62">
        <f ca="1">ROUND(MAX((表1_11[[#This Row],[扣保险后工资金额]]-3500)*{3,10,20,25,30,35,45}%-{0,105,555,1005,2755,5505,13505},0),2)</f>
        <v>15.86</v>
      </c>
      <c r="AA163" s="63">
        <f ca="1">表1_11[[#This Row],[扣保险后工资金额]]-表1_11[[#This Row],[个人所得税]]</f>
        <v>4012.74</v>
      </c>
      <c r="AB163" s="53">
        <v>4666.6499999999996</v>
      </c>
      <c r="AC163" s="64">
        <f ca="1">(表1_11[[#This Row],[实发工资]]-表1_11[[#This Row],[上月对比]])/表1_11[[#This Row],[上月对比]]</f>
        <v>-0.14012407187168524</v>
      </c>
      <c r="AD163" s="65" t="s">
        <v>1587</v>
      </c>
    </row>
    <row r="164" spans="1:30">
      <c r="A164" s="43" t="s">
        <v>577</v>
      </c>
      <c r="B164" s="42" t="s">
        <v>664</v>
      </c>
      <c r="C164" s="40" t="s">
        <v>719</v>
      </c>
      <c r="D164" s="40" t="s">
        <v>720</v>
      </c>
      <c r="E164" s="41" t="s">
        <v>1174</v>
      </c>
      <c r="F164" s="5" t="s">
        <v>160</v>
      </c>
      <c r="G164" s="25">
        <v>41949</v>
      </c>
      <c r="H164" s="5" t="s">
        <v>622</v>
      </c>
      <c r="I164" s="5">
        <f>VLOOKUP(MID(表1_11[[#This Row],[工资等级]],1,1),表12[],MATCH(MID(表1_11[[#This Row],[工资等级]],2,2),表12[[#Headers],[1]:[10]],0)+1,0)</f>
        <v>3600</v>
      </c>
      <c r="J164" s="5">
        <v>21</v>
      </c>
      <c r="K164" s="27">
        <v>0.875</v>
      </c>
      <c r="L164" s="37">
        <f>IF(表1_11[[#This Row],[出勤率]]&gt;1,1,表1_11[[#This Row],[出勤率]])*表1_11[[#This Row],[岗位工资]]</f>
        <v>3150</v>
      </c>
      <c r="M164" s="5">
        <f>LOOKUP(表1_11[[#This Row],[岗位工资]],表13[lookup],表13[奖金比率])*表1_11[[#This Row],[岗位工资]]</f>
        <v>360</v>
      </c>
      <c r="N164" s="5">
        <v>86</v>
      </c>
      <c r="O164" s="38">
        <f>表1_11[[#This Row],[奖金等级]]*表1_11[[#This Row],[绩效得分]]/100</f>
        <v>309.60000000000002</v>
      </c>
      <c r="P164" s="5">
        <f>IF(表1_11[[#This Row],[出勤率]]&gt;=1,200,0)</f>
        <v>0</v>
      </c>
      <c r="Q164" s="23">
        <f t="shared" ca="1" si="2"/>
        <v>150</v>
      </c>
      <c r="R164" s="23">
        <f>IF(表1_11[[#This Row],[中心]]="营销中心",VLOOKUP(表1_11[[#This Row],[职位]],表2[[话费补贴]:[营销中心]],2,0),VLOOKUP(表1_11[[#This Row],[职位]],表2[],3,0))</f>
        <v>0</v>
      </c>
      <c r="S164" s="23">
        <v>200</v>
      </c>
      <c r="T164" s="61">
        <f ca="1">ROUND(SUM(表1_11[[#This Row],[基本工资]],表1_11[[#This Row],[奖金]],表1_11[[#This Row],[全勤奖]:[防暑降温补贴]]),2)</f>
        <v>3809.6</v>
      </c>
      <c r="U164" s="62">
        <f ca="1">ROUND(表1_11[[#This Row],[税前应发总额]]*8%,2)</f>
        <v>304.77</v>
      </c>
      <c r="V164" s="62">
        <f ca="1">ROUND(表1_11[[#This Row],[税前应发总额]]*2%+3,2)</f>
        <v>79.19</v>
      </c>
      <c r="W164" s="62">
        <f ca="1">ROUND(表1_11[[#This Row],[税前应发总额]]*0.2%,2)</f>
        <v>7.62</v>
      </c>
      <c r="X164" s="62">
        <f ca="1">ROUND(表1_11[[#This Row],[税前应发总额]]*12%,2)</f>
        <v>457.15</v>
      </c>
      <c r="Y164" s="61">
        <f ca="1">ROUND(表1_11[[#This Row],[税前应发总额]]-SUM(表1_11[[#This Row],[养老保险]:[公积金]]),2)</f>
        <v>2960.87</v>
      </c>
      <c r="Z164" s="62">
        <f ca="1">ROUND(MAX((表1_11[[#This Row],[扣保险后工资金额]]-3500)*{3,10,20,25,30,35,45}%-{0,105,555,1005,2755,5505,13505},0),2)</f>
        <v>0</v>
      </c>
      <c r="AA164" s="63">
        <f ca="1">表1_11[[#This Row],[扣保险后工资金额]]-表1_11[[#This Row],[个人所得税]]</f>
        <v>2960.87</v>
      </c>
      <c r="AB164" s="53">
        <v>3091.35</v>
      </c>
      <c r="AC164" s="64">
        <f ca="1">(表1_11[[#This Row],[实发工资]]-表1_11[[#This Row],[上月对比]])/表1_11[[#This Row],[上月对比]]</f>
        <v>-4.2208096786193743E-2</v>
      </c>
      <c r="AD164" s="65" t="s">
        <v>1587</v>
      </c>
    </row>
    <row r="165" spans="1:30">
      <c r="A165" s="43" t="s">
        <v>577</v>
      </c>
      <c r="B165" s="42" t="s">
        <v>664</v>
      </c>
      <c r="C165" s="40" t="s">
        <v>717</v>
      </c>
      <c r="D165" s="40" t="s">
        <v>718</v>
      </c>
      <c r="E165" s="41" t="s">
        <v>1175</v>
      </c>
      <c r="F165" s="5" t="s">
        <v>161</v>
      </c>
      <c r="G165" s="25">
        <v>40089</v>
      </c>
      <c r="H165" s="5" t="s">
        <v>623</v>
      </c>
      <c r="I165" s="5">
        <f>VLOOKUP(MID(表1_11[[#This Row],[工资等级]],1,1),表12[],MATCH(MID(表1_11[[#This Row],[工资等级]],2,2),表12[[#Headers],[1]:[10]],0)+1,0)</f>
        <v>3800</v>
      </c>
      <c r="J165" s="5">
        <v>22</v>
      </c>
      <c r="K165" s="27">
        <v>0.91666666666666663</v>
      </c>
      <c r="L165" s="37">
        <f>IF(表1_11[[#This Row],[出勤率]]&gt;1,1,表1_11[[#This Row],[出勤率]])*表1_11[[#This Row],[岗位工资]]</f>
        <v>3483.333333333333</v>
      </c>
      <c r="M165" s="5">
        <f>LOOKUP(表1_11[[#This Row],[岗位工资]],表13[lookup],表13[奖金比率])*表1_11[[#This Row],[岗位工资]]</f>
        <v>380</v>
      </c>
      <c r="N165" s="5">
        <v>83</v>
      </c>
      <c r="O165" s="38">
        <f>表1_11[[#This Row],[奖金等级]]*表1_11[[#This Row],[绩效得分]]/100</f>
        <v>315.39999999999998</v>
      </c>
      <c r="P165" s="5">
        <f>IF(表1_11[[#This Row],[出勤率]]&gt;=1,200,0)</f>
        <v>0</v>
      </c>
      <c r="Q165" s="23">
        <f t="shared" ca="1" si="2"/>
        <v>400</v>
      </c>
      <c r="R165" s="23">
        <f>IF(表1_11[[#This Row],[中心]]="营销中心",VLOOKUP(表1_11[[#This Row],[职位]],表2[[话费补贴]:[营销中心]],2,0),VLOOKUP(表1_11[[#This Row],[职位]],表2[],3,0))</f>
        <v>0</v>
      </c>
      <c r="S165" s="23">
        <v>200</v>
      </c>
      <c r="T165" s="61">
        <f ca="1">ROUND(SUM(表1_11[[#This Row],[基本工资]],表1_11[[#This Row],[奖金]],表1_11[[#This Row],[全勤奖]:[防暑降温补贴]]),2)</f>
        <v>4398.7299999999996</v>
      </c>
      <c r="U165" s="62">
        <f ca="1">ROUND(表1_11[[#This Row],[税前应发总额]]*8%,2)</f>
        <v>351.9</v>
      </c>
      <c r="V165" s="62">
        <f ca="1">ROUND(表1_11[[#This Row],[税前应发总额]]*2%+3,2)</f>
        <v>90.97</v>
      </c>
      <c r="W165" s="62">
        <f ca="1">ROUND(表1_11[[#This Row],[税前应发总额]]*0.2%,2)</f>
        <v>8.8000000000000007</v>
      </c>
      <c r="X165" s="62">
        <f ca="1">ROUND(表1_11[[#This Row],[税前应发总额]]*12%,2)</f>
        <v>527.85</v>
      </c>
      <c r="Y165" s="61">
        <f ca="1">ROUND(表1_11[[#This Row],[税前应发总额]]-SUM(表1_11[[#This Row],[养老保险]:[公积金]]),2)</f>
        <v>3419.21</v>
      </c>
      <c r="Z165" s="62">
        <f ca="1">ROUND(MAX((表1_11[[#This Row],[扣保险后工资金额]]-3500)*{3,10,20,25,30,35,45}%-{0,105,555,1005,2755,5505,13505},0),2)</f>
        <v>0</v>
      </c>
      <c r="AA165" s="63">
        <f ca="1">表1_11[[#This Row],[扣保险后工资金额]]-表1_11[[#This Row],[个人所得税]]</f>
        <v>3419.21</v>
      </c>
      <c r="AB165" s="53">
        <v>4003.4</v>
      </c>
      <c r="AC165" s="64">
        <f ca="1">(表1_11[[#This Row],[实发工资]]-表1_11[[#This Row],[上月对比]])/表1_11[[#This Row],[上月对比]]</f>
        <v>-0.14592346505470352</v>
      </c>
      <c r="AD165" s="65" t="s">
        <v>1587</v>
      </c>
    </row>
    <row r="166" spans="1:30">
      <c r="A166" s="43" t="s">
        <v>577</v>
      </c>
      <c r="B166" s="42" t="s">
        <v>664</v>
      </c>
      <c r="C166" s="40" t="s">
        <v>719</v>
      </c>
      <c r="D166" s="40" t="s">
        <v>720</v>
      </c>
      <c r="E166" s="41" t="s">
        <v>1176</v>
      </c>
      <c r="F166" s="5" t="s">
        <v>162</v>
      </c>
      <c r="G166" s="25">
        <v>40312</v>
      </c>
      <c r="H166" s="5" t="s">
        <v>617</v>
      </c>
      <c r="I166" s="5">
        <f>VLOOKUP(MID(表1_11[[#This Row],[工资等级]],1,1),表12[],MATCH(MID(表1_11[[#This Row],[工资等级]],2,2),表12[[#Headers],[1]:[10]],0)+1,0)</f>
        <v>2500</v>
      </c>
      <c r="J166" s="5">
        <v>23</v>
      </c>
      <c r="K166" s="27">
        <v>0.95833333333333337</v>
      </c>
      <c r="L166" s="37">
        <f>IF(表1_11[[#This Row],[出勤率]]&gt;1,1,表1_11[[#This Row],[出勤率]])*表1_11[[#This Row],[岗位工资]]</f>
        <v>2395.8333333333335</v>
      </c>
      <c r="M166" s="5">
        <f>LOOKUP(表1_11[[#This Row],[岗位工资]],表13[lookup],表13[奖金比率])*表1_11[[#This Row],[岗位工资]]</f>
        <v>250</v>
      </c>
      <c r="N166" s="5">
        <v>93</v>
      </c>
      <c r="O166" s="38">
        <f>表1_11[[#This Row],[奖金等级]]*表1_11[[#This Row],[绩效得分]]/100</f>
        <v>232.5</v>
      </c>
      <c r="P166" s="5">
        <f>IF(表1_11[[#This Row],[出勤率]]&gt;=1,200,0)</f>
        <v>0</v>
      </c>
      <c r="Q166" s="23">
        <f t="shared" ca="1" si="2"/>
        <v>350</v>
      </c>
      <c r="R166" s="23">
        <f>IF(表1_11[[#This Row],[中心]]="营销中心",VLOOKUP(表1_11[[#This Row],[职位]],表2[[话费补贴]:[营销中心]],2,0),VLOOKUP(表1_11[[#This Row],[职位]],表2[],3,0))</f>
        <v>0</v>
      </c>
      <c r="S166" s="23">
        <v>200</v>
      </c>
      <c r="T166" s="61">
        <f ca="1">ROUND(SUM(表1_11[[#This Row],[基本工资]],表1_11[[#This Row],[奖金]],表1_11[[#This Row],[全勤奖]:[防暑降温补贴]]),2)</f>
        <v>3178.33</v>
      </c>
      <c r="U166" s="62">
        <f ca="1">ROUND(表1_11[[#This Row],[税前应发总额]]*8%,2)</f>
        <v>254.27</v>
      </c>
      <c r="V166" s="62">
        <f ca="1">ROUND(表1_11[[#This Row],[税前应发总额]]*2%+3,2)</f>
        <v>66.569999999999993</v>
      </c>
      <c r="W166" s="62">
        <f ca="1">ROUND(表1_11[[#This Row],[税前应发总额]]*0.2%,2)</f>
        <v>6.36</v>
      </c>
      <c r="X166" s="62">
        <f ca="1">ROUND(表1_11[[#This Row],[税前应发总额]]*12%,2)</f>
        <v>381.4</v>
      </c>
      <c r="Y166" s="61">
        <f ca="1">ROUND(表1_11[[#This Row],[税前应发总额]]-SUM(表1_11[[#This Row],[养老保险]:[公积金]]),2)</f>
        <v>2469.73</v>
      </c>
      <c r="Z166" s="62">
        <f ca="1">ROUND(MAX((表1_11[[#This Row],[扣保险后工资金额]]-3500)*{3,10,20,25,30,35,45}%-{0,105,555,1005,2755,5505,13505},0),2)</f>
        <v>0</v>
      </c>
      <c r="AA166" s="63">
        <f ca="1">表1_11[[#This Row],[扣保险后工资金额]]-表1_11[[#This Row],[个人所得税]]</f>
        <v>2469.73</v>
      </c>
      <c r="AB166" s="53">
        <v>2792.69</v>
      </c>
      <c r="AC166" s="64">
        <f ca="1">(表1_11[[#This Row],[实发工资]]-表1_11[[#This Row],[上月对比]])/表1_11[[#This Row],[上月对比]]</f>
        <v>-0.11564477260275936</v>
      </c>
      <c r="AD166" s="65" t="s">
        <v>1587</v>
      </c>
    </row>
    <row r="167" spans="1:30">
      <c r="A167" s="43" t="s">
        <v>577</v>
      </c>
      <c r="B167" s="42" t="s">
        <v>664</v>
      </c>
      <c r="C167" s="40" t="s">
        <v>721</v>
      </c>
      <c r="D167" s="40" t="s">
        <v>722</v>
      </c>
      <c r="E167" s="41" t="s">
        <v>1177</v>
      </c>
      <c r="F167" s="5" t="s">
        <v>163</v>
      </c>
      <c r="G167" s="25">
        <v>39467</v>
      </c>
      <c r="H167" s="5" t="s">
        <v>610</v>
      </c>
      <c r="I167" s="5">
        <f>VLOOKUP(MID(表1_11[[#This Row],[工资等级]],1,1),表12[],MATCH(MID(表1_11[[#This Row],[工资等级]],2,2),表12[[#Headers],[1]:[10]],0)+1,0)</f>
        <v>3400</v>
      </c>
      <c r="J167" s="5">
        <v>23</v>
      </c>
      <c r="K167" s="27">
        <v>0.95833333333333337</v>
      </c>
      <c r="L167" s="37">
        <f>IF(表1_11[[#This Row],[出勤率]]&gt;1,1,表1_11[[#This Row],[出勤率]])*表1_11[[#This Row],[岗位工资]]</f>
        <v>3258.3333333333335</v>
      </c>
      <c r="M167" s="5">
        <f>LOOKUP(表1_11[[#This Row],[岗位工资]],表13[lookup],表13[奖金比率])*表1_11[[#This Row],[岗位工资]]</f>
        <v>340</v>
      </c>
      <c r="N167" s="5">
        <v>100</v>
      </c>
      <c r="O167" s="38">
        <f>表1_11[[#This Row],[奖金等级]]*表1_11[[#This Row],[绩效得分]]/100</f>
        <v>340</v>
      </c>
      <c r="P167" s="5">
        <f>IF(表1_11[[#This Row],[出勤率]]&gt;=1,200,0)</f>
        <v>0</v>
      </c>
      <c r="Q167" s="23">
        <f t="shared" ca="1" si="2"/>
        <v>500</v>
      </c>
      <c r="R167" s="23">
        <f>IF(表1_11[[#This Row],[中心]]="营销中心",VLOOKUP(表1_11[[#This Row],[职位]],表2[[话费补贴]:[营销中心]],2,0),VLOOKUP(表1_11[[#This Row],[职位]],表2[],3,0))</f>
        <v>0</v>
      </c>
      <c r="S167" s="23">
        <v>200</v>
      </c>
      <c r="T167" s="61">
        <f ca="1">ROUND(SUM(表1_11[[#This Row],[基本工资]],表1_11[[#This Row],[奖金]],表1_11[[#This Row],[全勤奖]:[防暑降温补贴]]),2)</f>
        <v>4298.33</v>
      </c>
      <c r="U167" s="62">
        <f ca="1">ROUND(表1_11[[#This Row],[税前应发总额]]*8%,2)</f>
        <v>343.87</v>
      </c>
      <c r="V167" s="62">
        <f ca="1">ROUND(表1_11[[#This Row],[税前应发总额]]*2%+3,2)</f>
        <v>88.97</v>
      </c>
      <c r="W167" s="62">
        <f ca="1">ROUND(表1_11[[#This Row],[税前应发总额]]*0.2%,2)</f>
        <v>8.6</v>
      </c>
      <c r="X167" s="62">
        <f ca="1">ROUND(表1_11[[#This Row],[税前应发总额]]*12%,2)</f>
        <v>515.79999999999995</v>
      </c>
      <c r="Y167" s="61">
        <f ca="1">ROUND(表1_11[[#This Row],[税前应发总额]]-SUM(表1_11[[#This Row],[养老保险]:[公积金]]),2)</f>
        <v>3341.09</v>
      </c>
      <c r="Z167" s="62">
        <f ca="1">ROUND(MAX((表1_11[[#This Row],[扣保险后工资金额]]-3500)*{3,10,20,25,30,35,45}%-{0,105,555,1005,2755,5505,13505},0),2)</f>
        <v>0</v>
      </c>
      <c r="AA167" s="63">
        <f ca="1">表1_11[[#This Row],[扣保险后工资金额]]-表1_11[[#This Row],[个人所得税]]</f>
        <v>3341.09</v>
      </c>
      <c r="AB167" s="53">
        <v>3516.37</v>
      </c>
      <c r="AC167" s="64">
        <f ca="1">(表1_11[[#This Row],[实发工资]]-表1_11[[#This Row],[上月对比]])/表1_11[[#This Row],[上月对比]]</f>
        <v>-4.984685911892086E-2</v>
      </c>
      <c r="AD167" s="65" t="s">
        <v>1587</v>
      </c>
    </row>
    <row r="168" spans="1:30">
      <c r="A168" s="43" t="s">
        <v>577</v>
      </c>
      <c r="B168" s="42" t="s">
        <v>664</v>
      </c>
      <c r="C168" s="40" t="s">
        <v>599</v>
      </c>
      <c r="D168" s="40" t="s">
        <v>626</v>
      </c>
      <c r="E168" s="41" t="s">
        <v>1178</v>
      </c>
      <c r="F168" s="5" t="s">
        <v>164</v>
      </c>
      <c r="G168" s="25">
        <v>38592</v>
      </c>
      <c r="H168" s="5" t="s">
        <v>624</v>
      </c>
      <c r="I168" s="5">
        <f>VLOOKUP(MID(表1_11[[#This Row],[工资等级]],1,1),表12[],MATCH(MID(表1_11[[#This Row],[工资等级]],2,2),表12[[#Headers],[1]:[10]],0)+1,0)</f>
        <v>2800</v>
      </c>
      <c r="J168" s="5">
        <v>24</v>
      </c>
      <c r="K168" s="27">
        <v>1</v>
      </c>
      <c r="L168" s="37">
        <f>IF(表1_11[[#This Row],[出勤率]]&gt;1,1,表1_11[[#This Row],[出勤率]])*表1_11[[#This Row],[岗位工资]]</f>
        <v>2800</v>
      </c>
      <c r="M168" s="5">
        <f>LOOKUP(表1_11[[#This Row],[岗位工资]],表13[lookup],表13[奖金比率])*表1_11[[#This Row],[岗位工资]]</f>
        <v>280</v>
      </c>
      <c r="N168" s="5">
        <v>79</v>
      </c>
      <c r="O168" s="38">
        <f>表1_11[[#This Row],[奖金等级]]*表1_11[[#This Row],[绩效得分]]/100</f>
        <v>221.2</v>
      </c>
      <c r="P168" s="5">
        <f>IF(表1_11[[#This Row],[出勤率]]&gt;=1,200,0)</f>
        <v>200</v>
      </c>
      <c r="Q168" s="23">
        <f t="shared" ca="1" si="2"/>
        <v>500</v>
      </c>
      <c r="R168" s="23">
        <f>IF(表1_11[[#This Row],[中心]]="营销中心",VLOOKUP(表1_11[[#This Row],[职位]],表2[[话费补贴]:[营销中心]],2,0),VLOOKUP(表1_11[[#This Row],[职位]],表2[],3,0))</f>
        <v>0</v>
      </c>
      <c r="S168" s="23">
        <v>200</v>
      </c>
      <c r="T168" s="61">
        <f ca="1">ROUND(SUM(表1_11[[#This Row],[基本工资]],表1_11[[#This Row],[奖金]],表1_11[[#This Row],[全勤奖]:[防暑降温补贴]]),2)</f>
        <v>3921.2</v>
      </c>
      <c r="U168" s="62">
        <f ca="1">ROUND(表1_11[[#This Row],[税前应发总额]]*8%,2)</f>
        <v>313.7</v>
      </c>
      <c r="V168" s="62">
        <f ca="1">ROUND(表1_11[[#This Row],[税前应发总额]]*2%+3,2)</f>
        <v>81.42</v>
      </c>
      <c r="W168" s="62">
        <f ca="1">ROUND(表1_11[[#This Row],[税前应发总额]]*0.2%,2)</f>
        <v>7.84</v>
      </c>
      <c r="X168" s="62">
        <f ca="1">ROUND(表1_11[[#This Row],[税前应发总额]]*12%,2)</f>
        <v>470.54</v>
      </c>
      <c r="Y168" s="61">
        <f ca="1">ROUND(表1_11[[#This Row],[税前应发总额]]-SUM(表1_11[[#This Row],[养老保险]:[公积金]]),2)</f>
        <v>3047.7</v>
      </c>
      <c r="Z168" s="62">
        <f ca="1">ROUND(MAX((表1_11[[#This Row],[扣保险后工资金额]]-3500)*{3,10,20,25,30,35,45}%-{0,105,555,1005,2755,5505,13505},0),2)</f>
        <v>0</v>
      </c>
      <c r="AA168" s="63">
        <f ca="1">表1_11[[#This Row],[扣保险后工资金额]]-表1_11[[#This Row],[个人所得税]]</f>
        <v>3047.7</v>
      </c>
      <c r="AB168" s="53">
        <v>3374.03</v>
      </c>
      <c r="AC168" s="64">
        <f ca="1">(表1_11[[#This Row],[实发工资]]-表1_11[[#This Row],[上月对比]])/表1_11[[#This Row],[上月对比]]</f>
        <v>-9.6718167888252438E-2</v>
      </c>
      <c r="AD168" s="65" t="s">
        <v>1587</v>
      </c>
    </row>
    <row r="169" spans="1:30">
      <c r="A169" s="43" t="s">
        <v>577</v>
      </c>
      <c r="B169" s="42" t="s">
        <v>664</v>
      </c>
      <c r="C169" s="40" t="s">
        <v>673</v>
      </c>
      <c r="D169" s="40" t="s">
        <v>674</v>
      </c>
      <c r="E169" s="41" t="s">
        <v>1179</v>
      </c>
      <c r="F169" s="5" t="s">
        <v>165</v>
      </c>
      <c r="G169" s="25">
        <v>39673</v>
      </c>
      <c r="H169" s="5" t="s">
        <v>615</v>
      </c>
      <c r="I169" s="5">
        <f>VLOOKUP(MID(表1_11[[#This Row],[工资等级]],1,1),表12[],MATCH(MID(表1_11[[#This Row],[工资等级]],2,2),表12[[#Headers],[1]:[10]],0)+1,0)</f>
        <v>3200</v>
      </c>
      <c r="J169" s="5">
        <v>21</v>
      </c>
      <c r="K169" s="27">
        <v>0.875</v>
      </c>
      <c r="L169" s="37">
        <f>IF(表1_11[[#This Row],[出勤率]]&gt;1,1,表1_11[[#This Row],[出勤率]])*表1_11[[#This Row],[岗位工资]]</f>
        <v>2800</v>
      </c>
      <c r="M169" s="5">
        <f>LOOKUP(表1_11[[#This Row],[岗位工资]],表13[lookup],表13[奖金比率])*表1_11[[#This Row],[岗位工资]]</f>
        <v>320</v>
      </c>
      <c r="N169" s="5">
        <v>80</v>
      </c>
      <c r="O169" s="38">
        <f>表1_11[[#This Row],[奖金等级]]*表1_11[[#This Row],[绩效得分]]/100</f>
        <v>256</v>
      </c>
      <c r="P169" s="5">
        <f>IF(表1_11[[#This Row],[出勤率]]&gt;=1,200,0)</f>
        <v>0</v>
      </c>
      <c r="Q169" s="23">
        <f t="shared" ca="1" si="2"/>
        <v>450</v>
      </c>
      <c r="R169" s="23">
        <f>IF(表1_11[[#This Row],[中心]]="营销中心",VLOOKUP(表1_11[[#This Row],[职位]],表2[[话费补贴]:[营销中心]],2,0),VLOOKUP(表1_11[[#This Row],[职位]],表2[],3,0))</f>
        <v>0</v>
      </c>
      <c r="S169" s="23">
        <v>200</v>
      </c>
      <c r="T169" s="61">
        <f ca="1">ROUND(SUM(表1_11[[#This Row],[基本工资]],表1_11[[#This Row],[奖金]],表1_11[[#This Row],[全勤奖]:[防暑降温补贴]]),2)</f>
        <v>3706</v>
      </c>
      <c r="U169" s="62">
        <f ca="1">ROUND(表1_11[[#This Row],[税前应发总额]]*8%,2)</f>
        <v>296.48</v>
      </c>
      <c r="V169" s="62">
        <f ca="1">ROUND(表1_11[[#This Row],[税前应发总额]]*2%+3,2)</f>
        <v>77.12</v>
      </c>
      <c r="W169" s="62">
        <f ca="1">ROUND(表1_11[[#This Row],[税前应发总额]]*0.2%,2)</f>
        <v>7.41</v>
      </c>
      <c r="X169" s="62">
        <f ca="1">ROUND(表1_11[[#This Row],[税前应发总额]]*12%,2)</f>
        <v>444.72</v>
      </c>
      <c r="Y169" s="61">
        <f ca="1">ROUND(表1_11[[#This Row],[税前应发总额]]-SUM(表1_11[[#This Row],[养老保险]:[公积金]]),2)</f>
        <v>2880.27</v>
      </c>
      <c r="Z169" s="62">
        <f ca="1">ROUND(MAX((表1_11[[#This Row],[扣保险后工资金额]]-3500)*{3,10,20,25,30,35,45}%-{0,105,555,1005,2755,5505,13505},0),2)</f>
        <v>0</v>
      </c>
      <c r="AA169" s="63">
        <f ca="1">表1_11[[#This Row],[扣保险后工资金额]]-表1_11[[#This Row],[个人所得税]]</f>
        <v>2880.27</v>
      </c>
      <c r="AB169" s="53">
        <v>2782.09</v>
      </c>
      <c r="AC169" s="64">
        <f ca="1">(表1_11[[#This Row],[实发工资]]-表1_11[[#This Row],[上月对比]])/表1_11[[#This Row],[上月对比]]</f>
        <v>3.5290015779503837E-2</v>
      </c>
      <c r="AD169" s="65" t="s">
        <v>1587</v>
      </c>
    </row>
    <row r="170" spans="1:30">
      <c r="A170" s="43" t="s">
        <v>577</v>
      </c>
      <c r="B170" s="42" t="s">
        <v>664</v>
      </c>
      <c r="C170" s="40" t="s">
        <v>599</v>
      </c>
      <c r="D170" s="40" t="s">
        <v>626</v>
      </c>
      <c r="E170" s="41" t="s">
        <v>1180</v>
      </c>
      <c r="F170" s="5" t="s">
        <v>166</v>
      </c>
      <c r="G170" s="25">
        <v>41540</v>
      </c>
      <c r="H170" s="5" t="s">
        <v>630</v>
      </c>
      <c r="I170" s="5">
        <f>VLOOKUP(MID(表1_11[[#This Row],[工资等级]],1,1),表12[],MATCH(MID(表1_11[[#This Row],[工资等级]],2,2),表12[[#Headers],[1]:[10]],0)+1,0)</f>
        <v>2600</v>
      </c>
      <c r="J170" s="5">
        <v>21.5</v>
      </c>
      <c r="K170" s="27">
        <v>0.89583333333333337</v>
      </c>
      <c r="L170" s="37">
        <f>IF(表1_11[[#This Row],[出勤率]]&gt;1,1,表1_11[[#This Row],[出勤率]])*表1_11[[#This Row],[岗位工资]]</f>
        <v>2329.166666666667</v>
      </c>
      <c r="M170" s="5">
        <f>LOOKUP(表1_11[[#This Row],[岗位工资]],表13[lookup],表13[奖金比率])*表1_11[[#This Row],[岗位工资]]</f>
        <v>260</v>
      </c>
      <c r="N170" s="5">
        <v>95</v>
      </c>
      <c r="O170" s="38">
        <f>表1_11[[#This Row],[奖金等级]]*表1_11[[#This Row],[绩效得分]]/100</f>
        <v>247</v>
      </c>
      <c r="P170" s="5">
        <f>IF(表1_11[[#This Row],[出勤率]]&gt;=1,200,0)</f>
        <v>0</v>
      </c>
      <c r="Q170" s="23">
        <f t="shared" ca="1" si="2"/>
        <v>200</v>
      </c>
      <c r="R170" s="23">
        <f>IF(表1_11[[#This Row],[中心]]="营销中心",VLOOKUP(表1_11[[#This Row],[职位]],表2[[话费补贴]:[营销中心]],2,0),VLOOKUP(表1_11[[#This Row],[职位]],表2[],3,0))</f>
        <v>0</v>
      </c>
      <c r="S170" s="23">
        <v>200</v>
      </c>
      <c r="T170" s="61">
        <f ca="1">ROUND(SUM(表1_11[[#This Row],[基本工资]],表1_11[[#This Row],[奖金]],表1_11[[#This Row],[全勤奖]:[防暑降温补贴]]),2)</f>
        <v>2976.17</v>
      </c>
      <c r="U170" s="62">
        <f ca="1">ROUND(表1_11[[#This Row],[税前应发总额]]*8%,2)</f>
        <v>238.09</v>
      </c>
      <c r="V170" s="62">
        <f ca="1">ROUND(表1_11[[#This Row],[税前应发总额]]*2%+3,2)</f>
        <v>62.52</v>
      </c>
      <c r="W170" s="62">
        <f ca="1">ROUND(表1_11[[#This Row],[税前应发总额]]*0.2%,2)</f>
        <v>5.95</v>
      </c>
      <c r="X170" s="62">
        <f ca="1">ROUND(表1_11[[#This Row],[税前应发总额]]*12%,2)</f>
        <v>357.14</v>
      </c>
      <c r="Y170" s="61">
        <f ca="1">ROUND(表1_11[[#This Row],[税前应发总额]]-SUM(表1_11[[#This Row],[养老保险]:[公积金]]),2)</f>
        <v>2312.4699999999998</v>
      </c>
      <c r="Z170" s="62">
        <f ca="1">ROUND(MAX((表1_11[[#This Row],[扣保险后工资金额]]-3500)*{3,10,20,25,30,35,45}%-{0,105,555,1005,2755,5505,13505},0),2)</f>
        <v>0</v>
      </c>
      <c r="AA170" s="63">
        <f ca="1">表1_11[[#This Row],[扣保险后工资金额]]-表1_11[[#This Row],[个人所得税]]</f>
        <v>2312.4699999999998</v>
      </c>
      <c r="AB170" s="53">
        <v>2428.38</v>
      </c>
      <c r="AC170" s="64">
        <f ca="1">(表1_11[[#This Row],[实发工资]]-表1_11[[#This Row],[上月对比]])/表1_11[[#This Row],[上月对比]]</f>
        <v>-4.7731409416977698E-2</v>
      </c>
      <c r="AD170" s="65" t="s">
        <v>1587</v>
      </c>
    </row>
    <row r="171" spans="1:30">
      <c r="A171" s="43" t="s">
        <v>577</v>
      </c>
      <c r="B171" s="42" t="s">
        <v>664</v>
      </c>
      <c r="C171" s="40" t="s">
        <v>717</v>
      </c>
      <c r="D171" s="40" t="s">
        <v>718</v>
      </c>
      <c r="E171" s="41" t="s">
        <v>1181</v>
      </c>
      <c r="F171" s="5" t="s">
        <v>167</v>
      </c>
      <c r="G171" s="25">
        <v>42693</v>
      </c>
      <c r="H171" s="5" t="s">
        <v>622</v>
      </c>
      <c r="I171" s="5">
        <f>VLOOKUP(MID(表1_11[[#This Row],[工资等级]],1,1),表12[],MATCH(MID(表1_11[[#This Row],[工资等级]],2,2),表12[[#Headers],[1]:[10]],0)+1,0)</f>
        <v>3600</v>
      </c>
      <c r="J171" s="5">
        <v>23.5</v>
      </c>
      <c r="K171" s="27">
        <v>0.97916666666666663</v>
      </c>
      <c r="L171" s="37">
        <f>IF(表1_11[[#This Row],[出勤率]]&gt;1,1,表1_11[[#This Row],[出勤率]])*表1_11[[#This Row],[岗位工资]]</f>
        <v>3525</v>
      </c>
      <c r="M171" s="5">
        <f>LOOKUP(表1_11[[#This Row],[岗位工资]],表13[lookup],表13[奖金比率])*表1_11[[#This Row],[岗位工资]]</f>
        <v>360</v>
      </c>
      <c r="N171" s="5">
        <v>92</v>
      </c>
      <c r="O171" s="38">
        <f>表1_11[[#This Row],[奖金等级]]*表1_11[[#This Row],[绩效得分]]/100</f>
        <v>331.2</v>
      </c>
      <c r="P171" s="5">
        <f>IF(表1_11[[#This Row],[出勤率]]&gt;=1,200,0)</f>
        <v>0</v>
      </c>
      <c r="Q171" s="23">
        <f t="shared" ca="1" si="2"/>
        <v>50</v>
      </c>
      <c r="R171" s="23">
        <f>IF(表1_11[[#This Row],[中心]]="营销中心",VLOOKUP(表1_11[[#This Row],[职位]],表2[[话费补贴]:[营销中心]],2,0),VLOOKUP(表1_11[[#This Row],[职位]],表2[],3,0))</f>
        <v>0</v>
      </c>
      <c r="S171" s="23">
        <v>200</v>
      </c>
      <c r="T171" s="61">
        <f ca="1">ROUND(SUM(表1_11[[#This Row],[基本工资]],表1_11[[#This Row],[奖金]],表1_11[[#This Row],[全勤奖]:[防暑降温补贴]]),2)</f>
        <v>4106.2</v>
      </c>
      <c r="U171" s="62">
        <f ca="1">ROUND(表1_11[[#This Row],[税前应发总额]]*8%,2)</f>
        <v>328.5</v>
      </c>
      <c r="V171" s="62">
        <f ca="1">ROUND(表1_11[[#This Row],[税前应发总额]]*2%+3,2)</f>
        <v>85.12</v>
      </c>
      <c r="W171" s="62">
        <f ca="1">ROUND(表1_11[[#This Row],[税前应发总额]]*0.2%,2)</f>
        <v>8.2100000000000009</v>
      </c>
      <c r="X171" s="62">
        <f ca="1">ROUND(表1_11[[#This Row],[税前应发总额]]*12%,2)</f>
        <v>492.74</v>
      </c>
      <c r="Y171" s="61">
        <f ca="1">ROUND(表1_11[[#This Row],[税前应发总额]]-SUM(表1_11[[#This Row],[养老保险]:[公积金]]),2)</f>
        <v>3191.63</v>
      </c>
      <c r="Z171" s="62">
        <f ca="1">ROUND(MAX((表1_11[[#This Row],[扣保险后工资金额]]-3500)*{3,10,20,25,30,35,45}%-{0,105,555,1005,2755,5505,13505},0),2)</f>
        <v>0</v>
      </c>
      <c r="AA171" s="63">
        <f ca="1">表1_11[[#This Row],[扣保险后工资金额]]-表1_11[[#This Row],[个人所得税]]</f>
        <v>3191.63</v>
      </c>
      <c r="AB171" s="53">
        <v>3618.17</v>
      </c>
      <c r="AC171" s="64">
        <f ca="1">(表1_11[[#This Row],[实发工资]]-表1_11[[#This Row],[上月对比]])/表1_11[[#This Row],[上月对比]]</f>
        <v>-0.11788832476085975</v>
      </c>
      <c r="AD171" s="65" t="s">
        <v>1587</v>
      </c>
    </row>
    <row r="172" spans="1:30">
      <c r="A172" s="43" t="s">
        <v>577</v>
      </c>
      <c r="B172" s="42" t="s">
        <v>664</v>
      </c>
      <c r="C172" s="40" t="s">
        <v>719</v>
      </c>
      <c r="D172" s="40" t="s">
        <v>720</v>
      </c>
      <c r="E172" s="41" t="s">
        <v>1182</v>
      </c>
      <c r="F172" s="5" t="s">
        <v>168</v>
      </c>
      <c r="G172" s="25">
        <v>38423</v>
      </c>
      <c r="H172" s="5" t="s">
        <v>624</v>
      </c>
      <c r="I172" s="5">
        <f>VLOOKUP(MID(表1_11[[#This Row],[工资等级]],1,1),表12[],MATCH(MID(表1_11[[#This Row],[工资等级]],2,2),表12[[#Headers],[1]:[10]],0)+1,0)</f>
        <v>2800</v>
      </c>
      <c r="J172" s="5">
        <v>24.5</v>
      </c>
      <c r="K172" s="27">
        <v>1.0208333333333333</v>
      </c>
      <c r="L172" s="37">
        <f>IF(表1_11[[#This Row],[出勤率]]&gt;1,1,表1_11[[#This Row],[出勤率]])*表1_11[[#This Row],[岗位工资]]</f>
        <v>2800</v>
      </c>
      <c r="M172" s="5">
        <f>LOOKUP(表1_11[[#This Row],[岗位工资]],表13[lookup],表13[奖金比率])*表1_11[[#This Row],[岗位工资]]</f>
        <v>280</v>
      </c>
      <c r="N172" s="5">
        <v>82</v>
      </c>
      <c r="O172" s="38">
        <f>表1_11[[#This Row],[奖金等级]]*表1_11[[#This Row],[绩效得分]]/100</f>
        <v>229.6</v>
      </c>
      <c r="P172" s="5">
        <f>IF(表1_11[[#This Row],[出勤率]]&gt;=1,200,0)</f>
        <v>200</v>
      </c>
      <c r="Q172" s="23">
        <f t="shared" ca="1" si="2"/>
        <v>500</v>
      </c>
      <c r="R172" s="23">
        <f>IF(表1_11[[#This Row],[中心]]="营销中心",VLOOKUP(表1_11[[#This Row],[职位]],表2[[话费补贴]:[营销中心]],2,0),VLOOKUP(表1_11[[#This Row],[职位]],表2[],3,0))</f>
        <v>0</v>
      </c>
      <c r="S172" s="23">
        <v>200</v>
      </c>
      <c r="T172" s="61">
        <f ca="1">ROUND(SUM(表1_11[[#This Row],[基本工资]],表1_11[[#This Row],[奖金]],表1_11[[#This Row],[全勤奖]:[防暑降温补贴]]),2)</f>
        <v>3929.6</v>
      </c>
      <c r="U172" s="62">
        <f ca="1">ROUND(表1_11[[#This Row],[税前应发总额]]*8%,2)</f>
        <v>314.37</v>
      </c>
      <c r="V172" s="62">
        <f ca="1">ROUND(表1_11[[#This Row],[税前应发总额]]*2%+3,2)</f>
        <v>81.59</v>
      </c>
      <c r="W172" s="62">
        <f ca="1">ROUND(表1_11[[#This Row],[税前应发总额]]*0.2%,2)</f>
        <v>7.86</v>
      </c>
      <c r="X172" s="62">
        <f ca="1">ROUND(表1_11[[#This Row],[税前应发总额]]*12%,2)</f>
        <v>471.55</v>
      </c>
      <c r="Y172" s="61">
        <f ca="1">ROUND(表1_11[[#This Row],[税前应发总额]]-SUM(表1_11[[#This Row],[养老保险]:[公积金]]),2)</f>
        <v>3054.23</v>
      </c>
      <c r="Z172" s="62">
        <f ca="1">ROUND(MAX((表1_11[[#This Row],[扣保险后工资金额]]-3500)*{3,10,20,25,30,35,45}%-{0,105,555,1005,2755,5505,13505},0),2)</f>
        <v>0</v>
      </c>
      <c r="AA172" s="63">
        <f ca="1">表1_11[[#This Row],[扣保险后工资金额]]-表1_11[[#This Row],[个人所得税]]</f>
        <v>3054.23</v>
      </c>
      <c r="AB172" s="53">
        <v>3539.92</v>
      </c>
      <c r="AC172" s="64">
        <f ca="1">(表1_11[[#This Row],[实发工资]]-表1_11[[#This Row],[上月对比]])/表1_11[[#This Row],[上月对比]]</f>
        <v>-0.13720366561956204</v>
      </c>
      <c r="AD172" s="65" t="s">
        <v>1587</v>
      </c>
    </row>
    <row r="173" spans="1:30">
      <c r="A173" s="43" t="s">
        <v>577</v>
      </c>
      <c r="B173" s="42" t="s">
        <v>664</v>
      </c>
      <c r="C173" s="40" t="s">
        <v>711</v>
      </c>
      <c r="D173" s="40" t="s">
        <v>712</v>
      </c>
      <c r="E173" s="41" t="s">
        <v>1183</v>
      </c>
      <c r="F173" s="5" t="s">
        <v>169</v>
      </c>
      <c r="G173" s="25">
        <v>41021</v>
      </c>
      <c r="H173" s="5" t="s">
        <v>617</v>
      </c>
      <c r="I173" s="5">
        <f>VLOOKUP(MID(表1_11[[#This Row],[工资等级]],1,1),表12[],MATCH(MID(表1_11[[#This Row],[工资等级]],2,2),表12[[#Headers],[1]:[10]],0)+1,0)</f>
        <v>2500</v>
      </c>
      <c r="J173" s="5">
        <v>22.5</v>
      </c>
      <c r="K173" s="27">
        <v>0.9375</v>
      </c>
      <c r="L173" s="37">
        <f>IF(表1_11[[#This Row],[出勤率]]&gt;1,1,表1_11[[#This Row],[出勤率]])*表1_11[[#This Row],[岗位工资]]</f>
        <v>2343.75</v>
      </c>
      <c r="M173" s="5">
        <f>LOOKUP(表1_11[[#This Row],[岗位工资]],表13[lookup],表13[奖金比率])*表1_11[[#This Row],[岗位工资]]</f>
        <v>250</v>
      </c>
      <c r="N173" s="5">
        <v>81</v>
      </c>
      <c r="O173" s="38">
        <f>表1_11[[#This Row],[奖金等级]]*表1_11[[#This Row],[绩效得分]]/100</f>
        <v>202.5</v>
      </c>
      <c r="P173" s="5">
        <f>IF(表1_11[[#This Row],[出勤率]]&gt;=1,200,0)</f>
        <v>0</v>
      </c>
      <c r="Q173" s="23">
        <f t="shared" ca="1" si="2"/>
        <v>250</v>
      </c>
      <c r="R173" s="23">
        <f>IF(表1_11[[#This Row],[中心]]="营销中心",VLOOKUP(表1_11[[#This Row],[职位]],表2[[话费补贴]:[营销中心]],2,0),VLOOKUP(表1_11[[#This Row],[职位]],表2[],3,0))</f>
        <v>0</v>
      </c>
      <c r="S173" s="23">
        <v>200</v>
      </c>
      <c r="T173" s="61">
        <f ca="1">ROUND(SUM(表1_11[[#This Row],[基本工资]],表1_11[[#This Row],[奖金]],表1_11[[#This Row],[全勤奖]:[防暑降温补贴]]),2)</f>
        <v>2996.25</v>
      </c>
      <c r="U173" s="62">
        <f ca="1">ROUND(表1_11[[#This Row],[税前应发总额]]*8%,2)</f>
        <v>239.7</v>
      </c>
      <c r="V173" s="62">
        <f ca="1">ROUND(表1_11[[#This Row],[税前应发总额]]*2%+3,2)</f>
        <v>62.93</v>
      </c>
      <c r="W173" s="62">
        <f ca="1">ROUND(表1_11[[#This Row],[税前应发总额]]*0.2%,2)</f>
        <v>5.99</v>
      </c>
      <c r="X173" s="62">
        <f ca="1">ROUND(表1_11[[#This Row],[税前应发总额]]*12%,2)</f>
        <v>359.55</v>
      </c>
      <c r="Y173" s="61">
        <f ca="1">ROUND(表1_11[[#This Row],[税前应发总额]]-SUM(表1_11[[#This Row],[养老保险]:[公积金]]),2)</f>
        <v>2328.08</v>
      </c>
      <c r="Z173" s="62">
        <f ca="1">ROUND(MAX((表1_11[[#This Row],[扣保险后工资金额]]-3500)*{3,10,20,25,30,35,45}%-{0,105,555,1005,2755,5505,13505},0),2)</f>
        <v>0</v>
      </c>
      <c r="AA173" s="63">
        <f ca="1">表1_11[[#This Row],[扣保险后工资金额]]-表1_11[[#This Row],[个人所得税]]</f>
        <v>2328.08</v>
      </c>
      <c r="AB173" s="53">
        <v>2463.64</v>
      </c>
      <c r="AC173" s="64">
        <f ca="1">(表1_11[[#This Row],[实发工资]]-表1_11[[#This Row],[上月对比]])/表1_11[[#This Row],[上月对比]]</f>
        <v>-5.5024273026903263E-2</v>
      </c>
      <c r="AD173" s="65" t="s">
        <v>1587</v>
      </c>
    </row>
    <row r="174" spans="1:30">
      <c r="A174" s="43" t="s">
        <v>577</v>
      </c>
      <c r="B174" s="42" t="s">
        <v>664</v>
      </c>
      <c r="C174" s="40" t="s">
        <v>673</v>
      </c>
      <c r="D174" s="40" t="s">
        <v>674</v>
      </c>
      <c r="E174" s="41" t="s">
        <v>1184</v>
      </c>
      <c r="F174" s="5" t="s">
        <v>170</v>
      </c>
      <c r="G174" s="25">
        <v>41192</v>
      </c>
      <c r="H174" s="5" t="s">
        <v>617</v>
      </c>
      <c r="I174" s="5">
        <f>VLOOKUP(MID(表1_11[[#This Row],[工资等级]],1,1),表12[],MATCH(MID(表1_11[[#This Row],[工资等级]],2,2),表12[[#Headers],[1]:[10]],0)+1,0)</f>
        <v>2500</v>
      </c>
      <c r="J174" s="5">
        <v>24</v>
      </c>
      <c r="K174" s="27">
        <v>1</v>
      </c>
      <c r="L174" s="37">
        <f>IF(表1_11[[#This Row],[出勤率]]&gt;1,1,表1_11[[#This Row],[出勤率]])*表1_11[[#This Row],[岗位工资]]</f>
        <v>2500</v>
      </c>
      <c r="M174" s="5">
        <f>LOOKUP(表1_11[[#This Row],[岗位工资]],表13[lookup],表13[奖金比率])*表1_11[[#This Row],[岗位工资]]</f>
        <v>250</v>
      </c>
      <c r="N174" s="5">
        <v>91</v>
      </c>
      <c r="O174" s="38">
        <f>表1_11[[#This Row],[奖金等级]]*表1_11[[#This Row],[绩效得分]]/100</f>
        <v>227.5</v>
      </c>
      <c r="P174" s="5">
        <f>IF(表1_11[[#This Row],[出勤率]]&gt;=1,200,0)</f>
        <v>200</v>
      </c>
      <c r="Q174" s="23">
        <f t="shared" ca="1" si="2"/>
        <v>250</v>
      </c>
      <c r="R174" s="23">
        <f>IF(表1_11[[#This Row],[中心]]="营销中心",VLOOKUP(表1_11[[#This Row],[职位]],表2[[话费补贴]:[营销中心]],2,0),VLOOKUP(表1_11[[#This Row],[职位]],表2[],3,0))</f>
        <v>0</v>
      </c>
      <c r="S174" s="23">
        <v>200</v>
      </c>
      <c r="T174" s="61">
        <f ca="1">ROUND(SUM(表1_11[[#This Row],[基本工资]],表1_11[[#This Row],[奖金]],表1_11[[#This Row],[全勤奖]:[防暑降温补贴]]),2)</f>
        <v>3377.5</v>
      </c>
      <c r="U174" s="62">
        <f ca="1">ROUND(表1_11[[#This Row],[税前应发总额]]*8%,2)</f>
        <v>270.2</v>
      </c>
      <c r="V174" s="62">
        <f ca="1">ROUND(表1_11[[#This Row],[税前应发总额]]*2%+3,2)</f>
        <v>70.55</v>
      </c>
      <c r="W174" s="62">
        <f ca="1">ROUND(表1_11[[#This Row],[税前应发总额]]*0.2%,2)</f>
        <v>6.76</v>
      </c>
      <c r="X174" s="62">
        <f ca="1">ROUND(表1_11[[#This Row],[税前应发总额]]*12%,2)</f>
        <v>405.3</v>
      </c>
      <c r="Y174" s="61">
        <f ca="1">ROUND(表1_11[[#This Row],[税前应发总额]]-SUM(表1_11[[#This Row],[养老保险]:[公积金]]),2)</f>
        <v>2624.69</v>
      </c>
      <c r="Z174" s="62">
        <f ca="1">ROUND(MAX((表1_11[[#This Row],[扣保险后工资金额]]-3500)*{3,10,20,25,30,35,45}%-{0,105,555,1005,2755,5505,13505},0),2)</f>
        <v>0</v>
      </c>
      <c r="AA174" s="63">
        <f ca="1">表1_11[[#This Row],[扣保险后工资金额]]-表1_11[[#This Row],[个人所得税]]</f>
        <v>2624.69</v>
      </c>
      <c r="AB174" s="53">
        <v>2399.36</v>
      </c>
      <c r="AC174" s="64">
        <f ca="1">(表1_11[[#This Row],[实发工资]]-表1_11[[#This Row],[上月对比]])/表1_11[[#This Row],[上月对比]]</f>
        <v>9.3912543344891936E-2</v>
      </c>
      <c r="AD174" s="65" t="s">
        <v>1587</v>
      </c>
    </row>
    <row r="175" spans="1:30">
      <c r="A175" s="43" t="s">
        <v>577</v>
      </c>
      <c r="B175" s="42" t="s">
        <v>664</v>
      </c>
      <c r="C175" s="40" t="s">
        <v>599</v>
      </c>
      <c r="D175" s="40" t="s">
        <v>626</v>
      </c>
      <c r="E175" s="41" t="s">
        <v>1185</v>
      </c>
      <c r="F175" s="5" t="s">
        <v>171</v>
      </c>
      <c r="G175" s="25">
        <v>41705</v>
      </c>
      <c r="H175" s="5" t="s">
        <v>612</v>
      </c>
      <c r="I175" s="5">
        <f>VLOOKUP(MID(表1_11[[#This Row],[工资等级]],1,1),表12[],MATCH(MID(表1_11[[#This Row],[工资等级]],2,2),表12[[#Headers],[1]:[10]],0)+1,0)</f>
        <v>2700</v>
      </c>
      <c r="J175" s="5">
        <v>26</v>
      </c>
      <c r="K175" s="27">
        <v>1.0833333333333333</v>
      </c>
      <c r="L175" s="37">
        <f>IF(表1_11[[#This Row],[出勤率]]&gt;1,1,表1_11[[#This Row],[出勤率]])*表1_11[[#This Row],[岗位工资]]</f>
        <v>2700</v>
      </c>
      <c r="M175" s="5">
        <f>LOOKUP(表1_11[[#This Row],[岗位工资]],表13[lookup],表13[奖金比率])*表1_11[[#This Row],[岗位工资]]</f>
        <v>270</v>
      </c>
      <c r="N175" s="5">
        <v>93</v>
      </c>
      <c r="O175" s="38">
        <f>表1_11[[#This Row],[奖金等级]]*表1_11[[#This Row],[绩效得分]]/100</f>
        <v>251.1</v>
      </c>
      <c r="P175" s="5">
        <f>IF(表1_11[[#This Row],[出勤率]]&gt;=1,200,0)</f>
        <v>200</v>
      </c>
      <c r="Q175" s="23">
        <f t="shared" ca="1" si="2"/>
        <v>150</v>
      </c>
      <c r="R175" s="23">
        <f>IF(表1_11[[#This Row],[中心]]="营销中心",VLOOKUP(表1_11[[#This Row],[职位]],表2[[话费补贴]:[营销中心]],2,0),VLOOKUP(表1_11[[#This Row],[职位]],表2[],3,0))</f>
        <v>0</v>
      </c>
      <c r="S175" s="23">
        <v>200</v>
      </c>
      <c r="T175" s="61">
        <f ca="1">ROUND(SUM(表1_11[[#This Row],[基本工资]],表1_11[[#This Row],[奖金]],表1_11[[#This Row],[全勤奖]:[防暑降温补贴]]),2)</f>
        <v>3501.1</v>
      </c>
      <c r="U175" s="62">
        <f ca="1">ROUND(表1_11[[#This Row],[税前应发总额]]*8%,2)</f>
        <v>280.08999999999997</v>
      </c>
      <c r="V175" s="62">
        <f ca="1">ROUND(表1_11[[#This Row],[税前应发总额]]*2%+3,2)</f>
        <v>73.02</v>
      </c>
      <c r="W175" s="62">
        <f ca="1">ROUND(表1_11[[#This Row],[税前应发总额]]*0.2%,2)</f>
        <v>7</v>
      </c>
      <c r="X175" s="62">
        <f ca="1">ROUND(表1_11[[#This Row],[税前应发总额]]*12%,2)</f>
        <v>420.13</v>
      </c>
      <c r="Y175" s="61">
        <f ca="1">ROUND(表1_11[[#This Row],[税前应发总额]]-SUM(表1_11[[#This Row],[养老保险]:[公积金]]),2)</f>
        <v>2720.86</v>
      </c>
      <c r="Z175" s="62">
        <f ca="1">ROUND(MAX((表1_11[[#This Row],[扣保险后工资金额]]-3500)*{3,10,20,25,30,35,45}%-{0,105,555,1005,2755,5505,13505},0),2)</f>
        <v>0</v>
      </c>
      <c r="AA175" s="63">
        <f ca="1">表1_11[[#This Row],[扣保险后工资金额]]-表1_11[[#This Row],[个人所得税]]</f>
        <v>2720.86</v>
      </c>
      <c r="AB175" s="53">
        <v>3074.57</v>
      </c>
      <c r="AC175" s="64">
        <f ca="1">(表1_11[[#This Row],[实发工资]]-表1_11[[#This Row],[上月对比]])/表1_11[[#This Row],[上月对比]]</f>
        <v>-0.11504372969228217</v>
      </c>
      <c r="AD175" s="65" t="s">
        <v>1587</v>
      </c>
    </row>
    <row r="176" spans="1:30">
      <c r="A176" s="43" t="s">
        <v>577</v>
      </c>
      <c r="B176" s="42" t="s">
        <v>664</v>
      </c>
      <c r="C176" s="40" t="s">
        <v>599</v>
      </c>
      <c r="D176" s="40" t="s">
        <v>626</v>
      </c>
      <c r="E176" s="41" t="s">
        <v>1186</v>
      </c>
      <c r="F176" s="5" t="s">
        <v>172</v>
      </c>
      <c r="G176" s="25">
        <v>42319</v>
      </c>
      <c r="H176" s="5" t="s">
        <v>612</v>
      </c>
      <c r="I176" s="5">
        <f>VLOOKUP(MID(表1_11[[#This Row],[工资等级]],1,1),表12[],MATCH(MID(表1_11[[#This Row],[工资等级]],2,2),表12[[#Headers],[1]:[10]],0)+1,0)</f>
        <v>2700</v>
      </c>
      <c r="J176" s="5">
        <v>21.5</v>
      </c>
      <c r="K176" s="27">
        <v>0.89583333333333337</v>
      </c>
      <c r="L176" s="37">
        <f>IF(表1_11[[#This Row],[出勤率]]&gt;1,1,表1_11[[#This Row],[出勤率]])*表1_11[[#This Row],[岗位工资]]</f>
        <v>2418.75</v>
      </c>
      <c r="M176" s="5">
        <f>LOOKUP(表1_11[[#This Row],[岗位工资]],表13[lookup],表13[奖金比率])*表1_11[[#This Row],[岗位工资]]</f>
        <v>270</v>
      </c>
      <c r="N176" s="5">
        <v>99</v>
      </c>
      <c r="O176" s="38">
        <f>表1_11[[#This Row],[奖金等级]]*表1_11[[#This Row],[绩效得分]]/100</f>
        <v>267.3</v>
      </c>
      <c r="P176" s="5">
        <f>IF(表1_11[[#This Row],[出勤率]]&gt;=1,200,0)</f>
        <v>0</v>
      </c>
      <c r="Q176" s="23">
        <f t="shared" ca="1" si="2"/>
        <v>100</v>
      </c>
      <c r="R176" s="23">
        <f>IF(表1_11[[#This Row],[中心]]="营销中心",VLOOKUP(表1_11[[#This Row],[职位]],表2[[话费补贴]:[营销中心]],2,0),VLOOKUP(表1_11[[#This Row],[职位]],表2[],3,0))</f>
        <v>0</v>
      </c>
      <c r="S176" s="23">
        <v>200</v>
      </c>
      <c r="T176" s="61">
        <f ca="1">ROUND(SUM(表1_11[[#This Row],[基本工资]],表1_11[[#This Row],[奖金]],表1_11[[#This Row],[全勤奖]:[防暑降温补贴]]),2)</f>
        <v>2986.05</v>
      </c>
      <c r="U176" s="62">
        <f ca="1">ROUND(表1_11[[#This Row],[税前应发总额]]*8%,2)</f>
        <v>238.88</v>
      </c>
      <c r="V176" s="62">
        <f ca="1">ROUND(表1_11[[#This Row],[税前应发总额]]*2%+3,2)</f>
        <v>62.72</v>
      </c>
      <c r="W176" s="62">
        <f ca="1">ROUND(表1_11[[#This Row],[税前应发总额]]*0.2%,2)</f>
        <v>5.97</v>
      </c>
      <c r="X176" s="62">
        <f ca="1">ROUND(表1_11[[#This Row],[税前应发总额]]*12%,2)</f>
        <v>358.33</v>
      </c>
      <c r="Y176" s="61">
        <f ca="1">ROUND(表1_11[[#This Row],[税前应发总额]]-SUM(表1_11[[#This Row],[养老保险]:[公积金]]),2)</f>
        <v>2320.15</v>
      </c>
      <c r="Z176" s="62">
        <f ca="1">ROUND(MAX((表1_11[[#This Row],[扣保险后工资金额]]-3500)*{3,10,20,25,30,35,45}%-{0,105,555,1005,2755,5505,13505},0),2)</f>
        <v>0</v>
      </c>
      <c r="AA176" s="63">
        <f ca="1">表1_11[[#This Row],[扣保险后工资金额]]-表1_11[[#This Row],[个人所得税]]</f>
        <v>2320.15</v>
      </c>
      <c r="AB176" s="53">
        <v>2034.22</v>
      </c>
      <c r="AC176" s="64">
        <f ca="1">(表1_11[[#This Row],[实发工资]]-表1_11[[#This Row],[上月对比]])/表1_11[[#This Row],[上月对比]]</f>
        <v>0.14056001809047206</v>
      </c>
      <c r="AD176" s="65" t="s">
        <v>1587</v>
      </c>
    </row>
    <row r="177" spans="1:30">
      <c r="A177" s="43" t="s">
        <v>577</v>
      </c>
      <c r="B177" s="42" t="s">
        <v>664</v>
      </c>
      <c r="C177" s="40" t="s">
        <v>599</v>
      </c>
      <c r="D177" s="40" t="s">
        <v>626</v>
      </c>
      <c r="E177" s="41" t="s">
        <v>1187</v>
      </c>
      <c r="F177" s="5" t="s">
        <v>173</v>
      </c>
      <c r="G177" s="25">
        <v>38792</v>
      </c>
      <c r="H177" s="5" t="s">
        <v>618</v>
      </c>
      <c r="I177" s="5">
        <f>VLOOKUP(MID(表1_11[[#This Row],[工资等级]],1,1),表12[],MATCH(MID(表1_11[[#This Row],[工资等级]],2,2),表12[[#Headers],[1]:[10]],0)+1,0)</f>
        <v>3000</v>
      </c>
      <c r="J177" s="5">
        <v>22</v>
      </c>
      <c r="K177" s="27">
        <v>0.91666666666666663</v>
      </c>
      <c r="L177" s="37">
        <f>IF(表1_11[[#This Row],[出勤率]]&gt;1,1,表1_11[[#This Row],[出勤率]])*表1_11[[#This Row],[岗位工资]]</f>
        <v>2750</v>
      </c>
      <c r="M177" s="5">
        <f>LOOKUP(表1_11[[#This Row],[岗位工资]],表13[lookup],表13[奖金比率])*表1_11[[#This Row],[岗位工资]]</f>
        <v>300</v>
      </c>
      <c r="N177" s="5">
        <v>98</v>
      </c>
      <c r="O177" s="38">
        <f>表1_11[[#This Row],[奖金等级]]*表1_11[[#This Row],[绩效得分]]/100</f>
        <v>294</v>
      </c>
      <c r="P177" s="5">
        <f>IF(表1_11[[#This Row],[出勤率]]&gt;=1,200,0)</f>
        <v>0</v>
      </c>
      <c r="Q177" s="23">
        <f t="shared" ca="1" si="2"/>
        <v>500</v>
      </c>
      <c r="R177" s="23">
        <f>IF(表1_11[[#This Row],[中心]]="营销中心",VLOOKUP(表1_11[[#This Row],[职位]],表2[[话费补贴]:[营销中心]],2,0),VLOOKUP(表1_11[[#This Row],[职位]],表2[],3,0))</f>
        <v>0</v>
      </c>
      <c r="S177" s="23">
        <v>200</v>
      </c>
      <c r="T177" s="61">
        <f ca="1">ROUND(SUM(表1_11[[#This Row],[基本工资]],表1_11[[#This Row],[奖金]],表1_11[[#This Row],[全勤奖]:[防暑降温补贴]]),2)</f>
        <v>3744</v>
      </c>
      <c r="U177" s="62">
        <f ca="1">ROUND(表1_11[[#This Row],[税前应发总额]]*8%,2)</f>
        <v>299.52</v>
      </c>
      <c r="V177" s="62">
        <f ca="1">ROUND(表1_11[[#This Row],[税前应发总额]]*2%+3,2)</f>
        <v>77.88</v>
      </c>
      <c r="W177" s="62">
        <f ca="1">ROUND(表1_11[[#This Row],[税前应发总额]]*0.2%,2)</f>
        <v>7.49</v>
      </c>
      <c r="X177" s="62">
        <f ca="1">ROUND(表1_11[[#This Row],[税前应发总额]]*12%,2)</f>
        <v>449.28</v>
      </c>
      <c r="Y177" s="61">
        <f ca="1">ROUND(表1_11[[#This Row],[税前应发总额]]-SUM(表1_11[[#This Row],[养老保险]:[公积金]]),2)</f>
        <v>2909.83</v>
      </c>
      <c r="Z177" s="62">
        <f ca="1">ROUND(MAX((表1_11[[#This Row],[扣保险后工资金额]]-3500)*{3,10,20,25,30,35,45}%-{0,105,555,1005,2755,5505,13505},0),2)</f>
        <v>0</v>
      </c>
      <c r="AA177" s="63">
        <f ca="1">表1_11[[#This Row],[扣保险后工资金额]]-表1_11[[#This Row],[个人所得税]]</f>
        <v>2909.83</v>
      </c>
      <c r="AB177" s="53">
        <v>3062.16</v>
      </c>
      <c r="AC177" s="64">
        <f ca="1">(表1_11[[#This Row],[实发工资]]-表1_11[[#This Row],[上月对比]])/表1_11[[#This Row],[上月对比]]</f>
        <v>-4.9745930976826794E-2</v>
      </c>
      <c r="AD177" s="65" t="s">
        <v>1587</v>
      </c>
    </row>
    <row r="178" spans="1:30">
      <c r="A178" s="43" t="s">
        <v>577</v>
      </c>
      <c r="B178" s="42" t="s">
        <v>664</v>
      </c>
      <c r="C178" s="40" t="s">
        <v>717</v>
      </c>
      <c r="D178" s="40" t="s">
        <v>718</v>
      </c>
      <c r="E178" s="41" t="s">
        <v>1188</v>
      </c>
      <c r="F178" s="5" t="s">
        <v>174</v>
      </c>
      <c r="G178" s="25">
        <v>42191</v>
      </c>
      <c r="H178" s="5" t="s">
        <v>623</v>
      </c>
      <c r="I178" s="5">
        <f>VLOOKUP(MID(表1_11[[#This Row],[工资等级]],1,1),表12[],MATCH(MID(表1_11[[#This Row],[工资等级]],2,2),表12[[#Headers],[1]:[10]],0)+1,0)</f>
        <v>3800</v>
      </c>
      <c r="J178" s="5">
        <v>25</v>
      </c>
      <c r="K178" s="27">
        <v>1.0416666666666667</v>
      </c>
      <c r="L178" s="37">
        <f>IF(表1_11[[#This Row],[出勤率]]&gt;1,1,表1_11[[#This Row],[出勤率]])*表1_11[[#This Row],[岗位工资]]</f>
        <v>3800</v>
      </c>
      <c r="M178" s="5">
        <f>LOOKUP(表1_11[[#This Row],[岗位工资]],表13[lookup],表13[奖金比率])*表1_11[[#This Row],[岗位工资]]</f>
        <v>380</v>
      </c>
      <c r="N178" s="5">
        <v>92</v>
      </c>
      <c r="O178" s="38">
        <f>表1_11[[#This Row],[奖金等级]]*表1_11[[#This Row],[绩效得分]]/100</f>
        <v>349.6</v>
      </c>
      <c r="P178" s="5">
        <f>IF(表1_11[[#This Row],[出勤率]]&gt;=1,200,0)</f>
        <v>200</v>
      </c>
      <c r="Q178" s="23">
        <f t="shared" ca="1" si="2"/>
        <v>100</v>
      </c>
      <c r="R178" s="23">
        <f>IF(表1_11[[#This Row],[中心]]="营销中心",VLOOKUP(表1_11[[#This Row],[职位]],表2[[话费补贴]:[营销中心]],2,0),VLOOKUP(表1_11[[#This Row],[职位]],表2[],3,0))</f>
        <v>0</v>
      </c>
      <c r="S178" s="23">
        <v>200</v>
      </c>
      <c r="T178" s="61">
        <f ca="1">ROUND(SUM(表1_11[[#This Row],[基本工资]],表1_11[[#This Row],[奖金]],表1_11[[#This Row],[全勤奖]:[防暑降温补贴]]),2)</f>
        <v>4649.6000000000004</v>
      </c>
      <c r="U178" s="62">
        <f ca="1">ROUND(表1_11[[#This Row],[税前应发总额]]*8%,2)</f>
        <v>371.97</v>
      </c>
      <c r="V178" s="62">
        <f ca="1">ROUND(表1_11[[#This Row],[税前应发总额]]*2%+3,2)</f>
        <v>95.99</v>
      </c>
      <c r="W178" s="62">
        <f ca="1">ROUND(表1_11[[#This Row],[税前应发总额]]*0.2%,2)</f>
        <v>9.3000000000000007</v>
      </c>
      <c r="X178" s="62">
        <f ca="1">ROUND(表1_11[[#This Row],[税前应发总额]]*12%,2)</f>
        <v>557.95000000000005</v>
      </c>
      <c r="Y178" s="61">
        <f ca="1">ROUND(表1_11[[#This Row],[税前应发总额]]-SUM(表1_11[[#This Row],[养老保险]:[公积金]]),2)</f>
        <v>3614.39</v>
      </c>
      <c r="Z178" s="62">
        <f ca="1">ROUND(MAX((表1_11[[#This Row],[扣保险后工资金额]]-3500)*{3,10,20,25,30,35,45}%-{0,105,555,1005,2755,5505,13505},0),2)</f>
        <v>3.43</v>
      </c>
      <c r="AA178" s="63">
        <f ca="1">表1_11[[#This Row],[扣保险后工资金额]]-表1_11[[#This Row],[个人所得税]]</f>
        <v>3610.96</v>
      </c>
      <c r="AB178" s="53">
        <v>3260.99</v>
      </c>
      <c r="AC178" s="64">
        <f ca="1">(表1_11[[#This Row],[实发工资]]-表1_11[[#This Row],[上月对比]])/表1_11[[#This Row],[上月对比]]</f>
        <v>0.10732016964173464</v>
      </c>
      <c r="AD178" s="65" t="s">
        <v>1587</v>
      </c>
    </row>
    <row r="179" spans="1:30">
      <c r="A179" s="43" t="s">
        <v>577</v>
      </c>
      <c r="B179" s="42" t="s">
        <v>664</v>
      </c>
      <c r="C179" s="40" t="s">
        <v>719</v>
      </c>
      <c r="D179" s="40" t="s">
        <v>720</v>
      </c>
      <c r="E179" s="41" t="s">
        <v>1189</v>
      </c>
      <c r="F179" s="5" t="s">
        <v>175</v>
      </c>
      <c r="G179" s="25">
        <v>39327</v>
      </c>
      <c r="H179" s="5" t="s">
        <v>615</v>
      </c>
      <c r="I179" s="5">
        <f>VLOOKUP(MID(表1_11[[#This Row],[工资等级]],1,1),表12[],MATCH(MID(表1_11[[#This Row],[工资等级]],2,2),表12[[#Headers],[1]:[10]],0)+1,0)</f>
        <v>3200</v>
      </c>
      <c r="J179" s="5">
        <v>26.5</v>
      </c>
      <c r="K179" s="27">
        <v>1.1041666666666667</v>
      </c>
      <c r="L179" s="37">
        <f>IF(表1_11[[#This Row],[出勤率]]&gt;1,1,表1_11[[#This Row],[出勤率]])*表1_11[[#This Row],[岗位工资]]</f>
        <v>3200</v>
      </c>
      <c r="M179" s="5">
        <f>LOOKUP(表1_11[[#This Row],[岗位工资]],表13[lookup],表13[奖金比率])*表1_11[[#This Row],[岗位工资]]</f>
        <v>320</v>
      </c>
      <c r="N179" s="5">
        <v>81</v>
      </c>
      <c r="O179" s="38">
        <f>表1_11[[#This Row],[奖金等级]]*表1_11[[#This Row],[绩效得分]]/100</f>
        <v>259.2</v>
      </c>
      <c r="P179" s="5">
        <f>IF(表1_11[[#This Row],[出勤率]]&gt;=1,200,0)</f>
        <v>200</v>
      </c>
      <c r="Q179" s="23">
        <f t="shared" ca="1" si="2"/>
        <v>500</v>
      </c>
      <c r="R179" s="23">
        <f>IF(表1_11[[#This Row],[中心]]="营销中心",VLOOKUP(表1_11[[#This Row],[职位]],表2[[话费补贴]:[营销中心]],2,0),VLOOKUP(表1_11[[#This Row],[职位]],表2[],3,0))</f>
        <v>0</v>
      </c>
      <c r="S179" s="23">
        <v>200</v>
      </c>
      <c r="T179" s="61">
        <f ca="1">ROUND(SUM(表1_11[[#This Row],[基本工资]],表1_11[[#This Row],[奖金]],表1_11[[#This Row],[全勤奖]:[防暑降温补贴]]),2)</f>
        <v>4359.2</v>
      </c>
      <c r="U179" s="62">
        <f ca="1">ROUND(表1_11[[#This Row],[税前应发总额]]*8%,2)</f>
        <v>348.74</v>
      </c>
      <c r="V179" s="62">
        <f ca="1">ROUND(表1_11[[#This Row],[税前应发总额]]*2%+3,2)</f>
        <v>90.18</v>
      </c>
      <c r="W179" s="62">
        <f ca="1">ROUND(表1_11[[#This Row],[税前应发总额]]*0.2%,2)</f>
        <v>8.7200000000000006</v>
      </c>
      <c r="X179" s="62">
        <f ca="1">ROUND(表1_11[[#This Row],[税前应发总额]]*12%,2)</f>
        <v>523.1</v>
      </c>
      <c r="Y179" s="61">
        <f ca="1">ROUND(表1_11[[#This Row],[税前应发总额]]-SUM(表1_11[[#This Row],[养老保险]:[公积金]]),2)</f>
        <v>3388.46</v>
      </c>
      <c r="Z179" s="62">
        <f ca="1">ROUND(MAX((表1_11[[#This Row],[扣保险后工资金额]]-3500)*{3,10,20,25,30,35,45}%-{0,105,555,1005,2755,5505,13505},0),2)</f>
        <v>0</v>
      </c>
      <c r="AA179" s="63">
        <f ca="1">表1_11[[#This Row],[扣保险后工资金额]]-表1_11[[#This Row],[个人所得税]]</f>
        <v>3388.46</v>
      </c>
      <c r="AB179" s="53">
        <v>3333.32</v>
      </c>
      <c r="AC179" s="64">
        <f ca="1">(表1_11[[#This Row],[实发工资]]-表1_11[[#This Row],[上月对比]])/表1_11[[#This Row],[上月对比]]</f>
        <v>1.6542066168264632E-2</v>
      </c>
      <c r="AD179" s="65" t="s">
        <v>1587</v>
      </c>
    </row>
    <row r="180" spans="1:30">
      <c r="A180" s="43" t="s">
        <v>577</v>
      </c>
      <c r="B180" s="42" t="s">
        <v>664</v>
      </c>
      <c r="C180" s="40" t="s">
        <v>711</v>
      </c>
      <c r="D180" s="40" t="s">
        <v>712</v>
      </c>
      <c r="E180" s="41" t="s">
        <v>1190</v>
      </c>
      <c r="F180" s="5" t="s">
        <v>176</v>
      </c>
      <c r="G180" s="25">
        <v>41873</v>
      </c>
      <c r="H180" s="5" t="s">
        <v>630</v>
      </c>
      <c r="I180" s="5">
        <f>VLOOKUP(MID(表1_11[[#This Row],[工资等级]],1,1),表12[],MATCH(MID(表1_11[[#This Row],[工资等级]],2,2),表12[[#Headers],[1]:[10]],0)+1,0)</f>
        <v>2600</v>
      </c>
      <c r="J180" s="5">
        <v>26</v>
      </c>
      <c r="K180" s="27">
        <v>1.0833333333333333</v>
      </c>
      <c r="L180" s="37">
        <f>IF(表1_11[[#This Row],[出勤率]]&gt;1,1,表1_11[[#This Row],[出勤率]])*表1_11[[#This Row],[岗位工资]]</f>
        <v>2600</v>
      </c>
      <c r="M180" s="5">
        <f>LOOKUP(表1_11[[#This Row],[岗位工资]],表13[lookup],表13[奖金比率])*表1_11[[#This Row],[岗位工资]]</f>
        <v>260</v>
      </c>
      <c r="N180" s="5">
        <v>82</v>
      </c>
      <c r="O180" s="38">
        <f>表1_11[[#This Row],[奖金等级]]*表1_11[[#This Row],[绩效得分]]/100</f>
        <v>213.2</v>
      </c>
      <c r="P180" s="5">
        <f>IF(表1_11[[#This Row],[出勤率]]&gt;=1,200,0)</f>
        <v>200</v>
      </c>
      <c r="Q180" s="23">
        <f t="shared" ca="1" si="2"/>
        <v>150</v>
      </c>
      <c r="R180" s="23">
        <f>IF(表1_11[[#This Row],[中心]]="营销中心",VLOOKUP(表1_11[[#This Row],[职位]],表2[[话费补贴]:[营销中心]],2,0),VLOOKUP(表1_11[[#This Row],[职位]],表2[],3,0))</f>
        <v>0</v>
      </c>
      <c r="S180" s="23">
        <v>200</v>
      </c>
      <c r="T180" s="61">
        <f ca="1">ROUND(SUM(表1_11[[#This Row],[基本工资]],表1_11[[#This Row],[奖金]],表1_11[[#This Row],[全勤奖]:[防暑降温补贴]]),2)</f>
        <v>3363.2</v>
      </c>
      <c r="U180" s="62">
        <f ca="1">ROUND(表1_11[[#This Row],[税前应发总额]]*8%,2)</f>
        <v>269.06</v>
      </c>
      <c r="V180" s="62">
        <f ca="1">ROUND(表1_11[[#This Row],[税前应发总额]]*2%+3,2)</f>
        <v>70.260000000000005</v>
      </c>
      <c r="W180" s="62">
        <f ca="1">ROUND(表1_11[[#This Row],[税前应发总额]]*0.2%,2)</f>
        <v>6.73</v>
      </c>
      <c r="X180" s="62">
        <f ca="1">ROUND(表1_11[[#This Row],[税前应发总额]]*12%,2)</f>
        <v>403.58</v>
      </c>
      <c r="Y180" s="61">
        <f ca="1">ROUND(表1_11[[#This Row],[税前应发总额]]-SUM(表1_11[[#This Row],[养老保险]:[公积金]]),2)</f>
        <v>2613.5700000000002</v>
      </c>
      <c r="Z180" s="62">
        <f ca="1">ROUND(MAX((表1_11[[#This Row],[扣保险后工资金额]]-3500)*{3,10,20,25,30,35,45}%-{0,105,555,1005,2755,5505,13505},0),2)</f>
        <v>0</v>
      </c>
      <c r="AA180" s="63">
        <f ca="1">表1_11[[#This Row],[扣保险后工资金额]]-表1_11[[#This Row],[个人所得税]]</f>
        <v>2613.5700000000002</v>
      </c>
      <c r="AB180" s="53">
        <v>2657.12</v>
      </c>
      <c r="AC180" s="64">
        <f ca="1">(表1_11[[#This Row],[实发工资]]-表1_11[[#This Row],[上月对比]])/表1_11[[#This Row],[上月对比]]</f>
        <v>-1.6389925934846648E-2</v>
      </c>
      <c r="AD180" s="65" t="s">
        <v>1587</v>
      </c>
    </row>
    <row r="181" spans="1:30">
      <c r="A181" s="43" t="s">
        <v>577</v>
      </c>
      <c r="B181" s="42" t="s">
        <v>664</v>
      </c>
      <c r="C181" s="40" t="s">
        <v>599</v>
      </c>
      <c r="D181" s="40" t="s">
        <v>626</v>
      </c>
      <c r="E181" s="41" t="s">
        <v>1191</v>
      </c>
      <c r="F181" s="5" t="s">
        <v>177</v>
      </c>
      <c r="G181" s="25">
        <v>39892</v>
      </c>
      <c r="H181" s="5" t="s">
        <v>624</v>
      </c>
      <c r="I181" s="5">
        <f>VLOOKUP(MID(表1_11[[#This Row],[工资等级]],1,1),表12[],MATCH(MID(表1_11[[#This Row],[工资等级]],2,2),表12[[#Headers],[1]:[10]],0)+1,0)</f>
        <v>2800</v>
      </c>
      <c r="J181" s="5">
        <v>24</v>
      </c>
      <c r="K181" s="27">
        <v>1</v>
      </c>
      <c r="L181" s="37">
        <f>IF(表1_11[[#This Row],[出勤率]]&gt;1,1,表1_11[[#This Row],[出勤率]])*表1_11[[#This Row],[岗位工资]]</f>
        <v>2800</v>
      </c>
      <c r="M181" s="5">
        <f>LOOKUP(表1_11[[#This Row],[岗位工资]],表13[lookup],表13[奖金比率])*表1_11[[#This Row],[岗位工资]]</f>
        <v>280</v>
      </c>
      <c r="N181" s="5">
        <v>94</v>
      </c>
      <c r="O181" s="38">
        <f>表1_11[[#This Row],[奖金等级]]*表1_11[[#This Row],[绩效得分]]/100</f>
        <v>263.2</v>
      </c>
      <c r="P181" s="5">
        <f>IF(表1_11[[#This Row],[出勤率]]&gt;=1,200,0)</f>
        <v>200</v>
      </c>
      <c r="Q181" s="23">
        <f t="shared" ca="1" si="2"/>
        <v>400</v>
      </c>
      <c r="R181" s="23">
        <f>IF(表1_11[[#This Row],[中心]]="营销中心",VLOOKUP(表1_11[[#This Row],[职位]],表2[[话费补贴]:[营销中心]],2,0),VLOOKUP(表1_11[[#This Row],[职位]],表2[],3,0))</f>
        <v>0</v>
      </c>
      <c r="S181" s="23">
        <v>200</v>
      </c>
      <c r="T181" s="61">
        <f ca="1">ROUND(SUM(表1_11[[#This Row],[基本工资]],表1_11[[#This Row],[奖金]],表1_11[[#This Row],[全勤奖]:[防暑降温补贴]]),2)</f>
        <v>3863.2</v>
      </c>
      <c r="U181" s="62">
        <f ca="1">ROUND(表1_11[[#This Row],[税前应发总额]]*8%,2)</f>
        <v>309.06</v>
      </c>
      <c r="V181" s="62">
        <f ca="1">ROUND(表1_11[[#This Row],[税前应发总额]]*2%+3,2)</f>
        <v>80.260000000000005</v>
      </c>
      <c r="W181" s="62">
        <f ca="1">ROUND(表1_11[[#This Row],[税前应发总额]]*0.2%,2)</f>
        <v>7.73</v>
      </c>
      <c r="X181" s="62">
        <f ca="1">ROUND(表1_11[[#This Row],[税前应发总额]]*12%,2)</f>
        <v>463.58</v>
      </c>
      <c r="Y181" s="61">
        <f ca="1">ROUND(表1_11[[#This Row],[税前应发总额]]-SUM(表1_11[[#This Row],[养老保险]:[公积金]]),2)</f>
        <v>3002.57</v>
      </c>
      <c r="Z181" s="62">
        <f ca="1">ROUND(MAX((表1_11[[#This Row],[扣保险后工资金额]]-3500)*{3,10,20,25,30,35,45}%-{0,105,555,1005,2755,5505,13505},0),2)</f>
        <v>0</v>
      </c>
      <c r="AA181" s="63">
        <f ca="1">表1_11[[#This Row],[扣保险后工资金额]]-表1_11[[#This Row],[个人所得税]]</f>
        <v>3002.57</v>
      </c>
      <c r="AB181" s="53">
        <v>3062.62</v>
      </c>
      <c r="AC181" s="64">
        <f ca="1">(表1_11[[#This Row],[实发工资]]-表1_11[[#This Row],[上月对比]])/表1_11[[#This Row],[上月对比]]</f>
        <v>-1.9607394975543726E-2</v>
      </c>
      <c r="AD181" s="65" t="s">
        <v>1587</v>
      </c>
    </row>
    <row r="182" spans="1:30">
      <c r="A182" s="43" t="s">
        <v>577</v>
      </c>
      <c r="B182" s="42" t="s">
        <v>664</v>
      </c>
      <c r="C182" s="40" t="s">
        <v>599</v>
      </c>
      <c r="D182" s="40" t="s">
        <v>626</v>
      </c>
      <c r="E182" s="41" t="s">
        <v>1192</v>
      </c>
      <c r="F182" s="5" t="s">
        <v>178</v>
      </c>
      <c r="G182" s="25">
        <v>40660</v>
      </c>
      <c r="H182" s="5" t="s">
        <v>618</v>
      </c>
      <c r="I182" s="5">
        <f>VLOOKUP(MID(表1_11[[#This Row],[工资等级]],1,1),表12[],MATCH(MID(表1_11[[#This Row],[工资等级]],2,2),表12[[#Headers],[1]:[10]],0)+1,0)</f>
        <v>3000</v>
      </c>
      <c r="J182" s="5">
        <v>22</v>
      </c>
      <c r="K182" s="27">
        <v>0.91666666666666663</v>
      </c>
      <c r="L182" s="37">
        <f>IF(表1_11[[#This Row],[出勤率]]&gt;1,1,表1_11[[#This Row],[出勤率]])*表1_11[[#This Row],[岗位工资]]</f>
        <v>2750</v>
      </c>
      <c r="M182" s="5">
        <f>LOOKUP(表1_11[[#This Row],[岗位工资]],表13[lookup],表13[奖金比率])*表1_11[[#This Row],[岗位工资]]</f>
        <v>300</v>
      </c>
      <c r="N182" s="5">
        <v>82</v>
      </c>
      <c r="O182" s="38">
        <f>表1_11[[#This Row],[奖金等级]]*表1_11[[#This Row],[绩效得分]]/100</f>
        <v>246</v>
      </c>
      <c r="P182" s="5">
        <f>IF(表1_11[[#This Row],[出勤率]]&gt;=1,200,0)</f>
        <v>0</v>
      </c>
      <c r="Q182" s="23">
        <f t="shared" ca="1" si="2"/>
        <v>300</v>
      </c>
      <c r="R182" s="23">
        <f>IF(表1_11[[#This Row],[中心]]="营销中心",VLOOKUP(表1_11[[#This Row],[职位]],表2[[话费补贴]:[营销中心]],2,0),VLOOKUP(表1_11[[#This Row],[职位]],表2[],3,0))</f>
        <v>0</v>
      </c>
      <c r="S182" s="23">
        <v>200</v>
      </c>
      <c r="T182" s="61">
        <f ca="1">ROUND(SUM(表1_11[[#This Row],[基本工资]],表1_11[[#This Row],[奖金]],表1_11[[#This Row],[全勤奖]:[防暑降温补贴]]),2)</f>
        <v>3496</v>
      </c>
      <c r="U182" s="62">
        <f ca="1">ROUND(表1_11[[#This Row],[税前应发总额]]*8%,2)</f>
        <v>279.68</v>
      </c>
      <c r="V182" s="62">
        <f ca="1">ROUND(表1_11[[#This Row],[税前应发总额]]*2%+3,2)</f>
        <v>72.92</v>
      </c>
      <c r="W182" s="62">
        <f ca="1">ROUND(表1_11[[#This Row],[税前应发总额]]*0.2%,2)</f>
        <v>6.99</v>
      </c>
      <c r="X182" s="62">
        <f ca="1">ROUND(表1_11[[#This Row],[税前应发总额]]*12%,2)</f>
        <v>419.52</v>
      </c>
      <c r="Y182" s="61">
        <f ca="1">ROUND(表1_11[[#This Row],[税前应发总额]]-SUM(表1_11[[#This Row],[养老保险]:[公积金]]),2)</f>
        <v>2716.89</v>
      </c>
      <c r="Z182" s="62">
        <f ca="1">ROUND(MAX((表1_11[[#This Row],[扣保险后工资金额]]-3500)*{3,10,20,25,30,35,45}%-{0,105,555,1005,2755,5505,13505},0),2)</f>
        <v>0</v>
      </c>
      <c r="AA182" s="63">
        <f ca="1">表1_11[[#This Row],[扣保险后工资金额]]-表1_11[[#This Row],[个人所得税]]</f>
        <v>2716.89</v>
      </c>
      <c r="AB182" s="53">
        <v>2892.23</v>
      </c>
      <c r="AC182" s="64">
        <f ca="1">(表1_11[[#This Row],[实发工资]]-表1_11[[#This Row],[上月对比]])/表1_11[[#This Row],[上月对比]]</f>
        <v>-6.0624500817708184E-2</v>
      </c>
      <c r="AD182" s="65" t="s">
        <v>1587</v>
      </c>
    </row>
    <row r="183" spans="1:30">
      <c r="A183" s="43" t="s">
        <v>577</v>
      </c>
      <c r="B183" s="42" t="s">
        <v>664</v>
      </c>
      <c r="C183" s="40" t="s">
        <v>711</v>
      </c>
      <c r="D183" s="40" t="s">
        <v>712</v>
      </c>
      <c r="E183" s="41" t="s">
        <v>1193</v>
      </c>
      <c r="F183" s="5" t="s">
        <v>179</v>
      </c>
      <c r="G183" s="25">
        <v>41475</v>
      </c>
      <c r="H183" s="5" t="s">
        <v>657</v>
      </c>
      <c r="I183" s="5">
        <f>VLOOKUP(MID(表1_11[[#This Row],[工资等级]],1,1),表12[],MATCH(MID(表1_11[[#This Row],[工资等级]],2,2),表12[[#Headers],[1]:[10]],0)+1,0)</f>
        <v>4000</v>
      </c>
      <c r="J183" s="5">
        <v>23.5</v>
      </c>
      <c r="K183" s="27">
        <v>0.97916666666666663</v>
      </c>
      <c r="L183" s="37">
        <f>IF(表1_11[[#This Row],[出勤率]]&gt;1,1,表1_11[[#This Row],[出勤率]])*表1_11[[#This Row],[岗位工资]]</f>
        <v>3916.6666666666665</v>
      </c>
      <c r="M183" s="5">
        <f>LOOKUP(表1_11[[#This Row],[岗位工资]],表13[lookup],表13[奖金比率])*表1_11[[#This Row],[岗位工资]]</f>
        <v>600</v>
      </c>
      <c r="N183" s="5">
        <v>88</v>
      </c>
      <c r="O183" s="38">
        <f>表1_11[[#This Row],[奖金等级]]*表1_11[[#This Row],[绩效得分]]/100</f>
        <v>528</v>
      </c>
      <c r="P183" s="5">
        <f>IF(表1_11[[#This Row],[出勤率]]&gt;=1,200,0)</f>
        <v>0</v>
      </c>
      <c r="Q183" s="23">
        <f t="shared" ca="1" si="2"/>
        <v>200</v>
      </c>
      <c r="R183" s="23">
        <f>IF(表1_11[[#This Row],[中心]]="营销中心",VLOOKUP(表1_11[[#This Row],[职位]],表2[[话费补贴]:[营销中心]],2,0),VLOOKUP(表1_11[[#This Row],[职位]],表2[],3,0))</f>
        <v>0</v>
      </c>
      <c r="S183" s="23">
        <v>200</v>
      </c>
      <c r="T183" s="61">
        <f ca="1">ROUND(SUM(表1_11[[#This Row],[基本工资]],表1_11[[#This Row],[奖金]],表1_11[[#This Row],[全勤奖]:[防暑降温补贴]]),2)</f>
        <v>4844.67</v>
      </c>
      <c r="U183" s="62">
        <f ca="1">ROUND(表1_11[[#This Row],[税前应发总额]]*8%,2)</f>
        <v>387.57</v>
      </c>
      <c r="V183" s="62">
        <f ca="1">ROUND(表1_11[[#This Row],[税前应发总额]]*2%+3,2)</f>
        <v>99.89</v>
      </c>
      <c r="W183" s="62">
        <f ca="1">ROUND(表1_11[[#This Row],[税前应发总额]]*0.2%,2)</f>
        <v>9.69</v>
      </c>
      <c r="X183" s="62">
        <f ca="1">ROUND(表1_11[[#This Row],[税前应发总额]]*12%,2)</f>
        <v>581.36</v>
      </c>
      <c r="Y183" s="61">
        <f ca="1">ROUND(表1_11[[#This Row],[税前应发总额]]-SUM(表1_11[[#This Row],[养老保险]:[公积金]]),2)</f>
        <v>3766.16</v>
      </c>
      <c r="Z183" s="62">
        <f ca="1">ROUND(MAX((表1_11[[#This Row],[扣保险后工资金额]]-3500)*{3,10,20,25,30,35,45}%-{0,105,555,1005,2755,5505,13505},0),2)</f>
        <v>7.98</v>
      </c>
      <c r="AA183" s="63">
        <f ca="1">表1_11[[#This Row],[扣保险后工资金额]]-表1_11[[#This Row],[个人所得税]]</f>
        <v>3758.18</v>
      </c>
      <c r="AB183" s="53">
        <v>4422.18</v>
      </c>
      <c r="AC183" s="64">
        <f ca="1">(表1_11[[#This Row],[实发工资]]-表1_11[[#This Row],[上月对比]])/表1_11[[#This Row],[上月对比]]</f>
        <v>-0.1501521873826937</v>
      </c>
      <c r="AD183" s="65" t="s">
        <v>1587</v>
      </c>
    </row>
    <row r="184" spans="1:30">
      <c r="A184" s="43" t="s">
        <v>577</v>
      </c>
      <c r="B184" s="42" t="s">
        <v>664</v>
      </c>
      <c r="C184" s="40" t="s">
        <v>673</v>
      </c>
      <c r="D184" s="40" t="s">
        <v>674</v>
      </c>
      <c r="E184" s="41" t="s">
        <v>1194</v>
      </c>
      <c r="F184" s="5" t="s">
        <v>180</v>
      </c>
      <c r="G184" s="25">
        <v>40887</v>
      </c>
      <c r="H184" s="5" t="s">
        <v>630</v>
      </c>
      <c r="I184" s="5">
        <f>VLOOKUP(MID(表1_11[[#This Row],[工资等级]],1,1),表12[],MATCH(MID(表1_11[[#This Row],[工资等级]],2,2),表12[[#Headers],[1]:[10]],0)+1,0)</f>
        <v>2600</v>
      </c>
      <c r="J184" s="5">
        <v>27.5</v>
      </c>
      <c r="K184" s="27">
        <v>1.1458333333333333</v>
      </c>
      <c r="L184" s="37">
        <f>IF(表1_11[[#This Row],[出勤率]]&gt;1,1,表1_11[[#This Row],[出勤率]])*表1_11[[#This Row],[岗位工资]]</f>
        <v>2600</v>
      </c>
      <c r="M184" s="5">
        <f>LOOKUP(表1_11[[#This Row],[岗位工资]],表13[lookup],表13[奖金比率])*表1_11[[#This Row],[岗位工资]]</f>
        <v>260</v>
      </c>
      <c r="N184" s="5">
        <v>86</v>
      </c>
      <c r="O184" s="38">
        <f>表1_11[[#This Row],[奖金等级]]*表1_11[[#This Row],[绩效得分]]/100</f>
        <v>223.6</v>
      </c>
      <c r="P184" s="5">
        <f>IF(表1_11[[#This Row],[出勤率]]&gt;=1,200,0)</f>
        <v>200</v>
      </c>
      <c r="Q184" s="23">
        <f t="shared" ca="1" si="2"/>
        <v>300</v>
      </c>
      <c r="R184" s="23">
        <f>IF(表1_11[[#This Row],[中心]]="营销中心",VLOOKUP(表1_11[[#This Row],[职位]],表2[[话费补贴]:[营销中心]],2,0),VLOOKUP(表1_11[[#This Row],[职位]],表2[],3,0))</f>
        <v>0</v>
      </c>
      <c r="S184" s="23">
        <v>200</v>
      </c>
      <c r="T184" s="61">
        <f ca="1">ROUND(SUM(表1_11[[#This Row],[基本工资]],表1_11[[#This Row],[奖金]],表1_11[[#This Row],[全勤奖]:[防暑降温补贴]]),2)</f>
        <v>3523.6</v>
      </c>
      <c r="U184" s="62">
        <f ca="1">ROUND(表1_11[[#This Row],[税前应发总额]]*8%,2)</f>
        <v>281.89</v>
      </c>
      <c r="V184" s="62">
        <f ca="1">ROUND(表1_11[[#This Row],[税前应发总额]]*2%+3,2)</f>
        <v>73.47</v>
      </c>
      <c r="W184" s="62">
        <f ca="1">ROUND(表1_11[[#This Row],[税前应发总额]]*0.2%,2)</f>
        <v>7.05</v>
      </c>
      <c r="X184" s="62">
        <f ca="1">ROUND(表1_11[[#This Row],[税前应发总额]]*12%,2)</f>
        <v>422.83</v>
      </c>
      <c r="Y184" s="61">
        <f ca="1">ROUND(表1_11[[#This Row],[税前应发总额]]-SUM(表1_11[[#This Row],[养老保险]:[公积金]]),2)</f>
        <v>2738.36</v>
      </c>
      <c r="Z184" s="62">
        <f ca="1">ROUND(MAX((表1_11[[#This Row],[扣保险后工资金额]]-3500)*{3,10,20,25,30,35,45}%-{0,105,555,1005,2755,5505,13505},0),2)</f>
        <v>0</v>
      </c>
      <c r="AA184" s="63">
        <f ca="1">表1_11[[#This Row],[扣保险后工资金额]]-表1_11[[#This Row],[个人所得税]]</f>
        <v>2738.36</v>
      </c>
      <c r="AB184" s="53">
        <v>2301.42</v>
      </c>
      <c r="AC184" s="64">
        <f ca="1">(表1_11[[#This Row],[实发工资]]-表1_11[[#This Row],[上月对比]])/表1_11[[#This Row],[上月对比]]</f>
        <v>0.1898566971695736</v>
      </c>
      <c r="AD184" s="65" t="s">
        <v>1587</v>
      </c>
    </row>
    <row r="185" spans="1:30">
      <c r="A185" s="43" t="s">
        <v>577</v>
      </c>
      <c r="B185" s="42" t="s">
        <v>664</v>
      </c>
      <c r="C185" s="40" t="s">
        <v>673</v>
      </c>
      <c r="D185" s="40" t="s">
        <v>674</v>
      </c>
      <c r="E185" s="41" t="s">
        <v>1195</v>
      </c>
      <c r="F185" s="5" t="s">
        <v>181</v>
      </c>
      <c r="G185" s="25">
        <v>40442</v>
      </c>
      <c r="H185" s="5" t="s">
        <v>622</v>
      </c>
      <c r="I185" s="5">
        <f>VLOOKUP(MID(表1_11[[#This Row],[工资等级]],1,1),表12[],MATCH(MID(表1_11[[#This Row],[工资等级]],2,2),表12[[#Headers],[1]:[10]],0)+1,0)</f>
        <v>3600</v>
      </c>
      <c r="J185" s="5">
        <v>24</v>
      </c>
      <c r="K185" s="27">
        <v>1</v>
      </c>
      <c r="L185" s="37">
        <f>IF(表1_11[[#This Row],[出勤率]]&gt;1,1,表1_11[[#This Row],[出勤率]])*表1_11[[#This Row],[岗位工资]]</f>
        <v>3600</v>
      </c>
      <c r="M185" s="5">
        <f>LOOKUP(表1_11[[#This Row],[岗位工资]],表13[lookup],表13[奖金比率])*表1_11[[#This Row],[岗位工资]]</f>
        <v>360</v>
      </c>
      <c r="N185" s="5">
        <v>87</v>
      </c>
      <c r="O185" s="38">
        <f>表1_11[[#This Row],[奖金等级]]*表1_11[[#This Row],[绩效得分]]/100</f>
        <v>313.2</v>
      </c>
      <c r="P185" s="5">
        <f>IF(表1_11[[#This Row],[出勤率]]&gt;=1,200,0)</f>
        <v>200</v>
      </c>
      <c r="Q185" s="23">
        <f t="shared" ca="1" si="2"/>
        <v>350</v>
      </c>
      <c r="R185" s="23">
        <f>IF(表1_11[[#This Row],[中心]]="营销中心",VLOOKUP(表1_11[[#This Row],[职位]],表2[[话费补贴]:[营销中心]],2,0),VLOOKUP(表1_11[[#This Row],[职位]],表2[],3,0))</f>
        <v>0</v>
      </c>
      <c r="S185" s="23">
        <v>200</v>
      </c>
      <c r="T185" s="61">
        <f ca="1">ROUND(SUM(表1_11[[#This Row],[基本工资]],表1_11[[#This Row],[奖金]],表1_11[[#This Row],[全勤奖]:[防暑降温补贴]]),2)</f>
        <v>4663.2</v>
      </c>
      <c r="U185" s="62">
        <f ca="1">ROUND(表1_11[[#This Row],[税前应发总额]]*8%,2)</f>
        <v>373.06</v>
      </c>
      <c r="V185" s="62">
        <f ca="1">ROUND(表1_11[[#This Row],[税前应发总额]]*2%+3,2)</f>
        <v>96.26</v>
      </c>
      <c r="W185" s="62">
        <f ca="1">ROUND(表1_11[[#This Row],[税前应发总额]]*0.2%,2)</f>
        <v>9.33</v>
      </c>
      <c r="X185" s="62">
        <f ca="1">ROUND(表1_11[[#This Row],[税前应发总额]]*12%,2)</f>
        <v>559.58000000000004</v>
      </c>
      <c r="Y185" s="61">
        <f ca="1">ROUND(表1_11[[#This Row],[税前应发总额]]-SUM(表1_11[[#This Row],[养老保险]:[公积金]]),2)</f>
        <v>3624.97</v>
      </c>
      <c r="Z185" s="62">
        <f ca="1">ROUND(MAX((表1_11[[#This Row],[扣保险后工资金额]]-3500)*{3,10,20,25,30,35,45}%-{0,105,555,1005,2755,5505,13505},0),2)</f>
        <v>3.75</v>
      </c>
      <c r="AA185" s="63">
        <f ca="1">表1_11[[#This Row],[扣保险后工资金额]]-表1_11[[#This Row],[个人所得税]]</f>
        <v>3621.22</v>
      </c>
      <c r="AB185" s="53">
        <v>3350.6</v>
      </c>
      <c r="AC185" s="64">
        <f ca="1">(表1_11[[#This Row],[实发工资]]-表1_11[[#This Row],[上月对比]])/表1_11[[#This Row],[上月对比]]</f>
        <v>8.0767623709186387E-2</v>
      </c>
      <c r="AD185" s="65" t="s">
        <v>1587</v>
      </c>
    </row>
    <row r="186" spans="1:30">
      <c r="A186" s="43" t="s">
        <v>577</v>
      </c>
      <c r="B186" s="42" t="s">
        <v>664</v>
      </c>
      <c r="C186" s="40" t="s">
        <v>673</v>
      </c>
      <c r="D186" s="40" t="s">
        <v>674</v>
      </c>
      <c r="E186" s="41" t="s">
        <v>1196</v>
      </c>
      <c r="F186" s="5" t="s">
        <v>182</v>
      </c>
      <c r="G186" s="25">
        <v>42063</v>
      </c>
      <c r="H186" s="5" t="s">
        <v>610</v>
      </c>
      <c r="I186" s="5">
        <f>VLOOKUP(MID(表1_11[[#This Row],[工资等级]],1,1),表12[],MATCH(MID(表1_11[[#This Row],[工资等级]],2,2),表12[[#Headers],[1]:[10]],0)+1,0)</f>
        <v>3400</v>
      </c>
      <c r="J186" s="5">
        <v>27.5</v>
      </c>
      <c r="K186" s="27">
        <v>1.1458333333333333</v>
      </c>
      <c r="L186" s="37">
        <f>IF(表1_11[[#This Row],[出勤率]]&gt;1,1,表1_11[[#This Row],[出勤率]])*表1_11[[#This Row],[岗位工资]]</f>
        <v>3400</v>
      </c>
      <c r="M186" s="5">
        <f>LOOKUP(表1_11[[#This Row],[岗位工资]],表13[lookup],表13[奖金比率])*表1_11[[#This Row],[岗位工资]]</f>
        <v>340</v>
      </c>
      <c r="N186" s="5">
        <v>85</v>
      </c>
      <c r="O186" s="38">
        <f>表1_11[[#This Row],[奖金等级]]*表1_11[[#This Row],[绩效得分]]/100</f>
        <v>289</v>
      </c>
      <c r="P186" s="5">
        <f>IF(表1_11[[#This Row],[出勤率]]&gt;=1,200,0)</f>
        <v>200</v>
      </c>
      <c r="Q186" s="23">
        <f t="shared" ca="1" si="2"/>
        <v>150</v>
      </c>
      <c r="R186" s="23">
        <f>IF(表1_11[[#This Row],[中心]]="营销中心",VLOOKUP(表1_11[[#This Row],[职位]],表2[[话费补贴]:[营销中心]],2,0),VLOOKUP(表1_11[[#This Row],[职位]],表2[],3,0))</f>
        <v>0</v>
      </c>
      <c r="S186" s="23">
        <v>200</v>
      </c>
      <c r="T186" s="61">
        <f ca="1">ROUND(SUM(表1_11[[#This Row],[基本工资]],表1_11[[#This Row],[奖金]],表1_11[[#This Row],[全勤奖]:[防暑降温补贴]]),2)</f>
        <v>4239</v>
      </c>
      <c r="U186" s="62">
        <f ca="1">ROUND(表1_11[[#This Row],[税前应发总额]]*8%,2)</f>
        <v>339.12</v>
      </c>
      <c r="V186" s="62">
        <f ca="1">ROUND(表1_11[[#This Row],[税前应发总额]]*2%+3,2)</f>
        <v>87.78</v>
      </c>
      <c r="W186" s="62">
        <f ca="1">ROUND(表1_11[[#This Row],[税前应发总额]]*0.2%,2)</f>
        <v>8.48</v>
      </c>
      <c r="X186" s="62">
        <f ca="1">ROUND(表1_11[[#This Row],[税前应发总额]]*12%,2)</f>
        <v>508.68</v>
      </c>
      <c r="Y186" s="61">
        <f ca="1">ROUND(表1_11[[#This Row],[税前应发总额]]-SUM(表1_11[[#This Row],[养老保险]:[公积金]]),2)</f>
        <v>3294.94</v>
      </c>
      <c r="Z186" s="62">
        <f ca="1">ROUND(MAX((表1_11[[#This Row],[扣保险后工资金额]]-3500)*{3,10,20,25,30,35,45}%-{0,105,555,1005,2755,5505,13505},0),2)</f>
        <v>0</v>
      </c>
      <c r="AA186" s="63">
        <f ca="1">表1_11[[#This Row],[扣保险后工资金额]]-表1_11[[#This Row],[个人所得税]]</f>
        <v>3294.94</v>
      </c>
      <c r="AB186" s="53">
        <v>3682.32</v>
      </c>
      <c r="AC186" s="64">
        <f ca="1">(表1_11[[#This Row],[实发工资]]-表1_11[[#This Row],[上月对比]])/表1_11[[#This Row],[上月对比]]</f>
        <v>-0.10519998261965285</v>
      </c>
      <c r="AD186" s="65" t="s">
        <v>1587</v>
      </c>
    </row>
    <row r="187" spans="1:30">
      <c r="A187" s="43" t="s">
        <v>577</v>
      </c>
      <c r="B187" s="42" t="s">
        <v>664</v>
      </c>
      <c r="C187" s="40" t="s">
        <v>673</v>
      </c>
      <c r="D187" s="40" t="s">
        <v>674</v>
      </c>
      <c r="E187" s="41" t="s">
        <v>1197</v>
      </c>
      <c r="F187" s="5" t="s">
        <v>183</v>
      </c>
      <c r="G187" s="25">
        <v>41339</v>
      </c>
      <c r="H187" s="5" t="s">
        <v>610</v>
      </c>
      <c r="I187" s="5">
        <f>VLOOKUP(MID(表1_11[[#This Row],[工资等级]],1,1),表12[],MATCH(MID(表1_11[[#This Row],[工资等级]],2,2),表12[[#Headers],[1]:[10]],0)+1,0)</f>
        <v>3400</v>
      </c>
      <c r="J187" s="5">
        <v>27.5</v>
      </c>
      <c r="K187" s="27">
        <v>1.1458333333333333</v>
      </c>
      <c r="L187" s="37">
        <f>IF(表1_11[[#This Row],[出勤率]]&gt;1,1,表1_11[[#This Row],[出勤率]])*表1_11[[#This Row],[岗位工资]]</f>
        <v>3400</v>
      </c>
      <c r="M187" s="5">
        <f>LOOKUP(表1_11[[#This Row],[岗位工资]],表13[lookup],表13[奖金比率])*表1_11[[#This Row],[岗位工资]]</f>
        <v>340</v>
      </c>
      <c r="N187" s="5">
        <v>95</v>
      </c>
      <c r="O187" s="38">
        <f>表1_11[[#This Row],[奖金等级]]*表1_11[[#This Row],[绩效得分]]/100</f>
        <v>323</v>
      </c>
      <c r="P187" s="5">
        <f>IF(表1_11[[#This Row],[出勤率]]&gt;=1,200,0)</f>
        <v>200</v>
      </c>
      <c r="Q187" s="23">
        <f t="shared" ca="1" si="2"/>
        <v>200</v>
      </c>
      <c r="R187" s="23">
        <f>IF(表1_11[[#This Row],[中心]]="营销中心",VLOOKUP(表1_11[[#This Row],[职位]],表2[[话费补贴]:[营销中心]],2,0),VLOOKUP(表1_11[[#This Row],[职位]],表2[],3,0))</f>
        <v>0</v>
      </c>
      <c r="S187" s="23">
        <v>200</v>
      </c>
      <c r="T187" s="61">
        <f ca="1">ROUND(SUM(表1_11[[#This Row],[基本工资]],表1_11[[#This Row],[奖金]],表1_11[[#This Row],[全勤奖]:[防暑降温补贴]]),2)</f>
        <v>4323</v>
      </c>
      <c r="U187" s="62">
        <f ca="1">ROUND(表1_11[[#This Row],[税前应发总额]]*8%,2)</f>
        <v>345.84</v>
      </c>
      <c r="V187" s="62">
        <f ca="1">ROUND(表1_11[[#This Row],[税前应发总额]]*2%+3,2)</f>
        <v>89.46</v>
      </c>
      <c r="W187" s="62">
        <f ca="1">ROUND(表1_11[[#This Row],[税前应发总额]]*0.2%,2)</f>
        <v>8.65</v>
      </c>
      <c r="X187" s="62">
        <f ca="1">ROUND(表1_11[[#This Row],[税前应发总额]]*12%,2)</f>
        <v>518.76</v>
      </c>
      <c r="Y187" s="61">
        <f ca="1">ROUND(表1_11[[#This Row],[税前应发总额]]-SUM(表1_11[[#This Row],[养老保险]:[公积金]]),2)</f>
        <v>3360.29</v>
      </c>
      <c r="Z187" s="62">
        <f ca="1">ROUND(MAX((表1_11[[#This Row],[扣保险后工资金额]]-3500)*{3,10,20,25,30,35,45}%-{0,105,555,1005,2755,5505,13505},0),2)</f>
        <v>0</v>
      </c>
      <c r="AA187" s="63">
        <f ca="1">表1_11[[#This Row],[扣保险后工资金额]]-表1_11[[#This Row],[个人所得税]]</f>
        <v>3360.29</v>
      </c>
      <c r="AB187" s="53">
        <v>3916.07</v>
      </c>
      <c r="AC187" s="64">
        <f ca="1">(表1_11[[#This Row],[实发工资]]-表1_11[[#This Row],[上月对比]])/表1_11[[#This Row],[上月对比]]</f>
        <v>-0.14192289719029541</v>
      </c>
      <c r="AD187" s="65" t="s">
        <v>1587</v>
      </c>
    </row>
    <row r="188" spans="1:30">
      <c r="A188" s="43" t="s">
        <v>577</v>
      </c>
      <c r="B188" s="42" t="s">
        <v>664</v>
      </c>
      <c r="C188" s="40" t="s">
        <v>599</v>
      </c>
      <c r="D188" s="40" t="s">
        <v>626</v>
      </c>
      <c r="E188" s="41" t="s">
        <v>1198</v>
      </c>
      <c r="F188" s="5" t="s">
        <v>184</v>
      </c>
      <c r="G188" s="25">
        <v>39165</v>
      </c>
      <c r="H188" s="5" t="s">
        <v>623</v>
      </c>
      <c r="I188" s="5">
        <f>VLOOKUP(MID(表1_11[[#This Row],[工资等级]],1,1),表12[],MATCH(MID(表1_11[[#This Row],[工资等级]],2,2),表12[[#Headers],[1]:[10]],0)+1,0)</f>
        <v>3800</v>
      </c>
      <c r="J188" s="5">
        <v>21</v>
      </c>
      <c r="K188" s="27">
        <v>0.875</v>
      </c>
      <c r="L188" s="37">
        <f>IF(表1_11[[#This Row],[出勤率]]&gt;1,1,表1_11[[#This Row],[出勤率]])*表1_11[[#This Row],[岗位工资]]</f>
        <v>3325</v>
      </c>
      <c r="M188" s="5">
        <f>LOOKUP(表1_11[[#This Row],[岗位工资]],表13[lookup],表13[奖金比率])*表1_11[[#This Row],[岗位工资]]</f>
        <v>380</v>
      </c>
      <c r="N188" s="5">
        <v>82</v>
      </c>
      <c r="O188" s="38">
        <f>表1_11[[#This Row],[奖金等级]]*表1_11[[#This Row],[绩效得分]]/100</f>
        <v>311.60000000000002</v>
      </c>
      <c r="P188" s="5">
        <f>IF(表1_11[[#This Row],[出勤率]]&gt;=1,200,0)</f>
        <v>0</v>
      </c>
      <c r="Q188" s="23">
        <f t="shared" ca="1" si="2"/>
        <v>500</v>
      </c>
      <c r="R188" s="23">
        <f>IF(表1_11[[#This Row],[中心]]="营销中心",VLOOKUP(表1_11[[#This Row],[职位]],表2[[话费补贴]:[营销中心]],2,0),VLOOKUP(表1_11[[#This Row],[职位]],表2[],3,0))</f>
        <v>0</v>
      </c>
      <c r="S188" s="23">
        <v>200</v>
      </c>
      <c r="T188" s="61">
        <f ca="1">ROUND(SUM(表1_11[[#This Row],[基本工资]],表1_11[[#This Row],[奖金]],表1_11[[#This Row],[全勤奖]:[防暑降温补贴]]),2)</f>
        <v>4336.6000000000004</v>
      </c>
      <c r="U188" s="62">
        <f ca="1">ROUND(表1_11[[#This Row],[税前应发总额]]*8%,2)</f>
        <v>346.93</v>
      </c>
      <c r="V188" s="62">
        <f ca="1">ROUND(表1_11[[#This Row],[税前应发总额]]*2%+3,2)</f>
        <v>89.73</v>
      </c>
      <c r="W188" s="62">
        <f ca="1">ROUND(表1_11[[#This Row],[税前应发总额]]*0.2%,2)</f>
        <v>8.67</v>
      </c>
      <c r="X188" s="62">
        <f ca="1">ROUND(表1_11[[#This Row],[税前应发总额]]*12%,2)</f>
        <v>520.39</v>
      </c>
      <c r="Y188" s="61">
        <f ca="1">ROUND(表1_11[[#This Row],[税前应发总额]]-SUM(表1_11[[#This Row],[养老保险]:[公积金]]),2)</f>
        <v>3370.88</v>
      </c>
      <c r="Z188" s="62">
        <f ca="1">ROUND(MAX((表1_11[[#This Row],[扣保险后工资金额]]-3500)*{3,10,20,25,30,35,45}%-{0,105,555,1005,2755,5505,13505},0),2)</f>
        <v>0</v>
      </c>
      <c r="AA188" s="63">
        <f ca="1">表1_11[[#This Row],[扣保险后工资金额]]-表1_11[[#This Row],[个人所得税]]</f>
        <v>3370.88</v>
      </c>
      <c r="AB188" s="53">
        <v>3604.47</v>
      </c>
      <c r="AC188" s="64">
        <f ca="1">(表1_11[[#This Row],[实发工资]]-表1_11[[#This Row],[上月对比]])/表1_11[[#This Row],[上月对比]]</f>
        <v>-6.4805644103016452E-2</v>
      </c>
      <c r="AD188" s="65" t="s">
        <v>1587</v>
      </c>
    </row>
    <row r="189" spans="1:30">
      <c r="A189" s="43" t="s">
        <v>577</v>
      </c>
      <c r="B189" s="42" t="s">
        <v>664</v>
      </c>
      <c r="C189" s="40" t="s">
        <v>717</v>
      </c>
      <c r="D189" s="40" t="s">
        <v>718</v>
      </c>
      <c r="E189" s="41" t="s">
        <v>1199</v>
      </c>
      <c r="F189" s="5" t="s">
        <v>185</v>
      </c>
      <c r="G189" s="25">
        <v>42405</v>
      </c>
      <c r="H189" s="5" t="s">
        <v>630</v>
      </c>
      <c r="I189" s="5">
        <f>VLOOKUP(MID(表1_11[[#This Row],[工资等级]],1,1),表12[],MATCH(MID(表1_11[[#This Row],[工资等级]],2,2),表12[[#Headers],[1]:[10]],0)+1,0)</f>
        <v>2600</v>
      </c>
      <c r="J189" s="5">
        <v>27</v>
      </c>
      <c r="K189" s="27">
        <v>1.125</v>
      </c>
      <c r="L189" s="37">
        <f>IF(表1_11[[#This Row],[出勤率]]&gt;1,1,表1_11[[#This Row],[出勤率]])*表1_11[[#This Row],[岗位工资]]</f>
        <v>2600</v>
      </c>
      <c r="M189" s="5">
        <f>LOOKUP(表1_11[[#This Row],[岗位工资]],表13[lookup],表13[奖金比率])*表1_11[[#This Row],[岗位工资]]</f>
        <v>260</v>
      </c>
      <c r="N189" s="5">
        <v>89</v>
      </c>
      <c r="O189" s="38">
        <f>表1_11[[#This Row],[奖金等级]]*表1_11[[#This Row],[绩效得分]]/100</f>
        <v>231.4</v>
      </c>
      <c r="P189" s="5">
        <f>IF(表1_11[[#This Row],[出勤率]]&gt;=1,200,0)</f>
        <v>200</v>
      </c>
      <c r="Q189" s="23">
        <f t="shared" ca="1" si="2"/>
        <v>100</v>
      </c>
      <c r="R189" s="23">
        <f>IF(表1_11[[#This Row],[中心]]="营销中心",VLOOKUP(表1_11[[#This Row],[职位]],表2[[话费补贴]:[营销中心]],2,0),VLOOKUP(表1_11[[#This Row],[职位]],表2[],3,0))</f>
        <v>0</v>
      </c>
      <c r="S189" s="23">
        <v>200</v>
      </c>
      <c r="T189" s="61">
        <f ca="1">ROUND(SUM(表1_11[[#This Row],[基本工资]],表1_11[[#This Row],[奖金]],表1_11[[#This Row],[全勤奖]:[防暑降温补贴]]),2)</f>
        <v>3331.4</v>
      </c>
      <c r="U189" s="62">
        <f ca="1">ROUND(表1_11[[#This Row],[税前应发总额]]*8%,2)</f>
        <v>266.51</v>
      </c>
      <c r="V189" s="62">
        <f ca="1">ROUND(表1_11[[#This Row],[税前应发总额]]*2%+3,2)</f>
        <v>69.63</v>
      </c>
      <c r="W189" s="62">
        <f ca="1">ROUND(表1_11[[#This Row],[税前应发总额]]*0.2%,2)</f>
        <v>6.66</v>
      </c>
      <c r="X189" s="62">
        <f ca="1">ROUND(表1_11[[#This Row],[税前应发总额]]*12%,2)</f>
        <v>399.77</v>
      </c>
      <c r="Y189" s="61">
        <f ca="1">ROUND(表1_11[[#This Row],[税前应发总额]]-SUM(表1_11[[#This Row],[养老保险]:[公积金]]),2)</f>
        <v>2588.83</v>
      </c>
      <c r="Z189" s="62">
        <f ca="1">ROUND(MAX((表1_11[[#This Row],[扣保险后工资金额]]-3500)*{3,10,20,25,30,35,45}%-{0,105,555,1005,2755,5505,13505},0),2)</f>
        <v>0</v>
      </c>
      <c r="AA189" s="63">
        <f ca="1">表1_11[[#This Row],[扣保险后工资金额]]-表1_11[[#This Row],[个人所得税]]</f>
        <v>2588.83</v>
      </c>
      <c r="AB189" s="53">
        <v>2613.92</v>
      </c>
      <c r="AC189" s="64">
        <f ca="1">(表1_11[[#This Row],[实发工资]]-表1_11[[#This Row],[上月对比]])/表1_11[[#This Row],[上月对比]]</f>
        <v>-9.5986105160066667E-3</v>
      </c>
      <c r="AD189" s="65" t="s">
        <v>1587</v>
      </c>
    </row>
    <row r="190" spans="1:30">
      <c r="A190" s="43" t="s">
        <v>577</v>
      </c>
      <c r="B190" s="42" t="s">
        <v>664</v>
      </c>
      <c r="C190" s="40" t="s">
        <v>717</v>
      </c>
      <c r="D190" s="40" t="s">
        <v>718</v>
      </c>
      <c r="E190" s="41" t="s">
        <v>1200</v>
      </c>
      <c r="F190" s="5" t="s">
        <v>186</v>
      </c>
      <c r="G190" s="25">
        <v>39963</v>
      </c>
      <c r="H190" s="5" t="s">
        <v>610</v>
      </c>
      <c r="I190" s="5">
        <f>VLOOKUP(MID(表1_11[[#This Row],[工资等级]],1,1),表12[],MATCH(MID(表1_11[[#This Row],[工资等级]],2,2),表12[[#Headers],[1]:[10]],0)+1,0)</f>
        <v>3400</v>
      </c>
      <c r="J190" s="5">
        <v>23</v>
      </c>
      <c r="K190" s="27">
        <v>0.95833333333333337</v>
      </c>
      <c r="L190" s="37">
        <f>IF(表1_11[[#This Row],[出勤率]]&gt;1,1,表1_11[[#This Row],[出勤率]])*表1_11[[#This Row],[岗位工资]]</f>
        <v>3258.3333333333335</v>
      </c>
      <c r="M190" s="5">
        <f>LOOKUP(表1_11[[#This Row],[岗位工资]],表13[lookup],表13[奖金比率])*表1_11[[#This Row],[岗位工资]]</f>
        <v>340</v>
      </c>
      <c r="N190" s="5">
        <v>99</v>
      </c>
      <c r="O190" s="38">
        <f>表1_11[[#This Row],[奖金等级]]*表1_11[[#This Row],[绩效得分]]/100</f>
        <v>336.6</v>
      </c>
      <c r="P190" s="5">
        <f>IF(表1_11[[#This Row],[出勤率]]&gt;=1,200,0)</f>
        <v>0</v>
      </c>
      <c r="Q190" s="23">
        <f t="shared" ca="1" si="2"/>
        <v>400</v>
      </c>
      <c r="R190" s="23">
        <f>IF(表1_11[[#This Row],[中心]]="营销中心",VLOOKUP(表1_11[[#This Row],[职位]],表2[[话费补贴]:[营销中心]],2,0),VLOOKUP(表1_11[[#This Row],[职位]],表2[],3,0))</f>
        <v>0</v>
      </c>
      <c r="S190" s="23">
        <v>200</v>
      </c>
      <c r="T190" s="61">
        <f ca="1">ROUND(SUM(表1_11[[#This Row],[基本工资]],表1_11[[#This Row],[奖金]],表1_11[[#This Row],[全勤奖]:[防暑降温补贴]]),2)</f>
        <v>4194.93</v>
      </c>
      <c r="U190" s="62">
        <f ca="1">ROUND(表1_11[[#This Row],[税前应发总额]]*8%,2)</f>
        <v>335.59</v>
      </c>
      <c r="V190" s="62">
        <f ca="1">ROUND(表1_11[[#This Row],[税前应发总额]]*2%+3,2)</f>
        <v>86.9</v>
      </c>
      <c r="W190" s="62">
        <f ca="1">ROUND(表1_11[[#This Row],[税前应发总额]]*0.2%,2)</f>
        <v>8.39</v>
      </c>
      <c r="X190" s="62">
        <f ca="1">ROUND(表1_11[[#This Row],[税前应发总额]]*12%,2)</f>
        <v>503.39</v>
      </c>
      <c r="Y190" s="61">
        <f ca="1">ROUND(表1_11[[#This Row],[税前应发总额]]-SUM(表1_11[[#This Row],[养老保险]:[公积金]]),2)</f>
        <v>3260.66</v>
      </c>
      <c r="Z190" s="62">
        <f ca="1">ROUND(MAX((表1_11[[#This Row],[扣保险后工资金额]]-3500)*{3,10,20,25,30,35,45}%-{0,105,555,1005,2755,5505,13505},0),2)</f>
        <v>0</v>
      </c>
      <c r="AA190" s="63">
        <f ca="1">表1_11[[#This Row],[扣保险后工资金额]]-表1_11[[#This Row],[个人所得税]]</f>
        <v>3260.66</v>
      </c>
      <c r="AB190" s="53">
        <v>3716.84</v>
      </c>
      <c r="AC190" s="64">
        <f ca="1">(表1_11[[#This Row],[实发工资]]-表1_11[[#This Row],[上月对比]])/表1_11[[#This Row],[上月对比]]</f>
        <v>-0.12273328956855831</v>
      </c>
      <c r="AD190" s="65" t="s">
        <v>1587</v>
      </c>
    </row>
    <row r="191" spans="1:30">
      <c r="A191" s="43" t="s">
        <v>577</v>
      </c>
      <c r="B191" s="42" t="s">
        <v>664</v>
      </c>
      <c r="C191" s="40" t="s">
        <v>599</v>
      </c>
      <c r="D191" s="40" t="s">
        <v>626</v>
      </c>
      <c r="E191" s="41" t="s">
        <v>1201</v>
      </c>
      <c r="F191" s="5" t="s">
        <v>187</v>
      </c>
      <c r="G191" s="25">
        <v>40118</v>
      </c>
      <c r="H191" s="5" t="s">
        <v>630</v>
      </c>
      <c r="I191" s="5">
        <f>VLOOKUP(MID(表1_11[[#This Row],[工资等级]],1,1),表12[],MATCH(MID(表1_11[[#This Row],[工资等级]],2,2),表12[[#Headers],[1]:[10]],0)+1,0)</f>
        <v>2600</v>
      </c>
      <c r="J191" s="5">
        <v>25</v>
      </c>
      <c r="K191" s="27">
        <v>1.0416666666666667</v>
      </c>
      <c r="L191" s="37">
        <f>IF(表1_11[[#This Row],[出勤率]]&gt;1,1,表1_11[[#This Row],[出勤率]])*表1_11[[#This Row],[岗位工资]]</f>
        <v>2600</v>
      </c>
      <c r="M191" s="5">
        <f>LOOKUP(表1_11[[#This Row],[岗位工资]],表13[lookup],表13[奖金比率])*表1_11[[#This Row],[岗位工资]]</f>
        <v>260</v>
      </c>
      <c r="N191" s="5">
        <v>95</v>
      </c>
      <c r="O191" s="38">
        <f>表1_11[[#This Row],[奖金等级]]*表1_11[[#This Row],[绩效得分]]/100</f>
        <v>247</v>
      </c>
      <c r="P191" s="5">
        <f>IF(表1_11[[#This Row],[出勤率]]&gt;=1,200,0)</f>
        <v>200</v>
      </c>
      <c r="Q191" s="23">
        <f t="shared" ca="1" si="2"/>
        <v>400</v>
      </c>
      <c r="R191" s="23">
        <f>IF(表1_11[[#This Row],[中心]]="营销中心",VLOOKUP(表1_11[[#This Row],[职位]],表2[[话费补贴]:[营销中心]],2,0),VLOOKUP(表1_11[[#This Row],[职位]],表2[],3,0))</f>
        <v>0</v>
      </c>
      <c r="S191" s="23">
        <v>200</v>
      </c>
      <c r="T191" s="61">
        <f ca="1">ROUND(SUM(表1_11[[#This Row],[基本工资]],表1_11[[#This Row],[奖金]],表1_11[[#This Row],[全勤奖]:[防暑降温补贴]]),2)</f>
        <v>3647</v>
      </c>
      <c r="U191" s="62">
        <f ca="1">ROUND(表1_11[[#This Row],[税前应发总额]]*8%,2)</f>
        <v>291.76</v>
      </c>
      <c r="V191" s="62">
        <f ca="1">ROUND(表1_11[[#This Row],[税前应发总额]]*2%+3,2)</f>
        <v>75.94</v>
      </c>
      <c r="W191" s="62">
        <f ca="1">ROUND(表1_11[[#This Row],[税前应发总额]]*0.2%,2)</f>
        <v>7.29</v>
      </c>
      <c r="X191" s="62">
        <f ca="1">ROUND(表1_11[[#This Row],[税前应发总额]]*12%,2)</f>
        <v>437.64</v>
      </c>
      <c r="Y191" s="61">
        <f ca="1">ROUND(表1_11[[#This Row],[税前应发总额]]-SUM(表1_11[[#This Row],[养老保险]:[公积金]]),2)</f>
        <v>2834.37</v>
      </c>
      <c r="Z191" s="62">
        <f ca="1">ROUND(MAX((表1_11[[#This Row],[扣保险后工资金额]]-3500)*{3,10,20,25,30,35,45}%-{0,105,555,1005,2755,5505,13505},0),2)</f>
        <v>0</v>
      </c>
      <c r="AA191" s="63">
        <f ca="1">表1_11[[#This Row],[扣保险后工资金额]]-表1_11[[#This Row],[个人所得税]]</f>
        <v>2834.37</v>
      </c>
      <c r="AB191" s="53">
        <v>2551.35</v>
      </c>
      <c r="AC191" s="64">
        <f ca="1">(表1_11[[#This Row],[实发工资]]-表1_11[[#This Row],[上月对比]])/表1_11[[#This Row],[上月对比]]</f>
        <v>0.11092950790757834</v>
      </c>
      <c r="AD191" s="65" t="s">
        <v>1587</v>
      </c>
    </row>
    <row r="192" spans="1:30">
      <c r="A192" s="43" t="s">
        <v>577</v>
      </c>
      <c r="B192" s="42" t="s">
        <v>664</v>
      </c>
      <c r="C192" s="40" t="s">
        <v>599</v>
      </c>
      <c r="D192" s="40" t="s">
        <v>626</v>
      </c>
      <c r="E192" s="41" t="s">
        <v>1202</v>
      </c>
      <c r="F192" s="5" t="s">
        <v>188</v>
      </c>
      <c r="G192" s="25">
        <v>38968</v>
      </c>
      <c r="H192" s="5" t="s">
        <v>622</v>
      </c>
      <c r="I192" s="5">
        <f>VLOOKUP(MID(表1_11[[#This Row],[工资等级]],1,1),表12[],MATCH(MID(表1_11[[#This Row],[工资等级]],2,2),表12[[#Headers],[1]:[10]],0)+1,0)</f>
        <v>3600</v>
      </c>
      <c r="J192" s="5">
        <v>27</v>
      </c>
      <c r="K192" s="27">
        <v>1.125</v>
      </c>
      <c r="L192" s="37">
        <f>IF(表1_11[[#This Row],[出勤率]]&gt;1,1,表1_11[[#This Row],[出勤率]])*表1_11[[#This Row],[岗位工资]]</f>
        <v>3600</v>
      </c>
      <c r="M192" s="5">
        <f>LOOKUP(表1_11[[#This Row],[岗位工资]],表13[lookup],表13[奖金比率])*表1_11[[#This Row],[岗位工资]]</f>
        <v>360</v>
      </c>
      <c r="N192" s="5">
        <v>100</v>
      </c>
      <c r="O192" s="38">
        <f>表1_11[[#This Row],[奖金等级]]*表1_11[[#This Row],[绩效得分]]/100</f>
        <v>360</v>
      </c>
      <c r="P192" s="5">
        <f>IF(表1_11[[#This Row],[出勤率]]&gt;=1,200,0)</f>
        <v>200</v>
      </c>
      <c r="Q192" s="23">
        <f t="shared" ca="1" si="2"/>
        <v>500</v>
      </c>
      <c r="R192" s="23">
        <f>IF(表1_11[[#This Row],[中心]]="营销中心",VLOOKUP(表1_11[[#This Row],[职位]],表2[[话费补贴]:[营销中心]],2,0),VLOOKUP(表1_11[[#This Row],[职位]],表2[],3,0))</f>
        <v>0</v>
      </c>
      <c r="S192" s="23">
        <v>200</v>
      </c>
      <c r="T192" s="61">
        <f ca="1">ROUND(SUM(表1_11[[#This Row],[基本工资]],表1_11[[#This Row],[奖金]],表1_11[[#This Row],[全勤奖]:[防暑降温补贴]]),2)</f>
        <v>4860</v>
      </c>
      <c r="U192" s="62">
        <f ca="1">ROUND(表1_11[[#This Row],[税前应发总额]]*8%,2)</f>
        <v>388.8</v>
      </c>
      <c r="V192" s="62">
        <f ca="1">ROUND(表1_11[[#This Row],[税前应发总额]]*2%+3,2)</f>
        <v>100.2</v>
      </c>
      <c r="W192" s="62">
        <f ca="1">ROUND(表1_11[[#This Row],[税前应发总额]]*0.2%,2)</f>
        <v>9.7200000000000006</v>
      </c>
      <c r="X192" s="62">
        <f ca="1">ROUND(表1_11[[#This Row],[税前应发总额]]*12%,2)</f>
        <v>583.20000000000005</v>
      </c>
      <c r="Y192" s="61">
        <f ca="1">ROUND(表1_11[[#This Row],[税前应发总额]]-SUM(表1_11[[#This Row],[养老保险]:[公积金]]),2)</f>
        <v>3778.08</v>
      </c>
      <c r="Z192" s="62">
        <f ca="1">ROUND(MAX((表1_11[[#This Row],[扣保险后工资金额]]-3500)*{3,10,20,25,30,35,45}%-{0,105,555,1005,2755,5505,13505},0),2)</f>
        <v>8.34</v>
      </c>
      <c r="AA192" s="63">
        <f ca="1">表1_11[[#This Row],[扣保险后工资金额]]-表1_11[[#This Row],[个人所得税]]</f>
        <v>3769.74</v>
      </c>
      <c r="AB192" s="53">
        <v>3777.25</v>
      </c>
      <c r="AC192" s="64">
        <f ca="1">(表1_11[[#This Row],[实发工资]]-表1_11[[#This Row],[上月对比]])/表1_11[[#This Row],[上月对比]]</f>
        <v>-1.9882189423522981E-3</v>
      </c>
      <c r="AD192" s="65" t="s">
        <v>1587</v>
      </c>
    </row>
    <row r="193" spans="1:30">
      <c r="A193" s="43" t="s">
        <v>577</v>
      </c>
      <c r="B193" s="42" t="s">
        <v>664</v>
      </c>
      <c r="C193" s="40" t="s">
        <v>717</v>
      </c>
      <c r="D193" s="40" t="s">
        <v>718</v>
      </c>
      <c r="E193" s="41" t="s">
        <v>1203</v>
      </c>
      <c r="F193" s="5" t="s">
        <v>189</v>
      </c>
      <c r="G193" s="25">
        <v>41471</v>
      </c>
      <c r="H193" s="5" t="s">
        <v>657</v>
      </c>
      <c r="I193" s="5">
        <f>VLOOKUP(MID(表1_11[[#This Row],[工资等级]],1,1),表12[],MATCH(MID(表1_11[[#This Row],[工资等级]],2,2),表12[[#Headers],[1]:[10]],0)+1,0)</f>
        <v>4000</v>
      </c>
      <c r="J193" s="5">
        <v>25</v>
      </c>
      <c r="K193" s="27">
        <v>1.0416666666666667</v>
      </c>
      <c r="L193" s="37">
        <f>IF(表1_11[[#This Row],[出勤率]]&gt;1,1,表1_11[[#This Row],[出勤率]])*表1_11[[#This Row],[岗位工资]]</f>
        <v>4000</v>
      </c>
      <c r="M193" s="5">
        <f>LOOKUP(表1_11[[#This Row],[岗位工资]],表13[lookup],表13[奖金比率])*表1_11[[#This Row],[岗位工资]]</f>
        <v>600</v>
      </c>
      <c r="N193" s="5">
        <v>81</v>
      </c>
      <c r="O193" s="38">
        <f>表1_11[[#This Row],[奖金等级]]*表1_11[[#This Row],[绩效得分]]/100</f>
        <v>486</v>
      </c>
      <c r="P193" s="5">
        <f>IF(表1_11[[#This Row],[出勤率]]&gt;=1,200,0)</f>
        <v>200</v>
      </c>
      <c r="Q193" s="23">
        <f t="shared" ca="1" si="2"/>
        <v>200</v>
      </c>
      <c r="R193" s="23">
        <f>IF(表1_11[[#This Row],[中心]]="营销中心",VLOOKUP(表1_11[[#This Row],[职位]],表2[[话费补贴]:[营销中心]],2,0),VLOOKUP(表1_11[[#This Row],[职位]],表2[],3,0))</f>
        <v>0</v>
      </c>
      <c r="S193" s="23">
        <v>200</v>
      </c>
      <c r="T193" s="61">
        <f ca="1">ROUND(SUM(表1_11[[#This Row],[基本工资]],表1_11[[#This Row],[奖金]],表1_11[[#This Row],[全勤奖]:[防暑降温补贴]]),2)</f>
        <v>5086</v>
      </c>
      <c r="U193" s="62">
        <f ca="1">ROUND(表1_11[[#This Row],[税前应发总额]]*8%,2)</f>
        <v>406.88</v>
      </c>
      <c r="V193" s="62">
        <f ca="1">ROUND(表1_11[[#This Row],[税前应发总额]]*2%+3,2)</f>
        <v>104.72</v>
      </c>
      <c r="W193" s="62">
        <f ca="1">ROUND(表1_11[[#This Row],[税前应发总额]]*0.2%,2)</f>
        <v>10.17</v>
      </c>
      <c r="X193" s="62">
        <f ca="1">ROUND(表1_11[[#This Row],[税前应发总额]]*12%,2)</f>
        <v>610.32000000000005</v>
      </c>
      <c r="Y193" s="61">
        <f ca="1">ROUND(表1_11[[#This Row],[税前应发总额]]-SUM(表1_11[[#This Row],[养老保险]:[公积金]]),2)</f>
        <v>3953.91</v>
      </c>
      <c r="Z193" s="62">
        <f ca="1">ROUND(MAX((表1_11[[#This Row],[扣保险后工资金额]]-3500)*{3,10,20,25,30,35,45}%-{0,105,555,1005,2755,5505,13505},0),2)</f>
        <v>13.62</v>
      </c>
      <c r="AA193" s="63">
        <f ca="1">表1_11[[#This Row],[扣保险后工资金额]]-表1_11[[#This Row],[个人所得税]]</f>
        <v>3940.29</v>
      </c>
      <c r="AB193" s="53">
        <v>3363.36</v>
      </c>
      <c r="AC193" s="64">
        <f ca="1">(表1_11[[#This Row],[实发工资]]-表1_11[[#This Row],[上月对比]])/表1_11[[#This Row],[上月对比]]</f>
        <v>0.17153382331953754</v>
      </c>
      <c r="AD193" s="65" t="s">
        <v>1587</v>
      </c>
    </row>
    <row r="194" spans="1:30">
      <c r="A194" s="43" t="s">
        <v>577</v>
      </c>
      <c r="B194" s="42" t="s">
        <v>664</v>
      </c>
      <c r="C194" s="40" t="s">
        <v>719</v>
      </c>
      <c r="D194" s="40" t="s">
        <v>720</v>
      </c>
      <c r="E194" s="41" t="s">
        <v>1204</v>
      </c>
      <c r="F194" s="5" t="s">
        <v>190</v>
      </c>
      <c r="G194" s="25">
        <v>41689</v>
      </c>
      <c r="H194" s="5" t="s">
        <v>623</v>
      </c>
      <c r="I194" s="5">
        <f>VLOOKUP(MID(表1_11[[#This Row],[工资等级]],1,1),表12[],MATCH(MID(表1_11[[#This Row],[工资等级]],2,2),表12[[#Headers],[1]:[10]],0)+1,0)</f>
        <v>3800</v>
      </c>
      <c r="J194" s="5">
        <v>22</v>
      </c>
      <c r="K194" s="27">
        <v>0.91666666666666663</v>
      </c>
      <c r="L194" s="37">
        <f>IF(表1_11[[#This Row],[出勤率]]&gt;1,1,表1_11[[#This Row],[出勤率]])*表1_11[[#This Row],[岗位工资]]</f>
        <v>3483.333333333333</v>
      </c>
      <c r="M194" s="5">
        <f>LOOKUP(表1_11[[#This Row],[岗位工资]],表13[lookup],表13[奖金比率])*表1_11[[#This Row],[岗位工资]]</f>
        <v>380</v>
      </c>
      <c r="N194" s="5">
        <v>86</v>
      </c>
      <c r="O194" s="38">
        <f>表1_11[[#This Row],[奖金等级]]*表1_11[[#This Row],[绩效得分]]/100</f>
        <v>326.8</v>
      </c>
      <c r="P194" s="5">
        <f>IF(表1_11[[#This Row],[出勤率]]&gt;=1,200,0)</f>
        <v>0</v>
      </c>
      <c r="Q194" s="23">
        <f t="shared" ref="Q194:Q257" ca="1" si="3">IF(工龄&gt;=10,500,工龄*50)</f>
        <v>200</v>
      </c>
      <c r="R194" s="23">
        <f>IF(表1_11[[#This Row],[中心]]="营销中心",VLOOKUP(表1_11[[#This Row],[职位]],表2[[话费补贴]:[营销中心]],2,0),VLOOKUP(表1_11[[#This Row],[职位]],表2[],3,0))</f>
        <v>0</v>
      </c>
      <c r="S194" s="23">
        <v>200</v>
      </c>
      <c r="T194" s="61">
        <f ca="1">ROUND(SUM(表1_11[[#This Row],[基本工资]],表1_11[[#This Row],[奖金]],表1_11[[#This Row],[全勤奖]:[防暑降温补贴]]),2)</f>
        <v>4210.13</v>
      </c>
      <c r="U194" s="62">
        <f ca="1">ROUND(表1_11[[#This Row],[税前应发总额]]*8%,2)</f>
        <v>336.81</v>
      </c>
      <c r="V194" s="62">
        <f ca="1">ROUND(表1_11[[#This Row],[税前应发总额]]*2%+3,2)</f>
        <v>87.2</v>
      </c>
      <c r="W194" s="62">
        <f ca="1">ROUND(表1_11[[#This Row],[税前应发总额]]*0.2%,2)</f>
        <v>8.42</v>
      </c>
      <c r="X194" s="62">
        <f ca="1">ROUND(表1_11[[#This Row],[税前应发总额]]*12%,2)</f>
        <v>505.22</v>
      </c>
      <c r="Y194" s="61">
        <f ca="1">ROUND(表1_11[[#This Row],[税前应发总额]]-SUM(表1_11[[#This Row],[养老保险]:[公积金]]),2)</f>
        <v>3272.48</v>
      </c>
      <c r="Z194" s="62">
        <f ca="1">ROUND(MAX((表1_11[[#This Row],[扣保险后工资金额]]-3500)*{3,10,20,25,30,35,45}%-{0,105,555,1005,2755,5505,13505},0),2)</f>
        <v>0</v>
      </c>
      <c r="AA194" s="63">
        <f ca="1">表1_11[[#This Row],[扣保险后工资金额]]-表1_11[[#This Row],[个人所得税]]</f>
        <v>3272.48</v>
      </c>
      <c r="AB194" s="53">
        <v>3163.12</v>
      </c>
      <c r="AC194" s="64">
        <f ca="1">(表1_11[[#This Row],[实发工资]]-表1_11[[#This Row],[上月对比]])/表1_11[[#This Row],[上月对比]]</f>
        <v>3.4573459116315576E-2</v>
      </c>
      <c r="AD194" s="65" t="s">
        <v>1587</v>
      </c>
    </row>
    <row r="195" spans="1:30">
      <c r="A195" s="43" t="s">
        <v>577</v>
      </c>
      <c r="B195" s="42" t="s">
        <v>664</v>
      </c>
      <c r="C195" s="40" t="s">
        <v>711</v>
      </c>
      <c r="D195" s="40" t="s">
        <v>712</v>
      </c>
      <c r="E195" s="41" t="s">
        <v>1205</v>
      </c>
      <c r="F195" s="5" t="s">
        <v>191</v>
      </c>
      <c r="G195" s="25">
        <v>41154</v>
      </c>
      <c r="H195" s="5" t="s">
        <v>615</v>
      </c>
      <c r="I195" s="5">
        <f>VLOOKUP(MID(表1_11[[#This Row],[工资等级]],1,1),表12[],MATCH(MID(表1_11[[#This Row],[工资等级]],2,2),表12[[#Headers],[1]:[10]],0)+1,0)</f>
        <v>3200</v>
      </c>
      <c r="J195" s="5">
        <v>27.5</v>
      </c>
      <c r="K195" s="27">
        <v>1.1458333333333333</v>
      </c>
      <c r="L195" s="37">
        <f>IF(表1_11[[#This Row],[出勤率]]&gt;1,1,表1_11[[#This Row],[出勤率]])*表1_11[[#This Row],[岗位工资]]</f>
        <v>3200</v>
      </c>
      <c r="M195" s="5">
        <f>LOOKUP(表1_11[[#This Row],[岗位工资]],表13[lookup],表13[奖金比率])*表1_11[[#This Row],[岗位工资]]</f>
        <v>320</v>
      </c>
      <c r="N195" s="5">
        <v>89</v>
      </c>
      <c r="O195" s="38">
        <f>表1_11[[#This Row],[奖金等级]]*表1_11[[#This Row],[绩效得分]]/100</f>
        <v>284.8</v>
      </c>
      <c r="P195" s="5">
        <f>IF(表1_11[[#This Row],[出勤率]]&gt;=1,200,0)</f>
        <v>200</v>
      </c>
      <c r="Q195" s="23">
        <f t="shared" ca="1" si="3"/>
        <v>250</v>
      </c>
      <c r="R195" s="23">
        <f>IF(表1_11[[#This Row],[中心]]="营销中心",VLOOKUP(表1_11[[#This Row],[职位]],表2[[话费补贴]:[营销中心]],2,0),VLOOKUP(表1_11[[#This Row],[职位]],表2[],3,0))</f>
        <v>0</v>
      </c>
      <c r="S195" s="23">
        <v>200</v>
      </c>
      <c r="T195" s="61">
        <f ca="1">ROUND(SUM(表1_11[[#This Row],[基本工资]],表1_11[[#This Row],[奖金]],表1_11[[#This Row],[全勤奖]:[防暑降温补贴]]),2)</f>
        <v>4134.8</v>
      </c>
      <c r="U195" s="62">
        <f ca="1">ROUND(表1_11[[#This Row],[税前应发总额]]*8%,2)</f>
        <v>330.78</v>
      </c>
      <c r="V195" s="62">
        <f ca="1">ROUND(表1_11[[#This Row],[税前应发总额]]*2%+3,2)</f>
        <v>85.7</v>
      </c>
      <c r="W195" s="62">
        <f ca="1">ROUND(表1_11[[#This Row],[税前应发总额]]*0.2%,2)</f>
        <v>8.27</v>
      </c>
      <c r="X195" s="62">
        <f ca="1">ROUND(表1_11[[#This Row],[税前应发总额]]*12%,2)</f>
        <v>496.18</v>
      </c>
      <c r="Y195" s="61">
        <f ca="1">ROUND(表1_11[[#This Row],[税前应发总额]]-SUM(表1_11[[#This Row],[养老保险]:[公积金]]),2)</f>
        <v>3213.87</v>
      </c>
      <c r="Z195" s="62">
        <f ca="1">ROUND(MAX((表1_11[[#This Row],[扣保险后工资金额]]-3500)*{3,10,20,25,30,35,45}%-{0,105,555,1005,2755,5505,13505},0),2)</f>
        <v>0</v>
      </c>
      <c r="AA195" s="63">
        <f ca="1">表1_11[[#This Row],[扣保险后工资金额]]-表1_11[[#This Row],[个人所得税]]</f>
        <v>3213.87</v>
      </c>
      <c r="AB195" s="53">
        <v>3458.01</v>
      </c>
      <c r="AC195" s="64">
        <f ca="1">(表1_11[[#This Row],[实发工资]]-表1_11[[#This Row],[上月对比]])/表1_11[[#This Row],[上月对比]]</f>
        <v>-7.0601299591383573E-2</v>
      </c>
      <c r="AD195" s="65" t="s">
        <v>1587</v>
      </c>
    </row>
    <row r="196" spans="1:30">
      <c r="A196" s="43" t="s">
        <v>577</v>
      </c>
      <c r="B196" s="42" t="s">
        <v>664</v>
      </c>
      <c r="C196" s="40" t="s">
        <v>673</v>
      </c>
      <c r="D196" s="40" t="s">
        <v>674</v>
      </c>
      <c r="E196" s="41" t="s">
        <v>1206</v>
      </c>
      <c r="F196" s="5" t="s">
        <v>192</v>
      </c>
      <c r="G196" s="25">
        <v>38841</v>
      </c>
      <c r="H196" s="5" t="s">
        <v>615</v>
      </c>
      <c r="I196" s="5">
        <f>VLOOKUP(MID(表1_11[[#This Row],[工资等级]],1,1),表12[],MATCH(MID(表1_11[[#This Row],[工资等级]],2,2),表12[[#Headers],[1]:[10]],0)+1,0)</f>
        <v>3200</v>
      </c>
      <c r="J196" s="5">
        <v>24</v>
      </c>
      <c r="K196" s="27">
        <v>1</v>
      </c>
      <c r="L196" s="37">
        <f>IF(表1_11[[#This Row],[出勤率]]&gt;1,1,表1_11[[#This Row],[出勤率]])*表1_11[[#This Row],[岗位工资]]</f>
        <v>3200</v>
      </c>
      <c r="M196" s="5">
        <f>LOOKUP(表1_11[[#This Row],[岗位工资]],表13[lookup],表13[奖金比率])*表1_11[[#This Row],[岗位工资]]</f>
        <v>320</v>
      </c>
      <c r="N196" s="5">
        <v>100</v>
      </c>
      <c r="O196" s="38">
        <f>表1_11[[#This Row],[奖金等级]]*表1_11[[#This Row],[绩效得分]]/100</f>
        <v>320</v>
      </c>
      <c r="P196" s="5">
        <f>IF(表1_11[[#This Row],[出勤率]]&gt;=1,200,0)</f>
        <v>200</v>
      </c>
      <c r="Q196" s="23">
        <f t="shared" ca="1" si="3"/>
        <v>500</v>
      </c>
      <c r="R196" s="23">
        <f>IF(表1_11[[#This Row],[中心]]="营销中心",VLOOKUP(表1_11[[#This Row],[职位]],表2[[话费补贴]:[营销中心]],2,0),VLOOKUP(表1_11[[#This Row],[职位]],表2[],3,0))</f>
        <v>0</v>
      </c>
      <c r="S196" s="23">
        <v>200</v>
      </c>
      <c r="T196" s="61">
        <f ca="1">ROUND(SUM(表1_11[[#This Row],[基本工资]],表1_11[[#This Row],[奖金]],表1_11[[#This Row],[全勤奖]:[防暑降温补贴]]),2)</f>
        <v>4420</v>
      </c>
      <c r="U196" s="62">
        <f ca="1">ROUND(表1_11[[#This Row],[税前应发总额]]*8%,2)</f>
        <v>353.6</v>
      </c>
      <c r="V196" s="62">
        <f ca="1">ROUND(表1_11[[#This Row],[税前应发总额]]*2%+3,2)</f>
        <v>91.4</v>
      </c>
      <c r="W196" s="62">
        <f ca="1">ROUND(表1_11[[#This Row],[税前应发总额]]*0.2%,2)</f>
        <v>8.84</v>
      </c>
      <c r="X196" s="62">
        <f ca="1">ROUND(表1_11[[#This Row],[税前应发总额]]*12%,2)</f>
        <v>530.4</v>
      </c>
      <c r="Y196" s="61">
        <f ca="1">ROUND(表1_11[[#This Row],[税前应发总额]]-SUM(表1_11[[#This Row],[养老保险]:[公积金]]),2)</f>
        <v>3435.76</v>
      </c>
      <c r="Z196" s="62">
        <f ca="1">ROUND(MAX((表1_11[[#This Row],[扣保险后工资金额]]-3500)*{3,10,20,25,30,35,45}%-{0,105,555,1005,2755,5505,13505},0),2)</f>
        <v>0</v>
      </c>
      <c r="AA196" s="63">
        <f ca="1">表1_11[[#This Row],[扣保险后工资金额]]-表1_11[[#This Row],[个人所得税]]</f>
        <v>3435.76</v>
      </c>
      <c r="AB196" s="53">
        <v>4116.9399999999996</v>
      </c>
      <c r="AC196" s="64">
        <f ca="1">(表1_11[[#This Row],[实发工资]]-表1_11[[#This Row],[上月对比]])/表1_11[[#This Row],[上月对比]]</f>
        <v>-0.16545784004624781</v>
      </c>
      <c r="AD196" s="65" t="s">
        <v>1587</v>
      </c>
    </row>
    <row r="197" spans="1:30">
      <c r="A197" s="43" t="s">
        <v>577</v>
      </c>
      <c r="B197" s="42" t="s">
        <v>664</v>
      </c>
      <c r="C197" s="40" t="s">
        <v>599</v>
      </c>
      <c r="D197" s="40" t="s">
        <v>626</v>
      </c>
      <c r="E197" s="41" t="s">
        <v>1207</v>
      </c>
      <c r="F197" s="5" t="s">
        <v>193</v>
      </c>
      <c r="G197" s="25">
        <v>40255</v>
      </c>
      <c r="H197" s="5" t="s">
        <v>610</v>
      </c>
      <c r="I197" s="5">
        <f>VLOOKUP(MID(表1_11[[#This Row],[工资等级]],1,1),表12[],MATCH(MID(表1_11[[#This Row],[工资等级]],2,2),表12[[#Headers],[1]:[10]],0)+1,0)</f>
        <v>3400</v>
      </c>
      <c r="J197" s="5">
        <v>25.5</v>
      </c>
      <c r="K197" s="27">
        <v>1.0625</v>
      </c>
      <c r="L197" s="37">
        <f>IF(表1_11[[#This Row],[出勤率]]&gt;1,1,表1_11[[#This Row],[出勤率]])*表1_11[[#This Row],[岗位工资]]</f>
        <v>3400</v>
      </c>
      <c r="M197" s="5">
        <f>LOOKUP(表1_11[[#This Row],[岗位工资]],表13[lookup],表13[奖金比率])*表1_11[[#This Row],[岗位工资]]</f>
        <v>340</v>
      </c>
      <c r="N197" s="5">
        <v>85</v>
      </c>
      <c r="O197" s="38">
        <f>表1_11[[#This Row],[奖金等级]]*表1_11[[#This Row],[绩效得分]]/100</f>
        <v>289</v>
      </c>
      <c r="P197" s="5">
        <f>IF(表1_11[[#This Row],[出勤率]]&gt;=1,200,0)</f>
        <v>200</v>
      </c>
      <c r="Q197" s="23">
        <f t="shared" ca="1" si="3"/>
        <v>350</v>
      </c>
      <c r="R197" s="23">
        <f>IF(表1_11[[#This Row],[中心]]="营销中心",VLOOKUP(表1_11[[#This Row],[职位]],表2[[话费补贴]:[营销中心]],2,0),VLOOKUP(表1_11[[#This Row],[职位]],表2[],3,0))</f>
        <v>0</v>
      </c>
      <c r="S197" s="23">
        <v>200</v>
      </c>
      <c r="T197" s="61">
        <f ca="1">ROUND(SUM(表1_11[[#This Row],[基本工资]],表1_11[[#This Row],[奖金]],表1_11[[#This Row],[全勤奖]:[防暑降温补贴]]),2)</f>
        <v>4439</v>
      </c>
      <c r="U197" s="62">
        <f ca="1">ROUND(表1_11[[#This Row],[税前应发总额]]*8%,2)</f>
        <v>355.12</v>
      </c>
      <c r="V197" s="62">
        <f ca="1">ROUND(表1_11[[#This Row],[税前应发总额]]*2%+3,2)</f>
        <v>91.78</v>
      </c>
      <c r="W197" s="62">
        <f ca="1">ROUND(表1_11[[#This Row],[税前应发总额]]*0.2%,2)</f>
        <v>8.8800000000000008</v>
      </c>
      <c r="X197" s="62">
        <f ca="1">ROUND(表1_11[[#This Row],[税前应发总额]]*12%,2)</f>
        <v>532.67999999999995</v>
      </c>
      <c r="Y197" s="61">
        <f ca="1">ROUND(表1_11[[#This Row],[税前应发总额]]-SUM(表1_11[[#This Row],[养老保险]:[公积金]]),2)</f>
        <v>3450.54</v>
      </c>
      <c r="Z197" s="62">
        <f ca="1">ROUND(MAX((表1_11[[#This Row],[扣保险后工资金额]]-3500)*{3,10,20,25,30,35,45}%-{0,105,555,1005,2755,5505,13505},0),2)</f>
        <v>0</v>
      </c>
      <c r="AA197" s="63">
        <f ca="1">表1_11[[#This Row],[扣保险后工资金额]]-表1_11[[#This Row],[个人所得税]]</f>
        <v>3450.54</v>
      </c>
      <c r="AB197" s="53">
        <v>3071.39</v>
      </c>
      <c r="AC197" s="64">
        <f ca="1">(表1_11[[#This Row],[实发工资]]-表1_11[[#This Row],[上月对比]])/表1_11[[#This Row],[上月对比]]</f>
        <v>0.12344573629529304</v>
      </c>
      <c r="AD197" s="65" t="s">
        <v>1587</v>
      </c>
    </row>
    <row r="198" spans="1:30">
      <c r="A198" s="43" t="s">
        <v>577</v>
      </c>
      <c r="B198" s="42" t="s">
        <v>664</v>
      </c>
      <c r="C198" s="40" t="s">
        <v>717</v>
      </c>
      <c r="D198" s="40" t="s">
        <v>718</v>
      </c>
      <c r="E198" s="41" t="s">
        <v>1208</v>
      </c>
      <c r="F198" s="5" t="s">
        <v>194</v>
      </c>
      <c r="G198" s="25">
        <v>41859</v>
      </c>
      <c r="H198" s="5" t="s">
        <v>612</v>
      </c>
      <c r="I198" s="5">
        <f>VLOOKUP(MID(表1_11[[#This Row],[工资等级]],1,1),表12[],MATCH(MID(表1_11[[#This Row],[工资等级]],2,2),表12[[#Headers],[1]:[10]],0)+1,0)</f>
        <v>2700</v>
      </c>
      <c r="J198" s="5">
        <v>22.5</v>
      </c>
      <c r="K198" s="27">
        <v>0.9375</v>
      </c>
      <c r="L198" s="37">
        <f>IF(表1_11[[#This Row],[出勤率]]&gt;1,1,表1_11[[#This Row],[出勤率]])*表1_11[[#This Row],[岗位工资]]</f>
        <v>2531.25</v>
      </c>
      <c r="M198" s="5">
        <f>LOOKUP(表1_11[[#This Row],[岗位工资]],表13[lookup],表13[奖金比率])*表1_11[[#This Row],[岗位工资]]</f>
        <v>270</v>
      </c>
      <c r="N198" s="5">
        <v>99</v>
      </c>
      <c r="O198" s="38">
        <f>表1_11[[#This Row],[奖金等级]]*表1_11[[#This Row],[绩效得分]]/100</f>
        <v>267.3</v>
      </c>
      <c r="P198" s="5">
        <f>IF(表1_11[[#This Row],[出勤率]]&gt;=1,200,0)</f>
        <v>0</v>
      </c>
      <c r="Q198" s="23">
        <f t="shared" ca="1" si="3"/>
        <v>150</v>
      </c>
      <c r="R198" s="23">
        <f>IF(表1_11[[#This Row],[中心]]="营销中心",VLOOKUP(表1_11[[#This Row],[职位]],表2[[话费补贴]:[营销中心]],2,0),VLOOKUP(表1_11[[#This Row],[职位]],表2[],3,0))</f>
        <v>0</v>
      </c>
      <c r="S198" s="23">
        <v>200</v>
      </c>
      <c r="T198" s="61">
        <f ca="1">ROUND(SUM(表1_11[[#This Row],[基本工资]],表1_11[[#This Row],[奖金]],表1_11[[#This Row],[全勤奖]:[防暑降温补贴]]),2)</f>
        <v>3148.55</v>
      </c>
      <c r="U198" s="62">
        <f ca="1">ROUND(表1_11[[#This Row],[税前应发总额]]*8%,2)</f>
        <v>251.88</v>
      </c>
      <c r="V198" s="62">
        <f ca="1">ROUND(表1_11[[#This Row],[税前应发总额]]*2%+3,2)</f>
        <v>65.97</v>
      </c>
      <c r="W198" s="62">
        <f ca="1">ROUND(表1_11[[#This Row],[税前应发总额]]*0.2%,2)</f>
        <v>6.3</v>
      </c>
      <c r="X198" s="62">
        <f ca="1">ROUND(表1_11[[#This Row],[税前应发总额]]*12%,2)</f>
        <v>377.83</v>
      </c>
      <c r="Y198" s="61">
        <f ca="1">ROUND(表1_11[[#This Row],[税前应发总额]]-SUM(表1_11[[#This Row],[养老保险]:[公积金]]),2)</f>
        <v>2446.5700000000002</v>
      </c>
      <c r="Z198" s="62">
        <f ca="1">ROUND(MAX((表1_11[[#This Row],[扣保险后工资金额]]-3500)*{3,10,20,25,30,35,45}%-{0,105,555,1005,2755,5505,13505},0),2)</f>
        <v>0</v>
      </c>
      <c r="AA198" s="63">
        <f ca="1">表1_11[[#This Row],[扣保险后工资金额]]-表1_11[[#This Row],[个人所得税]]</f>
        <v>2446.5700000000002</v>
      </c>
      <c r="AB198" s="53">
        <v>2722.92</v>
      </c>
      <c r="AC198" s="64">
        <f ca="1">(表1_11[[#This Row],[实发工资]]-表1_11[[#This Row],[上月对比]])/表1_11[[#This Row],[上月对比]]</f>
        <v>-0.10149031187107954</v>
      </c>
      <c r="AD198" s="65" t="s">
        <v>1587</v>
      </c>
    </row>
    <row r="199" spans="1:30">
      <c r="A199" s="43" t="s">
        <v>577</v>
      </c>
      <c r="B199" s="42" t="s">
        <v>664</v>
      </c>
      <c r="C199" s="40" t="s">
        <v>719</v>
      </c>
      <c r="D199" s="40" t="s">
        <v>720</v>
      </c>
      <c r="E199" s="41" t="s">
        <v>1209</v>
      </c>
      <c r="F199" s="5" t="s">
        <v>195</v>
      </c>
      <c r="G199" s="25">
        <v>40605</v>
      </c>
      <c r="H199" s="5" t="s">
        <v>657</v>
      </c>
      <c r="I199" s="5">
        <f>VLOOKUP(MID(表1_11[[#This Row],[工资等级]],1,1),表12[],MATCH(MID(表1_11[[#This Row],[工资等级]],2,2),表12[[#Headers],[1]:[10]],0)+1,0)</f>
        <v>4000</v>
      </c>
      <c r="J199" s="5">
        <v>26.5</v>
      </c>
      <c r="K199" s="27">
        <v>1.1041666666666667</v>
      </c>
      <c r="L199" s="37">
        <f>IF(表1_11[[#This Row],[出勤率]]&gt;1,1,表1_11[[#This Row],[出勤率]])*表1_11[[#This Row],[岗位工资]]</f>
        <v>4000</v>
      </c>
      <c r="M199" s="5">
        <f>LOOKUP(表1_11[[#This Row],[岗位工资]],表13[lookup],表13[奖金比率])*表1_11[[#This Row],[岗位工资]]</f>
        <v>600</v>
      </c>
      <c r="N199" s="5">
        <v>87</v>
      </c>
      <c r="O199" s="38">
        <f>表1_11[[#This Row],[奖金等级]]*表1_11[[#This Row],[绩效得分]]/100</f>
        <v>522</v>
      </c>
      <c r="P199" s="5">
        <f>IF(表1_11[[#This Row],[出勤率]]&gt;=1,200,0)</f>
        <v>200</v>
      </c>
      <c r="Q199" s="23">
        <f t="shared" ca="1" si="3"/>
        <v>350</v>
      </c>
      <c r="R199" s="23">
        <f>IF(表1_11[[#This Row],[中心]]="营销中心",VLOOKUP(表1_11[[#This Row],[职位]],表2[[话费补贴]:[营销中心]],2,0),VLOOKUP(表1_11[[#This Row],[职位]],表2[],3,0))</f>
        <v>0</v>
      </c>
      <c r="S199" s="23">
        <v>200</v>
      </c>
      <c r="T199" s="61">
        <f ca="1">ROUND(SUM(表1_11[[#This Row],[基本工资]],表1_11[[#This Row],[奖金]],表1_11[[#This Row],[全勤奖]:[防暑降温补贴]]),2)</f>
        <v>5272</v>
      </c>
      <c r="U199" s="62">
        <f ca="1">ROUND(表1_11[[#This Row],[税前应发总额]]*8%,2)</f>
        <v>421.76</v>
      </c>
      <c r="V199" s="62">
        <f ca="1">ROUND(表1_11[[#This Row],[税前应发总额]]*2%+3,2)</f>
        <v>108.44</v>
      </c>
      <c r="W199" s="62">
        <f ca="1">ROUND(表1_11[[#This Row],[税前应发总额]]*0.2%,2)</f>
        <v>10.54</v>
      </c>
      <c r="X199" s="62">
        <f ca="1">ROUND(表1_11[[#This Row],[税前应发总额]]*12%,2)</f>
        <v>632.64</v>
      </c>
      <c r="Y199" s="61">
        <f ca="1">ROUND(表1_11[[#This Row],[税前应发总额]]-SUM(表1_11[[#This Row],[养老保险]:[公积金]]),2)</f>
        <v>4098.62</v>
      </c>
      <c r="Z199" s="62">
        <f ca="1">ROUND(MAX((表1_11[[#This Row],[扣保险后工资金额]]-3500)*{3,10,20,25,30,35,45}%-{0,105,555,1005,2755,5505,13505},0),2)</f>
        <v>17.96</v>
      </c>
      <c r="AA199" s="63">
        <f ca="1">表1_11[[#This Row],[扣保险后工资金额]]-表1_11[[#This Row],[个人所得税]]</f>
        <v>4080.66</v>
      </c>
      <c r="AB199" s="53">
        <v>3889.9</v>
      </c>
      <c r="AC199" s="64">
        <f ca="1">(表1_11[[#This Row],[实发工资]]-表1_11[[#This Row],[上月对比]])/表1_11[[#This Row],[上月对比]]</f>
        <v>4.903982107509184E-2</v>
      </c>
      <c r="AD199" s="65" t="s">
        <v>1587</v>
      </c>
    </row>
    <row r="200" spans="1:30">
      <c r="A200" s="43" t="s">
        <v>577</v>
      </c>
      <c r="B200" s="42" t="s">
        <v>664</v>
      </c>
      <c r="C200" s="40" t="s">
        <v>711</v>
      </c>
      <c r="D200" s="40" t="s">
        <v>712</v>
      </c>
      <c r="E200" s="41" t="s">
        <v>1210</v>
      </c>
      <c r="F200" s="5" t="s">
        <v>196</v>
      </c>
      <c r="G200" s="25">
        <v>42195</v>
      </c>
      <c r="H200" s="5" t="s">
        <v>630</v>
      </c>
      <c r="I200" s="5">
        <f>VLOOKUP(MID(表1_11[[#This Row],[工资等级]],1,1),表12[],MATCH(MID(表1_11[[#This Row],[工资等级]],2,2),表12[[#Headers],[1]:[10]],0)+1,0)</f>
        <v>2600</v>
      </c>
      <c r="J200" s="5">
        <v>21.5</v>
      </c>
      <c r="K200" s="27">
        <v>0.89583333333333337</v>
      </c>
      <c r="L200" s="37">
        <f>IF(表1_11[[#This Row],[出勤率]]&gt;1,1,表1_11[[#This Row],[出勤率]])*表1_11[[#This Row],[岗位工资]]</f>
        <v>2329.166666666667</v>
      </c>
      <c r="M200" s="5">
        <f>LOOKUP(表1_11[[#This Row],[岗位工资]],表13[lookup],表13[奖金比率])*表1_11[[#This Row],[岗位工资]]</f>
        <v>260</v>
      </c>
      <c r="N200" s="5">
        <v>84</v>
      </c>
      <c r="O200" s="38">
        <f>表1_11[[#This Row],[奖金等级]]*表1_11[[#This Row],[绩效得分]]/100</f>
        <v>218.4</v>
      </c>
      <c r="P200" s="5">
        <f>IF(表1_11[[#This Row],[出勤率]]&gt;=1,200,0)</f>
        <v>0</v>
      </c>
      <c r="Q200" s="23">
        <f t="shared" ca="1" si="3"/>
        <v>100</v>
      </c>
      <c r="R200" s="23">
        <f>IF(表1_11[[#This Row],[中心]]="营销中心",VLOOKUP(表1_11[[#This Row],[职位]],表2[[话费补贴]:[营销中心]],2,0),VLOOKUP(表1_11[[#This Row],[职位]],表2[],3,0))</f>
        <v>0</v>
      </c>
      <c r="S200" s="23">
        <v>200</v>
      </c>
      <c r="T200" s="61">
        <f ca="1">ROUND(SUM(表1_11[[#This Row],[基本工资]],表1_11[[#This Row],[奖金]],表1_11[[#This Row],[全勤奖]:[防暑降温补贴]]),2)</f>
        <v>2847.57</v>
      </c>
      <c r="U200" s="62">
        <f ca="1">ROUND(表1_11[[#This Row],[税前应发总额]]*8%,2)</f>
        <v>227.81</v>
      </c>
      <c r="V200" s="62">
        <f ca="1">ROUND(表1_11[[#This Row],[税前应发总额]]*2%+3,2)</f>
        <v>59.95</v>
      </c>
      <c r="W200" s="62">
        <f ca="1">ROUND(表1_11[[#This Row],[税前应发总额]]*0.2%,2)</f>
        <v>5.7</v>
      </c>
      <c r="X200" s="62">
        <f ca="1">ROUND(表1_11[[#This Row],[税前应发总额]]*12%,2)</f>
        <v>341.71</v>
      </c>
      <c r="Y200" s="61">
        <f ca="1">ROUND(表1_11[[#This Row],[税前应发总额]]-SUM(表1_11[[#This Row],[养老保险]:[公积金]]),2)</f>
        <v>2212.4</v>
      </c>
      <c r="Z200" s="62">
        <f ca="1">ROUND(MAX((表1_11[[#This Row],[扣保险后工资金额]]-3500)*{3,10,20,25,30,35,45}%-{0,105,555,1005,2755,5505,13505},0),2)</f>
        <v>0</v>
      </c>
      <c r="AA200" s="63">
        <f ca="1">表1_11[[#This Row],[扣保险后工资金额]]-表1_11[[#This Row],[个人所得税]]</f>
        <v>2212.4</v>
      </c>
      <c r="AB200" s="53">
        <v>2493.94</v>
      </c>
      <c r="AC200" s="64">
        <f ca="1">(表1_11[[#This Row],[实发工资]]-表1_11[[#This Row],[上月对比]])/表1_11[[#This Row],[上月对比]]</f>
        <v>-0.11288964449826377</v>
      </c>
      <c r="AD200" s="65" t="s">
        <v>1587</v>
      </c>
    </row>
    <row r="201" spans="1:30">
      <c r="A201" s="43" t="s">
        <v>577</v>
      </c>
      <c r="B201" s="42" t="s">
        <v>664</v>
      </c>
      <c r="C201" s="40" t="s">
        <v>673</v>
      </c>
      <c r="D201" s="40" t="s">
        <v>674</v>
      </c>
      <c r="E201" s="41" t="s">
        <v>1211</v>
      </c>
      <c r="F201" s="5" t="s">
        <v>197</v>
      </c>
      <c r="G201" s="25">
        <v>40008</v>
      </c>
      <c r="H201" s="5" t="s">
        <v>657</v>
      </c>
      <c r="I201" s="5">
        <f>VLOOKUP(MID(表1_11[[#This Row],[工资等级]],1,1),表12[],MATCH(MID(表1_11[[#This Row],[工资等级]],2,2),表12[[#Headers],[1]:[10]],0)+1,0)</f>
        <v>4000</v>
      </c>
      <c r="J201" s="5">
        <v>23.5</v>
      </c>
      <c r="K201" s="27">
        <v>0.97916666666666663</v>
      </c>
      <c r="L201" s="37">
        <f>IF(表1_11[[#This Row],[出勤率]]&gt;1,1,表1_11[[#This Row],[出勤率]])*表1_11[[#This Row],[岗位工资]]</f>
        <v>3916.6666666666665</v>
      </c>
      <c r="M201" s="5">
        <f>LOOKUP(表1_11[[#This Row],[岗位工资]],表13[lookup],表13[奖金比率])*表1_11[[#This Row],[岗位工资]]</f>
        <v>600</v>
      </c>
      <c r="N201" s="5">
        <v>95</v>
      </c>
      <c r="O201" s="38">
        <f>表1_11[[#This Row],[奖金等级]]*表1_11[[#This Row],[绩效得分]]/100</f>
        <v>570</v>
      </c>
      <c r="P201" s="5">
        <f>IF(表1_11[[#This Row],[出勤率]]&gt;=1,200,0)</f>
        <v>0</v>
      </c>
      <c r="Q201" s="23">
        <f t="shared" ca="1" si="3"/>
        <v>400</v>
      </c>
      <c r="R201" s="23">
        <f>IF(表1_11[[#This Row],[中心]]="营销中心",VLOOKUP(表1_11[[#This Row],[职位]],表2[[话费补贴]:[营销中心]],2,0),VLOOKUP(表1_11[[#This Row],[职位]],表2[],3,0))</f>
        <v>0</v>
      </c>
      <c r="S201" s="23">
        <v>200</v>
      </c>
      <c r="T201" s="61">
        <f ca="1">ROUND(SUM(表1_11[[#This Row],[基本工资]],表1_11[[#This Row],[奖金]],表1_11[[#This Row],[全勤奖]:[防暑降温补贴]]),2)</f>
        <v>5086.67</v>
      </c>
      <c r="U201" s="62">
        <f ca="1">ROUND(表1_11[[#This Row],[税前应发总额]]*8%,2)</f>
        <v>406.93</v>
      </c>
      <c r="V201" s="62">
        <f ca="1">ROUND(表1_11[[#This Row],[税前应发总额]]*2%+3,2)</f>
        <v>104.73</v>
      </c>
      <c r="W201" s="62">
        <f ca="1">ROUND(表1_11[[#This Row],[税前应发总额]]*0.2%,2)</f>
        <v>10.17</v>
      </c>
      <c r="X201" s="62">
        <f ca="1">ROUND(表1_11[[#This Row],[税前应发总额]]*12%,2)</f>
        <v>610.4</v>
      </c>
      <c r="Y201" s="61">
        <f ca="1">ROUND(表1_11[[#This Row],[税前应发总额]]-SUM(表1_11[[#This Row],[养老保险]:[公积金]]),2)</f>
        <v>3954.44</v>
      </c>
      <c r="Z201" s="62">
        <f ca="1">ROUND(MAX((表1_11[[#This Row],[扣保险后工资金额]]-3500)*{3,10,20,25,30,35,45}%-{0,105,555,1005,2755,5505,13505},0),2)</f>
        <v>13.63</v>
      </c>
      <c r="AA201" s="63">
        <f ca="1">表1_11[[#This Row],[扣保险后工资金额]]-表1_11[[#This Row],[个人所得税]]</f>
        <v>3940.81</v>
      </c>
      <c r="AB201" s="53">
        <v>3844.2</v>
      </c>
      <c r="AC201" s="64">
        <f ca="1">(表1_11[[#This Row],[实发工资]]-表1_11[[#This Row],[上月对比]])/表1_11[[#This Row],[上月对比]]</f>
        <v>2.513136673430106E-2</v>
      </c>
      <c r="AD201" s="65" t="s">
        <v>1587</v>
      </c>
    </row>
    <row r="202" spans="1:30">
      <c r="A202" s="43" t="s">
        <v>577</v>
      </c>
      <c r="B202" s="42" t="s">
        <v>664</v>
      </c>
      <c r="C202" s="40" t="s">
        <v>599</v>
      </c>
      <c r="D202" s="40" t="s">
        <v>626</v>
      </c>
      <c r="E202" s="41" t="s">
        <v>1212</v>
      </c>
      <c r="F202" s="5" t="s">
        <v>198</v>
      </c>
      <c r="G202" s="25">
        <v>42638</v>
      </c>
      <c r="H202" s="5" t="s">
        <v>610</v>
      </c>
      <c r="I202" s="5">
        <f>VLOOKUP(MID(表1_11[[#This Row],[工资等级]],1,1),表12[],MATCH(MID(表1_11[[#This Row],[工资等级]],2,2),表12[[#Headers],[1]:[10]],0)+1,0)</f>
        <v>3400</v>
      </c>
      <c r="J202" s="5">
        <v>26</v>
      </c>
      <c r="K202" s="27">
        <v>1.0833333333333333</v>
      </c>
      <c r="L202" s="37">
        <f>IF(表1_11[[#This Row],[出勤率]]&gt;1,1,表1_11[[#This Row],[出勤率]])*表1_11[[#This Row],[岗位工资]]</f>
        <v>3400</v>
      </c>
      <c r="M202" s="5">
        <f>LOOKUP(表1_11[[#This Row],[岗位工资]],表13[lookup],表13[奖金比率])*表1_11[[#This Row],[岗位工资]]</f>
        <v>340</v>
      </c>
      <c r="N202" s="5">
        <v>98</v>
      </c>
      <c r="O202" s="38">
        <f>表1_11[[#This Row],[奖金等级]]*表1_11[[#This Row],[绩效得分]]/100</f>
        <v>333.2</v>
      </c>
      <c r="P202" s="5">
        <f>IF(表1_11[[#This Row],[出勤率]]&gt;=1,200,0)</f>
        <v>200</v>
      </c>
      <c r="Q202" s="23">
        <f t="shared" ca="1" si="3"/>
        <v>50</v>
      </c>
      <c r="R202" s="23">
        <f>IF(表1_11[[#This Row],[中心]]="营销中心",VLOOKUP(表1_11[[#This Row],[职位]],表2[[话费补贴]:[营销中心]],2,0),VLOOKUP(表1_11[[#This Row],[职位]],表2[],3,0))</f>
        <v>0</v>
      </c>
      <c r="S202" s="23">
        <v>200</v>
      </c>
      <c r="T202" s="61">
        <f ca="1">ROUND(SUM(表1_11[[#This Row],[基本工资]],表1_11[[#This Row],[奖金]],表1_11[[#This Row],[全勤奖]:[防暑降温补贴]]),2)</f>
        <v>4183.2</v>
      </c>
      <c r="U202" s="62">
        <f ca="1">ROUND(表1_11[[#This Row],[税前应发总额]]*8%,2)</f>
        <v>334.66</v>
      </c>
      <c r="V202" s="62">
        <f ca="1">ROUND(表1_11[[#This Row],[税前应发总额]]*2%+3,2)</f>
        <v>86.66</v>
      </c>
      <c r="W202" s="62">
        <f ca="1">ROUND(表1_11[[#This Row],[税前应发总额]]*0.2%,2)</f>
        <v>8.3699999999999992</v>
      </c>
      <c r="X202" s="62">
        <f ca="1">ROUND(表1_11[[#This Row],[税前应发总额]]*12%,2)</f>
        <v>501.98</v>
      </c>
      <c r="Y202" s="61">
        <f ca="1">ROUND(表1_11[[#This Row],[税前应发总额]]-SUM(表1_11[[#This Row],[养老保险]:[公积金]]),2)</f>
        <v>3251.53</v>
      </c>
      <c r="Z202" s="62">
        <f ca="1">ROUND(MAX((表1_11[[#This Row],[扣保险后工资金额]]-3500)*{3,10,20,25,30,35,45}%-{0,105,555,1005,2755,5505,13505},0),2)</f>
        <v>0</v>
      </c>
      <c r="AA202" s="63">
        <f ca="1">表1_11[[#This Row],[扣保险后工资金额]]-表1_11[[#This Row],[个人所得税]]</f>
        <v>3251.53</v>
      </c>
      <c r="AB202" s="53">
        <v>2985.06</v>
      </c>
      <c r="AC202" s="64">
        <f ca="1">(表1_11[[#This Row],[实发工资]]-表1_11[[#This Row],[上月对比]])/表1_11[[#This Row],[上月对比]]</f>
        <v>8.9267887412648406E-2</v>
      </c>
      <c r="AD202" s="65" t="s">
        <v>1587</v>
      </c>
    </row>
    <row r="203" spans="1:30">
      <c r="A203" s="43" t="s">
        <v>577</v>
      </c>
      <c r="B203" s="42" t="s">
        <v>664</v>
      </c>
      <c r="C203" s="40" t="s">
        <v>681</v>
      </c>
      <c r="D203" s="40" t="s">
        <v>682</v>
      </c>
      <c r="E203" s="41" t="s">
        <v>1213</v>
      </c>
      <c r="F203" s="5" t="s">
        <v>199</v>
      </c>
      <c r="G203" s="25">
        <v>41797</v>
      </c>
      <c r="H203" s="5" t="s">
        <v>615</v>
      </c>
      <c r="I203" s="5">
        <f>VLOOKUP(MID(表1_11[[#This Row],[工资等级]],1,1),表12[],MATCH(MID(表1_11[[#This Row],[工资等级]],2,2),表12[[#Headers],[1]:[10]],0)+1,0)</f>
        <v>3200</v>
      </c>
      <c r="J203" s="5">
        <v>23.5</v>
      </c>
      <c r="K203" s="27">
        <v>0.97916666666666663</v>
      </c>
      <c r="L203" s="37">
        <f>IF(表1_11[[#This Row],[出勤率]]&gt;1,1,表1_11[[#This Row],[出勤率]])*表1_11[[#This Row],[岗位工资]]</f>
        <v>3133.333333333333</v>
      </c>
      <c r="M203" s="5">
        <f>LOOKUP(表1_11[[#This Row],[岗位工资]],表13[lookup],表13[奖金比率])*表1_11[[#This Row],[岗位工资]]</f>
        <v>320</v>
      </c>
      <c r="N203" s="5">
        <v>90</v>
      </c>
      <c r="O203" s="38">
        <f>表1_11[[#This Row],[奖金等级]]*表1_11[[#This Row],[绩效得分]]/100</f>
        <v>288</v>
      </c>
      <c r="P203" s="5">
        <f>IF(表1_11[[#This Row],[出勤率]]&gt;=1,200,0)</f>
        <v>0</v>
      </c>
      <c r="Q203" s="23">
        <f t="shared" ca="1" si="3"/>
        <v>150</v>
      </c>
      <c r="R203" s="23">
        <f>IF(表1_11[[#This Row],[中心]]="营销中心",VLOOKUP(表1_11[[#This Row],[职位]],表2[[话费补贴]:[营销中心]],2,0),VLOOKUP(表1_11[[#This Row],[职位]],表2[],3,0))</f>
        <v>0</v>
      </c>
      <c r="S203" s="23">
        <v>200</v>
      </c>
      <c r="T203" s="61">
        <f ca="1">ROUND(SUM(表1_11[[#This Row],[基本工资]],表1_11[[#This Row],[奖金]],表1_11[[#This Row],[全勤奖]:[防暑降温补贴]]),2)</f>
        <v>3771.33</v>
      </c>
      <c r="U203" s="62">
        <f ca="1">ROUND(表1_11[[#This Row],[税前应发总额]]*8%,2)</f>
        <v>301.70999999999998</v>
      </c>
      <c r="V203" s="62">
        <f ca="1">ROUND(表1_11[[#This Row],[税前应发总额]]*2%+3,2)</f>
        <v>78.430000000000007</v>
      </c>
      <c r="W203" s="62">
        <f ca="1">ROUND(表1_11[[#This Row],[税前应发总额]]*0.2%,2)</f>
        <v>7.54</v>
      </c>
      <c r="X203" s="62">
        <f ca="1">ROUND(表1_11[[#This Row],[税前应发总额]]*12%,2)</f>
        <v>452.56</v>
      </c>
      <c r="Y203" s="61">
        <f ca="1">ROUND(表1_11[[#This Row],[税前应发总额]]-SUM(表1_11[[#This Row],[养老保险]:[公积金]]),2)</f>
        <v>2931.09</v>
      </c>
      <c r="Z203" s="62">
        <f ca="1">ROUND(MAX((表1_11[[#This Row],[扣保险后工资金额]]-3500)*{3,10,20,25,30,35,45}%-{0,105,555,1005,2755,5505,13505},0),2)</f>
        <v>0</v>
      </c>
      <c r="AA203" s="63">
        <f ca="1">表1_11[[#This Row],[扣保险后工资金额]]-表1_11[[#This Row],[个人所得税]]</f>
        <v>2931.09</v>
      </c>
      <c r="AB203" s="53">
        <v>3497.52</v>
      </c>
      <c r="AC203" s="64">
        <f ca="1">(表1_11[[#This Row],[实发工资]]-表1_11[[#This Row],[上月对比]])/表1_11[[#This Row],[上月对比]]</f>
        <v>-0.16195189734440399</v>
      </c>
      <c r="AD203" s="65" t="s">
        <v>1587</v>
      </c>
    </row>
    <row r="204" spans="1:30">
      <c r="A204" s="43" t="s">
        <v>577</v>
      </c>
      <c r="B204" s="42" t="s">
        <v>664</v>
      </c>
      <c r="C204" s="40" t="s">
        <v>719</v>
      </c>
      <c r="D204" s="40" t="s">
        <v>720</v>
      </c>
      <c r="E204" s="41" t="s">
        <v>1214</v>
      </c>
      <c r="F204" s="5" t="s">
        <v>200</v>
      </c>
      <c r="G204" s="25">
        <v>39544</v>
      </c>
      <c r="H204" s="5" t="s">
        <v>623</v>
      </c>
      <c r="I204" s="5">
        <f>VLOOKUP(MID(表1_11[[#This Row],[工资等级]],1,1),表12[],MATCH(MID(表1_11[[#This Row],[工资等级]],2,2),表12[[#Headers],[1]:[10]],0)+1,0)</f>
        <v>3800</v>
      </c>
      <c r="J204" s="5">
        <v>22.5</v>
      </c>
      <c r="K204" s="27">
        <v>0.9375</v>
      </c>
      <c r="L204" s="37">
        <f>IF(表1_11[[#This Row],[出勤率]]&gt;1,1,表1_11[[#This Row],[出勤率]])*表1_11[[#This Row],[岗位工资]]</f>
        <v>3562.5</v>
      </c>
      <c r="M204" s="5">
        <f>LOOKUP(表1_11[[#This Row],[岗位工资]],表13[lookup],表13[奖金比率])*表1_11[[#This Row],[岗位工资]]</f>
        <v>380</v>
      </c>
      <c r="N204" s="5">
        <v>94</v>
      </c>
      <c r="O204" s="38">
        <f>表1_11[[#This Row],[奖金等级]]*表1_11[[#This Row],[绩效得分]]/100</f>
        <v>357.2</v>
      </c>
      <c r="P204" s="5">
        <f>IF(表1_11[[#This Row],[出勤率]]&gt;=1,200,0)</f>
        <v>0</v>
      </c>
      <c r="Q204" s="23">
        <f t="shared" ca="1" si="3"/>
        <v>450</v>
      </c>
      <c r="R204" s="23">
        <f>IF(表1_11[[#This Row],[中心]]="营销中心",VLOOKUP(表1_11[[#This Row],[职位]],表2[[话费补贴]:[营销中心]],2,0),VLOOKUP(表1_11[[#This Row],[职位]],表2[],3,0))</f>
        <v>0</v>
      </c>
      <c r="S204" s="23">
        <v>200</v>
      </c>
      <c r="T204" s="61">
        <f ca="1">ROUND(SUM(表1_11[[#This Row],[基本工资]],表1_11[[#This Row],[奖金]],表1_11[[#This Row],[全勤奖]:[防暑降温补贴]]),2)</f>
        <v>4569.7</v>
      </c>
      <c r="U204" s="62">
        <f ca="1">ROUND(表1_11[[#This Row],[税前应发总额]]*8%,2)</f>
        <v>365.58</v>
      </c>
      <c r="V204" s="62">
        <f ca="1">ROUND(表1_11[[#This Row],[税前应发总额]]*2%+3,2)</f>
        <v>94.39</v>
      </c>
      <c r="W204" s="62">
        <f ca="1">ROUND(表1_11[[#This Row],[税前应发总额]]*0.2%,2)</f>
        <v>9.14</v>
      </c>
      <c r="X204" s="62">
        <f ca="1">ROUND(表1_11[[#This Row],[税前应发总额]]*12%,2)</f>
        <v>548.36</v>
      </c>
      <c r="Y204" s="61">
        <f ca="1">ROUND(表1_11[[#This Row],[税前应发总额]]-SUM(表1_11[[#This Row],[养老保险]:[公积金]]),2)</f>
        <v>3552.23</v>
      </c>
      <c r="Z204" s="62">
        <f ca="1">ROUND(MAX((表1_11[[#This Row],[扣保险后工资金额]]-3500)*{3,10,20,25,30,35,45}%-{0,105,555,1005,2755,5505,13505},0),2)</f>
        <v>1.57</v>
      </c>
      <c r="AA204" s="63">
        <f ca="1">表1_11[[#This Row],[扣保险后工资金额]]-表1_11[[#This Row],[个人所得税]]</f>
        <v>3550.66</v>
      </c>
      <c r="AB204" s="53">
        <v>3888.97</v>
      </c>
      <c r="AC204" s="64">
        <f ca="1">(表1_11[[#This Row],[实发工资]]-表1_11[[#This Row],[上月对比]])/表1_11[[#This Row],[上月对比]]</f>
        <v>-8.699218559155765E-2</v>
      </c>
      <c r="AD204" s="65" t="s">
        <v>1587</v>
      </c>
    </row>
    <row r="205" spans="1:30">
      <c r="A205" s="43" t="s">
        <v>577</v>
      </c>
      <c r="B205" s="42" t="s">
        <v>664</v>
      </c>
      <c r="C205" s="40" t="s">
        <v>711</v>
      </c>
      <c r="D205" s="40" t="s">
        <v>712</v>
      </c>
      <c r="E205" s="41" t="s">
        <v>1215</v>
      </c>
      <c r="F205" s="5" t="s">
        <v>201</v>
      </c>
      <c r="G205" s="25">
        <v>41569</v>
      </c>
      <c r="H205" s="5" t="s">
        <v>610</v>
      </c>
      <c r="I205" s="5">
        <f>VLOOKUP(MID(表1_11[[#This Row],[工资等级]],1,1),表12[],MATCH(MID(表1_11[[#This Row],[工资等级]],2,2),表12[[#Headers],[1]:[10]],0)+1,0)</f>
        <v>3400</v>
      </c>
      <c r="J205" s="5">
        <v>27</v>
      </c>
      <c r="K205" s="27">
        <v>1.125</v>
      </c>
      <c r="L205" s="37">
        <f>IF(表1_11[[#This Row],[出勤率]]&gt;1,1,表1_11[[#This Row],[出勤率]])*表1_11[[#This Row],[岗位工资]]</f>
        <v>3400</v>
      </c>
      <c r="M205" s="5">
        <f>LOOKUP(表1_11[[#This Row],[岗位工资]],表13[lookup],表13[奖金比率])*表1_11[[#This Row],[岗位工资]]</f>
        <v>340</v>
      </c>
      <c r="N205" s="5">
        <v>96</v>
      </c>
      <c r="O205" s="38">
        <f>表1_11[[#This Row],[奖金等级]]*表1_11[[#This Row],[绩效得分]]/100</f>
        <v>326.39999999999998</v>
      </c>
      <c r="P205" s="5">
        <f>IF(表1_11[[#This Row],[出勤率]]&gt;=1,200,0)</f>
        <v>200</v>
      </c>
      <c r="Q205" s="23">
        <f t="shared" ca="1" si="3"/>
        <v>200</v>
      </c>
      <c r="R205" s="23">
        <f>IF(表1_11[[#This Row],[中心]]="营销中心",VLOOKUP(表1_11[[#This Row],[职位]],表2[[话费补贴]:[营销中心]],2,0),VLOOKUP(表1_11[[#This Row],[职位]],表2[],3,0))</f>
        <v>0</v>
      </c>
      <c r="S205" s="23">
        <v>200</v>
      </c>
      <c r="T205" s="61">
        <f ca="1">ROUND(SUM(表1_11[[#This Row],[基本工资]],表1_11[[#This Row],[奖金]],表1_11[[#This Row],[全勤奖]:[防暑降温补贴]]),2)</f>
        <v>4326.3999999999996</v>
      </c>
      <c r="U205" s="62">
        <f ca="1">ROUND(表1_11[[#This Row],[税前应发总额]]*8%,2)</f>
        <v>346.11</v>
      </c>
      <c r="V205" s="62">
        <f ca="1">ROUND(表1_11[[#This Row],[税前应发总额]]*2%+3,2)</f>
        <v>89.53</v>
      </c>
      <c r="W205" s="62">
        <f ca="1">ROUND(表1_11[[#This Row],[税前应发总额]]*0.2%,2)</f>
        <v>8.65</v>
      </c>
      <c r="X205" s="62">
        <f ca="1">ROUND(表1_11[[#This Row],[税前应发总额]]*12%,2)</f>
        <v>519.16999999999996</v>
      </c>
      <c r="Y205" s="61">
        <f ca="1">ROUND(表1_11[[#This Row],[税前应发总额]]-SUM(表1_11[[#This Row],[养老保险]:[公积金]]),2)</f>
        <v>3362.94</v>
      </c>
      <c r="Z205" s="62">
        <f ca="1">ROUND(MAX((表1_11[[#This Row],[扣保险后工资金额]]-3500)*{3,10,20,25,30,35,45}%-{0,105,555,1005,2755,5505,13505},0),2)</f>
        <v>0</v>
      </c>
      <c r="AA205" s="63">
        <f ca="1">表1_11[[#This Row],[扣保险后工资金额]]-表1_11[[#This Row],[个人所得税]]</f>
        <v>3362.94</v>
      </c>
      <c r="AB205" s="53">
        <v>3719.96</v>
      </c>
      <c r="AC205" s="64">
        <f ca="1">(表1_11[[#This Row],[实发工资]]-表1_11[[#This Row],[上月对比]])/表1_11[[#This Row],[上月对比]]</f>
        <v>-9.5974150259680202E-2</v>
      </c>
      <c r="AD205" s="65" t="s">
        <v>1587</v>
      </c>
    </row>
    <row r="206" spans="1:30">
      <c r="A206" s="43" t="s">
        <v>577</v>
      </c>
      <c r="B206" s="42" t="s">
        <v>664</v>
      </c>
      <c r="C206" s="40" t="s">
        <v>673</v>
      </c>
      <c r="D206" s="40" t="s">
        <v>674</v>
      </c>
      <c r="E206" s="41" t="s">
        <v>1216</v>
      </c>
      <c r="F206" s="5" t="s">
        <v>202</v>
      </c>
      <c r="G206" s="25">
        <v>41357</v>
      </c>
      <c r="H206" s="5" t="s">
        <v>630</v>
      </c>
      <c r="I206" s="5">
        <f>VLOOKUP(MID(表1_11[[#This Row],[工资等级]],1,1),表12[],MATCH(MID(表1_11[[#This Row],[工资等级]],2,2),表12[[#Headers],[1]:[10]],0)+1,0)</f>
        <v>2600</v>
      </c>
      <c r="J206" s="5">
        <v>26.5</v>
      </c>
      <c r="K206" s="27">
        <v>1.1041666666666667</v>
      </c>
      <c r="L206" s="37">
        <f>IF(表1_11[[#This Row],[出勤率]]&gt;1,1,表1_11[[#This Row],[出勤率]])*表1_11[[#This Row],[岗位工资]]</f>
        <v>2600</v>
      </c>
      <c r="M206" s="5">
        <f>LOOKUP(表1_11[[#This Row],[岗位工资]],表13[lookup],表13[奖金比率])*表1_11[[#This Row],[岗位工资]]</f>
        <v>260</v>
      </c>
      <c r="N206" s="5">
        <v>96</v>
      </c>
      <c r="O206" s="38">
        <f>表1_11[[#This Row],[奖金等级]]*表1_11[[#This Row],[绩效得分]]/100</f>
        <v>249.6</v>
      </c>
      <c r="P206" s="5">
        <f>IF(表1_11[[#This Row],[出勤率]]&gt;=1,200,0)</f>
        <v>200</v>
      </c>
      <c r="Q206" s="23">
        <f t="shared" ca="1" si="3"/>
        <v>200</v>
      </c>
      <c r="R206" s="23">
        <f>IF(表1_11[[#This Row],[中心]]="营销中心",VLOOKUP(表1_11[[#This Row],[职位]],表2[[话费补贴]:[营销中心]],2,0),VLOOKUP(表1_11[[#This Row],[职位]],表2[],3,0))</f>
        <v>0</v>
      </c>
      <c r="S206" s="23">
        <v>200</v>
      </c>
      <c r="T206" s="61">
        <f ca="1">ROUND(SUM(表1_11[[#This Row],[基本工资]],表1_11[[#This Row],[奖金]],表1_11[[#This Row],[全勤奖]:[防暑降温补贴]]),2)</f>
        <v>3449.6</v>
      </c>
      <c r="U206" s="62">
        <f ca="1">ROUND(表1_11[[#This Row],[税前应发总额]]*8%,2)</f>
        <v>275.97000000000003</v>
      </c>
      <c r="V206" s="62">
        <f ca="1">ROUND(表1_11[[#This Row],[税前应发总额]]*2%+3,2)</f>
        <v>71.989999999999995</v>
      </c>
      <c r="W206" s="62">
        <f ca="1">ROUND(表1_11[[#This Row],[税前应发总额]]*0.2%,2)</f>
        <v>6.9</v>
      </c>
      <c r="X206" s="62">
        <f ca="1">ROUND(表1_11[[#This Row],[税前应发总额]]*12%,2)</f>
        <v>413.95</v>
      </c>
      <c r="Y206" s="61">
        <f ca="1">ROUND(表1_11[[#This Row],[税前应发总额]]-SUM(表1_11[[#This Row],[养老保险]:[公积金]]),2)</f>
        <v>2680.79</v>
      </c>
      <c r="Z206" s="62">
        <f ca="1">ROUND(MAX((表1_11[[#This Row],[扣保险后工资金额]]-3500)*{3,10,20,25,30,35,45}%-{0,105,555,1005,2755,5505,13505},0),2)</f>
        <v>0</v>
      </c>
      <c r="AA206" s="63">
        <f ca="1">表1_11[[#This Row],[扣保险后工资金额]]-表1_11[[#This Row],[个人所得税]]</f>
        <v>2680.79</v>
      </c>
      <c r="AB206" s="53">
        <v>2602.34</v>
      </c>
      <c r="AC206" s="64">
        <f ca="1">(表1_11[[#This Row],[实发工资]]-表1_11[[#This Row],[上月对比]])/表1_11[[#This Row],[上月对比]]</f>
        <v>3.0145945572061995E-2</v>
      </c>
      <c r="AD206" s="65" t="s">
        <v>1587</v>
      </c>
    </row>
    <row r="207" spans="1:30">
      <c r="A207" s="43" t="s">
        <v>577</v>
      </c>
      <c r="B207" s="42" t="s">
        <v>664</v>
      </c>
      <c r="C207" s="40" t="s">
        <v>599</v>
      </c>
      <c r="D207" s="40" t="s">
        <v>626</v>
      </c>
      <c r="E207" s="41" t="s">
        <v>1217</v>
      </c>
      <c r="F207" s="5" t="s">
        <v>203</v>
      </c>
      <c r="G207" s="25">
        <v>39239</v>
      </c>
      <c r="H207" s="5" t="s">
        <v>622</v>
      </c>
      <c r="I207" s="5">
        <f>VLOOKUP(MID(表1_11[[#This Row],[工资等级]],1,1),表12[],MATCH(MID(表1_11[[#This Row],[工资等级]],2,2),表12[[#Headers],[1]:[10]],0)+1,0)</f>
        <v>3600</v>
      </c>
      <c r="J207" s="5">
        <v>26</v>
      </c>
      <c r="K207" s="27">
        <v>1.0833333333333333</v>
      </c>
      <c r="L207" s="37">
        <f>IF(表1_11[[#This Row],[出勤率]]&gt;1,1,表1_11[[#This Row],[出勤率]])*表1_11[[#This Row],[岗位工资]]</f>
        <v>3600</v>
      </c>
      <c r="M207" s="5">
        <f>LOOKUP(表1_11[[#This Row],[岗位工资]],表13[lookup],表13[奖金比率])*表1_11[[#This Row],[岗位工资]]</f>
        <v>360</v>
      </c>
      <c r="N207" s="5">
        <v>88</v>
      </c>
      <c r="O207" s="38">
        <f>表1_11[[#This Row],[奖金等级]]*表1_11[[#This Row],[绩效得分]]/100</f>
        <v>316.8</v>
      </c>
      <c r="P207" s="5">
        <f>IF(表1_11[[#This Row],[出勤率]]&gt;=1,200,0)</f>
        <v>200</v>
      </c>
      <c r="Q207" s="23">
        <f t="shared" ca="1" si="3"/>
        <v>500</v>
      </c>
      <c r="R207" s="23">
        <f>IF(表1_11[[#This Row],[中心]]="营销中心",VLOOKUP(表1_11[[#This Row],[职位]],表2[[话费补贴]:[营销中心]],2,0),VLOOKUP(表1_11[[#This Row],[职位]],表2[],3,0))</f>
        <v>0</v>
      </c>
      <c r="S207" s="23">
        <v>200</v>
      </c>
      <c r="T207" s="61">
        <f ca="1">ROUND(SUM(表1_11[[#This Row],[基本工资]],表1_11[[#This Row],[奖金]],表1_11[[#This Row],[全勤奖]:[防暑降温补贴]]),2)</f>
        <v>4816.8</v>
      </c>
      <c r="U207" s="62">
        <f ca="1">ROUND(表1_11[[#This Row],[税前应发总额]]*8%,2)</f>
        <v>385.34</v>
      </c>
      <c r="V207" s="62">
        <f ca="1">ROUND(表1_11[[#This Row],[税前应发总额]]*2%+3,2)</f>
        <v>99.34</v>
      </c>
      <c r="W207" s="62">
        <f ca="1">ROUND(表1_11[[#This Row],[税前应发总额]]*0.2%,2)</f>
        <v>9.6300000000000008</v>
      </c>
      <c r="X207" s="62">
        <f ca="1">ROUND(表1_11[[#This Row],[税前应发总额]]*12%,2)</f>
        <v>578.02</v>
      </c>
      <c r="Y207" s="61">
        <f ca="1">ROUND(表1_11[[#This Row],[税前应发总额]]-SUM(表1_11[[#This Row],[养老保险]:[公积金]]),2)</f>
        <v>3744.47</v>
      </c>
      <c r="Z207" s="62">
        <f ca="1">ROUND(MAX((表1_11[[#This Row],[扣保险后工资金额]]-3500)*{3,10,20,25,30,35,45}%-{0,105,555,1005,2755,5505,13505},0),2)</f>
        <v>7.33</v>
      </c>
      <c r="AA207" s="63">
        <f ca="1">表1_11[[#This Row],[扣保险后工资金额]]-表1_11[[#This Row],[个人所得税]]</f>
        <v>3737.14</v>
      </c>
      <c r="AB207" s="53">
        <v>3344.2</v>
      </c>
      <c r="AC207" s="64">
        <f ca="1">(表1_11[[#This Row],[实发工资]]-表1_11[[#This Row],[上月对比]])/表1_11[[#This Row],[上月对比]]</f>
        <v>0.1174989534118773</v>
      </c>
      <c r="AD207" s="65" t="s">
        <v>1587</v>
      </c>
    </row>
    <row r="208" spans="1:30">
      <c r="A208" s="43" t="s">
        <v>577</v>
      </c>
      <c r="B208" s="42" t="s">
        <v>664</v>
      </c>
      <c r="C208" s="40" t="s">
        <v>681</v>
      </c>
      <c r="D208" s="40" t="s">
        <v>682</v>
      </c>
      <c r="E208" s="41" t="s">
        <v>1218</v>
      </c>
      <c r="F208" s="5" t="s">
        <v>204</v>
      </c>
      <c r="G208" s="25">
        <v>42044</v>
      </c>
      <c r="H208" s="5" t="s">
        <v>630</v>
      </c>
      <c r="I208" s="5">
        <f>VLOOKUP(MID(表1_11[[#This Row],[工资等级]],1,1),表12[],MATCH(MID(表1_11[[#This Row],[工资等级]],2,2),表12[[#Headers],[1]:[10]],0)+1,0)</f>
        <v>2600</v>
      </c>
      <c r="J208" s="5">
        <v>21.5</v>
      </c>
      <c r="K208" s="27">
        <v>0.89583333333333337</v>
      </c>
      <c r="L208" s="37">
        <f>IF(表1_11[[#This Row],[出勤率]]&gt;1,1,表1_11[[#This Row],[出勤率]])*表1_11[[#This Row],[岗位工资]]</f>
        <v>2329.166666666667</v>
      </c>
      <c r="M208" s="5">
        <f>LOOKUP(表1_11[[#This Row],[岗位工资]],表13[lookup],表13[奖金比率])*表1_11[[#This Row],[岗位工资]]</f>
        <v>260</v>
      </c>
      <c r="N208" s="5">
        <v>87</v>
      </c>
      <c r="O208" s="38">
        <f>表1_11[[#This Row],[奖金等级]]*表1_11[[#This Row],[绩效得分]]/100</f>
        <v>226.2</v>
      </c>
      <c r="P208" s="5">
        <f>IF(表1_11[[#This Row],[出勤率]]&gt;=1,200,0)</f>
        <v>0</v>
      </c>
      <c r="Q208" s="23">
        <f t="shared" ca="1" si="3"/>
        <v>150</v>
      </c>
      <c r="R208" s="23">
        <f>IF(表1_11[[#This Row],[中心]]="营销中心",VLOOKUP(表1_11[[#This Row],[职位]],表2[[话费补贴]:[营销中心]],2,0),VLOOKUP(表1_11[[#This Row],[职位]],表2[],3,0))</f>
        <v>0</v>
      </c>
      <c r="S208" s="23">
        <v>200</v>
      </c>
      <c r="T208" s="61">
        <f ca="1">ROUND(SUM(表1_11[[#This Row],[基本工资]],表1_11[[#This Row],[奖金]],表1_11[[#This Row],[全勤奖]:[防暑降温补贴]]),2)</f>
        <v>2905.37</v>
      </c>
      <c r="U208" s="62">
        <f ca="1">ROUND(表1_11[[#This Row],[税前应发总额]]*8%,2)</f>
        <v>232.43</v>
      </c>
      <c r="V208" s="62">
        <f ca="1">ROUND(表1_11[[#This Row],[税前应发总额]]*2%+3,2)</f>
        <v>61.11</v>
      </c>
      <c r="W208" s="62">
        <f ca="1">ROUND(表1_11[[#This Row],[税前应发总额]]*0.2%,2)</f>
        <v>5.81</v>
      </c>
      <c r="X208" s="62">
        <f ca="1">ROUND(表1_11[[#This Row],[税前应发总额]]*12%,2)</f>
        <v>348.64</v>
      </c>
      <c r="Y208" s="61">
        <f ca="1">ROUND(表1_11[[#This Row],[税前应发总额]]-SUM(表1_11[[#This Row],[养老保险]:[公积金]]),2)</f>
        <v>2257.38</v>
      </c>
      <c r="Z208" s="62">
        <f ca="1">ROUND(MAX((表1_11[[#This Row],[扣保险后工资金额]]-3500)*{3,10,20,25,30,35,45}%-{0,105,555,1005,2755,5505,13505},0),2)</f>
        <v>0</v>
      </c>
      <c r="AA208" s="63">
        <f ca="1">表1_11[[#This Row],[扣保险后工资金额]]-表1_11[[#This Row],[个人所得税]]</f>
        <v>2257.38</v>
      </c>
      <c r="AB208" s="53">
        <v>2059.61</v>
      </c>
      <c r="AC208" s="64">
        <f ca="1">(表1_11[[#This Row],[实发工资]]-表1_11[[#This Row],[上月对比]])/表1_11[[#This Row],[上月对比]]</f>
        <v>9.602303348692226E-2</v>
      </c>
      <c r="AD208" s="65" t="s">
        <v>1587</v>
      </c>
    </row>
    <row r="209" spans="1:30">
      <c r="A209" s="43" t="s">
        <v>577</v>
      </c>
      <c r="B209" s="42" t="s">
        <v>664</v>
      </c>
      <c r="C209" s="40" t="s">
        <v>719</v>
      </c>
      <c r="D209" s="40" t="s">
        <v>720</v>
      </c>
      <c r="E209" s="41" t="s">
        <v>1219</v>
      </c>
      <c r="F209" s="5" t="s">
        <v>205</v>
      </c>
      <c r="G209" s="25">
        <v>40673</v>
      </c>
      <c r="H209" s="5" t="s">
        <v>618</v>
      </c>
      <c r="I209" s="5">
        <f>VLOOKUP(MID(表1_11[[#This Row],[工资等级]],1,1),表12[],MATCH(MID(表1_11[[#This Row],[工资等级]],2,2),表12[[#Headers],[1]:[10]],0)+1,0)</f>
        <v>3000</v>
      </c>
      <c r="J209" s="5">
        <v>22.5</v>
      </c>
      <c r="K209" s="27">
        <v>0.9375</v>
      </c>
      <c r="L209" s="37">
        <f>IF(表1_11[[#This Row],[出勤率]]&gt;1,1,表1_11[[#This Row],[出勤率]])*表1_11[[#This Row],[岗位工资]]</f>
        <v>2812.5</v>
      </c>
      <c r="M209" s="5">
        <f>LOOKUP(表1_11[[#This Row],[岗位工资]],表13[lookup],表13[奖金比率])*表1_11[[#This Row],[岗位工资]]</f>
        <v>300</v>
      </c>
      <c r="N209" s="5">
        <v>87</v>
      </c>
      <c r="O209" s="38">
        <f>表1_11[[#This Row],[奖金等级]]*表1_11[[#This Row],[绩效得分]]/100</f>
        <v>261</v>
      </c>
      <c r="P209" s="5">
        <f>IF(表1_11[[#This Row],[出勤率]]&gt;=1,200,0)</f>
        <v>0</v>
      </c>
      <c r="Q209" s="23">
        <f t="shared" ca="1" si="3"/>
        <v>300</v>
      </c>
      <c r="R209" s="23">
        <f>IF(表1_11[[#This Row],[中心]]="营销中心",VLOOKUP(表1_11[[#This Row],[职位]],表2[[话费补贴]:[营销中心]],2,0),VLOOKUP(表1_11[[#This Row],[职位]],表2[],3,0))</f>
        <v>0</v>
      </c>
      <c r="S209" s="23">
        <v>200</v>
      </c>
      <c r="T209" s="61">
        <f ca="1">ROUND(SUM(表1_11[[#This Row],[基本工资]],表1_11[[#This Row],[奖金]],表1_11[[#This Row],[全勤奖]:[防暑降温补贴]]),2)</f>
        <v>3573.5</v>
      </c>
      <c r="U209" s="62">
        <f ca="1">ROUND(表1_11[[#This Row],[税前应发总额]]*8%,2)</f>
        <v>285.88</v>
      </c>
      <c r="V209" s="62">
        <f ca="1">ROUND(表1_11[[#This Row],[税前应发总额]]*2%+3,2)</f>
        <v>74.47</v>
      </c>
      <c r="W209" s="62">
        <f ca="1">ROUND(表1_11[[#This Row],[税前应发总额]]*0.2%,2)</f>
        <v>7.15</v>
      </c>
      <c r="X209" s="62">
        <f ca="1">ROUND(表1_11[[#This Row],[税前应发总额]]*12%,2)</f>
        <v>428.82</v>
      </c>
      <c r="Y209" s="61">
        <f ca="1">ROUND(表1_11[[#This Row],[税前应发总额]]-SUM(表1_11[[#This Row],[养老保险]:[公积金]]),2)</f>
        <v>2777.18</v>
      </c>
      <c r="Z209" s="62">
        <f ca="1">ROUND(MAX((表1_11[[#This Row],[扣保险后工资金额]]-3500)*{3,10,20,25,30,35,45}%-{0,105,555,1005,2755,5505,13505},0),2)</f>
        <v>0</v>
      </c>
      <c r="AA209" s="63">
        <f ca="1">表1_11[[#This Row],[扣保险后工资金额]]-表1_11[[#This Row],[个人所得税]]</f>
        <v>2777.18</v>
      </c>
      <c r="AB209" s="53">
        <v>2600.31</v>
      </c>
      <c r="AC209" s="64">
        <f ca="1">(表1_11[[#This Row],[实发工资]]-表1_11[[#This Row],[上月对比]])/表1_11[[#This Row],[上月对比]]</f>
        <v>6.8018813141510009E-2</v>
      </c>
      <c r="AD209" s="65" t="s">
        <v>1587</v>
      </c>
    </row>
    <row r="210" spans="1:30">
      <c r="A210" s="43" t="s">
        <v>577</v>
      </c>
      <c r="B210" s="42" t="s">
        <v>664</v>
      </c>
      <c r="C210" s="40" t="s">
        <v>711</v>
      </c>
      <c r="D210" s="40" t="s">
        <v>712</v>
      </c>
      <c r="E210" s="41" t="s">
        <v>1220</v>
      </c>
      <c r="F210" s="5" t="s">
        <v>206</v>
      </c>
      <c r="G210" s="25">
        <v>42766</v>
      </c>
      <c r="H210" s="5" t="s">
        <v>622</v>
      </c>
      <c r="I210" s="5">
        <f>VLOOKUP(MID(表1_11[[#This Row],[工资等级]],1,1),表12[],MATCH(MID(表1_11[[#This Row],[工资等级]],2,2),表12[[#Headers],[1]:[10]],0)+1,0)</f>
        <v>3600</v>
      </c>
      <c r="J210" s="5">
        <v>25.5</v>
      </c>
      <c r="K210" s="27">
        <v>1.0625</v>
      </c>
      <c r="L210" s="37">
        <f>IF(表1_11[[#This Row],[出勤率]]&gt;1,1,表1_11[[#This Row],[出勤率]])*表1_11[[#This Row],[岗位工资]]</f>
        <v>3600</v>
      </c>
      <c r="M210" s="5">
        <f>LOOKUP(表1_11[[#This Row],[岗位工资]],表13[lookup],表13[奖金比率])*表1_11[[#This Row],[岗位工资]]</f>
        <v>360</v>
      </c>
      <c r="N210" s="5">
        <v>84</v>
      </c>
      <c r="O210" s="38">
        <f>表1_11[[#This Row],[奖金等级]]*表1_11[[#This Row],[绩效得分]]/100</f>
        <v>302.39999999999998</v>
      </c>
      <c r="P210" s="5">
        <f>IF(表1_11[[#This Row],[出勤率]]&gt;=1,200,0)</f>
        <v>200</v>
      </c>
      <c r="Q210" s="23">
        <f t="shared" ca="1" si="3"/>
        <v>50</v>
      </c>
      <c r="R210" s="23">
        <f>IF(表1_11[[#This Row],[中心]]="营销中心",VLOOKUP(表1_11[[#This Row],[职位]],表2[[话费补贴]:[营销中心]],2,0),VLOOKUP(表1_11[[#This Row],[职位]],表2[],3,0))</f>
        <v>0</v>
      </c>
      <c r="S210" s="23">
        <v>200</v>
      </c>
      <c r="T210" s="61">
        <f ca="1">ROUND(SUM(表1_11[[#This Row],[基本工资]],表1_11[[#This Row],[奖金]],表1_11[[#This Row],[全勤奖]:[防暑降温补贴]]),2)</f>
        <v>4352.3999999999996</v>
      </c>
      <c r="U210" s="62">
        <f ca="1">ROUND(表1_11[[#This Row],[税前应发总额]]*8%,2)</f>
        <v>348.19</v>
      </c>
      <c r="V210" s="62">
        <f ca="1">ROUND(表1_11[[#This Row],[税前应发总额]]*2%+3,2)</f>
        <v>90.05</v>
      </c>
      <c r="W210" s="62">
        <f ca="1">ROUND(表1_11[[#This Row],[税前应发总额]]*0.2%,2)</f>
        <v>8.6999999999999993</v>
      </c>
      <c r="X210" s="62">
        <f ca="1">ROUND(表1_11[[#This Row],[税前应发总额]]*12%,2)</f>
        <v>522.29</v>
      </c>
      <c r="Y210" s="61">
        <f ca="1">ROUND(表1_11[[#This Row],[税前应发总额]]-SUM(表1_11[[#This Row],[养老保险]:[公积金]]),2)</f>
        <v>3383.17</v>
      </c>
      <c r="Z210" s="62">
        <f ca="1">ROUND(MAX((表1_11[[#This Row],[扣保险后工资金额]]-3500)*{3,10,20,25,30,35,45}%-{0,105,555,1005,2755,5505,13505},0),2)</f>
        <v>0</v>
      </c>
      <c r="AA210" s="63">
        <f ca="1">表1_11[[#This Row],[扣保险后工资金额]]-表1_11[[#This Row],[个人所得税]]</f>
        <v>3383.17</v>
      </c>
      <c r="AB210" s="53">
        <v>3718.75</v>
      </c>
      <c r="AC210" s="64">
        <f ca="1">(表1_11[[#This Row],[实发工资]]-表1_11[[#This Row],[上月对比]])/表1_11[[#This Row],[上月对比]]</f>
        <v>-9.0239999999999987E-2</v>
      </c>
      <c r="AD210" s="65" t="s">
        <v>1587</v>
      </c>
    </row>
    <row r="211" spans="1:30">
      <c r="A211" s="43" t="s">
        <v>577</v>
      </c>
      <c r="B211" s="42" t="s">
        <v>664</v>
      </c>
      <c r="C211" s="40" t="s">
        <v>673</v>
      </c>
      <c r="D211" s="40" t="s">
        <v>674</v>
      </c>
      <c r="E211" s="41" t="s">
        <v>1221</v>
      </c>
      <c r="F211" s="5" t="s">
        <v>207</v>
      </c>
      <c r="G211" s="25">
        <v>38285</v>
      </c>
      <c r="H211" s="5" t="s">
        <v>623</v>
      </c>
      <c r="I211" s="5">
        <f>VLOOKUP(MID(表1_11[[#This Row],[工资等级]],1,1),表12[],MATCH(MID(表1_11[[#This Row],[工资等级]],2,2),表12[[#Headers],[1]:[10]],0)+1,0)</f>
        <v>3800</v>
      </c>
      <c r="J211" s="5">
        <v>26</v>
      </c>
      <c r="K211" s="27">
        <v>1.0833333333333333</v>
      </c>
      <c r="L211" s="37">
        <f>IF(表1_11[[#This Row],[出勤率]]&gt;1,1,表1_11[[#This Row],[出勤率]])*表1_11[[#This Row],[岗位工资]]</f>
        <v>3800</v>
      </c>
      <c r="M211" s="5">
        <f>LOOKUP(表1_11[[#This Row],[岗位工资]],表13[lookup],表13[奖金比率])*表1_11[[#This Row],[岗位工资]]</f>
        <v>380</v>
      </c>
      <c r="N211" s="5">
        <v>94</v>
      </c>
      <c r="O211" s="38">
        <f>表1_11[[#This Row],[奖金等级]]*表1_11[[#This Row],[绩效得分]]/100</f>
        <v>357.2</v>
      </c>
      <c r="P211" s="5">
        <f>IF(表1_11[[#This Row],[出勤率]]&gt;=1,200,0)</f>
        <v>200</v>
      </c>
      <c r="Q211" s="23">
        <f t="shared" ca="1" si="3"/>
        <v>500</v>
      </c>
      <c r="R211" s="23">
        <f>IF(表1_11[[#This Row],[中心]]="营销中心",VLOOKUP(表1_11[[#This Row],[职位]],表2[[话费补贴]:[营销中心]],2,0),VLOOKUP(表1_11[[#This Row],[职位]],表2[],3,0))</f>
        <v>0</v>
      </c>
      <c r="S211" s="23">
        <v>200</v>
      </c>
      <c r="T211" s="61">
        <f ca="1">ROUND(SUM(表1_11[[#This Row],[基本工资]],表1_11[[#This Row],[奖金]],表1_11[[#This Row],[全勤奖]:[防暑降温补贴]]),2)</f>
        <v>5057.2</v>
      </c>
      <c r="U211" s="62">
        <f ca="1">ROUND(表1_11[[#This Row],[税前应发总额]]*8%,2)</f>
        <v>404.58</v>
      </c>
      <c r="V211" s="62">
        <f ca="1">ROUND(表1_11[[#This Row],[税前应发总额]]*2%+3,2)</f>
        <v>104.14</v>
      </c>
      <c r="W211" s="62">
        <f ca="1">ROUND(表1_11[[#This Row],[税前应发总额]]*0.2%,2)</f>
        <v>10.11</v>
      </c>
      <c r="X211" s="62">
        <f ca="1">ROUND(表1_11[[#This Row],[税前应发总额]]*12%,2)</f>
        <v>606.86</v>
      </c>
      <c r="Y211" s="61">
        <f ca="1">ROUND(表1_11[[#This Row],[税前应发总额]]-SUM(表1_11[[#This Row],[养老保险]:[公积金]]),2)</f>
        <v>3931.51</v>
      </c>
      <c r="Z211" s="62">
        <f ca="1">ROUND(MAX((表1_11[[#This Row],[扣保险后工资金额]]-3500)*{3,10,20,25,30,35,45}%-{0,105,555,1005,2755,5505,13505},0),2)</f>
        <v>12.95</v>
      </c>
      <c r="AA211" s="63">
        <f ca="1">表1_11[[#This Row],[扣保险后工资金额]]-表1_11[[#This Row],[个人所得税]]</f>
        <v>3918.5600000000004</v>
      </c>
      <c r="AB211" s="53">
        <v>4460.6099999999997</v>
      </c>
      <c r="AC211" s="64">
        <f ca="1">(表1_11[[#This Row],[实发工资]]-表1_11[[#This Row],[上月对比]])/表1_11[[#This Row],[上月对比]]</f>
        <v>-0.12151925409304989</v>
      </c>
      <c r="AD211" s="65" t="s">
        <v>1587</v>
      </c>
    </row>
    <row r="212" spans="1:30">
      <c r="A212" s="43" t="s">
        <v>577</v>
      </c>
      <c r="B212" s="42" t="s">
        <v>664</v>
      </c>
      <c r="C212" s="40" t="s">
        <v>599</v>
      </c>
      <c r="D212" s="40" t="s">
        <v>626</v>
      </c>
      <c r="E212" s="41" t="s">
        <v>1222</v>
      </c>
      <c r="F212" s="5" t="s">
        <v>208</v>
      </c>
      <c r="G212" s="25">
        <v>40302</v>
      </c>
      <c r="H212" s="5" t="s">
        <v>622</v>
      </c>
      <c r="I212" s="5">
        <f>VLOOKUP(MID(表1_11[[#This Row],[工资等级]],1,1),表12[],MATCH(MID(表1_11[[#This Row],[工资等级]],2,2),表12[[#Headers],[1]:[10]],0)+1,0)</f>
        <v>3600</v>
      </c>
      <c r="J212" s="5">
        <v>22.5</v>
      </c>
      <c r="K212" s="27">
        <v>0.9375</v>
      </c>
      <c r="L212" s="37">
        <f>IF(表1_11[[#This Row],[出勤率]]&gt;1,1,表1_11[[#This Row],[出勤率]])*表1_11[[#This Row],[岗位工资]]</f>
        <v>3375</v>
      </c>
      <c r="M212" s="5">
        <f>LOOKUP(表1_11[[#This Row],[岗位工资]],表13[lookup],表13[奖金比率])*表1_11[[#This Row],[岗位工资]]</f>
        <v>360</v>
      </c>
      <c r="N212" s="5">
        <v>98</v>
      </c>
      <c r="O212" s="38">
        <f>表1_11[[#This Row],[奖金等级]]*表1_11[[#This Row],[绩效得分]]/100</f>
        <v>352.8</v>
      </c>
      <c r="P212" s="5">
        <f>IF(表1_11[[#This Row],[出勤率]]&gt;=1,200,0)</f>
        <v>0</v>
      </c>
      <c r="Q212" s="23">
        <f t="shared" ca="1" si="3"/>
        <v>350</v>
      </c>
      <c r="R212" s="23">
        <f>IF(表1_11[[#This Row],[中心]]="营销中心",VLOOKUP(表1_11[[#This Row],[职位]],表2[[话费补贴]:[营销中心]],2,0),VLOOKUP(表1_11[[#This Row],[职位]],表2[],3,0))</f>
        <v>0</v>
      </c>
      <c r="S212" s="23">
        <v>200</v>
      </c>
      <c r="T212" s="61">
        <f ca="1">ROUND(SUM(表1_11[[#This Row],[基本工资]],表1_11[[#This Row],[奖金]],表1_11[[#This Row],[全勤奖]:[防暑降温补贴]]),2)</f>
        <v>4277.8</v>
      </c>
      <c r="U212" s="62">
        <f ca="1">ROUND(表1_11[[#This Row],[税前应发总额]]*8%,2)</f>
        <v>342.22</v>
      </c>
      <c r="V212" s="62">
        <f ca="1">ROUND(表1_11[[#This Row],[税前应发总额]]*2%+3,2)</f>
        <v>88.56</v>
      </c>
      <c r="W212" s="62">
        <f ca="1">ROUND(表1_11[[#This Row],[税前应发总额]]*0.2%,2)</f>
        <v>8.56</v>
      </c>
      <c r="X212" s="62">
        <f ca="1">ROUND(表1_11[[#This Row],[税前应发总额]]*12%,2)</f>
        <v>513.34</v>
      </c>
      <c r="Y212" s="61">
        <f ca="1">ROUND(表1_11[[#This Row],[税前应发总额]]-SUM(表1_11[[#This Row],[养老保险]:[公积金]]),2)</f>
        <v>3325.12</v>
      </c>
      <c r="Z212" s="62">
        <f ca="1">ROUND(MAX((表1_11[[#This Row],[扣保险后工资金额]]-3500)*{3,10,20,25,30,35,45}%-{0,105,555,1005,2755,5505,13505},0),2)</f>
        <v>0</v>
      </c>
      <c r="AA212" s="63">
        <f ca="1">表1_11[[#This Row],[扣保险后工资金额]]-表1_11[[#This Row],[个人所得税]]</f>
        <v>3325.12</v>
      </c>
      <c r="AB212" s="53">
        <v>3530.1</v>
      </c>
      <c r="AC212" s="64">
        <f ca="1">(表1_11[[#This Row],[实发工资]]-表1_11[[#This Row],[上月对比]])/表1_11[[#This Row],[上月对比]]</f>
        <v>-5.8066343729639397E-2</v>
      </c>
      <c r="AD212" s="65" t="s">
        <v>1587</v>
      </c>
    </row>
    <row r="213" spans="1:30">
      <c r="A213" s="43" t="s">
        <v>577</v>
      </c>
      <c r="B213" s="42" t="s">
        <v>664</v>
      </c>
      <c r="C213" s="40" t="s">
        <v>681</v>
      </c>
      <c r="D213" s="40" t="s">
        <v>682</v>
      </c>
      <c r="E213" s="41" t="s">
        <v>1223</v>
      </c>
      <c r="F213" s="5" t="s">
        <v>209</v>
      </c>
      <c r="G213" s="25">
        <v>38793</v>
      </c>
      <c r="H213" s="5" t="s">
        <v>617</v>
      </c>
      <c r="I213" s="5">
        <f>VLOOKUP(MID(表1_11[[#This Row],[工资等级]],1,1),表12[],MATCH(MID(表1_11[[#This Row],[工资等级]],2,2),表12[[#Headers],[1]:[10]],0)+1,0)</f>
        <v>2500</v>
      </c>
      <c r="J213" s="5">
        <v>22.5</v>
      </c>
      <c r="K213" s="27">
        <v>0.9375</v>
      </c>
      <c r="L213" s="37">
        <f>IF(表1_11[[#This Row],[出勤率]]&gt;1,1,表1_11[[#This Row],[出勤率]])*表1_11[[#This Row],[岗位工资]]</f>
        <v>2343.75</v>
      </c>
      <c r="M213" s="5">
        <f>LOOKUP(表1_11[[#This Row],[岗位工资]],表13[lookup],表13[奖金比率])*表1_11[[#This Row],[岗位工资]]</f>
        <v>250</v>
      </c>
      <c r="N213" s="5">
        <v>93</v>
      </c>
      <c r="O213" s="38">
        <f>表1_11[[#This Row],[奖金等级]]*表1_11[[#This Row],[绩效得分]]/100</f>
        <v>232.5</v>
      </c>
      <c r="P213" s="5">
        <f>IF(表1_11[[#This Row],[出勤率]]&gt;=1,200,0)</f>
        <v>0</v>
      </c>
      <c r="Q213" s="23">
        <f t="shared" ca="1" si="3"/>
        <v>500</v>
      </c>
      <c r="R213" s="23">
        <f>IF(表1_11[[#This Row],[中心]]="营销中心",VLOOKUP(表1_11[[#This Row],[职位]],表2[[话费补贴]:[营销中心]],2,0),VLOOKUP(表1_11[[#This Row],[职位]],表2[],3,0))</f>
        <v>0</v>
      </c>
      <c r="S213" s="23">
        <v>200</v>
      </c>
      <c r="T213" s="61">
        <f ca="1">ROUND(SUM(表1_11[[#This Row],[基本工资]],表1_11[[#This Row],[奖金]],表1_11[[#This Row],[全勤奖]:[防暑降温补贴]]),2)</f>
        <v>3276.25</v>
      </c>
      <c r="U213" s="62">
        <f ca="1">ROUND(表1_11[[#This Row],[税前应发总额]]*8%,2)</f>
        <v>262.10000000000002</v>
      </c>
      <c r="V213" s="62">
        <f ca="1">ROUND(表1_11[[#This Row],[税前应发总额]]*2%+3,2)</f>
        <v>68.53</v>
      </c>
      <c r="W213" s="62">
        <f ca="1">ROUND(表1_11[[#This Row],[税前应发总额]]*0.2%,2)</f>
        <v>6.55</v>
      </c>
      <c r="X213" s="62">
        <f ca="1">ROUND(表1_11[[#This Row],[税前应发总额]]*12%,2)</f>
        <v>393.15</v>
      </c>
      <c r="Y213" s="61">
        <f ca="1">ROUND(表1_11[[#This Row],[税前应发总额]]-SUM(表1_11[[#This Row],[养老保险]:[公积金]]),2)</f>
        <v>2545.92</v>
      </c>
      <c r="Z213" s="62">
        <f ca="1">ROUND(MAX((表1_11[[#This Row],[扣保险后工资金额]]-3500)*{3,10,20,25,30,35,45}%-{0,105,555,1005,2755,5505,13505},0),2)</f>
        <v>0</v>
      </c>
      <c r="AA213" s="63">
        <f ca="1">表1_11[[#This Row],[扣保险后工资金额]]-表1_11[[#This Row],[个人所得税]]</f>
        <v>2545.92</v>
      </c>
      <c r="AB213" s="53">
        <v>2939.73</v>
      </c>
      <c r="AC213" s="64">
        <f ca="1">(表1_11[[#This Row],[实发工资]]-表1_11[[#This Row],[上月对比]])/表1_11[[#This Row],[上月对比]]</f>
        <v>-0.13396128215856556</v>
      </c>
      <c r="AD213" s="65" t="s">
        <v>1587</v>
      </c>
    </row>
    <row r="214" spans="1:30">
      <c r="A214" s="42" t="s">
        <v>577</v>
      </c>
      <c r="B214" s="42" t="s">
        <v>725</v>
      </c>
      <c r="C214" s="40" t="s">
        <v>726</v>
      </c>
      <c r="D214" s="40" t="s">
        <v>727</v>
      </c>
      <c r="E214" s="41" t="s">
        <v>1224</v>
      </c>
      <c r="F214" s="5" t="s">
        <v>210</v>
      </c>
      <c r="G214" s="25">
        <v>42513</v>
      </c>
      <c r="H214" s="5" t="s">
        <v>728</v>
      </c>
      <c r="I214" s="5">
        <f>VLOOKUP(MID(表1_11[[#This Row],[工资等级]],1,1),表12[],MATCH(MID(表1_11[[#This Row],[工资等级]],2,2),表12[[#Headers],[1]:[10]],0)+1,0)</f>
        <v>8500</v>
      </c>
      <c r="J214" s="5">
        <v>25</v>
      </c>
      <c r="K214" s="27">
        <v>1.0416666666666667</v>
      </c>
      <c r="L214" s="37">
        <f>IF(表1_11[[#This Row],[出勤率]]&gt;1,1,表1_11[[#This Row],[出勤率]])*表1_11[[#This Row],[岗位工资]]</f>
        <v>8500</v>
      </c>
      <c r="M214" s="5">
        <f>LOOKUP(表1_11[[#This Row],[岗位工资]],表13[lookup],表13[奖金比率])*表1_11[[#This Row],[岗位工资]]</f>
        <v>1700</v>
      </c>
      <c r="N214" s="5">
        <v>84</v>
      </c>
      <c r="O214" s="38">
        <f>表1_11[[#This Row],[奖金等级]]*表1_11[[#This Row],[绩效得分]]/100</f>
        <v>1428</v>
      </c>
      <c r="P214" s="5">
        <f>IF(表1_11[[#This Row],[出勤率]]&gt;=1,200,0)</f>
        <v>200</v>
      </c>
      <c r="Q214" s="23">
        <f t="shared" ca="1" si="3"/>
        <v>50</v>
      </c>
      <c r="R214" s="23">
        <f>IF(表1_11[[#This Row],[中心]]="营销中心",VLOOKUP(表1_11[[#This Row],[职位]],表2[[话费补贴]:[营销中心]],2,0),VLOOKUP(表1_11[[#This Row],[职位]],表2[],3,0))</f>
        <v>800</v>
      </c>
      <c r="S214" s="23">
        <v>200</v>
      </c>
      <c r="T214" s="61">
        <f ca="1">ROUND(SUM(表1_11[[#This Row],[基本工资]],表1_11[[#This Row],[奖金]],表1_11[[#This Row],[全勤奖]:[防暑降温补贴]]),2)</f>
        <v>11178</v>
      </c>
      <c r="U214" s="62">
        <f ca="1">ROUND(表1_11[[#This Row],[税前应发总额]]*8%,2)</f>
        <v>894.24</v>
      </c>
      <c r="V214" s="62">
        <f ca="1">ROUND(表1_11[[#This Row],[税前应发总额]]*2%+3,2)</f>
        <v>226.56</v>
      </c>
      <c r="W214" s="62">
        <f ca="1">ROUND(表1_11[[#This Row],[税前应发总额]]*0.2%,2)</f>
        <v>22.36</v>
      </c>
      <c r="X214" s="62">
        <f ca="1">ROUND(表1_11[[#This Row],[税前应发总额]]*12%,2)</f>
        <v>1341.36</v>
      </c>
      <c r="Y214" s="61">
        <f ca="1">ROUND(表1_11[[#This Row],[税前应发总额]]-SUM(表1_11[[#This Row],[养老保险]:[公积金]]),2)</f>
        <v>8693.48</v>
      </c>
      <c r="Z214" s="62">
        <f ca="1">ROUND(MAX((表1_11[[#This Row],[扣保险后工资金额]]-3500)*{3,10,20,25,30,35,45}%-{0,105,555,1005,2755,5505,13505},0),2)</f>
        <v>483.7</v>
      </c>
      <c r="AA214" s="63">
        <f ca="1">表1_11[[#This Row],[扣保险后工资金额]]-表1_11[[#This Row],[个人所得税]]</f>
        <v>8209.7799999999988</v>
      </c>
      <c r="AB214" s="53">
        <v>7159.98</v>
      </c>
      <c r="AC214" s="64">
        <f ca="1">(表1_11[[#This Row],[实发工资]]-表1_11[[#This Row],[上月对比]])/表1_11[[#This Row],[上月对比]]</f>
        <v>0.14662052128637221</v>
      </c>
      <c r="AD214" s="65" t="s">
        <v>1587</v>
      </c>
    </row>
    <row r="215" spans="1:30">
      <c r="A215" s="42" t="s">
        <v>577</v>
      </c>
      <c r="B215" s="42" t="s">
        <v>725</v>
      </c>
      <c r="C215" s="40" t="s">
        <v>729</v>
      </c>
      <c r="D215" s="40" t="s">
        <v>729</v>
      </c>
      <c r="E215" s="41" t="s">
        <v>1225</v>
      </c>
      <c r="F215" s="5" t="s">
        <v>211</v>
      </c>
      <c r="G215" s="25">
        <v>40747</v>
      </c>
      <c r="H215" s="5" t="s">
        <v>730</v>
      </c>
      <c r="I215" s="5">
        <f>VLOOKUP(MID(表1_11[[#This Row],[工资等级]],1,1),表12[],MATCH(MID(表1_11[[#This Row],[工资等级]],2,2),表12[[#Headers],[1]:[10]],0)+1,0)</f>
        <v>8000</v>
      </c>
      <c r="J215" s="5">
        <v>24</v>
      </c>
      <c r="K215" s="27">
        <v>1</v>
      </c>
      <c r="L215" s="37">
        <f>IF(表1_11[[#This Row],[出勤率]]&gt;1,1,表1_11[[#This Row],[出勤率]])*表1_11[[#This Row],[岗位工资]]</f>
        <v>8000</v>
      </c>
      <c r="M215" s="5">
        <f>LOOKUP(表1_11[[#This Row],[岗位工资]],表13[lookup],表13[奖金比率])*表1_11[[#This Row],[岗位工资]]</f>
        <v>1600</v>
      </c>
      <c r="N215" s="5">
        <v>89</v>
      </c>
      <c r="O215" s="38">
        <f>表1_11[[#This Row],[奖金等级]]*表1_11[[#This Row],[绩效得分]]/100</f>
        <v>1424</v>
      </c>
      <c r="P215" s="5">
        <f>IF(表1_11[[#This Row],[出勤率]]&gt;=1,200,0)</f>
        <v>200</v>
      </c>
      <c r="Q215" s="23">
        <f t="shared" ca="1" si="3"/>
        <v>300</v>
      </c>
      <c r="R215" s="23">
        <f>IF(表1_11[[#This Row],[中心]]="营销中心",VLOOKUP(表1_11[[#This Row],[职位]],表2[[话费补贴]:[营销中心]],2,0),VLOOKUP(表1_11[[#This Row],[职位]],表2[],3,0))</f>
        <v>500</v>
      </c>
      <c r="S215" s="23">
        <v>200</v>
      </c>
      <c r="T215" s="61">
        <f ca="1">ROUND(SUM(表1_11[[#This Row],[基本工资]],表1_11[[#This Row],[奖金]],表1_11[[#This Row],[全勤奖]:[防暑降温补贴]]),2)</f>
        <v>10624</v>
      </c>
      <c r="U215" s="62">
        <f ca="1">ROUND(表1_11[[#This Row],[税前应发总额]]*8%,2)</f>
        <v>849.92</v>
      </c>
      <c r="V215" s="62">
        <f ca="1">ROUND(表1_11[[#This Row],[税前应发总额]]*2%+3,2)</f>
        <v>215.48</v>
      </c>
      <c r="W215" s="62">
        <f ca="1">ROUND(表1_11[[#This Row],[税前应发总额]]*0.2%,2)</f>
        <v>21.25</v>
      </c>
      <c r="X215" s="62">
        <f ca="1">ROUND(表1_11[[#This Row],[税前应发总额]]*12%,2)</f>
        <v>1274.8800000000001</v>
      </c>
      <c r="Y215" s="61">
        <f ca="1">ROUND(表1_11[[#This Row],[税前应发总额]]-SUM(表1_11[[#This Row],[养老保险]:[公积金]]),2)</f>
        <v>8262.4699999999993</v>
      </c>
      <c r="Z215" s="62">
        <f ca="1">ROUND(MAX((表1_11[[#This Row],[扣保险后工资金额]]-3500)*{3,10,20,25,30,35,45}%-{0,105,555,1005,2755,5505,13505},0),2)</f>
        <v>397.49</v>
      </c>
      <c r="AA215" s="63">
        <f ca="1">表1_11[[#This Row],[扣保险后工资金额]]-表1_11[[#This Row],[个人所得税]]</f>
        <v>7864.98</v>
      </c>
      <c r="AB215" s="53">
        <v>8773.49</v>
      </c>
      <c r="AC215" s="64">
        <f ca="1">(表1_11[[#This Row],[实发工资]]-表1_11[[#This Row],[上月对比]])/表1_11[[#This Row],[上月对比]]</f>
        <v>-0.10355172229067341</v>
      </c>
      <c r="AD215" s="65" t="s">
        <v>1587</v>
      </c>
    </row>
    <row r="216" spans="1:30">
      <c r="A216" s="42" t="s">
        <v>577</v>
      </c>
      <c r="B216" s="42" t="s">
        <v>725</v>
      </c>
      <c r="C216" s="40" t="s">
        <v>731</v>
      </c>
      <c r="D216" s="40" t="s">
        <v>732</v>
      </c>
      <c r="E216" s="41" t="s">
        <v>1226</v>
      </c>
      <c r="F216" s="5" t="s">
        <v>212</v>
      </c>
      <c r="G216" s="25">
        <v>42315</v>
      </c>
      <c r="H216" s="5" t="s">
        <v>733</v>
      </c>
      <c r="I216" s="5">
        <f>VLOOKUP(MID(表1_11[[#This Row],[工资等级]],1,1),表12[],MATCH(MID(表1_11[[#This Row],[工资等级]],2,2),表12[[#Headers],[1]:[10]],0)+1,0)</f>
        <v>8000</v>
      </c>
      <c r="J216" s="5">
        <v>23.5</v>
      </c>
      <c r="K216" s="27">
        <v>0.97916666666666663</v>
      </c>
      <c r="L216" s="37">
        <f>IF(表1_11[[#This Row],[出勤率]]&gt;1,1,表1_11[[#This Row],[出勤率]])*表1_11[[#This Row],[岗位工资]]</f>
        <v>7833.333333333333</v>
      </c>
      <c r="M216" s="5">
        <f>LOOKUP(表1_11[[#This Row],[岗位工资]],表13[lookup],表13[奖金比率])*表1_11[[#This Row],[岗位工资]]</f>
        <v>1600</v>
      </c>
      <c r="N216" s="5">
        <v>86</v>
      </c>
      <c r="O216" s="38">
        <f>表1_11[[#This Row],[奖金等级]]*表1_11[[#This Row],[绩效得分]]/100</f>
        <v>1376</v>
      </c>
      <c r="P216" s="5">
        <f>IF(表1_11[[#This Row],[出勤率]]&gt;=1,200,0)</f>
        <v>0</v>
      </c>
      <c r="Q216" s="23">
        <f t="shared" ca="1" si="3"/>
        <v>100</v>
      </c>
      <c r="R216" s="23">
        <f>IF(表1_11[[#This Row],[中心]]="营销中心",VLOOKUP(表1_11[[#This Row],[职位]],表2[[话费补贴]:[营销中心]],2,0),VLOOKUP(表1_11[[#This Row],[职位]],表2[],3,0))</f>
        <v>500</v>
      </c>
      <c r="S216" s="23">
        <v>200</v>
      </c>
      <c r="T216" s="61">
        <f ca="1">ROUND(SUM(表1_11[[#This Row],[基本工资]],表1_11[[#This Row],[奖金]],表1_11[[#This Row],[全勤奖]:[防暑降温补贴]]),2)</f>
        <v>10009.33</v>
      </c>
      <c r="U216" s="62">
        <f ca="1">ROUND(表1_11[[#This Row],[税前应发总额]]*8%,2)</f>
        <v>800.75</v>
      </c>
      <c r="V216" s="62">
        <f ca="1">ROUND(表1_11[[#This Row],[税前应发总额]]*2%+3,2)</f>
        <v>203.19</v>
      </c>
      <c r="W216" s="62">
        <f ca="1">ROUND(表1_11[[#This Row],[税前应发总额]]*0.2%,2)</f>
        <v>20.02</v>
      </c>
      <c r="X216" s="62">
        <f ca="1">ROUND(表1_11[[#This Row],[税前应发总额]]*12%,2)</f>
        <v>1201.1199999999999</v>
      </c>
      <c r="Y216" s="61">
        <f ca="1">ROUND(表1_11[[#This Row],[税前应发总额]]-SUM(表1_11[[#This Row],[养老保险]:[公积金]]),2)</f>
        <v>7784.25</v>
      </c>
      <c r="Z216" s="62">
        <f ca="1">ROUND(MAX((表1_11[[#This Row],[扣保险后工资金额]]-3500)*{3,10,20,25,30,35,45}%-{0,105,555,1005,2755,5505,13505},0),2)</f>
        <v>323.43</v>
      </c>
      <c r="AA216" s="63">
        <f ca="1">表1_11[[#This Row],[扣保险后工资金额]]-表1_11[[#This Row],[个人所得税]]</f>
        <v>7460.82</v>
      </c>
      <c r="AB216" s="53">
        <v>7398.07</v>
      </c>
      <c r="AC216" s="64">
        <f ca="1">(表1_11[[#This Row],[实发工资]]-表1_11[[#This Row],[上月对比]])/表1_11[[#This Row],[上月对比]]</f>
        <v>8.4819419118770164E-3</v>
      </c>
      <c r="AD216" s="65" t="s">
        <v>1587</v>
      </c>
    </row>
    <row r="217" spans="1:30">
      <c r="A217" s="42" t="s">
        <v>577</v>
      </c>
      <c r="B217" s="42" t="s">
        <v>725</v>
      </c>
      <c r="C217" s="40" t="s">
        <v>729</v>
      </c>
      <c r="D217" s="40" t="s">
        <v>734</v>
      </c>
      <c r="E217" s="41" t="s">
        <v>1227</v>
      </c>
      <c r="F217" s="5" t="s">
        <v>213</v>
      </c>
      <c r="G217" s="25">
        <v>40932</v>
      </c>
      <c r="H217" s="5" t="s">
        <v>667</v>
      </c>
      <c r="I217" s="5">
        <f>VLOOKUP(MID(表1_11[[#This Row],[工资等级]],1,1),表12[],MATCH(MID(表1_11[[#This Row],[工资等级]],2,2),表12[[#Headers],[1]:[10]],0)+1,0)</f>
        <v>8000</v>
      </c>
      <c r="J217" s="5">
        <v>25.5</v>
      </c>
      <c r="K217" s="27">
        <v>1.0625</v>
      </c>
      <c r="L217" s="37">
        <f>IF(表1_11[[#This Row],[出勤率]]&gt;1,1,表1_11[[#This Row],[出勤率]])*表1_11[[#This Row],[岗位工资]]</f>
        <v>8000</v>
      </c>
      <c r="M217" s="5">
        <f>LOOKUP(表1_11[[#This Row],[岗位工资]],表13[lookup],表13[奖金比率])*表1_11[[#This Row],[岗位工资]]</f>
        <v>1600</v>
      </c>
      <c r="N217" s="5">
        <v>79</v>
      </c>
      <c r="O217" s="38">
        <f>表1_11[[#This Row],[奖金等级]]*表1_11[[#This Row],[绩效得分]]/100</f>
        <v>1264</v>
      </c>
      <c r="P217" s="5">
        <f>IF(表1_11[[#This Row],[出勤率]]&gt;=1,200,0)</f>
        <v>200</v>
      </c>
      <c r="Q217" s="23">
        <f t="shared" ca="1" si="3"/>
        <v>300</v>
      </c>
      <c r="R217" s="23">
        <f>IF(表1_11[[#This Row],[中心]]="营销中心",VLOOKUP(表1_11[[#This Row],[职位]],表2[[话费补贴]:[营销中心]],2,0),VLOOKUP(表1_11[[#This Row],[职位]],表2[],3,0))</f>
        <v>500</v>
      </c>
      <c r="S217" s="23">
        <v>200</v>
      </c>
      <c r="T217" s="61">
        <f ca="1">ROUND(SUM(表1_11[[#This Row],[基本工资]],表1_11[[#This Row],[奖金]],表1_11[[#This Row],[全勤奖]:[防暑降温补贴]]),2)</f>
        <v>10464</v>
      </c>
      <c r="U217" s="62">
        <f ca="1">ROUND(表1_11[[#This Row],[税前应发总额]]*8%,2)</f>
        <v>837.12</v>
      </c>
      <c r="V217" s="62">
        <f ca="1">ROUND(表1_11[[#This Row],[税前应发总额]]*2%+3,2)</f>
        <v>212.28</v>
      </c>
      <c r="W217" s="62">
        <f ca="1">ROUND(表1_11[[#This Row],[税前应发总额]]*0.2%,2)</f>
        <v>20.93</v>
      </c>
      <c r="X217" s="62">
        <f ca="1">ROUND(表1_11[[#This Row],[税前应发总额]]*12%,2)</f>
        <v>1255.68</v>
      </c>
      <c r="Y217" s="61">
        <f ca="1">ROUND(表1_11[[#This Row],[税前应发总额]]-SUM(表1_11[[#This Row],[养老保险]:[公积金]]),2)</f>
        <v>8137.99</v>
      </c>
      <c r="Z217" s="62">
        <f ca="1">ROUND(MAX((表1_11[[#This Row],[扣保险后工资金额]]-3500)*{3,10,20,25,30,35,45}%-{0,105,555,1005,2755,5505,13505},0),2)</f>
        <v>372.6</v>
      </c>
      <c r="AA217" s="63">
        <f ca="1">表1_11[[#This Row],[扣保险后工资金额]]-表1_11[[#This Row],[个人所得税]]</f>
        <v>7765.3899999999994</v>
      </c>
      <c r="AB217" s="53">
        <v>9095.7000000000007</v>
      </c>
      <c r="AC217" s="64">
        <f ca="1">(表1_11[[#This Row],[实发工资]]-表1_11[[#This Row],[上月对比]])/表1_11[[#This Row],[上月对比]]</f>
        <v>-0.14625702254911674</v>
      </c>
      <c r="AD217" s="65" t="s">
        <v>1587</v>
      </c>
    </row>
    <row r="218" spans="1:30">
      <c r="A218" s="42" t="s">
        <v>577</v>
      </c>
      <c r="B218" s="42" t="s">
        <v>725</v>
      </c>
      <c r="C218" s="40" t="s">
        <v>668</v>
      </c>
      <c r="D218" s="40" t="s">
        <v>735</v>
      </c>
      <c r="E218" s="41" t="s">
        <v>1228</v>
      </c>
      <c r="F218" s="5" t="s">
        <v>214</v>
      </c>
      <c r="G218" s="25">
        <v>42698</v>
      </c>
      <c r="H218" s="5" t="s">
        <v>736</v>
      </c>
      <c r="I218" s="5">
        <f>VLOOKUP(MID(表1_11[[#This Row],[工资等级]],1,1),表12[],MATCH(MID(表1_11[[#This Row],[工资等级]],2,2),表12[[#Headers],[1]:[10]],0)+1,0)</f>
        <v>5000</v>
      </c>
      <c r="J218" s="5">
        <v>27.5</v>
      </c>
      <c r="K218" s="27">
        <v>1.1458333333333333</v>
      </c>
      <c r="L218" s="37">
        <f>IF(表1_11[[#This Row],[出勤率]]&gt;1,1,表1_11[[#This Row],[出勤率]])*表1_11[[#This Row],[岗位工资]]</f>
        <v>5000</v>
      </c>
      <c r="M218" s="5">
        <f>LOOKUP(表1_11[[#This Row],[岗位工资]],表13[lookup],表13[奖金比率])*表1_11[[#This Row],[岗位工资]]</f>
        <v>750</v>
      </c>
      <c r="N218" s="5">
        <v>87</v>
      </c>
      <c r="O218" s="38">
        <f>表1_11[[#This Row],[奖金等级]]*表1_11[[#This Row],[绩效得分]]/100</f>
        <v>652.5</v>
      </c>
      <c r="P218" s="5">
        <f>IF(表1_11[[#This Row],[出勤率]]&gt;=1,200,0)</f>
        <v>200</v>
      </c>
      <c r="Q218" s="23">
        <f t="shared" ca="1" si="3"/>
        <v>50</v>
      </c>
      <c r="R218" s="23">
        <f>IF(表1_11[[#This Row],[中心]]="营销中心",VLOOKUP(表1_11[[#This Row],[职位]],表2[[话费补贴]:[营销中心]],2,0),VLOOKUP(表1_11[[#This Row],[职位]],表2[],3,0))</f>
        <v>300</v>
      </c>
      <c r="S218" s="23">
        <v>200</v>
      </c>
      <c r="T218" s="61">
        <f ca="1">ROUND(SUM(表1_11[[#This Row],[基本工资]],表1_11[[#This Row],[奖金]],表1_11[[#This Row],[全勤奖]:[防暑降温补贴]]),2)</f>
        <v>6402.5</v>
      </c>
      <c r="U218" s="62">
        <f ca="1">ROUND(表1_11[[#This Row],[税前应发总额]]*8%,2)</f>
        <v>512.20000000000005</v>
      </c>
      <c r="V218" s="62">
        <f ca="1">ROUND(表1_11[[#This Row],[税前应发总额]]*2%+3,2)</f>
        <v>131.05000000000001</v>
      </c>
      <c r="W218" s="62">
        <f ca="1">ROUND(表1_11[[#This Row],[税前应发总额]]*0.2%,2)</f>
        <v>12.81</v>
      </c>
      <c r="X218" s="62">
        <f ca="1">ROUND(表1_11[[#This Row],[税前应发总额]]*12%,2)</f>
        <v>768.3</v>
      </c>
      <c r="Y218" s="61">
        <f ca="1">ROUND(表1_11[[#This Row],[税前应发总额]]-SUM(表1_11[[#This Row],[养老保险]:[公积金]]),2)</f>
        <v>4978.1400000000003</v>
      </c>
      <c r="Z218" s="62">
        <f ca="1">ROUND(MAX((表1_11[[#This Row],[扣保险后工资金额]]-3500)*{3,10,20,25,30,35,45}%-{0,105,555,1005,2755,5505,13505},0),2)</f>
        <v>44.34</v>
      </c>
      <c r="AA218" s="63">
        <f ca="1">表1_11[[#This Row],[扣保险后工资金额]]-表1_11[[#This Row],[个人所得税]]</f>
        <v>4933.8</v>
      </c>
      <c r="AB218" s="53">
        <v>5477.26</v>
      </c>
      <c r="AC218" s="64">
        <f ca="1">(表1_11[[#This Row],[实发工资]]-表1_11[[#This Row],[上月对比]])/表1_11[[#This Row],[上月对比]]</f>
        <v>-9.9221143418424543E-2</v>
      </c>
      <c r="AD218" s="65" t="s">
        <v>1587</v>
      </c>
    </row>
    <row r="219" spans="1:30">
      <c r="A219" s="42" t="s">
        <v>577</v>
      </c>
      <c r="B219" s="42" t="s">
        <v>725</v>
      </c>
      <c r="C219" s="40" t="s">
        <v>668</v>
      </c>
      <c r="D219" s="40" t="s">
        <v>737</v>
      </c>
      <c r="E219" s="41" t="s">
        <v>1229</v>
      </c>
      <c r="F219" s="5" t="s">
        <v>215</v>
      </c>
      <c r="G219" s="25">
        <v>41474</v>
      </c>
      <c r="H219" s="5" t="s">
        <v>614</v>
      </c>
      <c r="I219" s="5">
        <f>VLOOKUP(MID(表1_11[[#This Row],[工资等级]],1,1),表12[],MATCH(MID(表1_11[[#This Row],[工资等级]],2,2),表12[[#Headers],[1]:[10]],0)+1,0)</f>
        <v>4800</v>
      </c>
      <c r="J219" s="5">
        <v>23.5</v>
      </c>
      <c r="K219" s="27">
        <v>0.97916666666666663</v>
      </c>
      <c r="L219" s="37">
        <f>IF(表1_11[[#This Row],[出勤率]]&gt;1,1,表1_11[[#This Row],[出勤率]])*表1_11[[#This Row],[岗位工资]]</f>
        <v>4700</v>
      </c>
      <c r="M219" s="5">
        <f>LOOKUP(表1_11[[#This Row],[岗位工资]],表13[lookup],表13[奖金比率])*表1_11[[#This Row],[岗位工资]]</f>
        <v>720</v>
      </c>
      <c r="N219" s="5">
        <v>85</v>
      </c>
      <c r="O219" s="38">
        <f>表1_11[[#This Row],[奖金等级]]*表1_11[[#This Row],[绩效得分]]/100</f>
        <v>612</v>
      </c>
      <c r="P219" s="5">
        <f>IF(表1_11[[#This Row],[出勤率]]&gt;=1,200,0)</f>
        <v>0</v>
      </c>
      <c r="Q219" s="23">
        <f t="shared" ca="1" si="3"/>
        <v>200</v>
      </c>
      <c r="R219" s="23">
        <f>IF(表1_11[[#This Row],[中心]]="营销中心",VLOOKUP(表1_11[[#This Row],[职位]],表2[[话费补贴]:[营销中心]],2,0),VLOOKUP(表1_11[[#This Row],[职位]],表2[],3,0))</f>
        <v>300</v>
      </c>
      <c r="S219" s="23">
        <v>200</v>
      </c>
      <c r="T219" s="61">
        <f ca="1">ROUND(SUM(表1_11[[#This Row],[基本工资]],表1_11[[#This Row],[奖金]],表1_11[[#This Row],[全勤奖]:[防暑降温补贴]]),2)</f>
        <v>6012</v>
      </c>
      <c r="U219" s="62">
        <f ca="1">ROUND(表1_11[[#This Row],[税前应发总额]]*8%,2)</f>
        <v>480.96</v>
      </c>
      <c r="V219" s="62">
        <f ca="1">ROUND(表1_11[[#This Row],[税前应发总额]]*2%+3,2)</f>
        <v>123.24</v>
      </c>
      <c r="W219" s="62">
        <f ca="1">ROUND(表1_11[[#This Row],[税前应发总额]]*0.2%,2)</f>
        <v>12.02</v>
      </c>
      <c r="X219" s="62">
        <f ca="1">ROUND(表1_11[[#This Row],[税前应发总额]]*12%,2)</f>
        <v>721.44</v>
      </c>
      <c r="Y219" s="61">
        <f ca="1">ROUND(表1_11[[#This Row],[税前应发总额]]-SUM(表1_11[[#This Row],[养老保险]:[公积金]]),2)</f>
        <v>4674.34</v>
      </c>
      <c r="Z219" s="62">
        <f ca="1">ROUND(MAX((表1_11[[#This Row],[扣保险后工资金额]]-3500)*{3,10,20,25,30,35,45}%-{0,105,555,1005,2755,5505,13505},0),2)</f>
        <v>35.229999999999997</v>
      </c>
      <c r="AA219" s="63">
        <f ca="1">表1_11[[#This Row],[扣保险后工资金额]]-表1_11[[#This Row],[个人所得税]]</f>
        <v>4639.1100000000006</v>
      </c>
      <c r="AB219" s="53">
        <v>4090.39</v>
      </c>
      <c r="AC219" s="64">
        <f ca="1">(表1_11[[#This Row],[实发工资]]-表1_11[[#This Row],[上月对比]])/表1_11[[#This Row],[上月对比]]</f>
        <v>0.13414857751950321</v>
      </c>
      <c r="AD219" s="65" t="s">
        <v>1587</v>
      </c>
    </row>
    <row r="220" spans="1:30">
      <c r="A220" s="42" t="s">
        <v>577</v>
      </c>
      <c r="B220" s="42" t="s">
        <v>725</v>
      </c>
      <c r="C220" s="40" t="s">
        <v>668</v>
      </c>
      <c r="D220" s="40" t="s">
        <v>735</v>
      </c>
      <c r="E220" s="41" t="s">
        <v>1230</v>
      </c>
      <c r="F220" s="5" t="s">
        <v>216</v>
      </c>
      <c r="G220" s="25">
        <v>38986</v>
      </c>
      <c r="H220" s="5" t="s">
        <v>738</v>
      </c>
      <c r="I220" s="5">
        <f>VLOOKUP(MID(表1_11[[#This Row],[工资等级]],1,1),表12[],MATCH(MID(表1_11[[#This Row],[工资等级]],2,2),表12[[#Headers],[1]:[10]],0)+1,0)</f>
        <v>4300</v>
      </c>
      <c r="J220" s="5">
        <v>21.5</v>
      </c>
      <c r="K220" s="27">
        <v>0.89583333333333337</v>
      </c>
      <c r="L220" s="37">
        <f>IF(表1_11[[#This Row],[出勤率]]&gt;1,1,表1_11[[#This Row],[出勤率]])*表1_11[[#This Row],[岗位工资]]</f>
        <v>3852.0833333333335</v>
      </c>
      <c r="M220" s="5">
        <f>LOOKUP(表1_11[[#This Row],[岗位工资]],表13[lookup],表13[奖金比率])*表1_11[[#This Row],[岗位工资]]</f>
        <v>645</v>
      </c>
      <c r="N220" s="5">
        <v>89</v>
      </c>
      <c r="O220" s="38">
        <f>表1_11[[#This Row],[奖金等级]]*表1_11[[#This Row],[绩效得分]]/100</f>
        <v>574.04999999999995</v>
      </c>
      <c r="P220" s="5">
        <f>IF(表1_11[[#This Row],[出勤率]]&gt;=1,200,0)</f>
        <v>0</v>
      </c>
      <c r="Q220" s="23">
        <f t="shared" ca="1" si="3"/>
        <v>500</v>
      </c>
      <c r="R220" s="23">
        <f>IF(表1_11[[#This Row],[中心]]="营销中心",VLOOKUP(表1_11[[#This Row],[职位]],表2[[话费补贴]:[营销中心]],2,0),VLOOKUP(表1_11[[#This Row],[职位]],表2[],3,0))</f>
        <v>300</v>
      </c>
      <c r="S220" s="23">
        <v>200</v>
      </c>
      <c r="T220" s="61">
        <f ca="1">ROUND(SUM(表1_11[[#This Row],[基本工资]],表1_11[[#This Row],[奖金]],表1_11[[#This Row],[全勤奖]:[防暑降温补贴]]),2)</f>
        <v>5426.13</v>
      </c>
      <c r="U220" s="62">
        <f ca="1">ROUND(表1_11[[#This Row],[税前应发总额]]*8%,2)</f>
        <v>434.09</v>
      </c>
      <c r="V220" s="62">
        <f ca="1">ROUND(表1_11[[#This Row],[税前应发总额]]*2%+3,2)</f>
        <v>111.52</v>
      </c>
      <c r="W220" s="62">
        <f ca="1">ROUND(表1_11[[#This Row],[税前应发总额]]*0.2%,2)</f>
        <v>10.85</v>
      </c>
      <c r="X220" s="62">
        <f ca="1">ROUND(表1_11[[#This Row],[税前应发总额]]*12%,2)</f>
        <v>651.14</v>
      </c>
      <c r="Y220" s="61">
        <f ca="1">ROUND(表1_11[[#This Row],[税前应发总额]]-SUM(表1_11[[#This Row],[养老保险]:[公积金]]),2)</f>
        <v>4218.53</v>
      </c>
      <c r="Z220" s="62">
        <f ca="1">ROUND(MAX((表1_11[[#This Row],[扣保险后工资金额]]-3500)*{3,10,20,25,30,35,45}%-{0,105,555,1005,2755,5505,13505},0),2)</f>
        <v>21.56</v>
      </c>
      <c r="AA220" s="63">
        <f ca="1">表1_11[[#This Row],[扣保险后工资金额]]-表1_11[[#This Row],[个人所得税]]</f>
        <v>4196.9699999999993</v>
      </c>
      <c r="AB220" s="53">
        <v>4248.78</v>
      </c>
      <c r="AC220" s="64">
        <f ca="1">(表1_11[[#This Row],[实发工资]]-表1_11[[#This Row],[上月对比]])/表1_11[[#This Row],[上月对比]]</f>
        <v>-1.2194088656037829E-2</v>
      </c>
      <c r="AD220" s="65" t="s">
        <v>1587</v>
      </c>
    </row>
    <row r="221" spans="1:30">
      <c r="A221" s="42" t="s">
        <v>577</v>
      </c>
      <c r="B221" s="42" t="s">
        <v>725</v>
      </c>
      <c r="C221" s="40" t="s">
        <v>681</v>
      </c>
      <c r="D221" s="40" t="s">
        <v>682</v>
      </c>
      <c r="E221" s="41" t="s">
        <v>1231</v>
      </c>
      <c r="F221" s="5" t="s">
        <v>217</v>
      </c>
      <c r="G221" s="25">
        <v>40470</v>
      </c>
      <c r="H221" s="5" t="s">
        <v>612</v>
      </c>
      <c r="I221" s="5">
        <f>VLOOKUP(MID(表1_11[[#This Row],[工资等级]],1,1),表12[],MATCH(MID(表1_11[[#This Row],[工资等级]],2,2),表12[[#Headers],[1]:[10]],0)+1,0)</f>
        <v>2700</v>
      </c>
      <c r="J221" s="5">
        <v>24</v>
      </c>
      <c r="K221" s="27">
        <v>1</v>
      </c>
      <c r="L221" s="37">
        <f>IF(表1_11[[#This Row],[出勤率]]&gt;1,1,表1_11[[#This Row],[出勤率]])*表1_11[[#This Row],[岗位工资]]</f>
        <v>2700</v>
      </c>
      <c r="M221" s="5">
        <f>LOOKUP(表1_11[[#This Row],[岗位工资]],表13[lookup],表13[奖金比率])*表1_11[[#This Row],[岗位工资]]</f>
        <v>270</v>
      </c>
      <c r="N221" s="5">
        <v>99</v>
      </c>
      <c r="O221" s="38">
        <f>表1_11[[#This Row],[奖金等级]]*表1_11[[#This Row],[绩效得分]]/100</f>
        <v>267.3</v>
      </c>
      <c r="P221" s="5">
        <f>IF(表1_11[[#This Row],[出勤率]]&gt;=1,200,0)</f>
        <v>200</v>
      </c>
      <c r="Q221" s="23">
        <f t="shared" ca="1" si="3"/>
        <v>350</v>
      </c>
      <c r="R221" s="23">
        <f>IF(表1_11[[#This Row],[中心]]="营销中心",VLOOKUP(表1_11[[#This Row],[职位]],表2[[话费补贴]:[营销中心]],2,0),VLOOKUP(表1_11[[#This Row],[职位]],表2[],3,0))</f>
        <v>0</v>
      </c>
      <c r="S221" s="23">
        <v>200</v>
      </c>
      <c r="T221" s="61">
        <f ca="1">ROUND(SUM(表1_11[[#This Row],[基本工资]],表1_11[[#This Row],[奖金]],表1_11[[#This Row],[全勤奖]:[防暑降温补贴]]),2)</f>
        <v>3717.3</v>
      </c>
      <c r="U221" s="62">
        <f ca="1">ROUND(表1_11[[#This Row],[税前应发总额]]*8%,2)</f>
        <v>297.38</v>
      </c>
      <c r="V221" s="62">
        <f ca="1">ROUND(表1_11[[#This Row],[税前应发总额]]*2%+3,2)</f>
        <v>77.349999999999994</v>
      </c>
      <c r="W221" s="62">
        <f ca="1">ROUND(表1_11[[#This Row],[税前应发总额]]*0.2%,2)</f>
        <v>7.43</v>
      </c>
      <c r="X221" s="62">
        <f ca="1">ROUND(表1_11[[#This Row],[税前应发总额]]*12%,2)</f>
        <v>446.08</v>
      </c>
      <c r="Y221" s="61">
        <f ca="1">ROUND(表1_11[[#This Row],[税前应发总额]]-SUM(表1_11[[#This Row],[养老保险]:[公积金]]),2)</f>
        <v>2889.06</v>
      </c>
      <c r="Z221" s="62">
        <f ca="1">ROUND(MAX((表1_11[[#This Row],[扣保险后工资金额]]-3500)*{3,10,20,25,30,35,45}%-{0,105,555,1005,2755,5505,13505},0),2)</f>
        <v>0</v>
      </c>
      <c r="AA221" s="63">
        <f ca="1">表1_11[[#This Row],[扣保险后工资金额]]-表1_11[[#This Row],[个人所得税]]</f>
        <v>2889.06</v>
      </c>
      <c r="AB221" s="53">
        <v>2452.94</v>
      </c>
      <c r="AC221" s="64">
        <f ca="1">(表1_11[[#This Row],[实发工资]]-表1_11[[#This Row],[上月对比]])/表1_11[[#This Row],[上月对比]]</f>
        <v>0.17779480949391338</v>
      </c>
      <c r="AD221" s="65" t="s">
        <v>1587</v>
      </c>
    </row>
    <row r="222" spans="1:30">
      <c r="A222" s="42" t="s">
        <v>577</v>
      </c>
      <c r="B222" s="42" t="s">
        <v>725</v>
      </c>
      <c r="C222" s="40" t="s">
        <v>719</v>
      </c>
      <c r="D222" s="40" t="s">
        <v>720</v>
      </c>
      <c r="E222" s="41" t="s">
        <v>1232</v>
      </c>
      <c r="F222" s="5" t="s">
        <v>218</v>
      </c>
      <c r="G222" s="25">
        <v>41799</v>
      </c>
      <c r="H222" s="5" t="s">
        <v>624</v>
      </c>
      <c r="I222" s="5">
        <f>VLOOKUP(MID(表1_11[[#This Row],[工资等级]],1,1),表12[],MATCH(MID(表1_11[[#This Row],[工资等级]],2,2),表12[[#Headers],[1]:[10]],0)+1,0)</f>
        <v>2800</v>
      </c>
      <c r="J222" s="5">
        <v>25.5</v>
      </c>
      <c r="K222" s="27">
        <v>1.0625</v>
      </c>
      <c r="L222" s="37">
        <f>IF(表1_11[[#This Row],[出勤率]]&gt;1,1,表1_11[[#This Row],[出勤率]])*表1_11[[#This Row],[岗位工资]]</f>
        <v>2800</v>
      </c>
      <c r="M222" s="5">
        <f>LOOKUP(表1_11[[#This Row],[岗位工资]],表13[lookup],表13[奖金比率])*表1_11[[#This Row],[岗位工资]]</f>
        <v>280</v>
      </c>
      <c r="N222" s="5">
        <v>93</v>
      </c>
      <c r="O222" s="38">
        <f>表1_11[[#This Row],[奖金等级]]*表1_11[[#This Row],[绩效得分]]/100</f>
        <v>260.39999999999998</v>
      </c>
      <c r="P222" s="5">
        <f>IF(表1_11[[#This Row],[出勤率]]&gt;=1,200,0)</f>
        <v>200</v>
      </c>
      <c r="Q222" s="23">
        <f t="shared" ca="1" si="3"/>
        <v>150</v>
      </c>
      <c r="R222" s="23">
        <f>IF(表1_11[[#This Row],[中心]]="营销中心",VLOOKUP(表1_11[[#This Row],[职位]],表2[[话费补贴]:[营销中心]],2,0),VLOOKUP(表1_11[[#This Row],[职位]],表2[],3,0))</f>
        <v>0</v>
      </c>
      <c r="S222" s="23">
        <v>200</v>
      </c>
      <c r="T222" s="61">
        <f ca="1">ROUND(SUM(表1_11[[#This Row],[基本工资]],表1_11[[#This Row],[奖金]],表1_11[[#This Row],[全勤奖]:[防暑降温补贴]]),2)</f>
        <v>3610.4</v>
      </c>
      <c r="U222" s="62">
        <f ca="1">ROUND(表1_11[[#This Row],[税前应发总额]]*8%,2)</f>
        <v>288.83</v>
      </c>
      <c r="V222" s="62">
        <f ca="1">ROUND(表1_11[[#This Row],[税前应发总额]]*2%+3,2)</f>
        <v>75.209999999999994</v>
      </c>
      <c r="W222" s="62">
        <f ca="1">ROUND(表1_11[[#This Row],[税前应发总额]]*0.2%,2)</f>
        <v>7.22</v>
      </c>
      <c r="X222" s="62">
        <f ca="1">ROUND(表1_11[[#This Row],[税前应发总额]]*12%,2)</f>
        <v>433.25</v>
      </c>
      <c r="Y222" s="61">
        <f ca="1">ROUND(表1_11[[#This Row],[税前应发总额]]-SUM(表1_11[[#This Row],[养老保险]:[公积金]]),2)</f>
        <v>2805.89</v>
      </c>
      <c r="Z222" s="62">
        <f ca="1">ROUND(MAX((表1_11[[#This Row],[扣保险后工资金额]]-3500)*{3,10,20,25,30,35,45}%-{0,105,555,1005,2755,5505,13505},0),2)</f>
        <v>0</v>
      </c>
      <c r="AA222" s="63">
        <f ca="1">表1_11[[#This Row],[扣保险后工资金额]]-表1_11[[#This Row],[个人所得税]]</f>
        <v>2805.89</v>
      </c>
      <c r="AB222" s="53">
        <v>2578.4499999999998</v>
      </c>
      <c r="AC222" s="64">
        <f ca="1">(表1_11[[#This Row],[实发工资]]-表1_11[[#This Row],[上月对比]])/表1_11[[#This Row],[上月对比]]</f>
        <v>8.8208031957183602E-2</v>
      </c>
      <c r="AD222" s="65" t="s">
        <v>1587</v>
      </c>
    </row>
    <row r="223" spans="1:30">
      <c r="A223" s="42" t="s">
        <v>577</v>
      </c>
      <c r="B223" s="42" t="s">
        <v>725</v>
      </c>
      <c r="C223" s="40" t="s">
        <v>681</v>
      </c>
      <c r="D223" s="40" t="s">
        <v>682</v>
      </c>
      <c r="E223" s="41" t="s">
        <v>1233</v>
      </c>
      <c r="F223" s="5" t="s">
        <v>219</v>
      </c>
      <c r="G223" s="25">
        <v>38743</v>
      </c>
      <c r="H223" s="5" t="s">
        <v>623</v>
      </c>
      <c r="I223" s="5">
        <f>VLOOKUP(MID(表1_11[[#This Row],[工资等级]],1,1),表12[],MATCH(MID(表1_11[[#This Row],[工资等级]],2,2),表12[[#Headers],[1]:[10]],0)+1,0)</f>
        <v>3800</v>
      </c>
      <c r="J223" s="5">
        <v>27</v>
      </c>
      <c r="K223" s="27">
        <v>1.125</v>
      </c>
      <c r="L223" s="37">
        <f>IF(表1_11[[#This Row],[出勤率]]&gt;1,1,表1_11[[#This Row],[出勤率]])*表1_11[[#This Row],[岗位工资]]</f>
        <v>3800</v>
      </c>
      <c r="M223" s="5">
        <f>LOOKUP(表1_11[[#This Row],[岗位工资]],表13[lookup],表13[奖金比率])*表1_11[[#This Row],[岗位工资]]</f>
        <v>380</v>
      </c>
      <c r="N223" s="5">
        <v>79</v>
      </c>
      <c r="O223" s="38">
        <f>表1_11[[#This Row],[奖金等级]]*表1_11[[#This Row],[绩效得分]]/100</f>
        <v>300.2</v>
      </c>
      <c r="P223" s="5">
        <f>IF(表1_11[[#This Row],[出勤率]]&gt;=1,200,0)</f>
        <v>200</v>
      </c>
      <c r="Q223" s="23">
        <f t="shared" ca="1" si="3"/>
        <v>500</v>
      </c>
      <c r="R223" s="23">
        <f>IF(表1_11[[#This Row],[中心]]="营销中心",VLOOKUP(表1_11[[#This Row],[职位]],表2[[话费补贴]:[营销中心]],2,0),VLOOKUP(表1_11[[#This Row],[职位]],表2[],3,0))</f>
        <v>0</v>
      </c>
      <c r="S223" s="23">
        <v>200</v>
      </c>
      <c r="T223" s="61">
        <f ca="1">ROUND(SUM(表1_11[[#This Row],[基本工资]],表1_11[[#This Row],[奖金]],表1_11[[#This Row],[全勤奖]:[防暑降温补贴]]),2)</f>
        <v>5000.2</v>
      </c>
      <c r="U223" s="62">
        <f ca="1">ROUND(表1_11[[#This Row],[税前应发总额]]*8%,2)</f>
        <v>400.02</v>
      </c>
      <c r="V223" s="62">
        <f ca="1">ROUND(表1_11[[#This Row],[税前应发总额]]*2%+3,2)</f>
        <v>103</v>
      </c>
      <c r="W223" s="62">
        <f ca="1">ROUND(表1_11[[#This Row],[税前应发总额]]*0.2%,2)</f>
        <v>10</v>
      </c>
      <c r="X223" s="62">
        <f ca="1">ROUND(表1_11[[#This Row],[税前应发总额]]*12%,2)</f>
        <v>600.02</v>
      </c>
      <c r="Y223" s="61">
        <f ca="1">ROUND(表1_11[[#This Row],[税前应发总额]]-SUM(表1_11[[#This Row],[养老保险]:[公积金]]),2)</f>
        <v>3887.16</v>
      </c>
      <c r="Z223" s="62">
        <f ca="1">ROUND(MAX((表1_11[[#This Row],[扣保险后工资金额]]-3500)*{3,10,20,25,30,35,45}%-{0,105,555,1005,2755,5505,13505},0),2)</f>
        <v>11.61</v>
      </c>
      <c r="AA223" s="63">
        <f ca="1">表1_11[[#This Row],[扣保险后工资金额]]-表1_11[[#This Row],[个人所得税]]</f>
        <v>3875.5499999999997</v>
      </c>
      <c r="AB223" s="53">
        <v>4434.45</v>
      </c>
      <c r="AC223" s="64">
        <f ca="1">(表1_11[[#This Row],[实发工资]]-表1_11[[#This Row],[上月对比]])/表1_11[[#This Row],[上月对比]]</f>
        <v>-0.1260359232824815</v>
      </c>
      <c r="AD223" s="65" t="s">
        <v>1587</v>
      </c>
    </row>
    <row r="224" spans="1:30">
      <c r="A224" s="42" t="s">
        <v>577</v>
      </c>
      <c r="B224" s="42" t="s">
        <v>725</v>
      </c>
      <c r="C224" s="40" t="s">
        <v>719</v>
      </c>
      <c r="D224" s="40" t="s">
        <v>720</v>
      </c>
      <c r="E224" s="41" t="s">
        <v>1234</v>
      </c>
      <c r="F224" s="5" t="s">
        <v>220</v>
      </c>
      <c r="G224" s="25">
        <v>38270</v>
      </c>
      <c r="H224" s="5" t="s">
        <v>630</v>
      </c>
      <c r="I224" s="5">
        <f>VLOOKUP(MID(表1_11[[#This Row],[工资等级]],1,1),表12[],MATCH(MID(表1_11[[#This Row],[工资等级]],2,2),表12[[#Headers],[1]:[10]],0)+1,0)</f>
        <v>2600</v>
      </c>
      <c r="J224" s="5">
        <v>22</v>
      </c>
      <c r="K224" s="27">
        <v>0.91666666666666663</v>
      </c>
      <c r="L224" s="37">
        <f>IF(表1_11[[#This Row],[出勤率]]&gt;1,1,表1_11[[#This Row],[出勤率]])*表1_11[[#This Row],[岗位工资]]</f>
        <v>2383.333333333333</v>
      </c>
      <c r="M224" s="5">
        <f>LOOKUP(表1_11[[#This Row],[岗位工资]],表13[lookup],表13[奖金比率])*表1_11[[#This Row],[岗位工资]]</f>
        <v>260</v>
      </c>
      <c r="N224" s="5">
        <v>96</v>
      </c>
      <c r="O224" s="38">
        <f>表1_11[[#This Row],[奖金等级]]*表1_11[[#This Row],[绩效得分]]/100</f>
        <v>249.6</v>
      </c>
      <c r="P224" s="5">
        <f>IF(表1_11[[#This Row],[出勤率]]&gt;=1,200,0)</f>
        <v>0</v>
      </c>
      <c r="Q224" s="23">
        <f t="shared" ca="1" si="3"/>
        <v>500</v>
      </c>
      <c r="R224" s="23">
        <f>IF(表1_11[[#This Row],[中心]]="营销中心",VLOOKUP(表1_11[[#This Row],[职位]],表2[[话费补贴]:[营销中心]],2,0),VLOOKUP(表1_11[[#This Row],[职位]],表2[],3,0))</f>
        <v>0</v>
      </c>
      <c r="S224" s="23">
        <v>200</v>
      </c>
      <c r="T224" s="61">
        <f ca="1">ROUND(SUM(表1_11[[#This Row],[基本工资]],表1_11[[#This Row],[奖金]],表1_11[[#This Row],[全勤奖]:[防暑降温补贴]]),2)</f>
        <v>3332.93</v>
      </c>
      <c r="U224" s="62">
        <f ca="1">ROUND(表1_11[[#This Row],[税前应发总额]]*8%,2)</f>
        <v>266.63</v>
      </c>
      <c r="V224" s="62">
        <f ca="1">ROUND(表1_11[[#This Row],[税前应发总额]]*2%+3,2)</f>
        <v>69.66</v>
      </c>
      <c r="W224" s="62">
        <f ca="1">ROUND(表1_11[[#This Row],[税前应发总额]]*0.2%,2)</f>
        <v>6.67</v>
      </c>
      <c r="X224" s="62">
        <f ca="1">ROUND(表1_11[[#This Row],[税前应发总额]]*12%,2)</f>
        <v>399.95</v>
      </c>
      <c r="Y224" s="61">
        <f ca="1">ROUND(表1_11[[#This Row],[税前应发总额]]-SUM(表1_11[[#This Row],[养老保险]:[公积金]]),2)</f>
        <v>2590.02</v>
      </c>
      <c r="Z224" s="62">
        <f ca="1">ROUND(MAX((表1_11[[#This Row],[扣保险后工资金额]]-3500)*{3,10,20,25,30,35,45}%-{0,105,555,1005,2755,5505,13505},0),2)</f>
        <v>0</v>
      </c>
      <c r="AA224" s="63">
        <f ca="1">表1_11[[#This Row],[扣保险后工资金额]]-表1_11[[#This Row],[个人所得税]]</f>
        <v>2590.02</v>
      </c>
      <c r="AB224" s="53">
        <v>2745.42</v>
      </c>
      <c r="AC224" s="64">
        <f ca="1">(表1_11[[#This Row],[实发工资]]-表1_11[[#This Row],[上月对比]])/表1_11[[#This Row],[上月对比]]</f>
        <v>-5.6603361234346686E-2</v>
      </c>
      <c r="AD224" s="65" t="s">
        <v>1587</v>
      </c>
    </row>
    <row r="225" spans="1:30">
      <c r="A225" s="42" t="s">
        <v>577</v>
      </c>
      <c r="B225" s="42" t="s">
        <v>725</v>
      </c>
      <c r="C225" s="40" t="s">
        <v>711</v>
      </c>
      <c r="D225" s="40" t="s">
        <v>712</v>
      </c>
      <c r="E225" s="41" t="s">
        <v>1235</v>
      </c>
      <c r="F225" s="5" t="s">
        <v>221</v>
      </c>
      <c r="G225" s="25">
        <v>39727</v>
      </c>
      <c r="H225" s="5" t="s">
        <v>657</v>
      </c>
      <c r="I225" s="5">
        <f>VLOOKUP(MID(表1_11[[#This Row],[工资等级]],1,1),表12[],MATCH(MID(表1_11[[#This Row],[工资等级]],2,2),表12[[#Headers],[1]:[10]],0)+1,0)</f>
        <v>4000</v>
      </c>
      <c r="J225" s="5">
        <v>22.5</v>
      </c>
      <c r="K225" s="27">
        <v>0.9375</v>
      </c>
      <c r="L225" s="37">
        <f>IF(表1_11[[#This Row],[出勤率]]&gt;1,1,表1_11[[#This Row],[出勤率]])*表1_11[[#This Row],[岗位工资]]</f>
        <v>3750</v>
      </c>
      <c r="M225" s="5">
        <f>LOOKUP(表1_11[[#This Row],[岗位工资]],表13[lookup],表13[奖金比率])*表1_11[[#This Row],[岗位工资]]</f>
        <v>600</v>
      </c>
      <c r="N225" s="5">
        <v>89</v>
      </c>
      <c r="O225" s="38">
        <f>表1_11[[#This Row],[奖金等级]]*表1_11[[#This Row],[绩效得分]]/100</f>
        <v>534</v>
      </c>
      <c r="P225" s="5">
        <f>IF(表1_11[[#This Row],[出勤率]]&gt;=1,200,0)</f>
        <v>0</v>
      </c>
      <c r="Q225" s="23">
        <f t="shared" ca="1" si="3"/>
        <v>450</v>
      </c>
      <c r="R225" s="23">
        <f>IF(表1_11[[#This Row],[中心]]="营销中心",VLOOKUP(表1_11[[#This Row],[职位]],表2[[话费补贴]:[营销中心]],2,0),VLOOKUP(表1_11[[#This Row],[职位]],表2[],3,0))</f>
        <v>0</v>
      </c>
      <c r="S225" s="23">
        <v>200</v>
      </c>
      <c r="T225" s="61">
        <f ca="1">ROUND(SUM(表1_11[[#This Row],[基本工资]],表1_11[[#This Row],[奖金]],表1_11[[#This Row],[全勤奖]:[防暑降温补贴]]),2)</f>
        <v>4934</v>
      </c>
      <c r="U225" s="62">
        <f ca="1">ROUND(表1_11[[#This Row],[税前应发总额]]*8%,2)</f>
        <v>394.72</v>
      </c>
      <c r="V225" s="62">
        <f ca="1">ROUND(表1_11[[#This Row],[税前应发总额]]*2%+3,2)</f>
        <v>101.68</v>
      </c>
      <c r="W225" s="62">
        <f ca="1">ROUND(表1_11[[#This Row],[税前应发总额]]*0.2%,2)</f>
        <v>9.8699999999999992</v>
      </c>
      <c r="X225" s="62">
        <f ca="1">ROUND(表1_11[[#This Row],[税前应发总额]]*12%,2)</f>
        <v>592.08000000000004</v>
      </c>
      <c r="Y225" s="61">
        <f ca="1">ROUND(表1_11[[#This Row],[税前应发总额]]-SUM(表1_11[[#This Row],[养老保险]:[公积金]]),2)</f>
        <v>3835.65</v>
      </c>
      <c r="Z225" s="62">
        <f ca="1">ROUND(MAX((表1_11[[#This Row],[扣保险后工资金额]]-3500)*{3,10,20,25,30,35,45}%-{0,105,555,1005,2755,5505,13505},0),2)</f>
        <v>10.07</v>
      </c>
      <c r="AA225" s="63">
        <f ca="1">表1_11[[#This Row],[扣保险后工资金额]]-表1_11[[#This Row],[个人所得税]]</f>
        <v>3825.58</v>
      </c>
      <c r="AB225" s="53">
        <v>3594.64</v>
      </c>
      <c r="AC225" s="64">
        <f ca="1">(表1_11[[#This Row],[实发工资]]-表1_11[[#This Row],[上月对比]])/表1_11[[#This Row],[上月对比]]</f>
        <v>6.4245654641354927E-2</v>
      </c>
      <c r="AD225" s="65" t="s">
        <v>1587</v>
      </c>
    </row>
    <row r="226" spans="1:30">
      <c r="A226" s="42" t="s">
        <v>577</v>
      </c>
      <c r="B226" s="42" t="s">
        <v>725</v>
      </c>
      <c r="C226" s="40" t="s">
        <v>673</v>
      </c>
      <c r="D226" s="40" t="s">
        <v>674</v>
      </c>
      <c r="E226" s="41" t="s">
        <v>1236</v>
      </c>
      <c r="F226" s="5" t="s">
        <v>222</v>
      </c>
      <c r="G226" s="25">
        <v>40418</v>
      </c>
      <c r="H226" s="5" t="s">
        <v>624</v>
      </c>
      <c r="I226" s="5">
        <f>VLOOKUP(MID(表1_11[[#This Row],[工资等级]],1,1),表12[],MATCH(MID(表1_11[[#This Row],[工资等级]],2,2),表12[[#Headers],[1]:[10]],0)+1,0)</f>
        <v>2800</v>
      </c>
      <c r="J226" s="5">
        <v>24</v>
      </c>
      <c r="K226" s="27">
        <v>1</v>
      </c>
      <c r="L226" s="37">
        <f>IF(表1_11[[#This Row],[出勤率]]&gt;1,1,表1_11[[#This Row],[出勤率]])*表1_11[[#This Row],[岗位工资]]</f>
        <v>2800</v>
      </c>
      <c r="M226" s="5">
        <f>LOOKUP(表1_11[[#This Row],[岗位工资]],表13[lookup],表13[奖金比率])*表1_11[[#This Row],[岗位工资]]</f>
        <v>280</v>
      </c>
      <c r="N226" s="5">
        <v>92</v>
      </c>
      <c r="O226" s="38">
        <f>表1_11[[#This Row],[奖金等级]]*表1_11[[#This Row],[绩效得分]]/100</f>
        <v>257.60000000000002</v>
      </c>
      <c r="P226" s="5">
        <f>IF(表1_11[[#This Row],[出勤率]]&gt;=1,200,0)</f>
        <v>200</v>
      </c>
      <c r="Q226" s="23">
        <f t="shared" ca="1" si="3"/>
        <v>350</v>
      </c>
      <c r="R226" s="23">
        <f>IF(表1_11[[#This Row],[中心]]="营销中心",VLOOKUP(表1_11[[#This Row],[职位]],表2[[话费补贴]:[营销中心]],2,0),VLOOKUP(表1_11[[#This Row],[职位]],表2[],3,0))</f>
        <v>0</v>
      </c>
      <c r="S226" s="23">
        <v>200</v>
      </c>
      <c r="T226" s="61">
        <f ca="1">ROUND(SUM(表1_11[[#This Row],[基本工资]],表1_11[[#This Row],[奖金]],表1_11[[#This Row],[全勤奖]:[防暑降温补贴]]),2)</f>
        <v>3807.6</v>
      </c>
      <c r="U226" s="62">
        <f ca="1">ROUND(表1_11[[#This Row],[税前应发总额]]*8%,2)</f>
        <v>304.61</v>
      </c>
      <c r="V226" s="62">
        <f ca="1">ROUND(表1_11[[#This Row],[税前应发总额]]*2%+3,2)</f>
        <v>79.150000000000006</v>
      </c>
      <c r="W226" s="62">
        <f ca="1">ROUND(表1_11[[#This Row],[税前应发总额]]*0.2%,2)</f>
        <v>7.62</v>
      </c>
      <c r="X226" s="62">
        <f ca="1">ROUND(表1_11[[#This Row],[税前应发总额]]*12%,2)</f>
        <v>456.91</v>
      </c>
      <c r="Y226" s="61">
        <f ca="1">ROUND(表1_11[[#This Row],[税前应发总额]]-SUM(表1_11[[#This Row],[养老保险]:[公积金]]),2)</f>
        <v>2959.31</v>
      </c>
      <c r="Z226" s="62">
        <f ca="1">ROUND(MAX((表1_11[[#This Row],[扣保险后工资金额]]-3500)*{3,10,20,25,30,35,45}%-{0,105,555,1005,2755,5505,13505},0),2)</f>
        <v>0</v>
      </c>
      <c r="AA226" s="63">
        <f ca="1">表1_11[[#This Row],[扣保险后工资金额]]-表1_11[[#This Row],[个人所得税]]</f>
        <v>2959.31</v>
      </c>
      <c r="AB226" s="53">
        <v>2614.64</v>
      </c>
      <c r="AC226" s="64">
        <f ca="1">(表1_11[[#This Row],[实发工资]]-表1_11[[#This Row],[上月对比]])/表1_11[[#This Row],[上月对比]]</f>
        <v>0.13182311905271857</v>
      </c>
      <c r="AD226" s="65" t="s">
        <v>1587</v>
      </c>
    </row>
    <row r="227" spans="1:30">
      <c r="A227" s="42" t="s">
        <v>577</v>
      </c>
      <c r="B227" s="42" t="s">
        <v>725</v>
      </c>
      <c r="C227" s="40" t="s">
        <v>599</v>
      </c>
      <c r="D227" s="40" t="s">
        <v>626</v>
      </c>
      <c r="E227" s="41" t="s">
        <v>1237</v>
      </c>
      <c r="F227" s="5" t="s">
        <v>223</v>
      </c>
      <c r="G227" s="25">
        <v>40210</v>
      </c>
      <c r="H227" s="5" t="s">
        <v>617</v>
      </c>
      <c r="I227" s="5">
        <f>VLOOKUP(MID(表1_11[[#This Row],[工资等级]],1,1),表12[],MATCH(MID(表1_11[[#This Row],[工资等级]],2,2),表12[[#Headers],[1]:[10]],0)+1,0)</f>
        <v>2500</v>
      </c>
      <c r="J227" s="5">
        <v>21.5</v>
      </c>
      <c r="K227" s="27">
        <v>0.89583333333333337</v>
      </c>
      <c r="L227" s="37">
        <f>IF(表1_11[[#This Row],[出勤率]]&gt;1,1,表1_11[[#This Row],[出勤率]])*表1_11[[#This Row],[岗位工资]]</f>
        <v>2239.5833333333335</v>
      </c>
      <c r="M227" s="5">
        <f>LOOKUP(表1_11[[#This Row],[岗位工资]],表13[lookup],表13[奖金比率])*表1_11[[#This Row],[岗位工资]]</f>
        <v>250</v>
      </c>
      <c r="N227" s="5">
        <v>98</v>
      </c>
      <c r="O227" s="38">
        <f>表1_11[[#This Row],[奖金等级]]*表1_11[[#This Row],[绩效得分]]/100</f>
        <v>245</v>
      </c>
      <c r="P227" s="5">
        <f>IF(表1_11[[#This Row],[出勤率]]&gt;=1,200,0)</f>
        <v>0</v>
      </c>
      <c r="Q227" s="23">
        <f t="shared" ca="1" si="3"/>
        <v>400</v>
      </c>
      <c r="R227" s="23">
        <f>IF(表1_11[[#This Row],[中心]]="营销中心",VLOOKUP(表1_11[[#This Row],[职位]],表2[[话费补贴]:[营销中心]],2,0),VLOOKUP(表1_11[[#This Row],[职位]],表2[],3,0))</f>
        <v>0</v>
      </c>
      <c r="S227" s="23">
        <v>200</v>
      </c>
      <c r="T227" s="61">
        <f ca="1">ROUND(SUM(表1_11[[#This Row],[基本工资]],表1_11[[#This Row],[奖金]],表1_11[[#This Row],[全勤奖]:[防暑降温补贴]]),2)</f>
        <v>3084.58</v>
      </c>
      <c r="U227" s="62">
        <f ca="1">ROUND(表1_11[[#This Row],[税前应发总额]]*8%,2)</f>
        <v>246.77</v>
      </c>
      <c r="V227" s="62">
        <f ca="1">ROUND(表1_11[[#This Row],[税前应发总额]]*2%+3,2)</f>
        <v>64.69</v>
      </c>
      <c r="W227" s="62">
        <f ca="1">ROUND(表1_11[[#This Row],[税前应发总额]]*0.2%,2)</f>
        <v>6.17</v>
      </c>
      <c r="X227" s="62">
        <f ca="1">ROUND(表1_11[[#This Row],[税前应发总额]]*12%,2)</f>
        <v>370.15</v>
      </c>
      <c r="Y227" s="61">
        <f ca="1">ROUND(表1_11[[#This Row],[税前应发总额]]-SUM(表1_11[[#This Row],[养老保险]:[公积金]]),2)</f>
        <v>2396.8000000000002</v>
      </c>
      <c r="Z227" s="62">
        <f ca="1">ROUND(MAX((表1_11[[#This Row],[扣保险后工资金额]]-3500)*{3,10,20,25,30,35,45}%-{0,105,555,1005,2755,5505,13505},0),2)</f>
        <v>0</v>
      </c>
      <c r="AA227" s="63">
        <f ca="1">表1_11[[#This Row],[扣保险后工资金额]]-表1_11[[#This Row],[个人所得税]]</f>
        <v>2396.8000000000002</v>
      </c>
      <c r="AB227" s="53">
        <v>2355.96</v>
      </c>
      <c r="AC227" s="64">
        <f ca="1">(表1_11[[#This Row],[实发工资]]-表1_11[[#This Row],[上月对比]])/表1_11[[#This Row],[上月对比]]</f>
        <v>1.7334759503556996E-2</v>
      </c>
      <c r="AD227" s="65" t="s">
        <v>1587</v>
      </c>
    </row>
    <row r="228" spans="1:30">
      <c r="A228" s="42" t="s">
        <v>577</v>
      </c>
      <c r="B228" s="42" t="s">
        <v>725</v>
      </c>
      <c r="C228" s="40" t="s">
        <v>681</v>
      </c>
      <c r="D228" s="40" t="s">
        <v>682</v>
      </c>
      <c r="E228" s="41" t="s">
        <v>1238</v>
      </c>
      <c r="F228" s="5" t="s">
        <v>224</v>
      </c>
      <c r="G228" s="25">
        <v>42670</v>
      </c>
      <c r="H228" s="5" t="s">
        <v>610</v>
      </c>
      <c r="I228" s="5">
        <f>VLOOKUP(MID(表1_11[[#This Row],[工资等级]],1,1),表12[],MATCH(MID(表1_11[[#This Row],[工资等级]],2,2),表12[[#Headers],[1]:[10]],0)+1,0)</f>
        <v>3400</v>
      </c>
      <c r="J228" s="5">
        <v>21.5</v>
      </c>
      <c r="K228" s="27">
        <v>0.89583333333333337</v>
      </c>
      <c r="L228" s="37">
        <f>IF(表1_11[[#This Row],[出勤率]]&gt;1,1,表1_11[[#This Row],[出勤率]])*表1_11[[#This Row],[岗位工资]]</f>
        <v>3045.8333333333335</v>
      </c>
      <c r="M228" s="5">
        <f>LOOKUP(表1_11[[#This Row],[岗位工资]],表13[lookup],表13[奖金比率])*表1_11[[#This Row],[岗位工资]]</f>
        <v>340</v>
      </c>
      <c r="N228" s="5">
        <v>98</v>
      </c>
      <c r="O228" s="38">
        <f>表1_11[[#This Row],[奖金等级]]*表1_11[[#This Row],[绩效得分]]/100</f>
        <v>333.2</v>
      </c>
      <c r="P228" s="5">
        <f>IF(表1_11[[#This Row],[出勤率]]&gt;=1,200,0)</f>
        <v>0</v>
      </c>
      <c r="Q228" s="23">
        <f t="shared" ca="1" si="3"/>
        <v>50</v>
      </c>
      <c r="R228" s="23">
        <f>IF(表1_11[[#This Row],[中心]]="营销中心",VLOOKUP(表1_11[[#This Row],[职位]],表2[[话费补贴]:[营销中心]],2,0),VLOOKUP(表1_11[[#This Row],[职位]],表2[],3,0))</f>
        <v>0</v>
      </c>
      <c r="S228" s="23">
        <v>200</v>
      </c>
      <c r="T228" s="61">
        <f ca="1">ROUND(SUM(表1_11[[#This Row],[基本工资]],表1_11[[#This Row],[奖金]],表1_11[[#This Row],[全勤奖]:[防暑降温补贴]]),2)</f>
        <v>3629.03</v>
      </c>
      <c r="U228" s="62">
        <f ca="1">ROUND(表1_11[[#This Row],[税前应发总额]]*8%,2)</f>
        <v>290.32</v>
      </c>
      <c r="V228" s="62">
        <f ca="1">ROUND(表1_11[[#This Row],[税前应发总额]]*2%+3,2)</f>
        <v>75.58</v>
      </c>
      <c r="W228" s="62">
        <f ca="1">ROUND(表1_11[[#This Row],[税前应发总额]]*0.2%,2)</f>
        <v>7.26</v>
      </c>
      <c r="X228" s="62">
        <f ca="1">ROUND(表1_11[[#This Row],[税前应发总额]]*12%,2)</f>
        <v>435.48</v>
      </c>
      <c r="Y228" s="61">
        <f ca="1">ROUND(表1_11[[#This Row],[税前应发总额]]-SUM(表1_11[[#This Row],[养老保险]:[公积金]]),2)</f>
        <v>2820.39</v>
      </c>
      <c r="Z228" s="62">
        <f ca="1">ROUND(MAX((表1_11[[#This Row],[扣保险后工资金额]]-3500)*{3,10,20,25,30,35,45}%-{0,105,555,1005,2755,5505,13505},0),2)</f>
        <v>0</v>
      </c>
      <c r="AA228" s="63">
        <f ca="1">表1_11[[#This Row],[扣保险后工资金额]]-表1_11[[#This Row],[个人所得税]]</f>
        <v>2820.39</v>
      </c>
      <c r="AB228" s="53">
        <v>2972.58</v>
      </c>
      <c r="AC228" s="64">
        <f ca="1">(表1_11[[#This Row],[实发工资]]-表1_11[[#This Row],[上月对比]])/表1_11[[#This Row],[上月对比]]</f>
        <v>-5.1197949256201705E-2</v>
      </c>
      <c r="AD228" s="65" t="s">
        <v>1587</v>
      </c>
    </row>
    <row r="229" spans="1:30">
      <c r="A229" s="42" t="s">
        <v>577</v>
      </c>
      <c r="B229" s="42" t="s">
        <v>725</v>
      </c>
      <c r="C229" s="40" t="s">
        <v>719</v>
      </c>
      <c r="D229" s="40" t="s">
        <v>720</v>
      </c>
      <c r="E229" s="41" t="s">
        <v>1239</v>
      </c>
      <c r="F229" s="5" t="s">
        <v>225</v>
      </c>
      <c r="G229" s="25">
        <v>42017</v>
      </c>
      <c r="H229" s="5" t="s">
        <v>657</v>
      </c>
      <c r="I229" s="5">
        <f>VLOOKUP(MID(表1_11[[#This Row],[工资等级]],1,1),表12[],MATCH(MID(表1_11[[#This Row],[工资等级]],2,2),表12[[#Headers],[1]:[10]],0)+1,0)</f>
        <v>4000</v>
      </c>
      <c r="J229" s="5">
        <v>26.5</v>
      </c>
      <c r="K229" s="27">
        <v>1.1041666666666667</v>
      </c>
      <c r="L229" s="37">
        <f>IF(表1_11[[#This Row],[出勤率]]&gt;1,1,表1_11[[#This Row],[出勤率]])*表1_11[[#This Row],[岗位工资]]</f>
        <v>4000</v>
      </c>
      <c r="M229" s="5">
        <f>LOOKUP(表1_11[[#This Row],[岗位工资]],表13[lookup],表13[奖金比率])*表1_11[[#This Row],[岗位工资]]</f>
        <v>600</v>
      </c>
      <c r="N229" s="5">
        <v>95</v>
      </c>
      <c r="O229" s="38">
        <f>表1_11[[#This Row],[奖金等级]]*表1_11[[#This Row],[绩效得分]]/100</f>
        <v>570</v>
      </c>
      <c r="P229" s="5">
        <f>IF(表1_11[[#This Row],[出勤率]]&gt;=1,200,0)</f>
        <v>200</v>
      </c>
      <c r="Q229" s="23">
        <f t="shared" ca="1" si="3"/>
        <v>150</v>
      </c>
      <c r="R229" s="23">
        <f>IF(表1_11[[#This Row],[中心]]="营销中心",VLOOKUP(表1_11[[#This Row],[职位]],表2[[话费补贴]:[营销中心]],2,0),VLOOKUP(表1_11[[#This Row],[职位]],表2[],3,0))</f>
        <v>0</v>
      </c>
      <c r="S229" s="23">
        <v>200</v>
      </c>
      <c r="T229" s="61">
        <f ca="1">ROUND(SUM(表1_11[[#This Row],[基本工资]],表1_11[[#This Row],[奖金]],表1_11[[#This Row],[全勤奖]:[防暑降温补贴]]),2)</f>
        <v>5120</v>
      </c>
      <c r="U229" s="62">
        <f ca="1">ROUND(表1_11[[#This Row],[税前应发总额]]*8%,2)</f>
        <v>409.6</v>
      </c>
      <c r="V229" s="62">
        <f ca="1">ROUND(表1_11[[#This Row],[税前应发总额]]*2%+3,2)</f>
        <v>105.4</v>
      </c>
      <c r="W229" s="62">
        <f ca="1">ROUND(表1_11[[#This Row],[税前应发总额]]*0.2%,2)</f>
        <v>10.24</v>
      </c>
      <c r="X229" s="62">
        <f ca="1">ROUND(表1_11[[#This Row],[税前应发总额]]*12%,2)</f>
        <v>614.4</v>
      </c>
      <c r="Y229" s="61">
        <f ca="1">ROUND(表1_11[[#This Row],[税前应发总额]]-SUM(表1_11[[#This Row],[养老保险]:[公积金]]),2)</f>
        <v>3980.36</v>
      </c>
      <c r="Z229" s="62">
        <f ca="1">ROUND(MAX((表1_11[[#This Row],[扣保险后工资金额]]-3500)*{3,10,20,25,30,35,45}%-{0,105,555,1005,2755,5505,13505},0),2)</f>
        <v>14.41</v>
      </c>
      <c r="AA229" s="63">
        <f ca="1">表1_11[[#This Row],[扣保险后工资金额]]-表1_11[[#This Row],[个人所得税]]</f>
        <v>3965.9500000000003</v>
      </c>
      <c r="AB229" s="53">
        <v>4527.87</v>
      </c>
      <c r="AC229" s="64">
        <f ca="1">(表1_11[[#This Row],[实发工资]]-表1_11[[#This Row],[上月对比]])/表1_11[[#This Row],[上月对比]]</f>
        <v>-0.12410250294288476</v>
      </c>
      <c r="AD229" s="65" t="s">
        <v>1587</v>
      </c>
    </row>
    <row r="230" spans="1:30">
      <c r="A230" s="42" t="s">
        <v>577</v>
      </c>
      <c r="B230" s="42" t="s">
        <v>725</v>
      </c>
      <c r="C230" s="40" t="s">
        <v>711</v>
      </c>
      <c r="D230" s="40" t="s">
        <v>712</v>
      </c>
      <c r="E230" s="41" t="s">
        <v>1240</v>
      </c>
      <c r="F230" s="5" t="s">
        <v>226</v>
      </c>
      <c r="G230" s="25">
        <v>38821</v>
      </c>
      <c r="H230" s="5" t="s">
        <v>657</v>
      </c>
      <c r="I230" s="5">
        <f>VLOOKUP(MID(表1_11[[#This Row],[工资等级]],1,1),表12[],MATCH(MID(表1_11[[#This Row],[工资等级]],2,2),表12[[#Headers],[1]:[10]],0)+1,0)</f>
        <v>4000</v>
      </c>
      <c r="J230" s="5">
        <v>23</v>
      </c>
      <c r="K230" s="27">
        <v>0.95833333333333337</v>
      </c>
      <c r="L230" s="37">
        <f>IF(表1_11[[#This Row],[出勤率]]&gt;1,1,表1_11[[#This Row],[出勤率]])*表1_11[[#This Row],[岗位工资]]</f>
        <v>3833.3333333333335</v>
      </c>
      <c r="M230" s="5">
        <f>LOOKUP(表1_11[[#This Row],[岗位工资]],表13[lookup],表13[奖金比率])*表1_11[[#This Row],[岗位工资]]</f>
        <v>600</v>
      </c>
      <c r="N230" s="5">
        <v>91</v>
      </c>
      <c r="O230" s="38">
        <f>表1_11[[#This Row],[奖金等级]]*表1_11[[#This Row],[绩效得分]]/100</f>
        <v>546</v>
      </c>
      <c r="P230" s="5">
        <f>IF(表1_11[[#This Row],[出勤率]]&gt;=1,200,0)</f>
        <v>0</v>
      </c>
      <c r="Q230" s="23">
        <f t="shared" ca="1" si="3"/>
        <v>500</v>
      </c>
      <c r="R230" s="23">
        <f>IF(表1_11[[#This Row],[中心]]="营销中心",VLOOKUP(表1_11[[#This Row],[职位]],表2[[话费补贴]:[营销中心]],2,0),VLOOKUP(表1_11[[#This Row],[职位]],表2[],3,0))</f>
        <v>0</v>
      </c>
      <c r="S230" s="23">
        <v>200</v>
      </c>
      <c r="T230" s="61">
        <f ca="1">ROUND(SUM(表1_11[[#This Row],[基本工资]],表1_11[[#This Row],[奖金]],表1_11[[#This Row],[全勤奖]:[防暑降温补贴]]),2)</f>
        <v>5079.33</v>
      </c>
      <c r="U230" s="62">
        <f ca="1">ROUND(表1_11[[#This Row],[税前应发总额]]*8%,2)</f>
        <v>406.35</v>
      </c>
      <c r="V230" s="62">
        <f ca="1">ROUND(表1_11[[#This Row],[税前应发总额]]*2%+3,2)</f>
        <v>104.59</v>
      </c>
      <c r="W230" s="62">
        <f ca="1">ROUND(表1_11[[#This Row],[税前应发总额]]*0.2%,2)</f>
        <v>10.16</v>
      </c>
      <c r="X230" s="62">
        <f ca="1">ROUND(表1_11[[#This Row],[税前应发总额]]*12%,2)</f>
        <v>609.52</v>
      </c>
      <c r="Y230" s="61">
        <f ca="1">ROUND(表1_11[[#This Row],[税前应发总额]]-SUM(表1_11[[#This Row],[养老保险]:[公积金]]),2)</f>
        <v>3948.71</v>
      </c>
      <c r="Z230" s="62">
        <f ca="1">ROUND(MAX((表1_11[[#This Row],[扣保险后工资金额]]-3500)*{3,10,20,25,30,35,45}%-{0,105,555,1005,2755,5505,13505},0),2)</f>
        <v>13.46</v>
      </c>
      <c r="AA230" s="63">
        <f ca="1">表1_11[[#This Row],[扣保险后工资金额]]-表1_11[[#This Row],[个人所得税]]</f>
        <v>3935.25</v>
      </c>
      <c r="AB230" s="53">
        <v>3760.45</v>
      </c>
      <c r="AC230" s="64">
        <f ca="1">(表1_11[[#This Row],[实发工资]]-表1_11[[#This Row],[上月对比]])/表1_11[[#This Row],[上月对比]]</f>
        <v>4.648379848156476E-2</v>
      </c>
      <c r="AD230" s="65" t="s">
        <v>1587</v>
      </c>
    </row>
    <row r="231" spans="1:30">
      <c r="A231" s="42" t="s">
        <v>577</v>
      </c>
      <c r="B231" s="42" t="s">
        <v>725</v>
      </c>
      <c r="C231" s="40" t="s">
        <v>673</v>
      </c>
      <c r="D231" s="40" t="s">
        <v>674</v>
      </c>
      <c r="E231" s="41" t="s">
        <v>1241</v>
      </c>
      <c r="F231" s="5" t="s">
        <v>227</v>
      </c>
      <c r="G231" s="25">
        <v>40339</v>
      </c>
      <c r="H231" s="5" t="s">
        <v>618</v>
      </c>
      <c r="I231" s="5">
        <f>VLOOKUP(MID(表1_11[[#This Row],[工资等级]],1,1),表12[],MATCH(MID(表1_11[[#This Row],[工资等级]],2,2),表12[[#Headers],[1]:[10]],0)+1,0)</f>
        <v>3000</v>
      </c>
      <c r="J231" s="5">
        <v>22</v>
      </c>
      <c r="K231" s="27">
        <v>0.91666666666666663</v>
      </c>
      <c r="L231" s="37">
        <f>IF(表1_11[[#This Row],[出勤率]]&gt;1,1,表1_11[[#This Row],[出勤率]])*表1_11[[#This Row],[岗位工资]]</f>
        <v>2750</v>
      </c>
      <c r="M231" s="5">
        <f>LOOKUP(表1_11[[#This Row],[岗位工资]],表13[lookup],表13[奖金比率])*表1_11[[#This Row],[岗位工资]]</f>
        <v>300</v>
      </c>
      <c r="N231" s="5">
        <v>94</v>
      </c>
      <c r="O231" s="38">
        <f>表1_11[[#This Row],[奖金等级]]*表1_11[[#This Row],[绩效得分]]/100</f>
        <v>282</v>
      </c>
      <c r="P231" s="5">
        <f>IF(表1_11[[#This Row],[出勤率]]&gt;=1,200,0)</f>
        <v>0</v>
      </c>
      <c r="Q231" s="23">
        <f t="shared" ca="1" si="3"/>
        <v>350</v>
      </c>
      <c r="R231" s="23">
        <f>IF(表1_11[[#This Row],[中心]]="营销中心",VLOOKUP(表1_11[[#This Row],[职位]],表2[[话费补贴]:[营销中心]],2,0),VLOOKUP(表1_11[[#This Row],[职位]],表2[],3,0))</f>
        <v>0</v>
      </c>
      <c r="S231" s="23">
        <v>200</v>
      </c>
      <c r="T231" s="61">
        <f ca="1">ROUND(SUM(表1_11[[#This Row],[基本工资]],表1_11[[#This Row],[奖金]],表1_11[[#This Row],[全勤奖]:[防暑降温补贴]]),2)</f>
        <v>3582</v>
      </c>
      <c r="U231" s="62">
        <f ca="1">ROUND(表1_11[[#This Row],[税前应发总额]]*8%,2)</f>
        <v>286.56</v>
      </c>
      <c r="V231" s="62">
        <f ca="1">ROUND(表1_11[[#This Row],[税前应发总额]]*2%+3,2)</f>
        <v>74.64</v>
      </c>
      <c r="W231" s="62">
        <f ca="1">ROUND(表1_11[[#This Row],[税前应发总额]]*0.2%,2)</f>
        <v>7.16</v>
      </c>
      <c r="X231" s="62">
        <f ca="1">ROUND(表1_11[[#This Row],[税前应发总额]]*12%,2)</f>
        <v>429.84</v>
      </c>
      <c r="Y231" s="61">
        <f ca="1">ROUND(表1_11[[#This Row],[税前应发总额]]-SUM(表1_11[[#This Row],[养老保险]:[公积金]]),2)</f>
        <v>2783.8</v>
      </c>
      <c r="Z231" s="62">
        <f ca="1">ROUND(MAX((表1_11[[#This Row],[扣保险后工资金额]]-3500)*{3,10,20,25,30,35,45}%-{0,105,555,1005,2755,5505,13505},0),2)</f>
        <v>0</v>
      </c>
      <c r="AA231" s="63">
        <f ca="1">表1_11[[#This Row],[扣保险后工资金额]]-表1_11[[#This Row],[个人所得税]]</f>
        <v>2783.8</v>
      </c>
      <c r="AB231" s="53">
        <v>2407.29</v>
      </c>
      <c r="AC231" s="64">
        <f ca="1">(表1_11[[#This Row],[实发工资]]-表1_11[[#This Row],[上月对比]])/表1_11[[#This Row],[上月对比]]</f>
        <v>0.1564040892455833</v>
      </c>
      <c r="AD231" s="65" t="s">
        <v>1587</v>
      </c>
    </row>
    <row r="232" spans="1:30">
      <c r="A232" s="42" t="s">
        <v>577</v>
      </c>
      <c r="B232" s="42" t="s">
        <v>725</v>
      </c>
      <c r="C232" s="40" t="s">
        <v>599</v>
      </c>
      <c r="D232" s="40" t="s">
        <v>626</v>
      </c>
      <c r="E232" s="41" t="s">
        <v>1242</v>
      </c>
      <c r="F232" s="5" t="s">
        <v>228</v>
      </c>
      <c r="G232" s="25">
        <v>40627</v>
      </c>
      <c r="H232" s="5" t="s">
        <v>624</v>
      </c>
      <c r="I232" s="5">
        <f>VLOOKUP(MID(表1_11[[#This Row],[工资等级]],1,1),表12[],MATCH(MID(表1_11[[#This Row],[工资等级]],2,2),表12[[#Headers],[1]:[10]],0)+1,0)</f>
        <v>2800</v>
      </c>
      <c r="J232" s="5">
        <v>25.5</v>
      </c>
      <c r="K232" s="27">
        <v>1.0625</v>
      </c>
      <c r="L232" s="37">
        <f>IF(表1_11[[#This Row],[出勤率]]&gt;1,1,表1_11[[#This Row],[出勤率]])*表1_11[[#This Row],[岗位工资]]</f>
        <v>2800</v>
      </c>
      <c r="M232" s="5">
        <f>LOOKUP(表1_11[[#This Row],[岗位工资]],表13[lookup],表13[奖金比率])*表1_11[[#This Row],[岗位工资]]</f>
        <v>280</v>
      </c>
      <c r="N232" s="5">
        <v>96</v>
      </c>
      <c r="O232" s="38">
        <f>表1_11[[#This Row],[奖金等级]]*表1_11[[#This Row],[绩效得分]]/100</f>
        <v>268.8</v>
      </c>
      <c r="P232" s="5">
        <f>IF(表1_11[[#This Row],[出勤率]]&gt;=1,200,0)</f>
        <v>200</v>
      </c>
      <c r="Q232" s="23">
        <f t="shared" ca="1" si="3"/>
        <v>300</v>
      </c>
      <c r="R232" s="23">
        <f>IF(表1_11[[#This Row],[中心]]="营销中心",VLOOKUP(表1_11[[#This Row],[职位]],表2[[话费补贴]:[营销中心]],2,0),VLOOKUP(表1_11[[#This Row],[职位]],表2[],3,0))</f>
        <v>0</v>
      </c>
      <c r="S232" s="23">
        <v>200</v>
      </c>
      <c r="T232" s="61">
        <f ca="1">ROUND(SUM(表1_11[[#This Row],[基本工资]],表1_11[[#This Row],[奖金]],表1_11[[#This Row],[全勤奖]:[防暑降温补贴]]),2)</f>
        <v>3768.8</v>
      </c>
      <c r="U232" s="62">
        <f ca="1">ROUND(表1_11[[#This Row],[税前应发总额]]*8%,2)</f>
        <v>301.5</v>
      </c>
      <c r="V232" s="62">
        <f ca="1">ROUND(表1_11[[#This Row],[税前应发总额]]*2%+3,2)</f>
        <v>78.38</v>
      </c>
      <c r="W232" s="62">
        <f ca="1">ROUND(表1_11[[#This Row],[税前应发总额]]*0.2%,2)</f>
        <v>7.54</v>
      </c>
      <c r="X232" s="62">
        <f ca="1">ROUND(表1_11[[#This Row],[税前应发总额]]*12%,2)</f>
        <v>452.26</v>
      </c>
      <c r="Y232" s="61">
        <f ca="1">ROUND(表1_11[[#This Row],[税前应发总额]]-SUM(表1_11[[#This Row],[养老保险]:[公积金]]),2)</f>
        <v>2929.12</v>
      </c>
      <c r="Z232" s="62">
        <f ca="1">ROUND(MAX((表1_11[[#This Row],[扣保险后工资金额]]-3500)*{3,10,20,25,30,35,45}%-{0,105,555,1005,2755,5505,13505},0),2)</f>
        <v>0</v>
      </c>
      <c r="AA232" s="63">
        <f ca="1">表1_11[[#This Row],[扣保险后工资金额]]-表1_11[[#This Row],[个人所得税]]</f>
        <v>2929.12</v>
      </c>
      <c r="AB232" s="53">
        <v>3127.17</v>
      </c>
      <c r="AC232" s="64">
        <f ca="1">(表1_11[[#This Row],[实发工资]]-表1_11[[#This Row],[上月对比]])/表1_11[[#This Row],[上月对比]]</f>
        <v>-6.3332022243753991E-2</v>
      </c>
      <c r="AD232" s="65" t="s">
        <v>1587</v>
      </c>
    </row>
    <row r="233" spans="1:30">
      <c r="A233" s="42" t="s">
        <v>577</v>
      </c>
      <c r="B233" s="42" t="s">
        <v>725</v>
      </c>
      <c r="C233" s="40" t="s">
        <v>681</v>
      </c>
      <c r="D233" s="40" t="s">
        <v>682</v>
      </c>
      <c r="E233" s="41" t="s">
        <v>1243</v>
      </c>
      <c r="F233" s="5" t="s">
        <v>229</v>
      </c>
      <c r="G233" s="25">
        <v>40609</v>
      </c>
      <c r="H233" s="5" t="s">
        <v>615</v>
      </c>
      <c r="I233" s="5">
        <f>VLOOKUP(MID(表1_11[[#This Row],[工资等级]],1,1),表12[],MATCH(MID(表1_11[[#This Row],[工资等级]],2,2),表12[[#Headers],[1]:[10]],0)+1,0)</f>
        <v>3200</v>
      </c>
      <c r="J233" s="5">
        <v>21</v>
      </c>
      <c r="K233" s="27">
        <v>0.875</v>
      </c>
      <c r="L233" s="37">
        <f>IF(表1_11[[#This Row],[出勤率]]&gt;1,1,表1_11[[#This Row],[出勤率]])*表1_11[[#This Row],[岗位工资]]</f>
        <v>2800</v>
      </c>
      <c r="M233" s="5">
        <f>LOOKUP(表1_11[[#This Row],[岗位工资]],表13[lookup],表13[奖金比率])*表1_11[[#This Row],[岗位工资]]</f>
        <v>320</v>
      </c>
      <c r="N233" s="5">
        <v>86</v>
      </c>
      <c r="O233" s="38">
        <f>表1_11[[#This Row],[奖金等级]]*表1_11[[#This Row],[绩效得分]]/100</f>
        <v>275.2</v>
      </c>
      <c r="P233" s="5">
        <f>IF(表1_11[[#This Row],[出勤率]]&gt;=1,200,0)</f>
        <v>0</v>
      </c>
      <c r="Q233" s="23">
        <f t="shared" ca="1" si="3"/>
        <v>300</v>
      </c>
      <c r="R233" s="23">
        <f>IF(表1_11[[#This Row],[中心]]="营销中心",VLOOKUP(表1_11[[#This Row],[职位]],表2[[话费补贴]:[营销中心]],2,0),VLOOKUP(表1_11[[#This Row],[职位]],表2[],3,0))</f>
        <v>0</v>
      </c>
      <c r="S233" s="23">
        <v>200</v>
      </c>
      <c r="T233" s="61">
        <f ca="1">ROUND(SUM(表1_11[[#This Row],[基本工资]],表1_11[[#This Row],[奖金]],表1_11[[#This Row],[全勤奖]:[防暑降温补贴]]),2)</f>
        <v>3575.2</v>
      </c>
      <c r="U233" s="62">
        <f ca="1">ROUND(表1_11[[#This Row],[税前应发总额]]*8%,2)</f>
        <v>286.02</v>
      </c>
      <c r="V233" s="62">
        <f ca="1">ROUND(表1_11[[#This Row],[税前应发总额]]*2%+3,2)</f>
        <v>74.5</v>
      </c>
      <c r="W233" s="62">
        <f ca="1">ROUND(表1_11[[#This Row],[税前应发总额]]*0.2%,2)</f>
        <v>7.15</v>
      </c>
      <c r="X233" s="62">
        <f ca="1">ROUND(表1_11[[#This Row],[税前应发总额]]*12%,2)</f>
        <v>429.02</v>
      </c>
      <c r="Y233" s="61">
        <f ca="1">ROUND(表1_11[[#This Row],[税前应发总额]]-SUM(表1_11[[#This Row],[养老保险]:[公积金]]),2)</f>
        <v>2778.51</v>
      </c>
      <c r="Z233" s="62">
        <f ca="1">ROUND(MAX((表1_11[[#This Row],[扣保险后工资金额]]-3500)*{3,10,20,25,30,35,45}%-{0,105,555,1005,2755,5505,13505},0),2)</f>
        <v>0</v>
      </c>
      <c r="AA233" s="63">
        <f ca="1">表1_11[[#This Row],[扣保险后工资金额]]-表1_11[[#This Row],[个人所得税]]</f>
        <v>2778.51</v>
      </c>
      <c r="AB233" s="53">
        <v>2940.96</v>
      </c>
      <c r="AC233" s="64">
        <f ca="1">(表1_11[[#This Row],[实发工资]]-表1_11[[#This Row],[上月对比]])/表1_11[[#This Row],[上月对比]]</f>
        <v>-5.523706544801691E-2</v>
      </c>
      <c r="AD233" s="65" t="s">
        <v>1587</v>
      </c>
    </row>
    <row r="234" spans="1:30">
      <c r="A234" s="42" t="s">
        <v>577</v>
      </c>
      <c r="B234" s="42" t="s">
        <v>725</v>
      </c>
      <c r="C234" s="40" t="s">
        <v>719</v>
      </c>
      <c r="D234" s="40" t="s">
        <v>720</v>
      </c>
      <c r="E234" s="41" t="s">
        <v>1244</v>
      </c>
      <c r="F234" s="5" t="s">
        <v>230</v>
      </c>
      <c r="G234" s="25">
        <v>39128</v>
      </c>
      <c r="H234" s="5" t="s">
        <v>617</v>
      </c>
      <c r="I234" s="5">
        <f>VLOOKUP(MID(表1_11[[#This Row],[工资等级]],1,1),表12[],MATCH(MID(表1_11[[#This Row],[工资等级]],2,2),表12[[#Headers],[1]:[10]],0)+1,0)</f>
        <v>2500</v>
      </c>
      <c r="J234" s="5">
        <v>24.5</v>
      </c>
      <c r="K234" s="27">
        <v>1.0208333333333333</v>
      </c>
      <c r="L234" s="37">
        <f>IF(表1_11[[#This Row],[出勤率]]&gt;1,1,表1_11[[#This Row],[出勤率]])*表1_11[[#This Row],[岗位工资]]</f>
        <v>2500</v>
      </c>
      <c r="M234" s="5">
        <f>LOOKUP(表1_11[[#This Row],[岗位工资]],表13[lookup],表13[奖金比率])*表1_11[[#This Row],[岗位工资]]</f>
        <v>250</v>
      </c>
      <c r="N234" s="5">
        <v>100</v>
      </c>
      <c r="O234" s="38">
        <f>表1_11[[#This Row],[奖金等级]]*表1_11[[#This Row],[绩效得分]]/100</f>
        <v>250</v>
      </c>
      <c r="P234" s="5">
        <f>IF(表1_11[[#This Row],[出勤率]]&gt;=1,200,0)</f>
        <v>200</v>
      </c>
      <c r="Q234" s="23">
        <f t="shared" ca="1" si="3"/>
        <v>500</v>
      </c>
      <c r="R234" s="23">
        <f>IF(表1_11[[#This Row],[中心]]="营销中心",VLOOKUP(表1_11[[#This Row],[职位]],表2[[话费补贴]:[营销中心]],2,0),VLOOKUP(表1_11[[#This Row],[职位]],表2[],3,0))</f>
        <v>0</v>
      </c>
      <c r="S234" s="23">
        <v>200</v>
      </c>
      <c r="T234" s="61">
        <f ca="1">ROUND(SUM(表1_11[[#This Row],[基本工资]],表1_11[[#This Row],[奖金]],表1_11[[#This Row],[全勤奖]:[防暑降温补贴]]),2)</f>
        <v>3650</v>
      </c>
      <c r="U234" s="62">
        <f ca="1">ROUND(表1_11[[#This Row],[税前应发总额]]*8%,2)</f>
        <v>292</v>
      </c>
      <c r="V234" s="62">
        <f ca="1">ROUND(表1_11[[#This Row],[税前应发总额]]*2%+3,2)</f>
        <v>76</v>
      </c>
      <c r="W234" s="62">
        <f ca="1">ROUND(表1_11[[#This Row],[税前应发总额]]*0.2%,2)</f>
        <v>7.3</v>
      </c>
      <c r="X234" s="62">
        <f ca="1">ROUND(表1_11[[#This Row],[税前应发总额]]*12%,2)</f>
        <v>438</v>
      </c>
      <c r="Y234" s="61">
        <f ca="1">ROUND(表1_11[[#This Row],[税前应发总额]]-SUM(表1_11[[#This Row],[养老保险]:[公积金]]),2)</f>
        <v>2836.7</v>
      </c>
      <c r="Z234" s="62">
        <f ca="1">ROUND(MAX((表1_11[[#This Row],[扣保险后工资金额]]-3500)*{3,10,20,25,30,35,45}%-{0,105,555,1005,2755,5505,13505},0),2)</f>
        <v>0</v>
      </c>
      <c r="AA234" s="63">
        <f ca="1">表1_11[[#This Row],[扣保险后工资金额]]-表1_11[[#This Row],[个人所得税]]</f>
        <v>2836.7</v>
      </c>
      <c r="AB234" s="53">
        <v>2490.04</v>
      </c>
      <c r="AC234" s="64">
        <f ca="1">(表1_11[[#This Row],[实发工资]]-表1_11[[#This Row],[上月对比]])/表1_11[[#This Row],[上月对比]]</f>
        <v>0.13921864709000653</v>
      </c>
      <c r="AD234" s="65" t="s">
        <v>1587</v>
      </c>
    </row>
    <row r="235" spans="1:30">
      <c r="A235" s="42" t="s">
        <v>577</v>
      </c>
      <c r="B235" s="42" t="s">
        <v>725</v>
      </c>
      <c r="C235" s="40" t="s">
        <v>711</v>
      </c>
      <c r="D235" s="40" t="s">
        <v>712</v>
      </c>
      <c r="E235" s="41" t="s">
        <v>1245</v>
      </c>
      <c r="F235" s="5" t="s">
        <v>231</v>
      </c>
      <c r="G235" s="25">
        <v>39777</v>
      </c>
      <c r="H235" s="5" t="s">
        <v>624</v>
      </c>
      <c r="I235" s="5">
        <f>VLOOKUP(MID(表1_11[[#This Row],[工资等级]],1,1),表12[],MATCH(MID(表1_11[[#This Row],[工资等级]],2,2),表12[[#Headers],[1]:[10]],0)+1,0)</f>
        <v>2800</v>
      </c>
      <c r="J235" s="5">
        <v>25</v>
      </c>
      <c r="K235" s="27">
        <v>1.0416666666666667</v>
      </c>
      <c r="L235" s="37">
        <f>IF(表1_11[[#This Row],[出勤率]]&gt;1,1,表1_11[[#This Row],[出勤率]])*表1_11[[#This Row],[岗位工资]]</f>
        <v>2800</v>
      </c>
      <c r="M235" s="5">
        <f>LOOKUP(表1_11[[#This Row],[岗位工资]],表13[lookup],表13[奖金比率])*表1_11[[#This Row],[岗位工资]]</f>
        <v>280</v>
      </c>
      <c r="N235" s="5">
        <v>87</v>
      </c>
      <c r="O235" s="38">
        <f>表1_11[[#This Row],[奖金等级]]*表1_11[[#This Row],[绩效得分]]/100</f>
        <v>243.6</v>
      </c>
      <c r="P235" s="5">
        <f>IF(表1_11[[#This Row],[出勤率]]&gt;=1,200,0)</f>
        <v>200</v>
      </c>
      <c r="Q235" s="23">
        <f t="shared" ca="1" si="3"/>
        <v>450</v>
      </c>
      <c r="R235" s="23">
        <f>IF(表1_11[[#This Row],[中心]]="营销中心",VLOOKUP(表1_11[[#This Row],[职位]],表2[[话费补贴]:[营销中心]],2,0),VLOOKUP(表1_11[[#This Row],[职位]],表2[],3,0))</f>
        <v>0</v>
      </c>
      <c r="S235" s="23">
        <v>200</v>
      </c>
      <c r="T235" s="61">
        <f ca="1">ROUND(SUM(表1_11[[#This Row],[基本工资]],表1_11[[#This Row],[奖金]],表1_11[[#This Row],[全勤奖]:[防暑降温补贴]]),2)</f>
        <v>3893.6</v>
      </c>
      <c r="U235" s="62">
        <f ca="1">ROUND(表1_11[[#This Row],[税前应发总额]]*8%,2)</f>
        <v>311.49</v>
      </c>
      <c r="V235" s="62">
        <f ca="1">ROUND(表1_11[[#This Row],[税前应发总额]]*2%+3,2)</f>
        <v>80.87</v>
      </c>
      <c r="W235" s="62">
        <f ca="1">ROUND(表1_11[[#This Row],[税前应发总额]]*0.2%,2)</f>
        <v>7.79</v>
      </c>
      <c r="X235" s="62">
        <f ca="1">ROUND(表1_11[[#This Row],[税前应发总额]]*12%,2)</f>
        <v>467.23</v>
      </c>
      <c r="Y235" s="61">
        <f ca="1">ROUND(表1_11[[#This Row],[税前应发总额]]-SUM(表1_11[[#This Row],[养老保险]:[公积金]]),2)</f>
        <v>3026.22</v>
      </c>
      <c r="Z235" s="62">
        <f ca="1">ROUND(MAX((表1_11[[#This Row],[扣保险后工资金额]]-3500)*{3,10,20,25,30,35,45}%-{0,105,555,1005,2755,5505,13505},0),2)</f>
        <v>0</v>
      </c>
      <c r="AA235" s="63">
        <f ca="1">表1_11[[#This Row],[扣保险后工资金额]]-表1_11[[#This Row],[个人所得税]]</f>
        <v>3026.22</v>
      </c>
      <c r="AB235" s="53">
        <v>3490.57</v>
      </c>
      <c r="AC235" s="64">
        <f ca="1">(表1_11[[#This Row],[实发工资]]-表1_11[[#This Row],[上月对比]])/表1_11[[#This Row],[上月对比]]</f>
        <v>-0.13302984899314449</v>
      </c>
      <c r="AD235" s="65" t="s">
        <v>1587</v>
      </c>
    </row>
    <row r="236" spans="1:30">
      <c r="A236" s="42" t="s">
        <v>577</v>
      </c>
      <c r="B236" s="42" t="s">
        <v>725</v>
      </c>
      <c r="C236" s="40" t="s">
        <v>673</v>
      </c>
      <c r="D236" s="40" t="s">
        <v>674</v>
      </c>
      <c r="E236" s="41" t="s">
        <v>1246</v>
      </c>
      <c r="F236" s="5" t="s">
        <v>232</v>
      </c>
      <c r="G236" s="25">
        <v>41061</v>
      </c>
      <c r="H236" s="5" t="s">
        <v>615</v>
      </c>
      <c r="I236" s="5">
        <f>VLOOKUP(MID(表1_11[[#This Row],[工资等级]],1,1),表12[],MATCH(MID(表1_11[[#This Row],[工资等级]],2,2),表12[[#Headers],[1]:[10]],0)+1,0)</f>
        <v>3200</v>
      </c>
      <c r="J236" s="5">
        <v>22</v>
      </c>
      <c r="K236" s="27">
        <v>0.91666666666666663</v>
      </c>
      <c r="L236" s="37">
        <f>IF(表1_11[[#This Row],[出勤率]]&gt;1,1,表1_11[[#This Row],[出勤率]])*表1_11[[#This Row],[岗位工资]]</f>
        <v>2933.333333333333</v>
      </c>
      <c r="M236" s="5">
        <f>LOOKUP(表1_11[[#This Row],[岗位工资]],表13[lookup],表13[奖金比率])*表1_11[[#This Row],[岗位工资]]</f>
        <v>320</v>
      </c>
      <c r="N236" s="5">
        <v>94</v>
      </c>
      <c r="O236" s="38">
        <f>表1_11[[#This Row],[奖金等级]]*表1_11[[#This Row],[绩效得分]]/100</f>
        <v>300.8</v>
      </c>
      <c r="P236" s="5">
        <f>IF(表1_11[[#This Row],[出勤率]]&gt;=1,200,0)</f>
        <v>0</v>
      </c>
      <c r="Q236" s="23">
        <f t="shared" ca="1" si="3"/>
        <v>250</v>
      </c>
      <c r="R236" s="23">
        <f>IF(表1_11[[#This Row],[中心]]="营销中心",VLOOKUP(表1_11[[#This Row],[职位]],表2[[话费补贴]:[营销中心]],2,0),VLOOKUP(表1_11[[#This Row],[职位]],表2[],3,0))</f>
        <v>0</v>
      </c>
      <c r="S236" s="23">
        <v>200</v>
      </c>
      <c r="T236" s="61">
        <f ca="1">ROUND(SUM(表1_11[[#This Row],[基本工资]],表1_11[[#This Row],[奖金]],表1_11[[#This Row],[全勤奖]:[防暑降温补贴]]),2)</f>
        <v>3684.13</v>
      </c>
      <c r="U236" s="62">
        <f ca="1">ROUND(表1_11[[#This Row],[税前应发总额]]*8%,2)</f>
        <v>294.73</v>
      </c>
      <c r="V236" s="62">
        <f ca="1">ROUND(表1_11[[#This Row],[税前应发总额]]*2%+3,2)</f>
        <v>76.680000000000007</v>
      </c>
      <c r="W236" s="62">
        <f ca="1">ROUND(表1_11[[#This Row],[税前应发总额]]*0.2%,2)</f>
        <v>7.37</v>
      </c>
      <c r="X236" s="62">
        <f ca="1">ROUND(表1_11[[#This Row],[税前应发总额]]*12%,2)</f>
        <v>442.1</v>
      </c>
      <c r="Y236" s="61">
        <f ca="1">ROUND(表1_11[[#This Row],[税前应发总额]]-SUM(表1_11[[#This Row],[养老保险]:[公积金]]),2)</f>
        <v>2863.25</v>
      </c>
      <c r="Z236" s="62">
        <f ca="1">ROUND(MAX((表1_11[[#This Row],[扣保险后工资金额]]-3500)*{3,10,20,25,30,35,45}%-{0,105,555,1005,2755,5505,13505},0),2)</f>
        <v>0</v>
      </c>
      <c r="AA236" s="63">
        <f ca="1">表1_11[[#This Row],[扣保险后工资金额]]-表1_11[[#This Row],[个人所得税]]</f>
        <v>2863.25</v>
      </c>
      <c r="AB236" s="53">
        <v>3197.06</v>
      </c>
      <c r="AC236" s="64">
        <f ca="1">(表1_11[[#This Row],[实发工资]]-表1_11[[#This Row],[上月对比]])/表1_11[[#This Row],[上月对比]]</f>
        <v>-0.10441155311442386</v>
      </c>
      <c r="AD236" s="65" t="s">
        <v>1587</v>
      </c>
    </row>
    <row r="237" spans="1:30">
      <c r="A237" s="42" t="s">
        <v>577</v>
      </c>
      <c r="B237" s="42" t="s">
        <v>725</v>
      </c>
      <c r="C237" s="40" t="s">
        <v>599</v>
      </c>
      <c r="D237" s="40" t="s">
        <v>626</v>
      </c>
      <c r="E237" s="41" t="s">
        <v>1247</v>
      </c>
      <c r="F237" s="5" t="s">
        <v>233</v>
      </c>
      <c r="G237" s="25">
        <v>42269</v>
      </c>
      <c r="H237" s="5" t="s">
        <v>657</v>
      </c>
      <c r="I237" s="5">
        <f>VLOOKUP(MID(表1_11[[#This Row],[工资等级]],1,1),表12[],MATCH(MID(表1_11[[#This Row],[工资等级]],2,2),表12[[#Headers],[1]:[10]],0)+1,0)</f>
        <v>4000</v>
      </c>
      <c r="J237" s="5">
        <v>26.5</v>
      </c>
      <c r="K237" s="27">
        <v>1.1041666666666667</v>
      </c>
      <c r="L237" s="37">
        <f>IF(表1_11[[#This Row],[出勤率]]&gt;1,1,表1_11[[#This Row],[出勤率]])*表1_11[[#This Row],[岗位工资]]</f>
        <v>4000</v>
      </c>
      <c r="M237" s="5">
        <f>LOOKUP(表1_11[[#This Row],[岗位工资]],表13[lookup],表13[奖金比率])*表1_11[[#This Row],[岗位工资]]</f>
        <v>600</v>
      </c>
      <c r="N237" s="5">
        <v>96</v>
      </c>
      <c r="O237" s="38">
        <f>表1_11[[#This Row],[奖金等级]]*表1_11[[#This Row],[绩效得分]]/100</f>
        <v>576</v>
      </c>
      <c r="P237" s="5">
        <f>IF(表1_11[[#This Row],[出勤率]]&gt;=1,200,0)</f>
        <v>200</v>
      </c>
      <c r="Q237" s="23">
        <f t="shared" ca="1" si="3"/>
        <v>100</v>
      </c>
      <c r="R237" s="23">
        <f>IF(表1_11[[#This Row],[中心]]="营销中心",VLOOKUP(表1_11[[#This Row],[职位]],表2[[话费补贴]:[营销中心]],2,0),VLOOKUP(表1_11[[#This Row],[职位]],表2[],3,0))</f>
        <v>0</v>
      </c>
      <c r="S237" s="23">
        <v>200</v>
      </c>
      <c r="T237" s="61">
        <f ca="1">ROUND(SUM(表1_11[[#This Row],[基本工资]],表1_11[[#This Row],[奖金]],表1_11[[#This Row],[全勤奖]:[防暑降温补贴]]),2)</f>
        <v>5076</v>
      </c>
      <c r="U237" s="62">
        <f ca="1">ROUND(表1_11[[#This Row],[税前应发总额]]*8%,2)</f>
        <v>406.08</v>
      </c>
      <c r="V237" s="62">
        <f ca="1">ROUND(表1_11[[#This Row],[税前应发总额]]*2%+3,2)</f>
        <v>104.52</v>
      </c>
      <c r="W237" s="62">
        <f ca="1">ROUND(表1_11[[#This Row],[税前应发总额]]*0.2%,2)</f>
        <v>10.15</v>
      </c>
      <c r="X237" s="62">
        <f ca="1">ROUND(表1_11[[#This Row],[税前应发总额]]*12%,2)</f>
        <v>609.12</v>
      </c>
      <c r="Y237" s="61">
        <f ca="1">ROUND(表1_11[[#This Row],[税前应发总额]]-SUM(表1_11[[#This Row],[养老保险]:[公积金]]),2)</f>
        <v>3946.13</v>
      </c>
      <c r="Z237" s="62">
        <f ca="1">ROUND(MAX((表1_11[[#This Row],[扣保险后工资金额]]-3500)*{3,10,20,25,30,35,45}%-{0,105,555,1005,2755,5505,13505},0),2)</f>
        <v>13.38</v>
      </c>
      <c r="AA237" s="63">
        <f ca="1">表1_11[[#This Row],[扣保险后工资金额]]-表1_11[[#This Row],[个人所得税]]</f>
        <v>3932.75</v>
      </c>
      <c r="AB237" s="53">
        <v>3657.05</v>
      </c>
      <c r="AC237" s="64">
        <f ca="1">(表1_11[[#This Row],[实发工资]]-表1_11[[#This Row],[上月对比]])/表1_11[[#This Row],[上月对比]]</f>
        <v>7.5388632914507536E-2</v>
      </c>
      <c r="AD237" s="65" t="s">
        <v>1587</v>
      </c>
    </row>
    <row r="238" spans="1:30">
      <c r="A238" s="42" t="s">
        <v>577</v>
      </c>
      <c r="B238" s="42" t="s">
        <v>725</v>
      </c>
      <c r="C238" s="40" t="s">
        <v>681</v>
      </c>
      <c r="D238" s="40" t="s">
        <v>682</v>
      </c>
      <c r="E238" s="41" t="s">
        <v>1248</v>
      </c>
      <c r="F238" s="5" t="s">
        <v>234</v>
      </c>
      <c r="G238" s="25">
        <v>42523</v>
      </c>
      <c r="H238" s="5" t="s">
        <v>623</v>
      </c>
      <c r="I238" s="5">
        <f>VLOOKUP(MID(表1_11[[#This Row],[工资等级]],1,1),表12[],MATCH(MID(表1_11[[#This Row],[工资等级]],2,2),表12[[#Headers],[1]:[10]],0)+1,0)</f>
        <v>3800</v>
      </c>
      <c r="J238" s="5">
        <v>25.5</v>
      </c>
      <c r="K238" s="27">
        <v>1.0625</v>
      </c>
      <c r="L238" s="37">
        <f>IF(表1_11[[#This Row],[出勤率]]&gt;1,1,表1_11[[#This Row],[出勤率]])*表1_11[[#This Row],[岗位工资]]</f>
        <v>3800</v>
      </c>
      <c r="M238" s="5">
        <f>LOOKUP(表1_11[[#This Row],[岗位工资]],表13[lookup],表13[奖金比率])*表1_11[[#This Row],[岗位工资]]</f>
        <v>380</v>
      </c>
      <c r="N238" s="5">
        <v>90</v>
      </c>
      <c r="O238" s="38">
        <f>表1_11[[#This Row],[奖金等级]]*表1_11[[#This Row],[绩效得分]]/100</f>
        <v>342</v>
      </c>
      <c r="P238" s="5">
        <f>IF(表1_11[[#This Row],[出勤率]]&gt;=1,200,0)</f>
        <v>200</v>
      </c>
      <c r="Q238" s="23">
        <f t="shared" ca="1" si="3"/>
        <v>50</v>
      </c>
      <c r="R238" s="23">
        <f>IF(表1_11[[#This Row],[中心]]="营销中心",VLOOKUP(表1_11[[#This Row],[职位]],表2[[话费补贴]:[营销中心]],2,0),VLOOKUP(表1_11[[#This Row],[职位]],表2[],3,0))</f>
        <v>0</v>
      </c>
      <c r="S238" s="23">
        <v>200</v>
      </c>
      <c r="T238" s="61">
        <f ca="1">ROUND(SUM(表1_11[[#This Row],[基本工资]],表1_11[[#This Row],[奖金]],表1_11[[#This Row],[全勤奖]:[防暑降温补贴]]),2)</f>
        <v>4592</v>
      </c>
      <c r="U238" s="62">
        <f ca="1">ROUND(表1_11[[#This Row],[税前应发总额]]*8%,2)</f>
        <v>367.36</v>
      </c>
      <c r="V238" s="62">
        <f ca="1">ROUND(表1_11[[#This Row],[税前应发总额]]*2%+3,2)</f>
        <v>94.84</v>
      </c>
      <c r="W238" s="62">
        <f ca="1">ROUND(表1_11[[#This Row],[税前应发总额]]*0.2%,2)</f>
        <v>9.18</v>
      </c>
      <c r="X238" s="62">
        <f ca="1">ROUND(表1_11[[#This Row],[税前应发总额]]*12%,2)</f>
        <v>551.04</v>
      </c>
      <c r="Y238" s="61">
        <f ca="1">ROUND(表1_11[[#This Row],[税前应发总额]]-SUM(表1_11[[#This Row],[养老保险]:[公积金]]),2)</f>
        <v>3569.58</v>
      </c>
      <c r="Z238" s="62">
        <f ca="1">ROUND(MAX((表1_11[[#This Row],[扣保险后工资金额]]-3500)*{3,10,20,25,30,35,45}%-{0,105,555,1005,2755,5505,13505},0),2)</f>
        <v>2.09</v>
      </c>
      <c r="AA238" s="63">
        <f ca="1">表1_11[[#This Row],[扣保险后工资金额]]-表1_11[[#This Row],[个人所得税]]</f>
        <v>3567.49</v>
      </c>
      <c r="AB238" s="53">
        <v>4096.26</v>
      </c>
      <c r="AC238" s="64">
        <f ca="1">(表1_11[[#This Row],[实发工资]]-表1_11[[#This Row],[上月对比]])/表1_11[[#This Row],[上月对比]]</f>
        <v>-0.12908604434288848</v>
      </c>
      <c r="AD238" s="65" t="s">
        <v>1587</v>
      </c>
    </row>
    <row r="239" spans="1:30">
      <c r="A239" s="42" t="s">
        <v>577</v>
      </c>
      <c r="B239" s="42" t="s">
        <v>725</v>
      </c>
      <c r="C239" s="40" t="s">
        <v>719</v>
      </c>
      <c r="D239" s="40" t="s">
        <v>720</v>
      </c>
      <c r="E239" s="41" t="s">
        <v>1249</v>
      </c>
      <c r="F239" s="5" t="s">
        <v>235</v>
      </c>
      <c r="G239" s="25">
        <v>40445</v>
      </c>
      <c r="H239" s="5" t="s">
        <v>622</v>
      </c>
      <c r="I239" s="5">
        <f>VLOOKUP(MID(表1_11[[#This Row],[工资等级]],1,1),表12[],MATCH(MID(表1_11[[#This Row],[工资等级]],2,2),表12[[#Headers],[1]:[10]],0)+1,0)</f>
        <v>3600</v>
      </c>
      <c r="J239" s="5">
        <v>25.5</v>
      </c>
      <c r="K239" s="27">
        <v>1.0625</v>
      </c>
      <c r="L239" s="37">
        <f>IF(表1_11[[#This Row],[出勤率]]&gt;1,1,表1_11[[#This Row],[出勤率]])*表1_11[[#This Row],[岗位工资]]</f>
        <v>3600</v>
      </c>
      <c r="M239" s="5">
        <f>LOOKUP(表1_11[[#This Row],[岗位工资]],表13[lookup],表13[奖金比率])*表1_11[[#This Row],[岗位工资]]</f>
        <v>360</v>
      </c>
      <c r="N239" s="5">
        <v>98</v>
      </c>
      <c r="O239" s="38">
        <f>表1_11[[#This Row],[奖金等级]]*表1_11[[#This Row],[绩效得分]]/100</f>
        <v>352.8</v>
      </c>
      <c r="P239" s="5">
        <f>IF(表1_11[[#This Row],[出勤率]]&gt;=1,200,0)</f>
        <v>200</v>
      </c>
      <c r="Q239" s="23">
        <f t="shared" ca="1" si="3"/>
        <v>350</v>
      </c>
      <c r="R239" s="23">
        <f>IF(表1_11[[#This Row],[中心]]="营销中心",VLOOKUP(表1_11[[#This Row],[职位]],表2[[话费补贴]:[营销中心]],2,0),VLOOKUP(表1_11[[#This Row],[职位]],表2[],3,0))</f>
        <v>0</v>
      </c>
      <c r="S239" s="23">
        <v>200</v>
      </c>
      <c r="T239" s="61">
        <f ca="1">ROUND(SUM(表1_11[[#This Row],[基本工资]],表1_11[[#This Row],[奖金]],表1_11[[#This Row],[全勤奖]:[防暑降温补贴]]),2)</f>
        <v>4702.8</v>
      </c>
      <c r="U239" s="62">
        <f ca="1">ROUND(表1_11[[#This Row],[税前应发总额]]*8%,2)</f>
        <v>376.22</v>
      </c>
      <c r="V239" s="62">
        <f ca="1">ROUND(表1_11[[#This Row],[税前应发总额]]*2%+3,2)</f>
        <v>97.06</v>
      </c>
      <c r="W239" s="62">
        <f ca="1">ROUND(表1_11[[#This Row],[税前应发总额]]*0.2%,2)</f>
        <v>9.41</v>
      </c>
      <c r="X239" s="62">
        <f ca="1">ROUND(表1_11[[#This Row],[税前应发总额]]*12%,2)</f>
        <v>564.34</v>
      </c>
      <c r="Y239" s="61">
        <f ca="1">ROUND(表1_11[[#This Row],[税前应发总额]]-SUM(表1_11[[#This Row],[养老保险]:[公积金]]),2)</f>
        <v>3655.77</v>
      </c>
      <c r="Z239" s="62">
        <f ca="1">ROUND(MAX((表1_11[[#This Row],[扣保险后工资金额]]-3500)*{3,10,20,25,30,35,45}%-{0,105,555,1005,2755,5505,13505},0),2)</f>
        <v>4.67</v>
      </c>
      <c r="AA239" s="63">
        <f ca="1">表1_11[[#This Row],[扣保险后工资金额]]-表1_11[[#This Row],[个人所得税]]</f>
        <v>3651.1</v>
      </c>
      <c r="AB239" s="53">
        <v>4244.55</v>
      </c>
      <c r="AC239" s="64">
        <f ca="1">(表1_11[[#This Row],[实发工资]]-表1_11[[#This Row],[上月对比]])/表1_11[[#This Row],[上月对比]]</f>
        <v>-0.13981458576291958</v>
      </c>
      <c r="AD239" s="65" t="s">
        <v>1587</v>
      </c>
    </row>
    <row r="240" spans="1:30">
      <c r="A240" s="42" t="s">
        <v>577</v>
      </c>
      <c r="B240" s="42" t="s">
        <v>725</v>
      </c>
      <c r="C240" s="40" t="s">
        <v>681</v>
      </c>
      <c r="D240" s="40" t="s">
        <v>682</v>
      </c>
      <c r="E240" s="41" t="s">
        <v>1250</v>
      </c>
      <c r="F240" s="5" t="s">
        <v>236</v>
      </c>
      <c r="G240" s="25">
        <v>42090</v>
      </c>
      <c r="H240" s="5" t="s">
        <v>630</v>
      </c>
      <c r="I240" s="5">
        <f>VLOOKUP(MID(表1_11[[#This Row],[工资等级]],1,1),表12[],MATCH(MID(表1_11[[#This Row],[工资等级]],2,2),表12[[#Headers],[1]:[10]],0)+1,0)</f>
        <v>2600</v>
      </c>
      <c r="J240" s="5">
        <v>21</v>
      </c>
      <c r="K240" s="27">
        <v>0.875</v>
      </c>
      <c r="L240" s="37">
        <f>IF(表1_11[[#This Row],[出勤率]]&gt;1,1,表1_11[[#This Row],[出勤率]])*表1_11[[#This Row],[岗位工资]]</f>
        <v>2275</v>
      </c>
      <c r="M240" s="5">
        <f>LOOKUP(表1_11[[#This Row],[岗位工资]],表13[lookup],表13[奖金比率])*表1_11[[#This Row],[岗位工资]]</f>
        <v>260</v>
      </c>
      <c r="N240" s="5">
        <v>98</v>
      </c>
      <c r="O240" s="38">
        <f>表1_11[[#This Row],[奖金等级]]*表1_11[[#This Row],[绩效得分]]/100</f>
        <v>254.8</v>
      </c>
      <c r="P240" s="5">
        <f>IF(表1_11[[#This Row],[出勤率]]&gt;=1,200,0)</f>
        <v>0</v>
      </c>
      <c r="Q240" s="23">
        <f t="shared" ca="1" si="3"/>
        <v>100</v>
      </c>
      <c r="R240" s="23">
        <f>IF(表1_11[[#This Row],[中心]]="营销中心",VLOOKUP(表1_11[[#This Row],[职位]],表2[[话费补贴]:[营销中心]],2,0),VLOOKUP(表1_11[[#This Row],[职位]],表2[],3,0))</f>
        <v>0</v>
      </c>
      <c r="S240" s="23">
        <v>200</v>
      </c>
      <c r="T240" s="61">
        <f ca="1">ROUND(SUM(表1_11[[#This Row],[基本工资]],表1_11[[#This Row],[奖金]],表1_11[[#This Row],[全勤奖]:[防暑降温补贴]]),2)</f>
        <v>2829.8</v>
      </c>
      <c r="U240" s="62">
        <f ca="1">ROUND(表1_11[[#This Row],[税前应发总额]]*8%,2)</f>
        <v>226.38</v>
      </c>
      <c r="V240" s="62">
        <f ca="1">ROUND(表1_11[[#This Row],[税前应发总额]]*2%+3,2)</f>
        <v>59.6</v>
      </c>
      <c r="W240" s="62">
        <f ca="1">ROUND(表1_11[[#This Row],[税前应发总额]]*0.2%,2)</f>
        <v>5.66</v>
      </c>
      <c r="X240" s="62">
        <f ca="1">ROUND(表1_11[[#This Row],[税前应发总额]]*12%,2)</f>
        <v>339.58</v>
      </c>
      <c r="Y240" s="61">
        <f ca="1">ROUND(表1_11[[#This Row],[税前应发总额]]-SUM(表1_11[[#This Row],[养老保险]:[公积金]]),2)</f>
        <v>2198.58</v>
      </c>
      <c r="Z240" s="62">
        <f ca="1">ROUND(MAX((表1_11[[#This Row],[扣保险后工资金额]]-3500)*{3,10,20,25,30,35,45}%-{0,105,555,1005,2755,5505,13505},0),2)</f>
        <v>0</v>
      </c>
      <c r="AA240" s="63">
        <f ca="1">表1_11[[#This Row],[扣保险后工资金额]]-表1_11[[#This Row],[个人所得税]]</f>
        <v>2198.58</v>
      </c>
      <c r="AB240" s="53">
        <v>2424.7199999999998</v>
      </c>
      <c r="AC240" s="64">
        <f ca="1">(表1_11[[#This Row],[实发工资]]-表1_11[[#This Row],[上月对比]])/表1_11[[#This Row],[上月对比]]</f>
        <v>-9.3264376917747152E-2</v>
      </c>
      <c r="AD240" s="65" t="s">
        <v>1587</v>
      </c>
    </row>
    <row r="241" spans="1:30">
      <c r="A241" s="42" t="s">
        <v>577</v>
      </c>
      <c r="B241" s="42" t="s">
        <v>725</v>
      </c>
      <c r="C241" s="40" t="s">
        <v>719</v>
      </c>
      <c r="D241" s="40" t="s">
        <v>720</v>
      </c>
      <c r="E241" s="41" t="s">
        <v>1251</v>
      </c>
      <c r="F241" s="5" t="s">
        <v>237</v>
      </c>
      <c r="G241" s="25">
        <v>40810</v>
      </c>
      <c r="H241" s="5" t="s">
        <v>623</v>
      </c>
      <c r="I241" s="5">
        <f>VLOOKUP(MID(表1_11[[#This Row],[工资等级]],1,1),表12[],MATCH(MID(表1_11[[#This Row],[工资等级]],2,2),表12[[#Headers],[1]:[10]],0)+1,0)</f>
        <v>3800</v>
      </c>
      <c r="J241" s="5">
        <v>21.5</v>
      </c>
      <c r="K241" s="27">
        <v>0.89583333333333337</v>
      </c>
      <c r="L241" s="37">
        <f>IF(表1_11[[#This Row],[出勤率]]&gt;1,1,表1_11[[#This Row],[出勤率]])*表1_11[[#This Row],[岗位工资]]</f>
        <v>3404.166666666667</v>
      </c>
      <c r="M241" s="5">
        <f>LOOKUP(表1_11[[#This Row],[岗位工资]],表13[lookup],表13[奖金比率])*表1_11[[#This Row],[岗位工资]]</f>
        <v>380</v>
      </c>
      <c r="N241" s="5">
        <v>84</v>
      </c>
      <c r="O241" s="38">
        <f>表1_11[[#This Row],[奖金等级]]*表1_11[[#This Row],[绩效得分]]/100</f>
        <v>319.2</v>
      </c>
      <c r="P241" s="5">
        <f>IF(表1_11[[#This Row],[出勤率]]&gt;=1,200,0)</f>
        <v>0</v>
      </c>
      <c r="Q241" s="23">
        <f t="shared" ca="1" si="3"/>
        <v>300</v>
      </c>
      <c r="R241" s="23">
        <f>IF(表1_11[[#This Row],[中心]]="营销中心",VLOOKUP(表1_11[[#This Row],[职位]],表2[[话费补贴]:[营销中心]],2,0),VLOOKUP(表1_11[[#This Row],[职位]],表2[],3,0))</f>
        <v>0</v>
      </c>
      <c r="S241" s="23">
        <v>200</v>
      </c>
      <c r="T241" s="61">
        <f ca="1">ROUND(SUM(表1_11[[#This Row],[基本工资]],表1_11[[#This Row],[奖金]],表1_11[[#This Row],[全勤奖]:[防暑降温补贴]]),2)</f>
        <v>4223.37</v>
      </c>
      <c r="U241" s="62">
        <f ca="1">ROUND(表1_11[[#This Row],[税前应发总额]]*8%,2)</f>
        <v>337.87</v>
      </c>
      <c r="V241" s="62">
        <f ca="1">ROUND(表1_11[[#This Row],[税前应发总额]]*2%+3,2)</f>
        <v>87.47</v>
      </c>
      <c r="W241" s="62">
        <f ca="1">ROUND(表1_11[[#This Row],[税前应发总额]]*0.2%,2)</f>
        <v>8.4499999999999993</v>
      </c>
      <c r="X241" s="62">
        <f ca="1">ROUND(表1_11[[#This Row],[税前应发总额]]*12%,2)</f>
        <v>506.8</v>
      </c>
      <c r="Y241" s="61">
        <f ca="1">ROUND(表1_11[[#This Row],[税前应发总额]]-SUM(表1_11[[#This Row],[养老保险]:[公积金]]),2)</f>
        <v>3282.78</v>
      </c>
      <c r="Z241" s="62">
        <f ca="1">ROUND(MAX((表1_11[[#This Row],[扣保险后工资金额]]-3500)*{3,10,20,25,30,35,45}%-{0,105,555,1005,2755,5505,13505},0),2)</f>
        <v>0</v>
      </c>
      <c r="AA241" s="63">
        <f ca="1">表1_11[[#This Row],[扣保险后工资金额]]-表1_11[[#This Row],[个人所得税]]</f>
        <v>3282.78</v>
      </c>
      <c r="AB241" s="53">
        <v>2935.47</v>
      </c>
      <c r="AC241" s="64">
        <f ca="1">(表1_11[[#This Row],[实发工资]]-表1_11[[#This Row],[上月对比]])/表1_11[[#This Row],[上月对比]]</f>
        <v>0.1183149546750607</v>
      </c>
      <c r="AD241" s="65" t="s">
        <v>1587</v>
      </c>
    </row>
    <row r="242" spans="1:30">
      <c r="A242" s="42" t="s">
        <v>577</v>
      </c>
      <c r="B242" s="42" t="s">
        <v>725</v>
      </c>
      <c r="C242" s="40" t="s">
        <v>681</v>
      </c>
      <c r="D242" s="40" t="s">
        <v>682</v>
      </c>
      <c r="E242" s="41" t="s">
        <v>1252</v>
      </c>
      <c r="F242" s="5" t="s">
        <v>238</v>
      </c>
      <c r="G242" s="25">
        <v>38520</v>
      </c>
      <c r="H242" s="5" t="s">
        <v>623</v>
      </c>
      <c r="I242" s="5">
        <f>VLOOKUP(MID(表1_11[[#This Row],[工资等级]],1,1),表12[],MATCH(MID(表1_11[[#This Row],[工资等级]],2,2),表12[[#Headers],[1]:[10]],0)+1,0)</f>
        <v>3800</v>
      </c>
      <c r="J242" s="5">
        <v>25</v>
      </c>
      <c r="K242" s="27">
        <v>1.0416666666666667</v>
      </c>
      <c r="L242" s="37">
        <f>IF(表1_11[[#This Row],[出勤率]]&gt;1,1,表1_11[[#This Row],[出勤率]])*表1_11[[#This Row],[岗位工资]]</f>
        <v>3800</v>
      </c>
      <c r="M242" s="5">
        <f>LOOKUP(表1_11[[#This Row],[岗位工资]],表13[lookup],表13[奖金比率])*表1_11[[#This Row],[岗位工资]]</f>
        <v>380</v>
      </c>
      <c r="N242" s="5">
        <v>94</v>
      </c>
      <c r="O242" s="38">
        <f>表1_11[[#This Row],[奖金等级]]*表1_11[[#This Row],[绩效得分]]/100</f>
        <v>357.2</v>
      </c>
      <c r="P242" s="5">
        <f>IF(表1_11[[#This Row],[出勤率]]&gt;=1,200,0)</f>
        <v>200</v>
      </c>
      <c r="Q242" s="23">
        <f t="shared" ca="1" si="3"/>
        <v>500</v>
      </c>
      <c r="R242" s="23">
        <f>IF(表1_11[[#This Row],[中心]]="营销中心",VLOOKUP(表1_11[[#This Row],[职位]],表2[[话费补贴]:[营销中心]],2,0),VLOOKUP(表1_11[[#This Row],[职位]],表2[],3,0))</f>
        <v>0</v>
      </c>
      <c r="S242" s="23">
        <v>200</v>
      </c>
      <c r="T242" s="61">
        <f ca="1">ROUND(SUM(表1_11[[#This Row],[基本工资]],表1_11[[#This Row],[奖金]],表1_11[[#This Row],[全勤奖]:[防暑降温补贴]]),2)</f>
        <v>5057.2</v>
      </c>
      <c r="U242" s="62">
        <f ca="1">ROUND(表1_11[[#This Row],[税前应发总额]]*8%,2)</f>
        <v>404.58</v>
      </c>
      <c r="V242" s="62">
        <f ca="1">ROUND(表1_11[[#This Row],[税前应发总额]]*2%+3,2)</f>
        <v>104.14</v>
      </c>
      <c r="W242" s="62">
        <f ca="1">ROUND(表1_11[[#This Row],[税前应发总额]]*0.2%,2)</f>
        <v>10.11</v>
      </c>
      <c r="X242" s="62">
        <f ca="1">ROUND(表1_11[[#This Row],[税前应发总额]]*12%,2)</f>
        <v>606.86</v>
      </c>
      <c r="Y242" s="61">
        <f ca="1">ROUND(表1_11[[#This Row],[税前应发总额]]-SUM(表1_11[[#This Row],[养老保险]:[公积金]]),2)</f>
        <v>3931.51</v>
      </c>
      <c r="Z242" s="62">
        <f ca="1">ROUND(MAX((表1_11[[#This Row],[扣保险后工资金额]]-3500)*{3,10,20,25,30,35,45}%-{0,105,555,1005,2755,5505,13505},0),2)</f>
        <v>12.95</v>
      </c>
      <c r="AA242" s="63">
        <f ca="1">表1_11[[#This Row],[扣保险后工资金额]]-表1_11[[#This Row],[个人所得税]]</f>
        <v>3918.5600000000004</v>
      </c>
      <c r="AB242" s="53">
        <v>4674.7299999999996</v>
      </c>
      <c r="AC242" s="64">
        <f ca="1">(表1_11[[#This Row],[实发工资]]-表1_11[[#This Row],[上月对比]])/表1_11[[#This Row],[上月对比]]</f>
        <v>-0.16175693569468166</v>
      </c>
      <c r="AD242" s="65" t="s">
        <v>1587</v>
      </c>
    </row>
    <row r="243" spans="1:30">
      <c r="A243" s="42" t="s">
        <v>577</v>
      </c>
      <c r="B243" s="42" t="s">
        <v>725</v>
      </c>
      <c r="C243" s="40" t="s">
        <v>719</v>
      </c>
      <c r="D243" s="40" t="s">
        <v>720</v>
      </c>
      <c r="E243" s="41" t="s">
        <v>1253</v>
      </c>
      <c r="F243" s="5" t="s">
        <v>239</v>
      </c>
      <c r="G243" s="25">
        <v>42583</v>
      </c>
      <c r="H243" s="5" t="s">
        <v>630</v>
      </c>
      <c r="I243" s="5">
        <f>VLOOKUP(MID(表1_11[[#This Row],[工资等级]],1,1),表12[],MATCH(MID(表1_11[[#This Row],[工资等级]],2,2),表12[[#Headers],[1]:[10]],0)+1,0)</f>
        <v>2600</v>
      </c>
      <c r="J243" s="5">
        <v>22.5</v>
      </c>
      <c r="K243" s="27">
        <v>0.9375</v>
      </c>
      <c r="L243" s="37">
        <f>IF(表1_11[[#This Row],[出勤率]]&gt;1,1,表1_11[[#This Row],[出勤率]])*表1_11[[#This Row],[岗位工资]]</f>
        <v>2437.5</v>
      </c>
      <c r="M243" s="5">
        <f>LOOKUP(表1_11[[#This Row],[岗位工资]],表13[lookup],表13[奖金比率])*表1_11[[#This Row],[岗位工资]]</f>
        <v>260</v>
      </c>
      <c r="N243" s="5">
        <v>88</v>
      </c>
      <c r="O243" s="38">
        <f>表1_11[[#This Row],[奖金等级]]*表1_11[[#This Row],[绩效得分]]/100</f>
        <v>228.8</v>
      </c>
      <c r="P243" s="5">
        <f>IF(表1_11[[#This Row],[出勤率]]&gt;=1,200,0)</f>
        <v>0</v>
      </c>
      <c r="Q243" s="23">
        <f t="shared" ca="1" si="3"/>
        <v>50</v>
      </c>
      <c r="R243" s="23">
        <f>IF(表1_11[[#This Row],[中心]]="营销中心",VLOOKUP(表1_11[[#This Row],[职位]],表2[[话费补贴]:[营销中心]],2,0),VLOOKUP(表1_11[[#This Row],[职位]],表2[],3,0))</f>
        <v>0</v>
      </c>
      <c r="S243" s="23">
        <v>200</v>
      </c>
      <c r="T243" s="61">
        <f ca="1">ROUND(SUM(表1_11[[#This Row],[基本工资]],表1_11[[#This Row],[奖金]],表1_11[[#This Row],[全勤奖]:[防暑降温补贴]]),2)</f>
        <v>2916.3</v>
      </c>
      <c r="U243" s="62">
        <f ca="1">ROUND(表1_11[[#This Row],[税前应发总额]]*8%,2)</f>
        <v>233.3</v>
      </c>
      <c r="V243" s="62">
        <f ca="1">ROUND(表1_11[[#This Row],[税前应发总额]]*2%+3,2)</f>
        <v>61.33</v>
      </c>
      <c r="W243" s="62">
        <f ca="1">ROUND(表1_11[[#This Row],[税前应发总额]]*0.2%,2)</f>
        <v>5.83</v>
      </c>
      <c r="X243" s="62">
        <f ca="1">ROUND(表1_11[[#This Row],[税前应发总额]]*12%,2)</f>
        <v>349.96</v>
      </c>
      <c r="Y243" s="61">
        <f ca="1">ROUND(表1_11[[#This Row],[税前应发总额]]-SUM(表1_11[[#This Row],[养老保险]:[公积金]]),2)</f>
        <v>2265.88</v>
      </c>
      <c r="Z243" s="62">
        <f ca="1">ROUND(MAX((表1_11[[#This Row],[扣保险后工资金额]]-3500)*{3,10,20,25,30,35,45}%-{0,105,555,1005,2755,5505,13505},0),2)</f>
        <v>0</v>
      </c>
      <c r="AA243" s="63">
        <f ca="1">表1_11[[#This Row],[扣保险后工资金额]]-表1_11[[#This Row],[个人所得税]]</f>
        <v>2265.88</v>
      </c>
      <c r="AB243" s="53">
        <v>2093.66</v>
      </c>
      <c r="AC243" s="64">
        <f ca="1">(表1_11[[#This Row],[实发工资]]-表1_11[[#This Row],[上月对比]])/表1_11[[#This Row],[上月对比]]</f>
        <v>8.2257864218641161E-2</v>
      </c>
      <c r="AD243" s="65" t="s">
        <v>1587</v>
      </c>
    </row>
    <row r="244" spans="1:30">
      <c r="A244" s="42" t="s">
        <v>577</v>
      </c>
      <c r="B244" s="42" t="s">
        <v>725</v>
      </c>
      <c r="C244" s="40" t="s">
        <v>711</v>
      </c>
      <c r="D244" s="40" t="s">
        <v>712</v>
      </c>
      <c r="E244" s="41" t="s">
        <v>1254</v>
      </c>
      <c r="F244" s="5" t="s">
        <v>240</v>
      </c>
      <c r="G244" s="25">
        <v>40547</v>
      </c>
      <c r="H244" s="5" t="s">
        <v>617</v>
      </c>
      <c r="I244" s="5">
        <f>VLOOKUP(MID(表1_11[[#This Row],[工资等级]],1,1),表12[],MATCH(MID(表1_11[[#This Row],[工资等级]],2,2),表12[[#Headers],[1]:[10]],0)+1,0)</f>
        <v>2500</v>
      </c>
      <c r="J244" s="5">
        <v>26.5</v>
      </c>
      <c r="K244" s="27">
        <v>1.1041666666666667</v>
      </c>
      <c r="L244" s="37">
        <f>IF(表1_11[[#This Row],[出勤率]]&gt;1,1,表1_11[[#This Row],[出勤率]])*表1_11[[#This Row],[岗位工资]]</f>
        <v>2500</v>
      </c>
      <c r="M244" s="5">
        <f>LOOKUP(表1_11[[#This Row],[岗位工资]],表13[lookup],表13[奖金比率])*表1_11[[#This Row],[岗位工资]]</f>
        <v>250</v>
      </c>
      <c r="N244" s="5">
        <v>95</v>
      </c>
      <c r="O244" s="38">
        <f>表1_11[[#This Row],[奖金等级]]*表1_11[[#This Row],[绩效得分]]/100</f>
        <v>237.5</v>
      </c>
      <c r="P244" s="5">
        <f>IF(表1_11[[#This Row],[出勤率]]&gt;=1,200,0)</f>
        <v>200</v>
      </c>
      <c r="Q244" s="23">
        <f t="shared" ca="1" si="3"/>
        <v>350</v>
      </c>
      <c r="R244" s="23">
        <f>IF(表1_11[[#This Row],[中心]]="营销中心",VLOOKUP(表1_11[[#This Row],[职位]],表2[[话费补贴]:[营销中心]],2,0),VLOOKUP(表1_11[[#This Row],[职位]],表2[],3,0))</f>
        <v>0</v>
      </c>
      <c r="S244" s="23">
        <v>200</v>
      </c>
      <c r="T244" s="61">
        <f ca="1">ROUND(SUM(表1_11[[#This Row],[基本工资]],表1_11[[#This Row],[奖金]],表1_11[[#This Row],[全勤奖]:[防暑降温补贴]]),2)</f>
        <v>3487.5</v>
      </c>
      <c r="U244" s="62">
        <f ca="1">ROUND(表1_11[[#This Row],[税前应发总额]]*8%,2)</f>
        <v>279</v>
      </c>
      <c r="V244" s="62">
        <f ca="1">ROUND(表1_11[[#This Row],[税前应发总额]]*2%+3,2)</f>
        <v>72.75</v>
      </c>
      <c r="W244" s="62">
        <f ca="1">ROUND(表1_11[[#This Row],[税前应发总额]]*0.2%,2)</f>
        <v>6.98</v>
      </c>
      <c r="X244" s="62">
        <f ca="1">ROUND(表1_11[[#This Row],[税前应发总额]]*12%,2)</f>
        <v>418.5</v>
      </c>
      <c r="Y244" s="61">
        <f ca="1">ROUND(表1_11[[#This Row],[税前应发总额]]-SUM(表1_11[[#This Row],[养老保险]:[公积金]]),2)</f>
        <v>2710.27</v>
      </c>
      <c r="Z244" s="62">
        <f ca="1">ROUND(MAX((表1_11[[#This Row],[扣保险后工资金额]]-3500)*{3,10,20,25,30,35,45}%-{0,105,555,1005,2755,5505,13505},0),2)</f>
        <v>0</v>
      </c>
      <c r="AA244" s="63">
        <f ca="1">表1_11[[#This Row],[扣保险后工资金额]]-表1_11[[#This Row],[个人所得税]]</f>
        <v>2710.27</v>
      </c>
      <c r="AB244" s="53">
        <v>2333.69</v>
      </c>
      <c r="AC244" s="64">
        <f ca="1">(表1_11[[#This Row],[实发工资]]-表1_11[[#This Row],[上月对比]])/表1_11[[#This Row],[上月对比]]</f>
        <v>0.16136676250915927</v>
      </c>
      <c r="AD244" s="65" t="s">
        <v>1587</v>
      </c>
    </row>
    <row r="245" spans="1:30">
      <c r="A245" s="42" t="s">
        <v>577</v>
      </c>
      <c r="B245" s="42" t="s">
        <v>725</v>
      </c>
      <c r="C245" s="40" t="s">
        <v>599</v>
      </c>
      <c r="D245" s="40" t="s">
        <v>626</v>
      </c>
      <c r="E245" s="41" t="s">
        <v>1255</v>
      </c>
      <c r="F245" s="5" t="s">
        <v>241</v>
      </c>
      <c r="G245" s="25">
        <v>39077</v>
      </c>
      <c r="H245" s="5" t="s">
        <v>624</v>
      </c>
      <c r="I245" s="5">
        <f>VLOOKUP(MID(表1_11[[#This Row],[工资等级]],1,1),表12[],MATCH(MID(表1_11[[#This Row],[工资等级]],2,2),表12[[#Headers],[1]:[10]],0)+1,0)</f>
        <v>2800</v>
      </c>
      <c r="J245" s="5">
        <v>25</v>
      </c>
      <c r="K245" s="27">
        <v>1.0416666666666667</v>
      </c>
      <c r="L245" s="37">
        <f>IF(表1_11[[#This Row],[出勤率]]&gt;1,1,表1_11[[#This Row],[出勤率]])*表1_11[[#This Row],[岗位工资]]</f>
        <v>2800</v>
      </c>
      <c r="M245" s="5">
        <f>LOOKUP(表1_11[[#This Row],[岗位工资]],表13[lookup],表13[奖金比率])*表1_11[[#This Row],[岗位工资]]</f>
        <v>280</v>
      </c>
      <c r="N245" s="5">
        <v>86</v>
      </c>
      <c r="O245" s="38">
        <f>表1_11[[#This Row],[奖金等级]]*表1_11[[#This Row],[绩效得分]]/100</f>
        <v>240.8</v>
      </c>
      <c r="P245" s="5">
        <f>IF(表1_11[[#This Row],[出勤率]]&gt;=1,200,0)</f>
        <v>200</v>
      </c>
      <c r="Q245" s="23">
        <f t="shared" ca="1" si="3"/>
        <v>500</v>
      </c>
      <c r="R245" s="23">
        <f>IF(表1_11[[#This Row],[中心]]="营销中心",VLOOKUP(表1_11[[#This Row],[职位]],表2[[话费补贴]:[营销中心]],2,0),VLOOKUP(表1_11[[#This Row],[职位]],表2[],3,0))</f>
        <v>0</v>
      </c>
      <c r="S245" s="23">
        <v>200</v>
      </c>
      <c r="T245" s="61">
        <f ca="1">ROUND(SUM(表1_11[[#This Row],[基本工资]],表1_11[[#This Row],[奖金]],表1_11[[#This Row],[全勤奖]:[防暑降温补贴]]),2)</f>
        <v>3940.8</v>
      </c>
      <c r="U245" s="62">
        <f ca="1">ROUND(表1_11[[#This Row],[税前应发总额]]*8%,2)</f>
        <v>315.26</v>
      </c>
      <c r="V245" s="62">
        <f ca="1">ROUND(表1_11[[#This Row],[税前应发总额]]*2%+3,2)</f>
        <v>81.819999999999993</v>
      </c>
      <c r="W245" s="62">
        <f ca="1">ROUND(表1_11[[#This Row],[税前应发总额]]*0.2%,2)</f>
        <v>7.88</v>
      </c>
      <c r="X245" s="62">
        <f ca="1">ROUND(表1_11[[#This Row],[税前应发总额]]*12%,2)</f>
        <v>472.9</v>
      </c>
      <c r="Y245" s="61">
        <f ca="1">ROUND(表1_11[[#This Row],[税前应发总额]]-SUM(表1_11[[#This Row],[养老保险]:[公积金]]),2)</f>
        <v>3062.94</v>
      </c>
      <c r="Z245" s="62">
        <f ca="1">ROUND(MAX((表1_11[[#This Row],[扣保险后工资金额]]-3500)*{3,10,20,25,30,35,45}%-{0,105,555,1005,2755,5505,13505},0),2)</f>
        <v>0</v>
      </c>
      <c r="AA245" s="63">
        <f ca="1">表1_11[[#This Row],[扣保险后工资金额]]-表1_11[[#This Row],[个人所得税]]</f>
        <v>3062.94</v>
      </c>
      <c r="AB245" s="53">
        <v>2651.5</v>
      </c>
      <c r="AC245" s="64">
        <f ca="1">(表1_11[[#This Row],[实发工资]]-表1_11[[#This Row],[上月对比]])/表1_11[[#This Row],[上月对比]]</f>
        <v>0.15517254384310769</v>
      </c>
      <c r="AD245" s="65" t="s">
        <v>1587</v>
      </c>
    </row>
    <row r="246" spans="1:30">
      <c r="A246" s="42" t="s">
        <v>577</v>
      </c>
      <c r="B246" s="42" t="s">
        <v>725</v>
      </c>
      <c r="C246" s="40" t="s">
        <v>673</v>
      </c>
      <c r="D246" s="40" t="s">
        <v>674</v>
      </c>
      <c r="E246" s="41" t="s">
        <v>1256</v>
      </c>
      <c r="F246" s="5" t="s">
        <v>242</v>
      </c>
      <c r="G246" s="25">
        <v>38644</v>
      </c>
      <c r="H246" s="5" t="s">
        <v>610</v>
      </c>
      <c r="I246" s="5">
        <f>VLOOKUP(MID(表1_11[[#This Row],[工资等级]],1,1),表12[],MATCH(MID(表1_11[[#This Row],[工资等级]],2,2),表12[[#Headers],[1]:[10]],0)+1,0)</f>
        <v>3400</v>
      </c>
      <c r="J246" s="5">
        <v>24.5</v>
      </c>
      <c r="K246" s="27">
        <v>1.0208333333333333</v>
      </c>
      <c r="L246" s="37">
        <f>IF(表1_11[[#This Row],[出勤率]]&gt;1,1,表1_11[[#This Row],[出勤率]])*表1_11[[#This Row],[岗位工资]]</f>
        <v>3400</v>
      </c>
      <c r="M246" s="5">
        <f>LOOKUP(表1_11[[#This Row],[岗位工资]],表13[lookup],表13[奖金比率])*表1_11[[#This Row],[岗位工资]]</f>
        <v>340</v>
      </c>
      <c r="N246" s="5">
        <v>92</v>
      </c>
      <c r="O246" s="38">
        <f>表1_11[[#This Row],[奖金等级]]*表1_11[[#This Row],[绩效得分]]/100</f>
        <v>312.8</v>
      </c>
      <c r="P246" s="5">
        <f>IF(表1_11[[#This Row],[出勤率]]&gt;=1,200,0)</f>
        <v>200</v>
      </c>
      <c r="Q246" s="23">
        <f t="shared" ca="1" si="3"/>
        <v>500</v>
      </c>
      <c r="R246" s="23">
        <f>IF(表1_11[[#This Row],[中心]]="营销中心",VLOOKUP(表1_11[[#This Row],[职位]],表2[[话费补贴]:[营销中心]],2,0),VLOOKUP(表1_11[[#This Row],[职位]],表2[],3,0))</f>
        <v>0</v>
      </c>
      <c r="S246" s="23">
        <v>200</v>
      </c>
      <c r="T246" s="61">
        <f ca="1">ROUND(SUM(表1_11[[#This Row],[基本工资]],表1_11[[#This Row],[奖金]],表1_11[[#This Row],[全勤奖]:[防暑降温补贴]]),2)</f>
        <v>4612.8</v>
      </c>
      <c r="U246" s="62">
        <f ca="1">ROUND(表1_11[[#This Row],[税前应发总额]]*8%,2)</f>
        <v>369.02</v>
      </c>
      <c r="V246" s="62">
        <f ca="1">ROUND(表1_11[[#This Row],[税前应发总额]]*2%+3,2)</f>
        <v>95.26</v>
      </c>
      <c r="W246" s="62">
        <f ca="1">ROUND(表1_11[[#This Row],[税前应发总额]]*0.2%,2)</f>
        <v>9.23</v>
      </c>
      <c r="X246" s="62">
        <f ca="1">ROUND(表1_11[[#This Row],[税前应发总额]]*12%,2)</f>
        <v>553.54</v>
      </c>
      <c r="Y246" s="61">
        <f ca="1">ROUND(表1_11[[#This Row],[税前应发总额]]-SUM(表1_11[[#This Row],[养老保险]:[公积金]]),2)</f>
        <v>3585.75</v>
      </c>
      <c r="Z246" s="62">
        <f ca="1">ROUND(MAX((表1_11[[#This Row],[扣保险后工资金额]]-3500)*{3,10,20,25,30,35,45}%-{0,105,555,1005,2755,5505,13505},0),2)</f>
        <v>2.57</v>
      </c>
      <c r="AA246" s="63">
        <f ca="1">表1_11[[#This Row],[扣保险后工资金额]]-表1_11[[#This Row],[个人所得税]]</f>
        <v>3583.18</v>
      </c>
      <c r="AB246" s="53">
        <v>3141.91</v>
      </c>
      <c r="AC246" s="64">
        <f ca="1">(表1_11[[#This Row],[实发工资]]-表1_11[[#This Row],[上月对比]])/表1_11[[#This Row],[上月对比]]</f>
        <v>0.14044641635183694</v>
      </c>
      <c r="AD246" s="65" t="s">
        <v>1587</v>
      </c>
    </row>
    <row r="247" spans="1:30">
      <c r="A247" s="42" t="s">
        <v>577</v>
      </c>
      <c r="B247" s="42" t="s">
        <v>725</v>
      </c>
      <c r="C247" s="40" t="s">
        <v>599</v>
      </c>
      <c r="D247" s="40" t="s">
        <v>626</v>
      </c>
      <c r="E247" s="41" t="s">
        <v>1257</v>
      </c>
      <c r="F247" s="5" t="s">
        <v>243</v>
      </c>
      <c r="G247" s="25">
        <v>41261</v>
      </c>
      <c r="H247" s="5" t="s">
        <v>615</v>
      </c>
      <c r="I247" s="5">
        <f>VLOOKUP(MID(表1_11[[#This Row],[工资等级]],1,1),表12[],MATCH(MID(表1_11[[#This Row],[工资等级]],2,2),表12[[#Headers],[1]:[10]],0)+1,0)</f>
        <v>3200</v>
      </c>
      <c r="J247" s="5">
        <v>22.5</v>
      </c>
      <c r="K247" s="27">
        <v>0.9375</v>
      </c>
      <c r="L247" s="37">
        <f>IF(表1_11[[#This Row],[出勤率]]&gt;1,1,表1_11[[#This Row],[出勤率]])*表1_11[[#This Row],[岗位工资]]</f>
        <v>3000</v>
      </c>
      <c r="M247" s="5">
        <f>LOOKUP(表1_11[[#This Row],[岗位工资]],表13[lookup],表13[奖金比率])*表1_11[[#This Row],[岗位工资]]</f>
        <v>320</v>
      </c>
      <c r="N247" s="5">
        <v>82</v>
      </c>
      <c r="O247" s="38">
        <f>表1_11[[#This Row],[奖金等级]]*表1_11[[#This Row],[绩效得分]]/100</f>
        <v>262.39999999999998</v>
      </c>
      <c r="P247" s="5">
        <f>IF(表1_11[[#This Row],[出勤率]]&gt;=1,200,0)</f>
        <v>0</v>
      </c>
      <c r="Q247" s="23">
        <f t="shared" ca="1" si="3"/>
        <v>250</v>
      </c>
      <c r="R247" s="23">
        <f>IF(表1_11[[#This Row],[中心]]="营销中心",VLOOKUP(表1_11[[#This Row],[职位]],表2[[话费补贴]:[营销中心]],2,0),VLOOKUP(表1_11[[#This Row],[职位]],表2[],3,0))</f>
        <v>0</v>
      </c>
      <c r="S247" s="23">
        <v>200</v>
      </c>
      <c r="T247" s="61">
        <f ca="1">ROUND(SUM(表1_11[[#This Row],[基本工资]],表1_11[[#This Row],[奖金]],表1_11[[#This Row],[全勤奖]:[防暑降温补贴]]),2)</f>
        <v>3712.4</v>
      </c>
      <c r="U247" s="62">
        <f ca="1">ROUND(表1_11[[#This Row],[税前应发总额]]*8%,2)</f>
        <v>296.99</v>
      </c>
      <c r="V247" s="62">
        <f ca="1">ROUND(表1_11[[#This Row],[税前应发总额]]*2%+3,2)</f>
        <v>77.25</v>
      </c>
      <c r="W247" s="62">
        <f ca="1">ROUND(表1_11[[#This Row],[税前应发总额]]*0.2%,2)</f>
        <v>7.42</v>
      </c>
      <c r="X247" s="62">
        <f ca="1">ROUND(表1_11[[#This Row],[税前应发总额]]*12%,2)</f>
        <v>445.49</v>
      </c>
      <c r="Y247" s="61">
        <f ca="1">ROUND(表1_11[[#This Row],[税前应发总额]]-SUM(表1_11[[#This Row],[养老保险]:[公积金]]),2)</f>
        <v>2885.25</v>
      </c>
      <c r="Z247" s="62">
        <f ca="1">ROUND(MAX((表1_11[[#This Row],[扣保险后工资金额]]-3500)*{3,10,20,25,30,35,45}%-{0,105,555,1005,2755,5505,13505},0),2)</f>
        <v>0</v>
      </c>
      <c r="AA247" s="63">
        <f ca="1">表1_11[[#This Row],[扣保险后工资金额]]-表1_11[[#This Row],[个人所得税]]</f>
        <v>2885.25</v>
      </c>
      <c r="AB247" s="53">
        <v>2871.24</v>
      </c>
      <c r="AC247" s="64">
        <f ca="1">(表1_11[[#This Row],[实发工资]]-表1_11[[#This Row],[上月对比]])/表1_11[[#This Row],[上月对比]]</f>
        <v>4.8794249174573421E-3</v>
      </c>
      <c r="AD247" s="65" t="s">
        <v>1587</v>
      </c>
    </row>
    <row r="248" spans="1:30">
      <c r="A248" s="42" t="s">
        <v>577</v>
      </c>
      <c r="B248" s="42" t="s">
        <v>725</v>
      </c>
      <c r="C248" s="40" t="s">
        <v>681</v>
      </c>
      <c r="D248" s="40" t="s">
        <v>682</v>
      </c>
      <c r="E248" s="41" t="s">
        <v>1258</v>
      </c>
      <c r="F248" s="5" t="s">
        <v>244</v>
      </c>
      <c r="G248" s="25">
        <v>42756</v>
      </c>
      <c r="H248" s="5" t="s">
        <v>624</v>
      </c>
      <c r="I248" s="5">
        <f>VLOOKUP(MID(表1_11[[#This Row],[工资等级]],1,1),表12[],MATCH(MID(表1_11[[#This Row],[工资等级]],2,2),表12[[#Headers],[1]:[10]],0)+1,0)</f>
        <v>2800</v>
      </c>
      <c r="J248" s="5">
        <v>23</v>
      </c>
      <c r="K248" s="27">
        <v>0.95833333333333337</v>
      </c>
      <c r="L248" s="37">
        <f>IF(表1_11[[#This Row],[出勤率]]&gt;1,1,表1_11[[#This Row],[出勤率]])*表1_11[[#This Row],[岗位工资]]</f>
        <v>2683.3333333333335</v>
      </c>
      <c r="M248" s="5">
        <f>LOOKUP(表1_11[[#This Row],[岗位工资]],表13[lookup],表13[奖金比率])*表1_11[[#This Row],[岗位工资]]</f>
        <v>280</v>
      </c>
      <c r="N248" s="5">
        <v>88</v>
      </c>
      <c r="O248" s="38">
        <f>表1_11[[#This Row],[奖金等级]]*表1_11[[#This Row],[绩效得分]]/100</f>
        <v>246.4</v>
      </c>
      <c r="P248" s="5">
        <f>IF(表1_11[[#This Row],[出勤率]]&gt;=1,200,0)</f>
        <v>0</v>
      </c>
      <c r="Q248" s="23">
        <f t="shared" ca="1" si="3"/>
        <v>50</v>
      </c>
      <c r="R248" s="23">
        <f>IF(表1_11[[#This Row],[中心]]="营销中心",VLOOKUP(表1_11[[#This Row],[职位]],表2[[话费补贴]:[营销中心]],2,0),VLOOKUP(表1_11[[#This Row],[职位]],表2[],3,0))</f>
        <v>0</v>
      </c>
      <c r="S248" s="23">
        <v>200</v>
      </c>
      <c r="T248" s="61">
        <f ca="1">ROUND(SUM(表1_11[[#This Row],[基本工资]],表1_11[[#This Row],[奖金]],表1_11[[#This Row],[全勤奖]:[防暑降温补贴]]),2)</f>
        <v>3179.73</v>
      </c>
      <c r="U248" s="62">
        <f ca="1">ROUND(表1_11[[#This Row],[税前应发总额]]*8%,2)</f>
        <v>254.38</v>
      </c>
      <c r="V248" s="62">
        <f ca="1">ROUND(表1_11[[#This Row],[税前应发总额]]*2%+3,2)</f>
        <v>66.59</v>
      </c>
      <c r="W248" s="62">
        <f ca="1">ROUND(表1_11[[#This Row],[税前应发总额]]*0.2%,2)</f>
        <v>6.36</v>
      </c>
      <c r="X248" s="62">
        <f ca="1">ROUND(表1_11[[#This Row],[税前应发总额]]*12%,2)</f>
        <v>381.57</v>
      </c>
      <c r="Y248" s="61">
        <f ca="1">ROUND(表1_11[[#This Row],[税前应发总额]]-SUM(表1_11[[#This Row],[养老保险]:[公积金]]),2)</f>
        <v>2470.83</v>
      </c>
      <c r="Z248" s="62">
        <f ca="1">ROUND(MAX((表1_11[[#This Row],[扣保险后工资金额]]-3500)*{3,10,20,25,30,35,45}%-{0,105,555,1005,2755,5505,13505},0),2)</f>
        <v>0</v>
      </c>
      <c r="AA248" s="63">
        <f ca="1">表1_11[[#This Row],[扣保险后工资金额]]-表1_11[[#This Row],[个人所得税]]</f>
        <v>2470.83</v>
      </c>
      <c r="AB248" s="53">
        <v>2765.3</v>
      </c>
      <c r="AC248" s="64">
        <f ca="1">(表1_11[[#This Row],[实发工资]]-表1_11[[#This Row],[上月对比]])/表1_11[[#This Row],[上月对比]]</f>
        <v>-0.10648754203883855</v>
      </c>
      <c r="AD248" s="65" t="s">
        <v>1587</v>
      </c>
    </row>
    <row r="249" spans="1:30">
      <c r="A249" s="42" t="s">
        <v>577</v>
      </c>
      <c r="B249" s="42" t="s">
        <v>725</v>
      </c>
      <c r="C249" s="40" t="s">
        <v>719</v>
      </c>
      <c r="D249" s="40" t="s">
        <v>720</v>
      </c>
      <c r="E249" s="41" t="s">
        <v>1259</v>
      </c>
      <c r="F249" s="5" t="s">
        <v>245</v>
      </c>
      <c r="G249" s="25">
        <v>41158</v>
      </c>
      <c r="H249" s="5" t="s">
        <v>618</v>
      </c>
      <c r="I249" s="5">
        <f>VLOOKUP(MID(表1_11[[#This Row],[工资等级]],1,1),表12[],MATCH(MID(表1_11[[#This Row],[工资等级]],2,2),表12[[#Headers],[1]:[10]],0)+1,0)</f>
        <v>3000</v>
      </c>
      <c r="J249" s="5">
        <v>25</v>
      </c>
      <c r="K249" s="27">
        <v>1.0416666666666667</v>
      </c>
      <c r="L249" s="37">
        <f>IF(表1_11[[#This Row],[出勤率]]&gt;1,1,表1_11[[#This Row],[出勤率]])*表1_11[[#This Row],[岗位工资]]</f>
        <v>3000</v>
      </c>
      <c r="M249" s="5">
        <f>LOOKUP(表1_11[[#This Row],[岗位工资]],表13[lookup],表13[奖金比率])*表1_11[[#This Row],[岗位工资]]</f>
        <v>300</v>
      </c>
      <c r="N249" s="5">
        <v>83</v>
      </c>
      <c r="O249" s="38">
        <f>表1_11[[#This Row],[奖金等级]]*表1_11[[#This Row],[绩效得分]]/100</f>
        <v>249</v>
      </c>
      <c r="P249" s="5">
        <f>IF(表1_11[[#This Row],[出勤率]]&gt;=1,200,0)</f>
        <v>200</v>
      </c>
      <c r="Q249" s="23">
        <f t="shared" ca="1" si="3"/>
        <v>250</v>
      </c>
      <c r="R249" s="23">
        <f>IF(表1_11[[#This Row],[中心]]="营销中心",VLOOKUP(表1_11[[#This Row],[职位]],表2[[话费补贴]:[营销中心]],2,0),VLOOKUP(表1_11[[#This Row],[职位]],表2[],3,0))</f>
        <v>0</v>
      </c>
      <c r="S249" s="23">
        <v>200</v>
      </c>
      <c r="T249" s="61">
        <f ca="1">ROUND(SUM(表1_11[[#This Row],[基本工资]],表1_11[[#This Row],[奖金]],表1_11[[#This Row],[全勤奖]:[防暑降温补贴]]),2)</f>
        <v>3899</v>
      </c>
      <c r="U249" s="62">
        <f ca="1">ROUND(表1_11[[#This Row],[税前应发总额]]*8%,2)</f>
        <v>311.92</v>
      </c>
      <c r="V249" s="62">
        <f ca="1">ROUND(表1_11[[#This Row],[税前应发总额]]*2%+3,2)</f>
        <v>80.98</v>
      </c>
      <c r="W249" s="62">
        <f ca="1">ROUND(表1_11[[#This Row],[税前应发总额]]*0.2%,2)</f>
        <v>7.8</v>
      </c>
      <c r="X249" s="62">
        <f ca="1">ROUND(表1_11[[#This Row],[税前应发总额]]*12%,2)</f>
        <v>467.88</v>
      </c>
      <c r="Y249" s="61">
        <f ca="1">ROUND(表1_11[[#This Row],[税前应发总额]]-SUM(表1_11[[#This Row],[养老保险]:[公积金]]),2)</f>
        <v>3030.42</v>
      </c>
      <c r="Z249" s="62">
        <f ca="1">ROUND(MAX((表1_11[[#This Row],[扣保险后工资金额]]-3500)*{3,10,20,25,30,35,45}%-{0,105,555,1005,2755,5505,13505},0),2)</f>
        <v>0</v>
      </c>
      <c r="AA249" s="63">
        <f ca="1">表1_11[[#This Row],[扣保险后工资金额]]-表1_11[[#This Row],[个人所得税]]</f>
        <v>3030.42</v>
      </c>
      <c r="AB249" s="53">
        <v>3193.44</v>
      </c>
      <c r="AC249" s="64">
        <f ca="1">(表1_11[[#This Row],[实发工资]]-表1_11[[#This Row],[上月对比]])/表1_11[[#This Row],[上月对比]]</f>
        <v>-5.1048399218397711E-2</v>
      </c>
      <c r="AD249" s="65" t="s">
        <v>1587</v>
      </c>
    </row>
    <row r="250" spans="1:30">
      <c r="A250" s="42" t="s">
        <v>577</v>
      </c>
      <c r="B250" s="42" t="s">
        <v>725</v>
      </c>
      <c r="C250" s="40" t="s">
        <v>711</v>
      </c>
      <c r="D250" s="40" t="s">
        <v>712</v>
      </c>
      <c r="E250" s="41" t="s">
        <v>1260</v>
      </c>
      <c r="F250" s="5" t="s">
        <v>246</v>
      </c>
      <c r="G250" s="25">
        <v>38274</v>
      </c>
      <c r="H250" s="5" t="s">
        <v>618</v>
      </c>
      <c r="I250" s="5">
        <f>VLOOKUP(MID(表1_11[[#This Row],[工资等级]],1,1),表12[],MATCH(MID(表1_11[[#This Row],[工资等级]],2,2),表12[[#Headers],[1]:[10]],0)+1,0)</f>
        <v>3000</v>
      </c>
      <c r="J250" s="5">
        <v>23.5</v>
      </c>
      <c r="K250" s="27">
        <v>0.97916666666666663</v>
      </c>
      <c r="L250" s="37">
        <f>IF(表1_11[[#This Row],[出勤率]]&gt;1,1,表1_11[[#This Row],[出勤率]])*表1_11[[#This Row],[岗位工资]]</f>
        <v>2937.5</v>
      </c>
      <c r="M250" s="5">
        <f>LOOKUP(表1_11[[#This Row],[岗位工资]],表13[lookup],表13[奖金比率])*表1_11[[#This Row],[岗位工资]]</f>
        <v>300</v>
      </c>
      <c r="N250" s="5">
        <v>83</v>
      </c>
      <c r="O250" s="38">
        <f>表1_11[[#This Row],[奖金等级]]*表1_11[[#This Row],[绩效得分]]/100</f>
        <v>249</v>
      </c>
      <c r="P250" s="5">
        <f>IF(表1_11[[#This Row],[出勤率]]&gt;=1,200,0)</f>
        <v>0</v>
      </c>
      <c r="Q250" s="23">
        <f t="shared" ca="1" si="3"/>
        <v>500</v>
      </c>
      <c r="R250" s="23">
        <f>IF(表1_11[[#This Row],[中心]]="营销中心",VLOOKUP(表1_11[[#This Row],[职位]],表2[[话费补贴]:[营销中心]],2,0),VLOOKUP(表1_11[[#This Row],[职位]],表2[],3,0))</f>
        <v>0</v>
      </c>
      <c r="S250" s="23">
        <v>200</v>
      </c>
      <c r="T250" s="61">
        <f ca="1">ROUND(SUM(表1_11[[#This Row],[基本工资]],表1_11[[#This Row],[奖金]],表1_11[[#This Row],[全勤奖]:[防暑降温补贴]]),2)</f>
        <v>3886.5</v>
      </c>
      <c r="U250" s="62">
        <f ca="1">ROUND(表1_11[[#This Row],[税前应发总额]]*8%,2)</f>
        <v>310.92</v>
      </c>
      <c r="V250" s="62">
        <f ca="1">ROUND(表1_11[[#This Row],[税前应发总额]]*2%+3,2)</f>
        <v>80.73</v>
      </c>
      <c r="W250" s="62">
        <f ca="1">ROUND(表1_11[[#This Row],[税前应发总额]]*0.2%,2)</f>
        <v>7.77</v>
      </c>
      <c r="X250" s="62">
        <f ca="1">ROUND(表1_11[[#This Row],[税前应发总额]]*12%,2)</f>
        <v>466.38</v>
      </c>
      <c r="Y250" s="61">
        <f ca="1">ROUND(表1_11[[#This Row],[税前应发总额]]-SUM(表1_11[[#This Row],[养老保险]:[公积金]]),2)</f>
        <v>3020.7</v>
      </c>
      <c r="Z250" s="62">
        <f ca="1">ROUND(MAX((表1_11[[#This Row],[扣保险后工资金额]]-3500)*{3,10,20,25,30,35,45}%-{0,105,555,1005,2755,5505,13505},0),2)</f>
        <v>0</v>
      </c>
      <c r="AA250" s="63">
        <f ca="1">表1_11[[#This Row],[扣保险后工资金额]]-表1_11[[#This Row],[个人所得税]]</f>
        <v>3020.7</v>
      </c>
      <c r="AB250" s="53">
        <v>3506.71</v>
      </c>
      <c r="AC250" s="64">
        <f ca="1">(表1_11[[#This Row],[实发工资]]-表1_11[[#This Row],[上月对比]])/表1_11[[#This Row],[上月对比]]</f>
        <v>-0.13859429493742004</v>
      </c>
      <c r="AD250" s="65" t="s">
        <v>1587</v>
      </c>
    </row>
    <row r="251" spans="1:30">
      <c r="A251" s="42" t="s">
        <v>577</v>
      </c>
      <c r="B251" s="42" t="s">
        <v>725</v>
      </c>
      <c r="C251" s="40" t="s">
        <v>673</v>
      </c>
      <c r="D251" s="40" t="s">
        <v>674</v>
      </c>
      <c r="E251" s="41" t="s">
        <v>1261</v>
      </c>
      <c r="F251" s="5" t="s">
        <v>247</v>
      </c>
      <c r="G251" s="25">
        <v>38479</v>
      </c>
      <c r="H251" s="5" t="s">
        <v>657</v>
      </c>
      <c r="I251" s="5">
        <f>VLOOKUP(MID(表1_11[[#This Row],[工资等级]],1,1),表12[],MATCH(MID(表1_11[[#This Row],[工资等级]],2,2),表12[[#Headers],[1]:[10]],0)+1,0)</f>
        <v>4000</v>
      </c>
      <c r="J251" s="5">
        <v>27</v>
      </c>
      <c r="K251" s="27">
        <v>1.125</v>
      </c>
      <c r="L251" s="37">
        <f>IF(表1_11[[#This Row],[出勤率]]&gt;1,1,表1_11[[#This Row],[出勤率]])*表1_11[[#This Row],[岗位工资]]</f>
        <v>4000</v>
      </c>
      <c r="M251" s="5">
        <f>LOOKUP(表1_11[[#This Row],[岗位工资]],表13[lookup],表13[奖金比率])*表1_11[[#This Row],[岗位工资]]</f>
        <v>600</v>
      </c>
      <c r="N251" s="5">
        <v>80</v>
      </c>
      <c r="O251" s="38">
        <f>表1_11[[#This Row],[奖金等级]]*表1_11[[#This Row],[绩效得分]]/100</f>
        <v>480</v>
      </c>
      <c r="P251" s="5">
        <f>IF(表1_11[[#This Row],[出勤率]]&gt;=1,200,0)</f>
        <v>200</v>
      </c>
      <c r="Q251" s="23">
        <f t="shared" ca="1" si="3"/>
        <v>500</v>
      </c>
      <c r="R251" s="23">
        <f>IF(表1_11[[#This Row],[中心]]="营销中心",VLOOKUP(表1_11[[#This Row],[职位]],表2[[话费补贴]:[营销中心]],2,0),VLOOKUP(表1_11[[#This Row],[职位]],表2[],3,0))</f>
        <v>0</v>
      </c>
      <c r="S251" s="23">
        <v>200</v>
      </c>
      <c r="T251" s="61">
        <f ca="1">ROUND(SUM(表1_11[[#This Row],[基本工资]],表1_11[[#This Row],[奖金]],表1_11[[#This Row],[全勤奖]:[防暑降温补贴]]),2)</f>
        <v>5380</v>
      </c>
      <c r="U251" s="62">
        <f ca="1">ROUND(表1_11[[#This Row],[税前应发总额]]*8%,2)</f>
        <v>430.4</v>
      </c>
      <c r="V251" s="62">
        <f ca="1">ROUND(表1_11[[#This Row],[税前应发总额]]*2%+3,2)</f>
        <v>110.6</v>
      </c>
      <c r="W251" s="62">
        <f ca="1">ROUND(表1_11[[#This Row],[税前应发总额]]*0.2%,2)</f>
        <v>10.76</v>
      </c>
      <c r="X251" s="62">
        <f ca="1">ROUND(表1_11[[#This Row],[税前应发总额]]*12%,2)</f>
        <v>645.6</v>
      </c>
      <c r="Y251" s="61">
        <f ca="1">ROUND(表1_11[[#This Row],[税前应发总额]]-SUM(表1_11[[#This Row],[养老保险]:[公积金]]),2)</f>
        <v>4182.6400000000003</v>
      </c>
      <c r="Z251" s="62">
        <f ca="1">ROUND(MAX((表1_11[[#This Row],[扣保险后工资金额]]-3500)*{3,10,20,25,30,35,45}%-{0,105,555,1005,2755,5505,13505},0),2)</f>
        <v>20.48</v>
      </c>
      <c r="AA251" s="63">
        <f ca="1">表1_11[[#This Row],[扣保险后工资金额]]-表1_11[[#This Row],[个人所得税]]</f>
        <v>4162.1600000000008</v>
      </c>
      <c r="AB251" s="53">
        <v>4650.16</v>
      </c>
      <c r="AC251" s="64">
        <f ca="1">(表1_11[[#This Row],[实发工资]]-表1_11[[#This Row],[上月对比]])/表1_11[[#This Row],[上月对比]]</f>
        <v>-0.10494262563008565</v>
      </c>
      <c r="AD251" s="65" t="s">
        <v>1587</v>
      </c>
    </row>
    <row r="252" spans="1:30">
      <c r="A252" s="42" t="s">
        <v>577</v>
      </c>
      <c r="B252" s="42" t="s">
        <v>725</v>
      </c>
      <c r="C252" s="40" t="s">
        <v>599</v>
      </c>
      <c r="D252" s="40" t="s">
        <v>626</v>
      </c>
      <c r="E252" s="41" t="s">
        <v>1262</v>
      </c>
      <c r="F252" s="5" t="s">
        <v>248</v>
      </c>
      <c r="G252" s="25">
        <v>41348</v>
      </c>
      <c r="H252" s="5" t="s">
        <v>622</v>
      </c>
      <c r="I252" s="5">
        <f>VLOOKUP(MID(表1_11[[#This Row],[工资等级]],1,1),表12[],MATCH(MID(表1_11[[#This Row],[工资等级]],2,2),表12[[#Headers],[1]:[10]],0)+1,0)</f>
        <v>3600</v>
      </c>
      <c r="J252" s="5">
        <v>24.5</v>
      </c>
      <c r="K252" s="27">
        <v>1.0208333333333333</v>
      </c>
      <c r="L252" s="37">
        <f>IF(表1_11[[#This Row],[出勤率]]&gt;1,1,表1_11[[#This Row],[出勤率]])*表1_11[[#This Row],[岗位工资]]</f>
        <v>3600</v>
      </c>
      <c r="M252" s="5">
        <f>LOOKUP(表1_11[[#This Row],[岗位工资]],表13[lookup],表13[奖金比率])*表1_11[[#This Row],[岗位工资]]</f>
        <v>360</v>
      </c>
      <c r="N252" s="5">
        <v>96</v>
      </c>
      <c r="O252" s="38">
        <f>表1_11[[#This Row],[奖金等级]]*表1_11[[#This Row],[绩效得分]]/100</f>
        <v>345.6</v>
      </c>
      <c r="P252" s="5">
        <f>IF(表1_11[[#This Row],[出勤率]]&gt;=1,200,0)</f>
        <v>200</v>
      </c>
      <c r="Q252" s="23">
        <f t="shared" ca="1" si="3"/>
        <v>200</v>
      </c>
      <c r="R252" s="23">
        <f>IF(表1_11[[#This Row],[中心]]="营销中心",VLOOKUP(表1_11[[#This Row],[职位]],表2[[话费补贴]:[营销中心]],2,0),VLOOKUP(表1_11[[#This Row],[职位]],表2[],3,0))</f>
        <v>0</v>
      </c>
      <c r="S252" s="23">
        <v>200</v>
      </c>
      <c r="T252" s="61">
        <f ca="1">ROUND(SUM(表1_11[[#This Row],[基本工资]],表1_11[[#This Row],[奖金]],表1_11[[#This Row],[全勤奖]:[防暑降温补贴]]),2)</f>
        <v>4545.6000000000004</v>
      </c>
      <c r="U252" s="62">
        <f ca="1">ROUND(表1_11[[#This Row],[税前应发总额]]*8%,2)</f>
        <v>363.65</v>
      </c>
      <c r="V252" s="62">
        <f ca="1">ROUND(表1_11[[#This Row],[税前应发总额]]*2%+3,2)</f>
        <v>93.91</v>
      </c>
      <c r="W252" s="62">
        <f ca="1">ROUND(表1_11[[#This Row],[税前应发总额]]*0.2%,2)</f>
        <v>9.09</v>
      </c>
      <c r="X252" s="62">
        <f ca="1">ROUND(表1_11[[#This Row],[税前应发总额]]*12%,2)</f>
        <v>545.47</v>
      </c>
      <c r="Y252" s="61">
        <f ca="1">ROUND(表1_11[[#This Row],[税前应发总额]]-SUM(表1_11[[#This Row],[养老保险]:[公积金]]),2)</f>
        <v>3533.48</v>
      </c>
      <c r="Z252" s="62">
        <f ca="1">ROUND(MAX((表1_11[[#This Row],[扣保险后工资金额]]-3500)*{3,10,20,25,30,35,45}%-{0,105,555,1005,2755,5505,13505},0),2)</f>
        <v>1</v>
      </c>
      <c r="AA252" s="63">
        <f ca="1">表1_11[[#This Row],[扣保险后工资金额]]-表1_11[[#This Row],[个人所得税]]</f>
        <v>3532.48</v>
      </c>
      <c r="AB252" s="53">
        <v>3427.12</v>
      </c>
      <c r="AC252" s="64">
        <f ca="1">(表1_11[[#This Row],[实发工资]]-表1_11[[#This Row],[上月对比]])/表1_11[[#This Row],[上月对比]]</f>
        <v>3.0743014542823167E-2</v>
      </c>
      <c r="AD252" s="65" t="s">
        <v>1587</v>
      </c>
    </row>
    <row r="253" spans="1:30">
      <c r="A253" s="42" t="s">
        <v>577</v>
      </c>
      <c r="B253" s="42" t="s">
        <v>725</v>
      </c>
      <c r="C253" s="40" t="s">
        <v>681</v>
      </c>
      <c r="D253" s="40" t="s">
        <v>682</v>
      </c>
      <c r="E253" s="41" t="s">
        <v>1263</v>
      </c>
      <c r="F253" s="5" t="s">
        <v>249</v>
      </c>
      <c r="G253" s="25">
        <v>42541</v>
      </c>
      <c r="H253" s="5" t="s">
        <v>657</v>
      </c>
      <c r="I253" s="5">
        <f>VLOOKUP(MID(表1_11[[#This Row],[工资等级]],1,1),表12[],MATCH(MID(表1_11[[#This Row],[工资等级]],2,2),表12[[#Headers],[1]:[10]],0)+1,0)</f>
        <v>4000</v>
      </c>
      <c r="J253" s="5">
        <v>25</v>
      </c>
      <c r="K253" s="27">
        <v>1.0416666666666667</v>
      </c>
      <c r="L253" s="37">
        <f>IF(表1_11[[#This Row],[出勤率]]&gt;1,1,表1_11[[#This Row],[出勤率]])*表1_11[[#This Row],[岗位工资]]</f>
        <v>4000</v>
      </c>
      <c r="M253" s="5">
        <f>LOOKUP(表1_11[[#This Row],[岗位工资]],表13[lookup],表13[奖金比率])*表1_11[[#This Row],[岗位工资]]</f>
        <v>600</v>
      </c>
      <c r="N253" s="5">
        <v>95</v>
      </c>
      <c r="O253" s="38">
        <f>表1_11[[#This Row],[奖金等级]]*表1_11[[#This Row],[绩效得分]]/100</f>
        <v>570</v>
      </c>
      <c r="P253" s="5">
        <f>IF(表1_11[[#This Row],[出勤率]]&gt;=1,200,0)</f>
        <v>200</v>
      </c>
      <c r="Q253" s="23">
        <f t="shared" ca="1" si="3"/>
        <v>50</v>
      </c>
      <c r="R253" s="23">
        <f>IF(表1_11[[#This Row],[中心]]="营销中心",VLOOKUP(表1_11[[#This Row],[职位]],表2[[话费补贴]:[营销中心]],2,0),VLOOKUP(表1_11[[#This Row],[职位]],表2[],3,0))</f>
        <v>0</v>
      </c>
      <c r="S253" s="23">
        <v>200</v>
      </c>
      <c r="T253" s="61">
        <f ca="1">ROUND(SUM(表1_11[[#This Row],[基本工资]],表1_11[[#This Row],[奖金]],表1_11[[#This Row],[全勤奖]:[防暑降温补贴]]),2)</f>
        <v>5020</v>
      </c>
      <c r="U253" s="62">
        <f ca="1">ROUND(表1_11[[#This Row],[税前应发总额]]*8%,2)</f>
        <v>401.6</v>
      </c>
      <c r="V253" s="62">
        <f ca="1">ROUND(表1_11[[#This Row],[税前应发总额]]*2%+3,2)</f>
        <v>103.4</v>
      </c>
      <c r="W253" s="62">
        <f ca="1">ROUND(表1_11[[#This Row],[税前应发总额]]*0.2%,2)</f>
        <v>10.039999999999999</v>
      </c>
      <c r="X253" s="62">
        <f ca="1">ROUND(表1_11[[#This Row],[税前应发总额]]*12%,2)</f>
        <v>602.4</v>
      </c>
      <c r="Y253" s="61">
        <f ca="1">ROUND(表1_11[[#This Row],[税前应发总额]]-SUM(表1_11[[#This Row],[养老保险]:[公积金]]),2)</f>
        <v>3902.56</v>
      </c>
      <c r="Z253" s="62">
        <f ca="1">ROUND(MAX((表1_11[[#This Row],[扣保险后工资金额]]-3500)*{3,10,20,25,30,35,45}%-{0,105,555,1005,2755,5505,13505},0),2)</f>
        <v>12.08</v>
      </c>
      <c r="AA253" s="63">
        <f ca="1">表1_11[[#This Row],[扣保险后工资金额]]-表1_11[[#This Row],[个人所得税]]</f>
        <v>3890.48</v>
      </c>
      <c r="AB253" s="53">
        <v>4374.07</v>
      </c>
      <c r="AC253" s="64">
        <f ca="1">(表1_11[[#This Row],[实发工资]]-表1_11[[#This Row],[上月对比]])/表1_11[[#This Row],[上月对比]]</f>
        <v>-0.11055835869110456</v>
      </c>
      <c r="AD253" s="65" t="s">
        <v>1587</v>
      </c>
    </row>
    <row r="254" spans="1:30">
      <c r="A254" s="42" t="s">
        <v>577</v>
      </c>
      <c r="B254" s="42" t="s">
        <v>725</v>
      </c>
      <c r="C254" s="40" t="s">
        <v>719</v>
      </c>
      <c r="D254" s="40" t="s">
        <v>720</v>
      </c>
      <c r="E254" s="41" t="s">
        <v>1264</v>
      </c>
      <c r="F254" s="5" t="s">
        <v>250</v>
      </c>
      <c r="G254" s="25">
        <v>39304</v>
      </c>
      <c r="H254" s="5" t="s">
        <v>612</v>
      </c>
      <c r="I254" s="5">
        <f>VLOOKUP(MID(表1_11[[#This Row],[工资等级]],1,1),表12[],MATCH(MID(表1_11[[#This Row],[工资等级]],2,2),表12[[#Headers],[1]:[10]],0)+1,0)</f>
        <v>2700</v>
      </c>
      <c r="J254" s="5">
        <v>25.5</v>
      </c>
      <c r="K254" s="27">
        <v>1.0625</v>
      </c>
      <c r="L254" s="37">
        <f>IF(表1_11[[#This Row],[出勤率]]&gt;1,1,表1_11[[#This Row],[出勤率]])*表1_11[[#This Row],[岗位工资]]</f>
        <v>2700</v>
      </c>
      <c r="M254" s="5">
        <f>LOOKUP(表1_11[[#This Row],[岗位工资]],表13[lookup],表13[奖金比率])*表1_11[[#This Row],[岗位工资]]</f>
        <v>270</v>
      </c>
      <c r="N254" s="5">
        <v>87</v>
      </c>
      <c r="O254" s="38">
        <f>表1_11[[#This Row],[奖金等级]]*表1_11[[#This Row],[绩效得分]]/100</f>
        <v>234.9</v>
      </c>
      <c r="P254" s="5">
        <f>IF(表1_11[[#This Row],[出勤率]]&gt;=1,200,0)</f>
        <v>200</v>
      </c>
      <c r="Q254" s="23">
        <f t="shared" ca="1" si="3"/>
        <v>500</v>
      </c>
      <c r="R254" s="23">
        <f>IF(表1_11[[#This Row],[中心]]="营销中心",VLOOKUP(表1_11[[#This Row],[职位]],表2[[话费补贴]:[营销中心]],2,0),VLOOKUP(表1_11[[#This Row],[职位]],表2[],3,0))</f>
        <v>0</v>
      </c>
      <c r="S254" s="23">
        <v>200</v>
      </c>
      <c r="T254" s="61">
        <f ca="1">ROUND(SUM(表1_11[[#This Row],[基本工资]],表1_11[[#This Row],[奖金]],表1_11[[#This Row],[全勤奖]:[防暑降温补贴]]),2)</f>
        <v>3834.9</v>
      </c>
      <c r="U254" s="62">
        <f ca="1">ROUND(表1_11[[#This Row],[税前应发总额]]*8%,2)</f>
        <v>306.79000000000002</v>
      </c>
      <c r="V254" s="62">
        <f ca="1">ROUND(表1_11[[#This Row],[税前应发总额]]*2%+3,2)</f>
        <v>79.7</v>
      </c>
      <c r="W254" s="62">
        <f ca="1">ROUND(表1_11[[#This Row],[税前应发总额]]*0.2%,2)</f>
        <v>7.67</v>
      </c>
      <c r="X254" s="62">
        <f ca="1">ROUND(表1_11[[#This Row],[税前应发总额]]*12%,2)</f>
        <v>460.19</v>
      </c>
      <c r="Y254" s="61">
        <f ca="1">ROUND(表1_11[[#This Row],[税前应发总额]]-SUM(表1_11[[#This Row],[养老保险]:[公积金]]),2)</f>
        <v>2980.55</v>
      </c>
      <c r="Z254" s="62">
        <f ca="1">ROUND(MAX((表1_11[[#This Row],[扣保险后工资金额]]-3500)*{3,10,20,25,30,35,45}%-{0,105,555,1005,2755,5505,13505},0),2)</f>
        <v>0</v>
      </c>
      <c r="AA254" s="63">
        <f ca="1">表1_11[[#This Row],[扣保险后工资金额]]-表1_11[[#This Row],[个人所得税]]</f>
        <v>2980.55</v>
      </c>
      <c r="AB254" s="53">
        <v>3156.56</v>
      </c>
      <c r="AC254" s="64">
        <f ca="1">(表1_11[[#This Row],[实发工资]]-表1_11[[#This Row],[上月对比]])/表1_11[[#This Row],[上月对比]]</f>
        <v>-5.5760067922041641E-2</v>
      </c>
      <c r="AD254" s="65" t="s">
        <v>1587</v>
      </c>
    </row>
    <row r="255" spans="1:30">
      <c r="A255" s="42" t="s">
        <v>577</v>
      </c>
      <c r="B255" s="42" t="s">
        <v>725</v>
      </c>
      <c r="C255" s="40" t="s">
        <v>711</v>
      </c>
      <c r="D255" s="40" t="s">
        <v>712</v>
      </c>
      <c r="E255" s="41" t="s">
        <v>1265</v>
      </c>
      <c r="F255" s="5" t="s">
        <v>251</v>
      </c>
      <c r="G255" s="25">
        <v>39855</v>
      </c>
      <c r="H255" s="5" t="s">
        <v>612</v>
      </c>
      <c r="I255" s="5">
        <f>VLOOKUP(MID(表1_11[[#This Row],[工资等级]],1,1),表12[],MATCH(MID(表1_11[[#This Row],[工资等级]],2,2),表12[[#Headers],[1]:[10]],0)+1,0)</f>
        <v>2700</v>
      </c>
      <c r="J255" s="5">
        <v>26</v>
      </c>
      <c r="K255" s="27">
        <v>1.0833333333333333</v>
      </c>
      <c r="L255" s="37">
        <f>IF(表1_11[[#This Row],[出勤率]]&gt;1,1,表1_11[[#This Row],[出勤率]])*表1_11[[#This Row],[岗位工资]]</f>
        <v>2700</v>
      </c>
      <c r="M255" s="5">
        <f>LOOKUP(表1_11[[#This Row],[岗位工资]],表13[lookup],表13[奖金比率])*表1_11[[#This Row],[岗位工资]]</f>
        <v>270</v>
      </c>
      <c r="N255" s="5">
        <v>79</v>
      </c>
      <c r="O255" s="38">
        <f>表1_11[[#This Row],[奖金等级]]*表1_11[[#This Row],[绩效得分]]/100</f>
        <v>213.3</v>
      </c>
      <c r="P255" s="5">
        <f>IF(表1_11[[#This Row],[出勤率]]&gt;=1,200,0)</f>
        <v>200</v>
      </c>
      <c r="Q255" s="23">
        <f t="shared" ca="1" si="3"/>
        <v>450</v>
      </c>
      <c r="R255" s="23">
        <f>IF(表1_11[[#This Row],[中心]]="营销中心",VLOOKUP(表1_11[[#This Row],[职位]],表2[[话费补贴]:[营销中心]],2,0),VLOOKUP(表1_11[[#This Row],[职位]],表2[],3,0))</f>
        <v>0</v>
      </c>
      <c r="S255" s="23">
        <v>200</v>
      </c>
      <c r="T255" s="61">
        <f ca="1">ROUND(SUM(表1_11[[#This Row],[基本工资]],表1_11[[#This Row],[奖金]],表1_11[[#This Row],[全勤奖]:[防暑降温补贴]]),2)</f>
        <v>3763.3</v>
      </c>
      <c r="U255" s="62">
        <f ca="1">ROUND(表1_11[[#This Row],[税前应发总额]]*8%,2)</f>
        <v>301.06</v>
      </c>
      <c r="V255" s="62">
        <f ca="1">ROUND(表1_11[[#This Row],[税前应发总额]]*2%+3,2)</f>
        <v>78.27</v>
      </c>
      <c r="W255" s="62">
        <f ca="1">ROUND(表1_11[[#This Row],[税前应发总额]]*0.2%,2)</f>
        <v>7.53</v>
      </c>
      <c r="X255" s="62">
        <f ca="1">ROUND(表1_11[[#This Row],[税前应发总额]]*12%,2)</f>
        <v>451.6</v>
      </c>
      <c r="Y255" s="61">
        <f ca="1">ROUND(表1_11[[#This Row],[税前应发总额]]-SUM(表1_11[[#This Row],[养老保险]:[公积金]]),2)</f>
        <v>2924.84</v>
      </c>
      <c r="Z255" s="62">
        <f ca="1">ROUND(MAX((表1_11[[#This Row],[扣保险后工资金额]]-3500)*{3,10,20,25,30,35,45}%-{0,105,555,1005,2755,5505,13505},0),2)</f>
        <v>0</v>
      </c>
      <c r="AA255" s="63">
        <f ca="1">表1_11[[#This Row],[扣保险后工资金额]]-表1_11[[#This Row],[个人所得税]]</f>
        <v>2924.84</v>
      </c>
      <c r="AB255" s="53">
        <v>3301.48</v>
      </c>
      <c r="AC255" s="64">
        <f ca="1">(表1_11[[#This Row],[实发工资]]-表1_11[[#This Row],[上月对比]])/表1_11[[#This Row],[上月对比]]</f>
        <v>-0.11408216920896079</v>
      </c>
      <c r="AD255" s="65" t="s">
        <v>1587</v>
      </c>
    </row>
    <row r="256" spans="1:30">
      <c r="A256" s="42" t="s">
        <v>577</v>
      </c>
      <c r="B256" s="42" t="s">
        <v>725</v>
      </c>
      <c r="C256" s="40" t="s">
        <v>673</v>
      </c>
      <c r="D256" s="40" t="s">
        <v>674</v>
      </c>
      <c r="E256" s="41" t="s">
        <v>1266</v>
      </c>
      <c r="F256" s="5" t="s">
        <v>252</v>
      </c>
      <c r="G256" s="25">
        <v>42430</v>
      </c>
      <c r="H256" s="5" t="s">
        <v>630</v>
      </c>
      <c r="I256" s="5">
        <f>VLOOKUP(MID(表1_11[[#This Row],[工资等级]],1,1),表12[],MATCH(MID(表1_11[[#This Row],[工资等级]],2,2),表12[[#Headers],[1]:[10]],0)+1,0)</f>
        <v>2600</v>
      </c>
      <c r="J256" s="5">
        <v>27.5</v>
      </c>
      <c r="K256" s="27">
        <v>1.1458333333333333</v>
      </c>
      <c r="L256" s="37">
        <f>IF(表1_11[[#This Row],[出勤率]]&gt;1,1,表1_11[[#This Row],[出勤率]])*表1_11[[#This Row],[岗位工资]]</f>
        <v>2600</v>
      </c>
      <c r="M256" s="5">
        <f>LOOKUP(表1_11[[#This Row],[岗位工资]],表13[lookup],表13[奖金比率])*表1_11[[#This Row],[岗位工资]]</f>
        <v>260</v>
      </c>
      <c r="N256" s="5">
        <v>81</v>
      </c>
      <c r="O256" s="38">
        <f>表1_11[[#This Row],[奖金等级]]*表1_11[[#This Row],[绩效得分]]/100</f>
        <v>210.6</v>
      </c>
      <c r="P256" s="5">
        <f>IF(表1_11[[#This Row],[出勤率]]&gt;=1,200,0)</f>
        <v>200</v>
      </c>
      <c r="Q256" s="23">
        <f t="shared" ca="1" si="3"/>
        <v>100</v>
      </c>
      <c r="R256" s="23">
        <f>IF(表1_11[[#This Row],[中心]]="营销中心",VLOOKUP(表1_11[[#This Row],[职位]],表2[[话费补贴]:[营销中心]],2,0),VLOOKUP(表1_11[[#This Row],[职位]],表2[],3,0))</f>
        <v>0</v>
      </c>
      <c r="S256" s="23">
        <v>200</v>
      </c>
      <c r="T256" s="61">
        <f ca="1">ROUND(SUM(表1_11[[#This Row],[基本工资]],表1_11[[#This Row],[奖金]],表1_11[[#This Row],[全勤奖]:[防暑降温补贴]]),2)</f>
        <v>3310.6</v>
      </c>
      <c r="U256" s="62">
        <f ca="1">ROUND(表1_11[[#This Row],[税前应发总额]]*8%,2)</f>
        <v>264.85000000000002</v>
      </c>
      <c r="V256" s="62">
        <f ca="1">ROUND(表1_11[[#This Row],[税前应发总额]]*2%+3,2)</f>
        <v>69.209999999999994</v>
      </c>
      <c r="W256" s="62">
        <f ca="1">ROUND(表1_11[[#This Row],[税前应发总额]]*0.2%,2)</f>
        <v>6.62</v>
      </c>
      <c r="X256" s="62">
        <f ca="1">ROUND(表1_11[[#This Row],[税前应发总额]]*12%,2)</f>
        <v>397.27</v>
      </c>
      <c r="Y256" s="61">
        <f ca="1">ROUND(表1_11[[#This Row],[税前应发总额]]-SUM(表1_11[[#This Row],[养老保险]:[公积金]]),2)</f>
        <v>2572.65</v>
      </c>
      <c r="Z256" s="62">
        <f ca="1">ROUND(MAX((表1_11[[#This Row],[扣保险后工资金额]]-3500)*{3,10,20,25,30,35,45}%-{0,105,555,1005,2755,5505,13505},0),2)</f>
        <v>0</v>
      </c>
      <c r="AA256" s="63">
        <f ca="1">表1_11[[#This Row],[扣保险后工资金额]]-表1_11[[#This Row],[个人所得税]]</f>
        <v>2572.65</v>
      </c>
      <c r="AB256" s="53">
        <v>2911.54</v>
      </c>
      <c r="AC256" s="64">
        <f ca="1">(表1_11[[#This Row],[实发工资]]-表1_11[[#This Row],[上月对比]])/表1_11[[#This Row],[上月对比]]</f>
        <v>-0.11639544708298696</v>
      </c>
      <c r="AD256" s="65" t="s">
        <v>1587</v>
      </c>
    </row>
    <row r="257" spans="1:30">
      <c r="A257" s="42" t="s">
        <v>577</v>
      </c>
      <c r="B257" s="42" t="s">
        <v>725</v>
      </c>
      <c r="C257" s="40" t="s">
        <v>599</v>
      </c>
      <c r="D257" s="40" t="s">
        <v>626</v>
      </c>
      <c r="E257" s="41" t="s">
        <v>1267</v>
      </c>
      <c r="F257" s="5" t="s">
        <v>253</v>
      </c>
      <c r="G257" s="25">
        <v>39465</v>
      </c>
      <c r="H257" s="5" t="s">
        <v>622</v>
      </c>
      <c r="I257" s="5">
        <f>VLOOKUP(MID(表1_11[[#This Row],[工资等级]],1,1),表12[],MATCH(MID(表1_11[[#This Row],[工资等级]],2,2),表12[[#Headers],[1]:[10]],0)+1,0)</f>
        <v>3600</v>
      </c>
      <c r="J257" s="5">
        <v>21</v>
      </c>
      <c r="K257" s="27">
        <v>0.875</v>
      </c>
      <c r="L257" s="37">
        <f>IF(表1_11[[#This Row],[出勤率]]&gt;1,1,表1_11[[#This Row],[出勤率]])*表1_11[[#This Row],[岗位工资]]</f>
        <v>3150</v>
      </c>
      <c r="M257" s="5">
        <f>LOOKUP(表1_11[[#This Row],[岗位工资]],表13[lookup],表13[奖金比率])*表1_11[[#This Row],[岗位工资]]</f>
        <v>360</v>
      </c>
      <c r="N257" s="5">
        <v>97</v>
      </c>
      <c r="O257" s="38">
        <f>表1_11[[#This Row],[奖金等级]]*表1_11[[#This Row],[绩效得分]]/100</f>
        <v>349.2</v>
      </c>
      <c r="P257" s="5">
        <f>IF(表1_11[[#This Row],[出勤率]]&gt;=1,200,0)</f>
        <v>0</v>
      </c>
      <c r="Q257" s="23">
        <f t="shared" ca="1" si="3"/>
        <v>500</v>
      </c>
      <c r="R257" s="23">
        <f>IF(表1_11[[#This Row],[中心]]="营销中心",VLOOKUP(表1_11[[#This Row],[职位]],表2[[话费补贴]:[营销中心]],2,0),VLOOKUP(表1_11[[#This Row],[职位]],表2[],3,0))</f>
        <v>0</v>
      </c>
      <c r="S257" s="23">
        <v>200</v>
      </c>
      <c r="T257" s="61">
        <f ca="1">ROUND(SUM(表1_11[[#This Row],[基本工资]],表1_11[[#This Row],[奖金]],表1_11[[#This Row],[全勤奖]:[防暑降温补贴]]),2)</f>
        <v>4199.2</v>
      </c>
      <c r="U257" s="62">
        <f ca="1">ROUND(表1_11[[#This Row],[税前应发总额]]*8%,2)</f>
        <v>335.94</v>
      </c>
      <c r="V257" s="62">
        <f ca="1">ROUND(表1_11[[#This Row],[税前应发总额]]*2%+3,2)</f>
        <v>86.98</v>
      </c>
      <c r="W257" s="62">
        <f ca="1">ROUND(表1_11[[#This Row],[税前应发总额]]*0.2%,2)</f>
        <v>8.4</v>
      </c>
      <c r="X257" s="62">
        <f ca="1">ROUND(表1_11[[#This Row],[税前应发总额]]*12%,2)</f>
        <v>503.9</v>
      </c>
      <c r="Y257" s="61">
        <f ca="1">ROUND(表1_11[[#This Row],[税前应发总额]]-SUM(表1_11[[#This Row],[养老保险]:[公积金]]),2)</f>
        <v>3263.98</v>
      </c>
      <c r="Z257" s="62">
        <f ca="1">ROUND(MAX((表1_11[[#This Row],[扣保险后工资金额]]-3500)*{3,10,20,25,30,35,45}%-{0,105,555,1005,2755,5505,13505},0),2)</f>
        <v>0</v>
      </c>
      <c r="AA257" s="63">
        <f ca="1">表1_11[[#This Row],[扣保险后工资金额]]-表1_11[[#This Row],[个人所得税]]</f>
        <v>3263.98</v>
      </c>
      <c r="AB257" s="53">
        <v>2818.35</v>
      </c>
      <c r="AC257" s="64">
        <f ca="1">(表1_11[[#This Row],[实发工资]]-表1_11[[#This Row],[上月对比]])/表1_11[[#This Row],[上月对比]]</f>
        <v>0.15811733815885184</v>
      </c>
      <c r="AD257" s="65" t="s">
        <v>1587</v>
      </c>
    </row>
    <row r="258" spans="1:30">
      <c r="A258" s="42" t="s">
        <v>577</v>
      </c>
      <c r="B258" s="42" t="s">
        <v>725</v>
      </c>
      <c r="C258" s="40" t="s">
        <v>681</v>
      </c>
      <c r="D258" s="40" t="s">
        <v>682</v>
      </c>
      <c r="E258" s="41" t="s">
        <v>1268</v>
      </c>
      <c r="F258" s="5" t="s">
        <v>254</v>
      </c>
      <c r="G258" s="25">
        <v>41026</v>
      </c>
      <c r="H258" s="5" t="s">
        <v>618</v>
      </c>
      <c r="I258" s="5">
        <f>VLOOKUP(MID(表1_11[[#This Row],[工资等级]],1,1),表12[],MATCH(MID(表1_11[[#This Row],[工资等级]],2,2),表12[[#Headers],[1]:[10]],0)+1,0)</f>
        <v>3000</v>
      </c>
      <c r="J258" s="5">
        <v>24.5</v>
      </c>
      <c r="K258" s="27">
        <v>1.0208333333333333</v>
      </c>
      <c r="L258" s="37">
        <f>IF(表1_11[[#This Row],[出勤率]]&gt;1,1,表1_11[[#This Row],[出勤率]])*表1_11[[#This Row],[岗位工资]]</f>
        <v>3000</v>
      </c>
      <c r="M258" s="5">
        <f>LOOKUP(表1_11[[#This Row],[岗位工资]],表13[lookup],表13[奖金比率])*表1_11[[#This Row],[岗位工资]]</f>
        <v>300</v>
      </c>
      <c r="N258" s="5">
        <v>91</v>
      </c>
      <c r="O258" s="38">
        <f>表1_11[[#This Row],[奖金等级]]*表1_11[[#This Row],[绩效得分]]/100</f>
        <v>273</v>
      </c>
      <c r="P258" s="5">
        <f>IF(表1_11[[#This Row],[出勤率]]&gt;=1,200,0)</f>
        <v>200</v>
      </c>
      <c r="Q258" s="23">
        <f t="shared" ref="Q258:Q321" ca="1" si="4">IF(工龄&gt;=10,500,工龄*50)</f>
        <v>250</v>
      </c>
      <c r="R258" s="23">
        <f>IF(表1_11[[#This Row],[中心]]="营销中心",VLOOKUP(表1_11[[#This Row],[职位]],表2[[话费补贴]:[营销中心]],2,0),VLOOKUP(表1_11[[#This Row],[职位]],表2[],3,0))</f>
        <v>0</v>
      </c>
      <c r="S258" s="23">
        <v>200</v>
      </c>
      <c r="T258" s="61">
        <f ca="1">ROUND(SUM(表1_11[[#This Row],[基本工资]],表1_11[[#This Row],[奖金]],表1_11[[#This Row],[全勤奖]:[防暑降温补贴]]),2)</f>
        <v>3923</v>
      </c>
      <c r="U258" s="62">
        <f ca="1">ROUND(表1_11[[#This Row],[税前应发总额]]*8%,2)</f>
        <v>313.83999999999997</v>
      </c>
      <c r="V258" s="62">
        <f ca="1">ROUND(表1_11[[#This Row],[税前应发总额]]*2%+3,2)</f>
        <v>81.459999999999994</v>
      </c>
      <c r="W258" s="62">
        <f ca="1">ROUND(表1_11[[#This Row],[税前应发总额]]*0.2%,2)</f>
        <v>7.85</v>
      </c>
      <c r="X258" s="62">
        <f ca="1">ROUND(表1_11[[#This Row],[税前应发总额]]*12%,2)</f>
        <v>470.76</v>
      </c>
      <c r="Y258" s="61">
        <f ca="1">ROUND(表1_11[[#This Row],[税前应发总额]]-SUM(表1_11[[#This Row],[养老保险]:[公积金]]),2)</f>
        <v>3049.09</v>
      </c>
      <c r="Z258" s="62">
        <f ca="1">ROUND(MAX((表1_11[[#This Row],[扣保险后工资金额]]-3500)*{3,10,20,25,30,35,45}%-{0,105,555,1005,2755,5505,13505},0),2)</f>
        <v>0</v>
      </c>
      <c r="AA258" s="63">
        <f ca="1">表1_11[[#This Row],[扣保险后工资金额]]-表1_11[[#This Row],[个人所得税]]</f>
        <v>3049.09</v>
      </c>
      <c r="AB258" s="53">
        <v>3265.85</v>
      </c>
      <c r="AC258" s="64">
        <f ca="1">(表1_11[[#This Row],[实发工资]]-表1_11[[#This Row],[上月对比]])/表1_11[[#This Row],[上月对比]]</f>
        <v>-6.6371694964557401E-2</v>
      </c>
      <c r="AD258" s="65" t="s">
        <v>1587</v>
      </c>
    </row>
    <row r="259" spans="1:30">
      <c r="A259" s="42" t="s">
        <v>577</v>
      </c>
      <c r="B259" s="42" t="s">
        <v>725</v>
      </c>
      <c r="C259" s="40" t="s">
        <v>719</v>
      </c>
      <c r="D259" s="40" t="s">
        <v>720</v>
      </c>
      <c r="E259" s="41" t="s">
        <v>1269</v>
      </c>
      <c r="F259" s="5" t="s">
        <v>255</v>
      </c>
      <c r="G259" s="25">
        <v>41422</v>
      </c>
      <c r="H259" s="5" t="s">
        <v>610</v>
      </c>
      <c r="I259" s="5">
        <f>VLOOKUP(MID(表1_11[[#This Row],[工资等级]],1,1),表12[],MATCH(MID(表1_11[[#This Row],[工资等级]],2,2),表12[[#Headers],[1]:[10]],0)+1,0)</f>
        <v>3400</v>
      </c>
      <c r="J259" s="5">
        <v>26.5</v>
      </c>
      <c r="K259" s="27">
        <v>1.1041666666666667</v>
      </c>
      <c r="L259" s="37">
        <f>IF(表1_11[[#This Row],[出勤率]]&gt;1,1,表1_11[[#This Row],[出勤率]])*表1_11[[#This Row],[岗位工资]]</f>
        <v>3400</v>
      </c>
      <c r="M259" s="5">
        <f>LOOKUP(表1_11[[#This Row],[岗位工资]],表13[lookup],表13[奖金比率])*表1_11[[#This Row],[岗位工资]]</f>
        <v>340</v>
      </c>
      <c r="N259" s="5">
        <v>95</v>
      </c>
      <c r="O259" s="38">
        <f>表1_11[[#This Row],[奖金等级]]*表1_11[[#This Row],[绩效得分]]/100</f>
        <v>323</v>
      </c>
      <c r="P259" s="5">
        <f>IF(表1_11[[#This Row],[出勤率]]&gt;=1,200,0)</f>
        <v>200</v>
      </c>
      <c r="Q259" s="23">
        <f t="shared" ca="1" si="4"/>
        <v>200</v>
      </c>
      <c r="R259" s="23">
        <f>IF(表1_11[[#This Row],[中心]]="营销中心",VLOOKUP(表1_11[[#This Row],[职位]],表2[[话费补贴]:[营销中心]],2,0),VLOOKUP(表1_11[[#This Row],[职位]],表2[],3,0))</f>
        <v>0</v>
      </c>
      <c r="S259" s="23">
        <v>200</v>
      </c>
      <c r="T259" s="61">
        <f ca="1">ROUND(SUM(表1_11[[#This Row],[基本工资]],表1_11[[#This Row],[奖金]],表1_11[[#This Row],[全勤奖]:[防暑降温补贴]]),2)</f>
        <v>4323</v>
      </c>
      <c r="U259" s="62">
        <f ca="1">ROUND(表1_11[[#This Row],[税前应发总额]]*8%,2)</f>
        <v>345.84</v>
      </c>
      <c r="V259" s="62">
        <f ca="1">ROUND(表1_11[[#This Row],[税前应发总额]]*2%+3,2)</f>
        <v>89.46</v>
      </c>
      <c r="W259" s="62">
        <f ca="1">ROUND(表1_11[[#This Row],[税前应发总额]]*0.2%,2)</f>
        <v>8.65</v>
      </c>
      <c r="X259" s="62">
        <f ca="1">ROUND(表1_11[[#This Row],[税前应发总额]]*12%,2)</f>
        <v>518.76</v>
      </c>
      <c r="Y259" s="61">
        <f ca="1">ROUND(表1_11[[#This Row],[税前应发总额]]-SUM(表1_11[[#This Row],[养老保险]:[公积金]]),2)</f>
        <v>3360.29</v>
      </c>
      <c r="Z259" s="62">
        <f ca="1">ROUND(MAX((表1_11[[#This Row],[扣保险后工资金额]]-3500)*{3,10,20,25,30,35,45}%-{0,105,555,1005,2755,5505,13505},0),2)</f>
        <v>0</v>
      </c>
      <c r="AA259" s="63">
        <f ca="1">表1_11[[#This Row],[扣保险后工资金额]]-表1_11[[#This Row],[个人所得税]]</f>
        <v>3360.29</v>
      </c>
      <c r="AB259" s="53">
        <v>2802.95</v>
      </c>
      <c r="AC259" s="64">
        <f ca="1">(表1_11[[#This Row],[实发工资]]-表1_11[[#This Row],[上月对比]])/表1_11[[#This Row],[上月对比]]</f>
        <v>0.19884050732264227</v>
      </c>
      <c r="AD259" s="65" t="s">
        <v>1587</v>
      </c>
    </row>
    <row r="260" spans="1:30">
      <c r="A260" s="42" t="s">
        <v>577</v>
      </c>
      <c r="B260" s="42" t="s">
        <v>725</v>
      </c>
      <c r="C260" s="40" t="s">
        <v>681</v>
      </c>
      <c r="D260" s="40" t="s">
        <v>682</v>
      </c>
      <c r="E260" s="41" t="s">
        <v>1270</v>
      </c>
      <c r="F260" s="5" t="s">
        <v>256</v>
      </c>
      <c r="G260" s="25">
        <v>41129</v>
      </c>
      <c r="H260" s="5" t="s">
        <v>610</v>
      </c>
      <c r="I260" s="5">
        <f>VLOOKUP(MID(表1_11[[#This Row],[工资等级]],1,1),表12[],MATCH(MID(表1_11[[#This Row],[工资等级]],2,2),表12[[#Headers],[1]:[10]],0)+1,0)</f>
        <v>3400</v>
      </c>
      <c r="J260" s="5">
        <v>26.5</v>
      </c>
      <c r="K260" s="27">
        <v>1.1041666666666667</v>
      </c>
      <c r="L260" s="37">
        <f>IF(表1_11[[#This Row],[出勤率]]&gt;1,1,表1_11[[#This Row],[出勤率]])*表1_11[[#This Row],[岗位工资]]</f>
        <v>3400</v>
      </c>
      <c r="M260" s="5">
        <f>LOOKUP(表1_11[[#This Row],[岗位工资]],表13[lookup],表13[奖金比率])*表1_11[[#This Row],[岗位工资]]</f>
        <v>340</v>
      </c>
      <c r="N260" s="5">
        <v>79</v>
      </c>
      <c r="O260" s="38">
        <f>表1_11[[#This Row],[奖金等级]]*表1_11[[#This Row],[绩效得分]]/100</f>
        <v>268.60000000000002</v>
      </c>
      <c r="P260" s="5">
        <f>IF(表1_11[[#This Row],[出勤率]]&gt;=1,200,0)</f>
        <v>200</v>
      </c>
      <c r="Q260" s="23">
        <f t="shared" ca="1" si="4"/>
        <v>250</v>
      </c>
      <c r="R260" s="23">
        <f>IF(表1_11[[#This Row],[中心]]="营销中心",VLOOKUP(表1_11[[#This Row],[职位]],表2[[话费补贴]:[营销中心]],2,0),VLOOKUP(表1_11[[#This Row],[职位]],表2[],3,0))</f>
        <v>0</v>
      </c>
      <c r="S260" s="23">
        <v>200</v>
      </c>
      <c r="T260" s="61">
        <f ca="1">ROUND(SUM(表1_11[[#This Row],[基本工资]],表1_11[[#This Row],[奖金]],表1_11[[#This Row],[全勤奖]:[防暑降温补贴]]),2)</f>
        <v>4318.6000000000004</v>
      </c>
      <c r="U260" s="62">
        <f ca="1">ROUND(表1_11[[#This Row],[税前应发总额]]*8%,2)</f>
        <v>345.49</v>
      </c>
      <c r="V260" s="62">
        <f ca="1">ROUND(表1_11[[#This Row],[税前应发总额]]*2%+3,2)</f>
        <v>89.37</v>
      </c>
      <c r="W260" s="62">
        <f ca="1">ROUND(表1_11[[#This Row],[税前应发总额]]*0.2%,2)</f>
        <v>8.64</v>
      </c>
      <c r="X260" s="62">
        <f ca="1">ROUND(表1_11[[#This Row],[税前应发总额]]*12%,2)</f>
        <v>518.23</v>
      </c>
      <c r="Y260" s="61">
        <f ca="1">ROUND(表1_11[[#This Row],[税前应发总额]]-SUM(表1_11[[#This Row],[养老保险]:[公积金]]),2)</f>
        <v>3356.87</v>
      </c>
      <c r="Z260" s="62">
        <f ca="1">ROUND(MAX((表1_11[[#This Row],[扣保险后工资金额]]-3500)*{3,10,20,25,30,35,45}%-{0,105,555,1005,2755,5505,13505},0),2)</f>
        <v>0</v>
      </c>
      <c r="AA260" s="63">
        <f ca="1">表1_11[[#This Row],[扣保险后工资金额]]-表1_11[[#This Row],[个人所得税]]</f>
        <v>3356.87</v>
      </c>
      <c r="AB260" s="53">
        <v>3238.96</v>
      </c>
      <c r="AC260" s="64">
        <f ca="1">(表1_11[[#This Row],[实发工资]]-表1_11[[#This Row],[上月对比]])/表1_11[[#This Row],[上月对比]]</f>
        <v>3.6403660434213406E-2</v>
      </c>
      <c r="AD260" s="65" t="s">
        <v>1587</v>
      </c>
    </row>
    <row r="261" spans="1:30">
      <c r="A261" s="42" t="s">
        <v>577</v>
      </c>
      <c r="B261" s="42" t="s">
        <v>725</v>
      </c>
      <c r="C261" s="40" t="s">
        <v>719</v>
      </c>
      <c r="D261" s="40" t="s">
        <v>720</v>
      </c>
      <c r="E261" s="41" t="s">
        <v>1271</v>
      </c>
      <c r="F261" s="5" t="s">
        <v>257</v>
      </c>
      <c r="G261" s="25">
        <v>39837</v>
      </c>
      <c r="H261" s="5" t="s">
        <v>618</v>
      </c>
      <c r="I261" s="5">
        <f>VLOOKUP(MID(表1_11[[#This Row],[工资等级]],1,1),表12[],MATCH(MID(表1_11[[#This Row],[工资等级]],2,2),表12[[#Headers],[1]:[10]],0)+1,0)</f>
        <v>3000</v>
      </c>
      <c r="J261" s="5">
        <v>25.5</v>
      </c>
      <c r="K261" s="27">
        <v>1.0625</v>
      </c>
      <c r="L261" s="37">
        <f>IF(表1_11[[#This Row],[出勤率]]&gt;1,1,表1_11[[#This Row],[出勤率]])*表1_11[[#This Row],[岗位工资]]</f>
        <v>3000</v>
      </c>
      <c r="M261" s="5">
        <f>LOOKUP(表1_11[[#This Row],[岗位工资]],表13[lookup],表13[奖金比率])*表1_11[[#This Row],[岗位工资]]</f>
        <v>300</v>
      </c>
      <c r="N261" s="5">
        <v>80</v>
      </c>
      <c r="O261" s="38">
        <f>表1_11[[#This Row],[奖金等级]]*表1_11[[#This Row],[绩效得分]]/100</f>
        <v>240</v>
      </c>
      <c r="P261" s="5">
        <f>IF(表1_11[[#This Row],[出勤率]]&gt;=1,200,0)</f>
        <v>200</v>
      </c>
      <c r="Q261" s="23">
        <f t="shared" ca="1" si="4"/>
        <v>450</v>
      </c>
      <c r="R261" s="23">
        <f>IF(表1_11[[#This Row],[中心]]="营销中心",VLOOKUP(表1_11[[#This Row],[职位]],表2[[话费补贴]:[营销中心]],2,0),VLOOKUP(表1_11[[#This Row],[职位]],表2[],3,0))</f>
        <v>0</v>
      </c>
      <c r="S261" s="23">
        <v>200</v>
      </c>
      <c r="T261" s="61">
        <f ca="1">ROUND(SUM(表1_11[[#This Row],[基本工资]],表1_11[[#This Row],[奖金]],表1_11[[#This Row],[全勤奖]:[防暑降温补贴]]),2)</f>
        <v>4090</v>
      </c>
      <c r="U261" s="62">
        <f ca="1">ROUND(表1_11[[#This Row],[税前应发总额]]*8%,2)</f>
        <v>327.2</v>
      </c>
      <c r="V261" s="62">
        <f ca="1">ROUND(表1_11[[#This Row],[税前应发总额]]*2%+3,2)</f>
        <v>84.8</v>
      </c>
      <c r="W261" s="62">
        <f ca="1">ROUND(表1_11[[#This Row],[税前应发总额]]*0.2%,2)</f>
        <v>8.18</v>
      </c>
      <c r="X261" s="62">
        <f ca="1">ROUND(表1_11[[#This Row],[税前应发总额]]*12%,2)</f>
        <v>490.8</v>
      </c>
      <c r="Y261" s="61">
        <f ca="1">ROUND(表1_11[[#This Row],[税前应发总额]]-SUM(表1_11[[#This Row],[养老保险]:[公积金]]),2)</f>
        <v>3179.02</v>
      </c>
      <c r="Z261" s="62">
        <f ca="1">ROUND(MAX((表1_11[[#This Row],[扣保险后工资金额]]-3500)*{3,10,20,25,30,35,45}%-{0,105,555,1005,2755,5505,13505},0),2)</f>
        <v>0</v>
      </c>
      <c r="AA261" s="63">
        <f ca="1">表1_11[[#This Row],[扣保险后工资金额]]-表1_11[[#This Row],[个人所得税]]</f>
        <v>3179.02</v>
      </c>
      <c r="AB261" s="53">
        <v>2768.45</v>
      </c>
      <c r="AC261" s="64">
        <f ca="1">(表1_11[[#This Row],[实发工资]]-表1_11[[#This Row],[上月对比]])/表1_11[[#This Row],[上月对比]]</f>
        <v>0.14830320215282927</v>
      </c>
      <c r="AD261" s="65" t="s">
        <v>1587</v>
      </c>
    </row>
    <row r="262" spans="1:30">
      <c r="A262" s="42" t="s">
        <v>577</v>
      </c>
      <c r="B262" s="42" t="s">
        <v>725</v>
      </c>
      <c r="C262" s="40" t="s">
        <v>681</v>
      </c>
      <c r="D262" s="40" t="s">
        <v>682</v>
      </c>
      <c r="E262" s="41" t="s">
        <v>1272</v>
      </c>
      <c r="F262" s="5" t="s">
        <v>258</v>
      </c>
      <c r="G262" s="25">
        <v>42454</v>
      </c>
      <c r="H262" s="5" t="s">
        <v>612</v>
      </c>
      <c r="I262" s="5">
        <f>VLOOKUP(MID(表1_11[[#This Row],[工资等级]],1,1),表12[],MATCH(MID(表1_11[[#This Row],[工资等级]],2,2),表12[[#Headers],[1]:[10]],0)+1,0)</f>
        <v>2700</v>
      </c>
      <c r="J262" s="5">
        <v>21</v>
      </c>
      <c r="K262" s="27">
        <v>0.875</v>
      </c>
      <c r="L262" s="37">
        <f>IF(表1_11[[#This Row],[出勤率]]&gt;1,1,表1_11[[#This Row],[出勤率]])*表1_11[[#This Row],[岗位工资]]</f>
        <v>2362.5</v>
      </c>
      <c r="M262" s="5">
        <f>LOOKUP(表1_11[[#This Row],[岗位工资]],表13[lookup],表13[奖金比率])*表1_11[[#This Row],[岗位工资]]</f>
        <v>270</v>
      </c>
      <c r="N262" s="5">
        <v>96</v>
      </c>
      <c r="O262" s="38">
        <f>表1_11[[#This Row],[奖金等级]]*表1_11[[#This Row],[绩效得分]]/100</f>
        <v>259.2</v>
      </c>
      <c r="P262" s="5">
        <f>IF(表1_11[[#This Row],[出勤率]]&gt;=1,200,0)</f>
        <v>0</v>
      </c>
      <c r="Q262" s="23">
        <f t="shared" ca="1" si="4"/>
        <v>50</v>
      </c>
      <c r="R262" s="23">
        <f>IF(表1_11[[#This Row],[中心]]="营销中心",VLOOKUP(表1_11[[#This Row],[职位]],表2[[话费补贴]:[营销中心]],2,0),VLOOKUP(表1_11[[#This Row],[职位]],表2[],3,0))</f>
        <v>0</v>
      </c>
      <c r="S262" s="23">
        <v>200</v>
      </c>
      <c r="T262" s="61">
        <f ca="1">ROUND(SUM(表1_11[[#This Row],[基本工资]],表1_11[[#This Row],[奖金]],表1_11[[#This Row],[全勤奖]:[防暑降温补贴]]),2)</f>
        <v>2871.7</v>
      </c>
      <c r="U262" s="62">
        <f ca="1">ROUND(表1_11[[#This Row],[税前应发总额]]*8%,2)</f>
        <v>229.74</v>
      </c>
      <c r="V262" s="62">
        <f ca="1">ROUND(表1_11[[#This Row],[税前应发总额]]*2%+3,2)</f>
        <v>60.43</v>
      </c>
      <c r="W262" s="62">
        <f ca="1">ROUND(表1_11[[#This Row],[税前应发总额]]*0.2%,2)</f>
        <v>5.74</v>
      </c>
      <c r="X262" s="62">
        <f ca="1">ROUND(表1_11[[#This Row],[税前应发总额]]*12%,2)</f>
        <v>344.6</v>
      </c>
      <c r="Y262" s="61">
        <f ca="1">ROUND(表1_11[[#This Row],[税前应发总额]]-SUM(表1_11[[#This Row],[养老保险]:[公积金]]),2)</f>
        <v>2231.19</v>
      </c>
      <c r="Z262" s="62">
        <f ca="1">ROUND(MAX((表1_11[[#This Row],[扣保险后工资金额]]-3500)*{3,10,20,25,30,35,45}%-{0,105,555,1005,2755,5505,13505},0),2)</f>
        <v>0</v>
      </c>
      <c r="AA262" s="63">
        <f ca="1">表1_11[[#This Row],[扣保险后工资金额]]-表1_11[[#This Row],[个人所得税]]</f>
        <v>2231.19</v>
      </c>
      <c r="AB262" s="53">
        <v>2416.48</v>
      </c>
      <c r="AC262" s="64">
        <f ca="1">(表1_11[[#This Row],[实发工资]]-表1_11[[#This Row],[上月对比]])/表1_11[[#This Row],[上月对比]]</f>
        <v>-7.667764682513406E-2</v>
      </c>
      <c r="AD262" s="65" t="s">
        <v>1587</v>
      </c>
    </row>
    <row r="263" spans="1:30">
      <c r="A263" s="42" t="s">
        <v>577</v>
      </c>
      <c r="B263" s="42" t="s">
        <v>725</v>
      </c>
      <c r="C263" s="40" t="s">
        <v>719</v>
      </c>
      <c r="D263" s="40" t="s">
        <v>720</v>
      </c>
      <c r="E263" s="41" t="s">
        <v>1273</v>
      </c>
      <c r="F263" s="5" t="s">
        <v>259</v>
      </c>
      <c r="G263" s="25">
        <v>40803</v>
      </c>
      <c r="H263" s="5" t="s">
        <v>610</v>
      </c>
      <c r="I263" s="5">
        <f>VLOOKUP(MID(表1_11[[#This Row],[工资等级]],1,1),表12[],MATCH(MID(表1_11[[#This Row],[工资等级]],2,2),表12[[#Headers],[1]:[10]],0)+1,0)</f>
        <v>3400</v>
      </c>
      <c r="J263" s="5">
        <v>22.5</v>
      </c>
      <c r="K263" s="27">
        <v>0.9375</v>
      </c>
      <c r="L263" s="37">
        <f>IF(表1_11[[#This Row],[出勤率]]&gt;1,1,表1_11[[#This Row],[出勤率]])*表1_11[[#This Row],[岗位工资]]</f>
        <v>3187.5</v>
      </c>
      <c r="M263" s="5">
        <f>LOOKUP(表1_11[[#This Row],[岗位工资]],表13[lookup],表13[奖金比率])*表1_11[[#This Row],[岗位工资]]</f>
        <v>340</v>
      </c>
      <c r="N263" s="5">
        <v>92</v>
      </c>
      <c r="O263" s="38">
        <f>表1_11[[#This Row],[奖金等级]]*表1_11[[#This Row],[绩效得分]]/100</f>
        <v>312.8</v>
      </c>
      <c r="P263" s="5">
        <f>IF(表1_11[[#This Row],[出勤率]]&gt;=1,200,0)</f>
        <v>0</v>
      </c>
      <c r="Q263" s="23">
        <f t="shared" ca="1" si="4"/>
        <v>300</v>
      </c>
      <c r="R263" s="23">
        <f>IF(表1_11[[#This Row],[中心]]="营销中心",VLOOKUP(表1_11[[#This Row],[职位]],表2[[话费补贴]:[营销中心]],2,0),VLOOKUP(表1_11[[#This Row],[职位]],表2[],3,0))</f>
        <v>0</v>
      </c>
      <c r="S263" s="23">
        <v>200</v>
      </c>
      <c r="T263" s="61">
        <f ca="1">ROUND(SUM(表1_11[[#This Row],[基本工资]],表1_11[[#This Row],[奖金]],表1_11[[#This Row],[全勤奖]:[防暑降温补贴]]),2)</f>
        <v>4000.3</v>
      </c>
      <c r="U263" s="62">
        <f ca="1">ROUND(表1_11[[#This Row],[税前应发总额]]*8%,2)</f>
        <v>320.02</v>
      </c>
      <c r="V263" s="62">
        <f ca="1">ROUND(表1_11[[#This Row],[税前应发总额]]*2%+3,2)</f>
        <v>83.01</v>
      </c>
      <c r="W263" s="62">
        <f ca="1">ROUND(表1_11[[#This Row],[税前应发总额]]*0.2%,2)</f>
        <v>8</v>
      </c>
      <c r="X263" s="62">
        <f ca="1">ROUND(表1_11[[#This Row],[税前应发总额]]*12%,2)</f>
        <v>480.04</v>
      </c>
      <c r="Y263" s="61">
        <f ca="1">ROUND(表1_11[[#This Row],[税前应发总额]]-SUM(表1_11[[#This Row],[养老保险]:[公积金]]),2)</f>
        <v>3109.23</v>
      </c>
      <c r="Z263" s="62">
        <f ca="1">ROUND(MAX((表1_11[[#This Row],[扣保险后工资金额]]-3500)*{3,10,20,25,30,35,45}%-{0,105,555,1005,2755,5505,13505},0),2)</f>
        <v>0</v>
      </c>
      <c r="AA263" s="63">
        <f ca="1">表1_11[[#This Row],[扣保险后工资金额]]-表1_11[[#This Row],[个人所得税]]</f>
        <v>3109.23</v>
      </c>
      <c r="AB263" s="53">
        <v>3112.86</v>
      </c>
      <c r="AC263" s="64">
        <f ca="1">(表1_11[[#This Row],[实发工资]]-表1_11[[#This Row],[上月对比]])/表1_11[[#This Row],[上月对比]]</f>
        <v>-1.1661301825331397E-3</v>
      </c>
      <c r="AD263" s="65" t="s">
        <v>1587</v>
      </c>
    </row>
    <row r="264" spans="1:30">
      <c r="A264" s="42" t="s">
        <v>577</v>
      </c>
      <c r="B264" s="42" t="s">
        <v>725</v>
      </c>
      <c r="C264" s="40" t="s">
        <v>681</v>
      </c>
      <c r="D264" s="40" t="s">
        <v>682</v>
      </c>
      <c r="E264" s="41" t="s">
        <v>1274</v>
      </c>
      <c r="F264" s="5" t="s">
        <v>260</v>
      </c>
      <c r="G264" s="25">
        <v>39625</v>
      </c>
      <c r="H264" s="5" t="s">
        <v>615</v>
      </c>
      <c r="I264" s="5">
        <f>VLOOKUP(MID(表1_11[[#This Row],[工资等级]],1,1),表12[],MATCH(MID(表1_11[[#This Row],[工资等级]],2,2),表12[[#Headers],[1]:[10]],0)+1,0)</f>
        <v>3200</v>
      </c>
      <c r="J264" s="5">
        <v>27</v>
      </c>
      <c r="K264" s="27">
        <v>1.125</v>
      </c>
      <c r="L264" s="37">
        <f>IF(表1_11[[#This Row],[出勤率]]&gt;1,1,表1_11[[#This Row],[出勤率]])*表1_11[[#This Row],[岗位工资]]</f>
        <v>3200</v>
      </c>
      <c r="M264" s="5">
        <f>LOOKUP(表1_11[[#This Row],[岗位工资]],表13[lookup],表13[奖金比率])*表1_11[[#This Row],[岗位工资]]</f>
        <v>320</v>
      </c>
      <c r="N264" s="5">
        <v>80</v>
      </c>
      <c r="O264" s="38">
        <f>表1_11[[#This Row],[奖金等级]]*表1_11[[#This Row],[绩效得分]]/100</f>
        <v>256</v>
      </c>
      <c r="P264" s="5">
        <f>IF(表1_11[[#This Row],[出勤率]]&gt;=1,200,0)</f>
        <v>200</v>
      </c>
      <c r="Q264" s="23">
        <f t="shared" ca="1" si="4"/>
        <v>450</v>
      </c>
      <c r="R264" s="23">
        <f>IF(表1_11[[#This Row],[中心]]="营销中心",VLOOKUP(表1_11[[#This Row],[职位]],表2[[话费补贴]:[营销中心]],2,0),VLOOKUP(表1_11[[#This Row],[职位]],表2[],3,0))</f>
        <v>0</v>
      </c>
      <c r="S264" s="23">
        <v>200</v>
      </c>
      <c r="T264" s="61">
        <f ca="1">ROUND(SUM(表1_11[[#This Row],[基本工资]],表1_11[[#This Row],[奖金]],表1_11[[#This Row],[全勤奖]:[防暑降温补贴]]),2)</f>
        <v>4306</v>
      </c>
      <c r="U264" s="62">
        <f ca="1">ROUND(表1_11[[#This Row],[税前应发总额]]*8%,2)</f>
        <v>344.48</v>
      </c>
      <c r="V264" s="62">
        <f ca="1">ROUND(表1_11[[#This Row],[税前应发总额]]*2%+3,2)</f>
        <v>89.12</v>
      </c>
      <c r="W264" s="62">
        <f ca="1">ROUND(表1_11[[#This Row],[税前应发总额]]*0.2%,2)</f>
        <v>8.61</v>
      </c>
      <c r="X264" s="62">
        <f ca="1">ROUND(表1_11[[#This Row],[税前应发总额]]*12%,2)</f>
        <v>516.72</v>
      </c>
      <c r="Y264" s="61">
        <f ca="1">ROUND(表1_11[[#This Row],[税前应发总额]]-SUM(表1_11[[#This Row],[养老保险]:[公积金]]),2)</f>
        <v>3347.07</v>
      </c>
      <c r="Z264" s="62">
        <f ca="1">ROUND(MAX((表1_11[[#This Row],[扣保险后工资金额]]-3500)*{3,10,20,25,30,35,45}%-{0,105,555,1005,2755,5505,13505},0),2)</f>
        <v>0</v>
      </c>
      <c r="AA264" s="63">
        <f ca="1">表1_11[[#This Row],[扣保险后工资金额]]-表1_11[[#This Row],[个人所得税]]</f>
        <v>3347.07</v>
      </c>
      <c r="AB264" s="53">
        <v>3156.48</v>
      </c>
      <c r="AC264" s="64">
        <f ca="1">(表1_11[[#This Row],[实发工资]]-表1_11[[#This Row],[上月对比]])/表1_11[[#This Row],[上月对比]]</f>
        <v>6.038055048661805E-2</v>
      </c>
      <c r="AD264" s="65" t="s">
        <v>1587</v>
      </c>
    </row>
    <row r="265" spans="1:30">
      <c r="A265" s="42" t="s">
        <v>577</v>
      </c>
      <c r="B265" s="42" t="s">
        <v>725</v>
      </c>
      <c r="C265" s="40" t="s">
        <v>719</v>
      </c>
      <c r="D265" s="40" t="s">
        <v>720</v>
      </c>
      <c r="E265" s="41" t="s">
        <v>1275</v>
      </c>
      <c r="F265" s="5" t="s">
        <v>261</v>
      </c>
      <c r="G265" s="25">
        <v>41426</v>
      </c>
      <c r="H265" s="5" t="s">
        <v>623</v>
      </c>
      <c r="I265" s="5">
        <f>VLOOKUP(MID(表1_11[[#This Row],[工资等级]],1,1),表12[],MATCH(MID(表1_11[[#This Row],[工资等级]],2,2),表12[[#Headers],[1]:[10]],0)+1,0)</f>
        <v>3800</v>
      </c>
      <c r="J265" s="5">
        <v>23.5</v>
      </c>
      <c r="K265" s="27">
        <v>0.97916666666666663</v>
      </c>
      <c r="L265" s="37">
        <f>IF(表1_11[[#This Row],[出勤率]]&gt;1,1,表1_11[[#This Row],[出勤率]])*表1_11[[#This Row],[岗位工资]]</f>
        <v>3720.833333333333</v>
      </c>
      <c r="M265" s="5">
        <f>LOOKUP(表1_11[[#This Row],[岗位工资]],表13[lookup],表13[奖金比率])*表1_11[[#This Row],[岗位工资]]</f>
        <v>380</v>
      </c>
      <c r="N265" s="5">
        <v>94</v>
      </c>
      <c r="O265" s="38">
        <f>表1_11[[#This Row],[奖金等级]]*表1_11[[#This Row],[绩效得分]]/100</f>
        <v>357.2</v>
      </c>
      <c r="P265" s="5">
        <f>IF(表1_11[[#This Row],[出勤率]]&gt;=1,200,0)</f>
        <v>0</v>
      </c>
      <c r="Q265" s="23">
        <f t="shared" ca="1" si="4"/>
        <v>200</v>
      </c>
      <c r="R265" s="23">
        <f>IF(表1_11[[#This Row],[中心]]="营销中心",VLOOKUP(表1_11[[#This Row],[职位]],表2[[话费补贴]:[营销中心]],2,0),VLOOKUP(表1_11[[#This Row],[职位]],表2[],3,0))</f>
        <v>0</v>
      </c>
      <c r="S265" s="23">
        <v>200</v>
      </c>
      <c r="T265" s="61">
        <f ca="1">ROUND(SUM(表1_11[[#This Row],[基本工资]],表1_11[[#This Row],[奖金]],表1_11[[#This Row],[全勤奖]:[防暑降温补贴]]),2)</f>
        <v>4478.03</v>
      </c>
      <c r="U265" s="62">
        <f ca="1">ROUND(表1_11[[#This Row],[税前应发总额]]*8%,2)</f>
        <v>358.24</v>
      </c>
      <c r="V265" s="62">
        <f ca="1">ROUND(表1_11[[#This Row],[税前应发总额]]*2%+3,2)</f>
        <v>92.56</v>
      </c>
      <c r="W265" s="62">
        <f ca="1">ROUND(表1_11[[#This Row],[税前应发总额]]*0.2%,2)</f>
        <v>8.9600000000000009</v>
      </c>
      <c r="X265" s="62">
        <f ca="1">ROUND(表1_11[[#This Row],[税前应发总额]]*12%,2)</f>
        <v>537.36</v>
      </c>
      <c r="Y265" s="61">
        <f ca="1">ROUND(表1_11[[#This Row],[税前应发总额]]-SUM(表1_11[[#This Row],[养老保险]:[公积金]]),2)</f>
        <v>3480.91</v>
      </c>
      <c r="Z265" s="62">
        <f ca="1">ROUND(MAX((表1_11[[#This Row],[扣保险后工资金额]]-3500)*{3,10,20,25,30,35,45}%-{0,105,555,1005,2755,5505,13505},0),2)</f>
        <v>0</v>
      </c>
      <c r="AA265" s="63">
        <f ca="1">表1_11[[#This Row],[扣保险后工资金额]]-表1_11[[#This Row],[个人所得税]]</f>
        <v>3480.91</v>
      </c>
      <c r="AB265" s="53">
        <v>3415.39</v>
      </c>
      <c r="AC265" s="64">
        <f ca="1">(表1_11[[#This Row],[实发工资]]-表1_11[[#This Row],[上月对比]])/表1_11[[#This Row],[上月对比]]</f>
        <v>1.91837535391273E-2</v>
      </c>
      <c r="AD265" s="65" t="s">
        <v>1587</v>
      </c>
    </row>
    <row r="266" spans="1:30">
      <c r="A266" s="42" t="s">
        <v>577</v>
      </c>
      <c r="B266" s="42" t="s">
        <v>725</v>
      </c>
      <c r="C266" s="40" t="s">
        <v>681</v>
      </c>
      <c r="D266" s="40" t="s">
        <v>682</v>
      </c>
      <c r="E266" s="41" t="s">
        <v>1276</v>
      </c>
      <c r="F266" s="5" t="s">
        <v>262</v>
      </c>
      <c r="G266" s="25">
        <v>42711</v>
      </c>
      <c r="H266" s="5" t="s">
        <v>618</v>
      </c>
      <c r="I266" s="5">
        <f>VLOOKUP(MID(表1_11[[#This Row],[工资等级]],1,1),表12[],MATCH(MID(表1_11[[#This Row],[工资等级]],2,2),表12[[#Headers],[1]:[10]],0)+1,0)</f>
        <v>3000</v>
      </c>
      <c r="J266" s="5">
        <v>21.5</v>
      </c>
      <c r="K266" s="27">
        <v>0.89583333333333337</v>
      </c>
      <c r="L266" s="37">
        <f>IF(表1_11[[#This Row],[出勤率]]&gt;1,1,表1_11[[#This Row],[出勤率]])*表1_11[[#This Row],[岗位工资]]</f>
        <v>2687.5</v>
      </c>
      <c r="M266" s="5">
        <f>LOOKUP(表1_11[[#This Row],[岗位工资]],表13[lookup],表13[奖金比率])*表1_11[[#This Row],[岗位工资]]</f>
        <v>300</v>
      </c>
      <c r="N266" s="5">
        <v>92</v>
      </c>
      <c r="O266" s="38">
        <f>表1_11[[#This Row],[奖金等级]]*表1_11[[#This Row],[绩效得分]]/100</f>
        <v>276</v>
      </c>
      <c r="P266" s="5">
        <f>IF(表1_11[[#This Row],[出勤率]]&gt;=1,200,0)</f>
        <v>0</v>
      </c>
      <c r="Q266" s="23">
        <f t="shared" ca="1" si="4"/>
        <v>50</v>
      </c>
      <c r="R266" s="23">
        <f>IF(表1_11[[#This Row],[中心]]="营销中心",VLOOKUP(表1_11[[#This Row],[职位]],表2[[话费补贴]:[营销中心]],2,0),VLOOKUP(表1_11[[#This Row],[职位]],表2[],3,0))</f>
        <v>0</v>
      </c>
      <c r="S266" s="23">
        <v>200</v>
      </c>
      <c r="T266" s="61">
        <f ca="1">ROUND(SUM(表1_11[[#This Row],[基本工资]],表1_11[[#This Row],[奖金]],表1_11[[#This Row],[全勤奖]:[防暑降温补贴]]),2)</f>
        <v>3213.5</v>
      </c>
      <c r="U266" s="62">
        <f ca="1">ROUND(表1_11[[#This Row],[税前应发总额]]*8%,2)</f>
        <v>257.08</v>
      </c>
      <c r="V266" s="62">
        <f ca="1">ROUND(表1_11[[#This Row],[税前应发总额]]*2%+3,2)</f>
        <v>67.27</v>
      </c>
      <c r="W266" s="62">
        <f ca="1">ROUND(表1_11[[#This Row],[税前应发总额]]*0.2%,2)</f>
        <v>6.43</v>
      </c>
      <c r="X266" s="62">
        <f ca="1">ROUND(表1_11[[#This Row],[税前应发总额]]*12%,2)</f>
        <v>385.62</v>
      </c>
      <c r="Y266" s="61">
        <f ca="1">ROUND(表1_11[[#This Row],[税前应发总额]]-SUM(表1_11[[#This Row],[养老保险]:[公积金]]),2)</f>
        <v>2497.1</v>
      </c>
      <c r="Z266" s="62">
        <f ca="1">ROUND(MAX((表1_11[[#This Row],[扣保险后工资金额]]-3500)*{3,10,20,25,30,35,45}%-{0,105,555,1005,2755,5505,13505},0),2)</f>
        <v>0</v>
      </c>
      <c r="AA266" s="63">
        <f ca="1">表1_11[[#This Row],[扣保险后工资金额]]-表1_11[[#This Row],[个人所得税]]</f>
        <v>2497.1</v>
      </c>
      <c r="AB266" s="53">
        <v>2622.78</v>
      </c>
      <c r="AC266" s="64">
        <f ca="1">(表1_11[[#This Row],[实发工资]]-表1_11[[#This Row],[上月对比]])/表1_11[[#This Row],[上月对比]]</f>
        <v>-4.7918620700173206E-2</v>
      </c>
      <c r="AD266" s="65" t="s">
        <v>1587</v>
      </c>
    </row>
    <row r="267" spans="1:30">
      <c r="A267" s="42" t="s">
        <v>577</v>
      </c>
      <c r="B267" s="42" t="s">
        <v>725</v>
      </c>
      <c r="C267" s="40" t="s">
        <v>719</v>
      </c>
      <c r="D267" s="40" t="s">
        <v>720</v>
      </c>
      <c r="E267" s="41" t="s">
        <v>1277</v>
      </c>
      <c r="F267" s="5" t="s">
        <v>263</v>
      </c>
      <c r="G267" s="25">
        <v>42647</v>
      </c>
      <c r="H267" s="5" t="s">
        <v>623</v>
      </c>
      <c r="I267" s="5">
        <f>VLOOKUP(MID(表1_11[[#This Row],[工资等级]],1,1),表12[],MATCH(MID(表1_11[[#This Row],[工资等级]],2,2),表12[[#Headers],[1]:[10]],0)+1,0)</f>
        <v>3800</v>
      </c>
      <c r="J267" s="5">
        <v>23.5</v>
      </c>
      <c r="K267" s="27">
        <v>0.97916666666666663</v>
      </c>
      <c r="L267" s="37">
        <f>IF(表1_11[[#This Row],[出勤率]]&gt;1,1,表1_11[[#This Row],[出勤率]])*表1_11[[#This Row],[岗位工资]]</f>
        <v>3720.833333333333</v>
      </c>
      <c r="M267" s="5">
        <f>LOOKUP(表1_11[[#This Row],[岗位工资]],表13[lookup],表13[奖金比率])*表1_11[[#This Row],[岗位工资]]</f>
        <v>380</v>
      </c>
      <c r="N267" s="5">
        <v>84</v>
      </c>
      <c r="O267" s="38">
        <f>表1_11[[#This Row],[奖金等级]]*表1_11[[#This Row],[绩效得分]]/100</f>
        <v>319.2</v>
      </c>
      <c r="P267" s="5">
        <f>IF(表1_11[[#This Row],[出勤率]]&gt;=1,200,0)</f>
        <v>0</v>
      </c>
      <c r="Q267" s="23">
        <f t="shared" ca="1" si="4"/>
        <v>50</v>
      </c>
      <c r="R267" s="23">
        <f>IF(表1_11[[#This Row],[中心]]="营销中心",VLOOKUP(表1_11[[#This Row],[职位]],表2[[话费补贴]:[营销中心]],2,0),VLOOKUP(表1_11[[#This Row],[职位]],表2[],3,0))</f>
        <v>0</v>
      </c>
      <c r="S267" s="23">
        <v>200</v>
      </c>
      <c r="T267" s="61">
        <f ca="1">ROUND(SUM(表1_11[[#This Row],[基本工资]],表1_11[[#This Row],[奖金]],表1_11[[#This Row],[全勤奖]:[防暑降温补贴]]),2)</f>
        <v>4290.03</v>
      </c>
      <c r="U267" s="62">
        <f ca="1">ROUND(表1_11[[#This Row],[税前应发总额]]*8%,2)</f>
        <v>343.2</v>
      </c>
      <c r="V267" s="62">
        <f ca="1">ROUND(表1_11[[#This Row],[税前应发总额]]*2%+3,2)</f>
        <v>88.8</v>
      </c>
      <c r="W267" s="62">
        <f ca="1">ROUND(表1_11[[#This Row],[税前应发总额]]*0.2%,2)</f>
        <v>8.58</v>
      </c>
      <c r="X267" s="62">
        <f ca="1">ROUND(表1_11[[#This Row],[税前应发总额]]*12%,2)</f>
        <v>514.79999999999995</v>
      </c>
      <c r="Y267" s="61">
        <f ca="1">ROUND(表1_11[[#This Row],[税前应发总额]]-SUM(表1_11[[#This Row],[养老保险]:[公积金]]),2)</f>
        <v>3334.65</v>
      </c>
      <c r="Z267" s="62">
        <f ca="1">ROUND(MAX((表1_11[[#This Row],[扣保险后工资金额]]-3500)*{3,10,20,25,30,35,45}%-{0,105,555,1005,2755,5505,13505},0),2)</f>
        <v>0</v>
      </c>
      <c r="AA267" s="63">
        <f ca="1">表1_11[[#This Row],[扣保险后工资金额]]-表1_11[[#This Row],[个人所得税]]</f>
        <v>3334.65</v>
      </c>
      <c r="AB267" s="53">
        <v>3564.41</v>
      </c>
      <c r="AC267" s="64">
        <f ca="1">(表1_11[[#This Row],[实发工资]]-表1_11[[#This Row],[上月对比]])/表1_11[[#This Row],[上月对比]]</f>
        <v>-6.4459475761766957E-2</v>
      </c>
      <c r="AD267" s="65" t="s">
        <v>1587</v>
      </c>
    </row>
    <row r="268" spans="1:30">
      <c r="A268" s="42" t="s">
        <v>577</v>
      </c>
      <c r="B268" s="42" t="s">
        <v>725</v>
      </c>
      <c r="C268" s="40" t="s">
        <v>711</v>
      </c>
      <c r="D268" s="40" t="s">
        <v>712</v>
      </c>
      <c r="E268" s="41" t="s">
        <v>1278</v>
      </c>
      <c r="F268" s="5" t="s">
        <v>264</v>
      </c>
      <c r="G268" s="25">
        <v>40613</v>
      </c>
      <c r="H268" s="5" t="s">
        <v>617</v>
      </c>
      <c r="I268" s="5">
        <f>VLOOKUP(MID(表1_11[[#This Row],[工资等级]],1,1),表12[],MATCH(MID(表1_11[[#This Row],[工资等级]],2,2),表12[[#Headers],[1]:[10]],0)+1,0)</f>
        <v>2500</v>
      </c>
      <c r="J268" s="5">
        <v>24.5</v>
      </c>
      <c r="K268" s="27">
        <v>1.0208333333333333</v>
      </c>
      <c r="L268" s="37">
        <f>IF(表1_11[[#This Row],[出勤率]]&gt;1,1,表1_11[[#This Row],[出勤率]])*表1_11[[#This Row],[岗位工资]]</f>
        <v>2500</v>
      </c>
      <c r="M268" s="5">
        <f>LOOKUP(表1_11[[#This Row],[岗位工资]],表13[lookup],表13[奖金比率])*表1_11[[#This Row],[岗位工资]]</f>
        <v>250</v>
      </c>
      <c r="N268" s="5">
        <v>85</v>
      </c>
      <c r="O268" s="38">
        <f>表1_11[[#This Row],[奖金等级]]*表1_11[[#This Row],[绩效得分]]/100</f>
        <v>212.5</v>
      </c>
      <c r="P268" s="5">
        <f>IF(表1_11[[#This Row],[出勤率]]&gt;=1,200,0)</f>
        <v>200</v>
      </c>
      <c r="Q268" s="23">
        <f t="shared" ca="1" si="4"/>
        <v>300</v>
      </c>
      <c r="R268" s="23">
        <f>IF(表1_11[[#This Row],[中心]]="营销中心",VLOOKUP(表1_11[[#This Row],[职位]],表2[[话费补贴]:[营销中心]],2,0),VLOOKUP(表1_11[[#This Row],[职位]],表2[],3,0))</f>
        <v>0</v>
      </c>
      <c r="S268" s="23">
        <v>200</v>
      </c>
      <c r="T268" s="61">
        <f ca="1">ROUND(SUM(表1_11[[#This Row],[基本工资]],表1_11[[#This Row],[奖金]],表1_11[[#This Row],[全勤奖]:[防暑降温补贴]]),2)</f>
        <v>3412.5</v>
      </c>
      <c r="U268" s="62">
        <f ca="1">ROUND(表1_11[[#This Row],[税前应发总额]]*8%,2)</f>
        <v>273</v>
      </c>
      <c r="V268" s="62">
        <f ca="1">ROUND(表1_11[[#This Row],[税前应发总额]]*2%+3,2)</f>
        <v>71.25</v>
      </c>
      <c r="W268" s="62">
        <f ca="1">ROUND(表1_11[[#This Row],[税前应发总额]]*0.2%,2)</f>
        <v>6.83</v>
      </c>
      <c r="X268" s="62">
        <f ca="1">ROUND(表1_11[[#This Row],[税前应发总额]]*12%,2)</f>
        <v>409.5</v>
      </c>
      <c r="Y268" s="61">
        <f ca="1">ROUND(表1_11[[#This Row],[税前应发总额]]-SUM(表1_11[[#This Row],[养老保险]:[公积金]]),2)</f>
        <v>2651.92</v>
      </c>
      <c r="Z268" s="62">
        <f ca="1">ROUND(MAX((表1_11[[#This Row],[扣保险后工资金额]]-3500)*{3,10,20,25,30,35,45}%-{0,105,555,1005,2755,5505,13505},0),2)</f>
        <v>0</v>
      </c>
      <c r="AA268" s="63">
        <f ca="1">表1_11[[#This Row],[扣保险后工资金额]]-表1_11[[#This Row],[个人所得税]]</f>
        <v>2651.92</v>
      </c>
      <c r="AB268" s="53">
        <v>2751.51</v>
      </c>
      <c r="AC268" s="64">
        <f ca="1">(表1_11[[#This Row],[实发工资]]-表1_11[[#This Row],[上月对比]])/表1_11[[#This Row],[上月对比]]</f>
        <v>-3.6194671289582862E-2</v>
      </c>
      <c r="AD268" s="65" t="s">
        <v>1587</v>
      </c>
    </row>
    <row r="269" spans="1:30">
      <c r="A269" s="42" t="s">
        <v>577</v>
      </c>
      <c r="B269" s="42" t="s">
        <v>725</v>
      </c>
      <c r="C269" s="40" t="s">
        <v>673</v>
      </c>
      <c r="D269" s="40" t="s">
        <v>674</v>
      </c>
      <c r="E269" s="41" t="s">
        <v>1279</v>
      </c>
      <c r="F269" s="5" t="s">
        <v>265</v>
      </c>
      <c r="G269" s="25">
        <v>41158</v>
      </c>
      <c r="H269" s="5" t="s">
        <v>657</v>
      </c>
      <c r="I269" s="5">
        <f>VLOOKUP(MID(表1_11[[#This Row],[工资等级]],1,1),表12[],MATCH(MID(表1_11[[#This Row],[工资等级]],2,2),表12[[#Headers],[1]:[10]],0)+1,0)</f>
        <v>4000</v>
      </c>
      <c r="J269" s="5">
        <v>21.5</v>
      </c>
      <c r="K269" s="27">
        <v>0.89583333333333337</v>
      </c>
      <c r="L269" s="37">
        <f>IF(表1_11[[#This Row],[出勤率]]&gt;1,1,表1_11[[#This Row],[出勤率]])*表1_11[[#This Row],[岗位工资]]</f>
        <v>3583.3333333333335</v>
      </c>
      <c r="M269" s="5">
        <f>LOOKUP(表1_11[[#This Row],[岗位工资]],表13[lookup],表13[奖金比率])*表1_11[[#This Row],[岗位工资]]</f>
        <v>600</v>
      </c>
      <c r="N269" s="5">
        <v>89</v>
      </c>
      <c r="O269" s="38">
        <f>表1_11[[#This Row],[奖金等级]]*表1_11[[#This Row],[绩效得分]]/100</f>
        <v>534</v>
      </c>
      <c r="P269" s="5">
        <f>IF(表1_11[[#This Row],[出勤率]]&gt;=1,200,0)</f>
        <v>0</v>
      </c>
      <c r="Q269" s="23">
        <f t="shared" ca="1" si="4"/>
        <v>250</v>
      </c>
      <c r="R269" s="23">
        <f>IF(表1_11[[#This Row],[中心]]="营销中心",VLOOKUP(表1_11[[#This Row],[职位]],表2[[话费补贴]:[营销中心]],2,0),VLOOKUP(表1_11[[#This Row],[职位]],表2[],3,0))</f>
        <v>0</v>
      </c>
      <c r="S269" s="23">
        <v>200</v>
      </c>
      <c r="T269" s="61">
        <f ca="1">ROUND(SUM(表1_11[[#This Row],[基本工资]],表1_11[[#This Row],[奖金]],表1_11[[#This Row],[全勤奖]:[防暑降温补贴]]),2)</f>
        <v>4567.33</v>
      </c>
      <c r="U269" s="62">
        <f ca="1">ROUND(表1_11[[#This Row],[税前应发总额]]*8%,2)</f>
        <v>365.39</v>
      </c>
      <c r="V269" s="62">
        <f ca="1">ROUND(表1_11[[#This Row],[税前应发总额]]*2%+3,2)</f>
        <v>94.35</v>
      </c>
      <c r="W269" s="62">
        <f ca="1">ROUND(表1_11[[#This Row],[税前应发总额]]*0.2%,2)</f>
        <v>9.1300000000000008</v>
      </c>
      <c r="X269" s="62">
        <f ca="1">ROUND(表1_11[[#This Row],[税前应发总额]]*12%,2)</f>
        <v>548.08000000000004</v>
      </c>
      <c r="Y269" s="61">
        <f ca="1">ROUND(表1_11[[#This Row],[税前应发总额]]-SUM(表1_11[[#This Row],[养老保险]:[公积金]]),2)</f>
        <v>3550.38</v>
      </c>
      <c r="Z269" s="62">
        <f ca="1">ROUND(MAX((表1_11[[#This Row],[扣保险后工资金额]]-3500)*{3,10,20,25,30,35,45}%-{0,105,555,1005,2755,5505,13505},0),2)</f>
        <v>1.51</v>
      </c>
      <c r="AA269" s="63">
        <f ca="1">表1_11[[#This Row],[扣保险后工资金额]]-表1_11[[#This Row],[个人所得税]]</f>
        <v>3548.87</v>
      </c>
      <c r="AB269" s="53">
        <v>3246.91</v>
      </c>
      <c r="AC269" s="64">
        <f ca="1">(表1_11[[#This Row],[实发工资]]-表1_11[[#This Row],[上月对比]])/表1_11[[#This Row],[上月对比]]</f>
        <v>9.2999189999106863E-2</v>
      </c>
      <c r="AD269" s="65" t="s">
        <v>1587</v>
      </c>
    </row>
    <row r="270" spans="1:30">
      <c r="A270" s="42" t="s">
        <v>577</v>
      </c>
      <c r="B270" s="42" t="s">
        <v>725</v>
      </c>
      <c r="C270" s="40" t="s">
        <v>599</v>
      </c>
      <c r="D270" s="40" t="s">
        <v>626</v>
      </c>
      <c r="E270" s="41" t="s">
        <v>1280</v>
      </c>
      <c r="F270" s="5" t="s">
        <v>266</v>
      </c>
      <c r="G270" s="25">
        <v>38605</v>
      </c>
      <c r="H270" s="5" t="s">
        <v>610</v>
      </c>
      <c r="I270" s="5">
        <f>VLOOKUP(MID(表1_11[[#This Row],[工资等级]],1,1),表12[],MATCH(MID(表1_11[[#This Row],[工资等级]],2,2),表12[[#Headers],[1]:[10]],0)+1,0)</f>
        <v>3400</v>
      </c>
      <c r="J270" s="5">
        <v>26</v>
      </c>
      <c r="K270" s="27">
        <v>1.0833333333333333</v>
      </c>
      <c r="L270" s="37">
        <f>IF(表1_11[[#This Row],[出勤率]]&gt;1,1,表1_11[[#This Row],[出勤率]])*表1_11[[#This Row],[岗位工资]]</f>
        <v>3400</v>
      </c>
      <c r="M270" s="5">
        <f>LOOKUP(表1_11[[#This Row],[岗位工资]],表13[lookup],表13[奖金比率])*表1_11[[#This Row],[岗位工资]]</f>
        <v>340</v>
      </c>
      <c r="N270" s="5">
        <v>96</v>
      </c>
      <c r="O270" s="38">
        <f>表1_11[[#This Row],[奖金等级]]*表1_11[[#This Row],[绩效得分]]/100</f>
        <v>326.39999999999998</v>
      </c>
      <c r="P270" s="5">
        <f>IF(表1_11[[#This Row],[出勤率]]&gt;=1,200,0)</f>
        <v>200</v>
      </c>
      <c r="Q270" s="23">
        <f t="shared" ca="1" si="4"/>
        <v>500</v>
      </c>
      <c r="R270" s="23">
        <f>IF(表1_11[[#This Row],[中心]]="营销中心",VLOOKUP(表1_11[[#This Row],[职位]],表2[[话费补贴]:[营销中心]],2,0),VLOOKUP(表1_11[[#This Row],[职位]],表2[],3,0))</f>
        <v>0</v>
      </c>
      <c r="S270" s="23">
        <v>200</v>
      </c>
      <c r="T270" s="61">
        <f ca="1">ROUND(SUM(表1_11[[#This Row],[基本工资]],表1_11[[#This Row],[奖金]],表1_11[[#This Row],[全勤奖]:[防暑降温补贴]]),2)</f>
        <v>4626.3999999999996</v>
      </c>
      <c r="U270" s="62">
        <f ca="1">ROUND(表1_11[[#This Row],[税前应发总额]]*8%,2)</f>
        <v>370.11</v>
      </c>
      <c r="V270" s="62">
        <f ca="1">ROUND(表1_11[[#This Row],[税前应发总额]]*2%+3,2)</f>
        <v>95.53</v>
      </c>
      <c r="W270" s="62">
        <f ca="1">ROUND(表1_11[[#This Row],[税前应发总额]]*0.2%,2)</f>
        <v>9.25</v>
      </c>
      <c r="X270" s="62">
        <f ca="1">ROUND(表1_11[[#This Row],[税前应发总额]]*12%,2)</f>
        <v>555.16999999999996</v>
      </c>
      <c r="Y270" s="61">
        <f ca="1">ROUND(表1_11[[#This Row],[税前应发总额]]-SUM(表1_11[[#This Row],[养老保险]:[公积金]]),2)</f>
        <v>3596.34</v>
      </c>
      <c r="Z270" s="62">
        <f ca="1">ROUND(MAX((表1_11[[#This Row],[扣保险后工资金额]]-3500)*{3,10,20,25,30,35,45}%-{0,105,555,1005,2755,5505,13505},0),2)</f>
        <v>2.89</v>
      </c>
      <c r="AA270" s="63">
        <f ca="1">表1_11[[#This Row],[扣保险后工资金额]]-表1_11[[#This Row],[个人所得税]]</f>
        <v>3593.4500000000003</v>
      </c>
      <c r="AB270" s="53">
        <v>4034.5</v>
      </c>
      <c r="AC270" s="64">
        <f ca="1">(表1_11[[#This Row],[实发工资]]-表1_11[[#This Row],[上月对比]])/表1_11[[#This Row],[上月对比]]</f>
        <v>-0.10931961829222946</v>
      </c>
      <c r="AD270" s="65" t="s">
        <v>1587</v>
      </c>
    </row>
    <row r="271" spans="1:30">
      <c r="A271" s="42" t="s">
        <v>577</v>
      </c>
      <c r="B271" s="42" t="s">
        <v>725</v>
      </c>
      <c r="C271" s="40" t="s">
        <v>681</v>
      </c>
      <c r="D271" s="40" t="s">
        <v>682</v>
      </c>
      <c r="E271" s="41" t="s">
        <v>1281</v>
      </c>
      <c r="F271" s="5" t="s">
        <v>267</v>
      </c>
      <c r="G271" s="25">
        <v>42023</v>
      </c>
      <c r="H271" s="5" t="s">
        <v>617</v>
      </c>
      <c r="I271" s="5">
        <f>VLOOKUP(MID(表1_11[[#This Row],[工资等级]],1,1),表12[],MATCH(MID(表1_11[[#This Row],[工资等级]],2,2),表12[[#Headers],[1]:[10]],0)+1,0)</f>
        <v>2500</v>
      </c>
      <c r="J271" s="5">
        <v>23.5</v>
      </c>
      <c r="K271" s="27">
        <v>0.97916666666666663</v>
      </c>
      <c r="L271" s="37">
        <f>IF(表1_11[[#This Row],[出勤率]]&gt;1,1,表1_11[[#This Row],[出勤率]])*表1_11[[#This Row],[岗位工资]]</f>
        <v>2447.9166666666665</v>
      </c>
      <c r="M271" s="5">
        <f>LOOKUP(表1_11[[#This Row],[岗位工资]],表13[lookup],表13[奖金比率])*表1_11[[#This Row],[岗位工资]]</f>
        <v>250</v>
      </c>
      <c r="N271" s="5">
        <v>99</v>
      </c>
      <c r="O271" s="38">
        <f>表1_11[[#This Row],[奖金等级]]*表1_11[[#This Row],[绩效得分]]/100</f>
        <v>247.5</v>
      </c>
      <c r="P271" s="5">
        <f>IF(表1_11[[#This Row],[出勤率]]&gt;=1,200,0)</f>
        <v>0</v>
      </c>
      <c r="Q271" s="23">
        <f t="shared" ca="1" si="4"/>
        <v>150</v>
      </c>
      <c r="R271" s="23">
        <f>IF(表1_11[[#This Row],[中心]]="营销中心",VLOOKUP(表1_11[[#This Row],[职位]],表2[[话费补贴]:[营销中心]],2,0),VLOOKUP(表1_11[[#This Row],[职位]],表2[],3,0))</f>
        <v>0</v>
      </c>
      <c r="S271" s="23">
        <v>200</v>
      </c>
      <c r="T271" s="61">
        <f ca="1">ROUND(SUM(表1_11[[#This Row],[基本工资]],表1_11[[#This Row],[奖金]],表1_11[[#This Row],[全勤奖]:[防暑降温补贴]]),2)</f>
        <v>3045.42</v>
      </c>
      <c r="U271" s="62">
        <f ca="1">ROUND(表1_11[[#This Row],[税前应发总额]]*8%,2)</f>
        <v>243.63</v>
      </c>
      <c r="V271" s="62">
        <f ca="1">ROUND(表1_11[[#This Row],[税前应发总额]]*2%+3,2)</f>
        <v>63.91</v>
      </c>
      <c r="W271" s="62">
        <f ca="1">ROUND(表1_11[[#This Row],[税前应发总额]]*0.2%,2)</f>
        <v>6.09</v>
      </c>
      <c r="X271" s="62">
        <f ca="1">ROUND(表1_11[[#This Row],[税前应发总额]]*12%,2)</f>
        <v>365.45</v>
      </c>
      <c r="Y271" s="61">
        <f ca="1">ROUND(表1_11[[#This Row],[税前应发总额]]-SUM(表1_11[[#This Row],[养老保险]:[公积金]]),2)</f>
        <v>2366.34</v>
      </c>
      <c r="Z271" s="62">
        <f ca="1">ROUND(MAX((表1_11[[#This Row],[扣保险后工资金额]]-3500)*{3,10,20,25,30,35,45}%-{0,105,555,1005,2755,5505,13505},0),2)</f>
        <v>0</v>
      </c>
      <c r="AA271" s="63">
        <f ca="1">表1_11[[#This Row],[扣保险后工资金额]]-表1_11[[#This Row],[个人所得税]]</f>
        <v>2366.34</v>
      </c>
      <c r="AB271" s="53">
        <v>2240.63</v>
      </c>
      <c r="AC271" s="64">
        <f ca="1">(表1_11[[#This Row],[实发工资]]-表1_11[[#This Row],[上月对比]])/表1_11[[#This Row],[上月对比]]</f>
        <v>5.610475625158997E-2</v>
      </c>
      <c r="AD271" s="65" t="s">
        <v>1587</v>
      </c>
    </row>
    <row r="272" spans="1:30">
      <c r="A272" s="42" t="s">
        <v>577</v>
      </c>
      <c r="B272" s="42" t="s">
        <v>725</v>
      </c>
      <c r="C272" s="40" t="s">
        <v>719</v>
      </c>
      <c r="D272" s="40" t="s">
        <v>720</v>
      </c>
      <c r="E272" s="41" t="s">
        <v>1282</v>
      </c>
      <c r="F272" s="5" t="s">
        <v>268</v>
      </c>
      <c r="G272" s="25">
        <v>40869</v>
      </c>
      <c r="H272" s="5" t="s">
        <v>615</v>
      </c>
      <c r="I272" s="5">
        <f>VLOOKUP(MID(表1_11[[#This Row],[工资等级]],1,1),表12[],MATCH(MID(表1_11[[#This Row],[工资等级]],2,2),表12[[#Headers],[1]:[10]],0)+1,0)</f>
        <v>3200</v>
      </c>
      <c r="J272" s="5">
        <v>21.5</v>
      </c>
      <c r="K272" s="27">
        <v>0.89583333333333337</v>
      </c>
      <c r="L272" s="37">
        <f>IF(表1_11[[#This Row],[出勤率]]&gt;1,1,表1_11[[#This Row],[出勤率]])*表1_11[[#This Row],[岗位工资]]</f>
        <v>2866.666666666667</v>
      </c>
      <c r="M272" s="5">
        <f>LOOKUP(表1_11[[#This Row],[岗位工资]],表13[lookup],表13[奖金比率])*表1_11[[#This Row],[岗位工资]]</f>
        <v>320</v>
      </c>
      <c r="N272" s="5">
        <v>91</v>
      </c>
      <c r="O272" s="38">
        <f>表1_11[[#This Row],[奖金等级]]*表1_11[[#This Row],[绩效得分]]/100</f>
        <v>291.2</v>
      </c>
      <c r="P272" s="5">
        <f>IF(表1_11[[#This Row],[出勤率]]&gt;=1,200,0)</f>
        <v>0</v>
      </c>
      <c r="Q272" s="23">
        <f t="shared" ca="1" si="4"/>
        <v>300</v>
      </c>
      <c r="R272" s="23">
        <f>IF(表1_11[[#This Row],[中心]]="营销中心",VLOOKUP(表1_11[[#This Row],[职位]],表2[[话费补贴]:[营销中心]],2,0),VLOOKUP(表1_11[[#This Row],[职位]],表2[],3,0))</f>
        <v>0</v>
      </c>
      <c r="S272" s="23">
        <v>200</v>
      </c>
      <c r="T272" s="61">
        <f ca="1">ROUND(SUM(表1_11[[#This Row],[基本工资]],表1_11[[#This Row],[奖金]],表1_11[[#This Row],[全勤奖]:[防暑降温补贴]]),2)</f>
        <v>3657.87</v>
      </c>
      <c r="U272" s="62">
        <f ca="1">ROUND(表1_11[[#This Row],[税前应发总额]]*8%,2)</f>
        <v>292.63</v>
      </c>
      <c r="V272" s="62">
        <f ca="1">ROUND(表1_11[[#This Row],[税前应发总额]]*2%+3,2)</f>
        <v>76.16</v>
      </c>
      <c r="W272" s="62">
        <f ca="1">ROUND(表1_11[[#This Row],[税前应发总额]]*0.2%,2)</f>
        <v>7.32</v>
      </c>
      <c r="X272" s="62">
        <f ca="1">ROUND(表1_11[[#This Row],[税前应发总额]]*12%,2)</f>
        <v>438.94</v>
      </c>
      <c r="Y272" s="61">
        <f ca="1">ROUND(表1_11[[#This Row],[税前应发总额]]-SUM(表1_11[[#This Row],[养老保险]:[公积金]]),2)</f>
        <v>2842.82</v>
      </c>
      <c r="Z272" s="62">
        <f ca="1">ROUND(MAX((表1_11[[#This Row],[扣保险后工资金额]]-3500)*{3,10,20,25,30,35,45}%-{0,105,555,1005,2755,5505,13505},0),2)</f>
        <v>0</v>
      </c>
      <c r="AA272" s="63">
        <f ca="1">表1_11[[#This Row],[扣保险后工资金额]]-表1_11[[#This Row],[个人所得税]]</f>
        <v>2842.82</v>
      </c>
      <c r="AB272" s="53">
        <v>2987.99</v>
      </c>
      <c r="AC272" s="64">
        <f ca="1">(表1_11[[#This Row],[实发工资]]-表1_11[[#This Row],[上月对比]])/表1_11[[#This Row],[上月对比]]</f>
        <v>-4.858449994812554E-2</v>
      </c>
      <c r="AD272" s="65" t="s">
        <v>1587</v>
      </c>
    </row>
    <row r="273" spans="1:30">
      <c r="A273" s="42" t="s">
        <v>577</v>
      </c>
      <c r="B273" s="42" t="s">
        <v>725</v>
      </c>
      <c r="C273" s="40" t="s">
        <v>681</v>
      </c>
      <c r="D273" s="40" t="s">
        <v>682</v>
      </c>
      <c r="E273" s="41" t="s">
        <v>1283</v>
      </c>
      <c r="F273" s="5" t="s">
        <v>269</v>
      </c>
      <c r="G273" s="25">
        <v>41707</v>
      </c>
      <c r="H273" s="5" t="s">
        <v>623</v>
      </c>
      <c r="I273" s="5">
        <f>VLOOKUP(MID(表1_11[[#This Row],[工资等级]],1,1),表12[],MATCH(MID(表1_11[[#This Row],[工资等级]],2,2),表12[[#Headers],[1]:[10]],0)+1,0)</f>
        <v>3800</v>
      </c>
      <c r="J273" s="5">
        <v>25.5</v>
      </c>
      <c r="K273" s="27">
        <v>1.0625</v>
      </c>
      <c r="L273" s="37">
        <f>IF(表1_11[[#This Row],[出勤率]]&gt;1,1,表1_11[[#This Row],[出勤率]])*表1_11[[#This Row],[岗位工资]]</f>
        <v>3800</v>
      </c>
      <c r="M273" s="5">
        <f>LOOKUP(表1_11[[#This Row],[岗位工资]],表13[lookup],表13[奖金比率])*表1_11[[#This Row],[岗位工资]]</f>
        <v>380</v>
      </c>
      <c r="N273" s="5">
        <v>89</v>
      </c>
      <c r="O273" s="38">
        <f>表1_11[[#This Row],[奖金等级]]*表1_11[[#This Row],[绩效得分]]/100</f>
        <v>338.2</v>
      </c>
      <c r="P273" s="5">
        <f>IF(表1_11[[#This Row],[出勤率]]&gt;=1,200,0)</f>
        <v>200</v>
      </c>
      <c r="Q273" s="23">
        <f t="shared" ca="1" si="4"/>
        <v>150</v>
      </c>
      <c r="R273" s="23">
        <f>IF(表1_11[[#This Row],[中心]]="营销中心",VLOOKUP(表1_11[[#This Row],[职位]],表2[[话费补贴]:[营销中心]],2,0),VLOOKUP(表1_11[[#This Row],[职位]],表2[],3,0))</f>
        <v>0</v>
      </c>
      <c r="S273" s="23">
        <v>200</v>
      </c>
      <c r="T273" s="61">
        <f ca="1">ROUND(SUM(表1_11[[#This Row],[基本工资]],表1_11[[#This Row],[奖金]],表1_11[[#This Row],[全勤奖]:[防暑降温补贴]]),2)</f>
        <v>4688.2</v>
      </c>
      <c r="U273" s="62">
        <f ca="1">ROUND(表1_11[[#This Row],[税前应发总额]]*8%,2)</f>
        <v>375.06</v>
      </c>
      <c r="V273" s="62">
        <f ca="1">ROUND(表1_11[[#This Row],[税前应发总额]]*2%+3,2)</f>
        <v>96.76</v>
      </c>
      <c r="W273" s="62">
        <f ca="1">ROUND(表1_11[[#This Row],[税前应发总额]]*0.2%,2)</f>
        <v>9.3800000000000008</v>
      </c>
      <c r="X273" s="62">
        <f ca="1">ROUND(表1_11[[#This Row],[税前应发总额]]*12%,2)</f>
        <v>562.58000000000004</v>
      </c>
      <c r="Y273" s="61">
        <f ca="1">ROUND(表1_11[[#This Row],[税前应发总额]]-SUM(表1_11[[#This Row],[养老保险]:[公积金]]),2)</f>
        <v>3644.42</v>
      </c>
      <c r="Z273" s="62">
        <f ca="1">ROUND(MAX((表1_11[[#This Row],[扣保险后工资金额]]-3500)*{3,10,20,25,30,35,45}%-{0,105,555,1005,2755,5505,13505},0),2)</f>
        <v>4.33</v>
      </c>
      <c r="AA273" s="63">
        <f ca="1">表1_11[[#This Row],[扣保险后工资金额]]-表1_11[[#This Row],[个人所得税]]</f>
        <v>3640.09</v>
      </c>
      <c r="AB273" s="53">
        <v>3958.31</v>
      </c>
      <c r="AC273" s="64">
        <f ca="1">(表1_11[[#This Row],[实发工资]]-表1_11[[#This Row],[上月对比]])/表1_11[[#This Row],[上月对比]]</f>
        <v>-8.039289494759122E-2</v>
      </c>
      <c r="AD273" s="65" t="s">
        <v>1587</v>
      </c>
    </row>
    <row r="274" spans="1:30">
      <c r="A274" s="42" t="s">
        <v>577</v>
      </c>
      <c r="B274" s="42" t="s">
        <v>725</v>
      </c>
      <c r="C274" s="40" t="s">
        <v>719</v>
      </c>
      <c r="D274" s="40" t="s">
        <v>720</v>
      </c>
      <c r="E274" s="41" t="s">
        <v>1284</v>
      </c>
      <c r="F274" s="5" t="s">
        <v>270</v>
      </c>
      <c r="G274" s="25">
        <v>39056</v>
      </c>
      <c r="H274" s="5" t="s">
        <v>610</v>
      </c>
      <c r="I274" s="5">
        <f>VLOOKUP(MID(表1_11[[#This Row],[工资等级]],1,1),表12[],MATCH(MID(表1_11[[#This Row],[工资等级]],2,2),表12[[#Headers],[1]:[10]],0)+1,0)</f>
        <v>3400</v>
      </c>
      <c r="J274" s="5">
        <v>22</v>
      </c>
      <c r="K274" s="27">
        <v>0.91666666666666663</v>
      </c>
      <c r="L274" s="37">
        <f>IF(表1_11[[#This Row],[出勤率]]&gt;1,1,表1_11[[#This Row],[出勤率]])*表1_11[[#This Row],[岗位工资]]</f>
        <v>3116.6666666666665</v>
      </c>
      <c r="M274" s="5">
        <f>LOOKUP(表1_11[[#This Row],[岗位工资]],表13[lookup],表13[奖金比率])*表1_11[[#This Row],[岗位工资]]</f>
        <v>340</v>
      </c>
      <c r="N274" s="5">
        <v>89</v>
      </c>
      <c r="O274" s="38">
        <f>表1_11[[#This Row],[奖金等级]]*表1_11[[#This Row],[绩效得分]]/100</f>
        <v>302.60000000000002</v>
      </c>
      <c r="P274" s="5">
        <f>IF(表1_11[[#This Row],[出勤率]]&gt;=1,200,0)</f>
        <v>0</v>
      </c>
      <c r="Q274" s="23">
        <f t="shared" ca="1" si="4"/>
        <v>500</v>
      </c>
      <c r="R274" s="23">
        <f>IF(表1_11[[#This Row],[中心]]="营销中心",VLOOKUP(表1_11[[#This Row],[职位]],表2[[话费补贴]:[营销中心]],2,0),VLOOKUP(表1_11[[#This Row],[职位]],表2[],3,0))</f>
        <v>0</v>
      </c>
      <c r="S274" s="23">
        <v>200</v>
      </c>
      <c r="T274" s="61">
        <f ca="1">ROUND(SUM(表1_11[[#This Row],[基本工资]],表1_11[[#This Row],[奖金]],表1_11[[#This Row],[全勤奖]:[防暑降温补贴]]),2)</f>
        <v>4119.2700000000004</v>
      </c>
      <c r="U274" s="62">
        <f ca="1">ROUND(表1_11[[#This Row],[税前应发总额]]*8%,2)</f>
        <v>329.54</v>
      </c>
      <c r="V274" s="62">
        <f ca="1">ROUND(表1_11[[#This Row],[税前应发总额]]*2%+3,2)</f>
        <v>85.39</v>
      </c>
      <c r="W274" s="62">
        <f ca="1">ROUND(表1_11[[#This Row],[税前应发总额]]*0.2%,2)</f>
        <v>8.24</v>
      </c>
      <c r="X274" s="62">
        <f ca="1">ROUND(表1_11[[#This Row],[税前应发总额]]*12%,2)</f>
        <v>494.31</v>
      </c>
      <c r="Y274" s="61">
        <f ca="1">ROUND(表1_11[[#This Row],[税前应发总额]]-SUM(表1_11[[#This Row],[养老保险]:[公积金]]),2)</f>
        <v>3201.79</v>
      </c>
      <c r="Z274" s="62">
        <f ca="1">ROUND(MAX((表1_11[[#This Row],[扣保险后工资金额]]-3500)*{3,10,20,25,30,35,45}%-{0,105,555,1005,2755,5505,13505},0),2)</f>
        <v>0</v>
      </c>
      <c r="AA274" s="63">
        <f ca="1">表1_11[[#This Row],[扣保险后工资金额]]-表1_11[[#This Row],[个人所得税]]</f>
        <v>3201.79</v>
      </c>
      <c r="AB274" s="53">
        <v>3507.26</v>
      </c>
      <c r="AC274" s="64">
        <f ca="1">(表1_11[[#This Row],[实发工资]]-表1_11[[#This Row],[上月对比]])/表1_11[[#This Row],[上月对比]]</f>
        <v>-8.7096479873177424E-2</v>
      </c>
      <c r="AD274" s="65" t="s">
        <v>1587</v>
      </c>
    </row>
    <row r="275" spans="1:30">
      <c r="A275" s="42" t="s">
        <v>577</v>
      </c>
      <c r="B275" s="42" t="s">
        <v>725</v>
      </c>
      <c r="C275" s="40" t="s">
        <v>711</v>
      </c>
      <c r="D275" s="40" t="s">
        <v>712</v>
      </c>
      <c r="E275" s="41" t="s">
        <v>1285</v>
      </c>
      <c r="F275" s="5" t="s">
        <v>271</v>
      </c>
      <c r="G275" s="25">
        <v>41950</v>
      </c>
      <c r="H275" s="5" t="s">
        <v>617</v>
      </c>
      <c r="I275" s="5">
        <f>VLOOKUP(MID(表1_11[[#This Row],[工资等级]],1,1),表12[],MATCH(MID(表1_11[[#This Row],[工资等级]],2,2),表12[[#Headers],[1]:[10]],0)+1,0)</f>
        <v>2500</v>
      </c>
      <c r="J275" s="5">
        <v>26.5</v>
      </c>
      <c r="K275" s="27">
        <v>1.1041666666666667</v>
      </c>
      <c r="L275" s="37">
        <f>IF(表1_11[[#This Row],[出勤率]]&gt;1,1,表1_11[[#This Row],[出勤率]])*表1_11[[#This Row],[岗位工资]]</f>
        <v>2500</v>
      </c>
      <c r="M275" s="5">
        <f>LOOKUP(表1_11[[#This Row],[岗位工资]],表13[lookup],表13[奖金比率])*表1_11[[#This Row],[岗位工资]]</f>
        <v>250</v>
      </c>
      <c r="N275" s="5">
        <v>88</v>
      </c>
      <c r="O275" s="38">
        <f>表1_11[[#This Row],[奖金等级]]*表1_11[[#This Row],[绩效得分]]/100</f>
        <v>220</v>
      </c>
      <c r="P275" s="5">
        <f>IF(表1_11[[#This Row],[出勤率]]&gt;=1,200,0)</f>
        <v>200</v>
      </c>
      <c r="Q275" s="23">
        <f t="shared" ca="1" si="4"/>
        <v>150</v>
      </c>
      <c r="R275" s="23">
        <f>IF(表1_11[[#This Row],[中心]]="营销中心",VLOOKUP(表1_11[[#This Row],[职位]],表2[[话费补贴]:[营销中心]],2,0),VLOOKUP(表1_11[[#This Row],[职位]],表2[],3,0))</f>
        <v>0</v>
      </c>
      <c r="S275" s="23">
        <v>200</v>
      </c>
      <c r="T275" s="61">
        <f ca="1">ROUND(SUM(表1_11[[#This Row],[基本工资]],表1_11[[#This Row],[奖金]],表1_11[[#This Row],[全勤奖]:[防暑降温补贴]]),2)</f>
        <v>3270</v>
      </c>
      <c r="U275" s="62">
        <f ca="1">ROUND(表1_11[[#This Row],[税前应发总额]]*8%,2)</f>
        <v>261.60000000000002</v>
      </c>
      <c r="V275" s="62">
        <f ca="1">ROUND(表1_11[[#This Row],[税前应发总额]]*2%+3,2)</f>
        <v>68.400000000000006</v>
      </c>
      <c r="W275" s="62">
        <f ca="1">ROUND(表1_11[[#This Row],[税前应发总额]]*0.2%,2)</f>
        <v>6.54</v>
      </c>
      <c r="X275" s="62">
        <f ca="1">ROUND(表1_11[[#This Row],[税前应发总额]]*12%,2)</f>
        <v>392.4</v>
      </c>
      <c r="Y275" s="61">
        <f ca="1">ROUND(表1_11[[#This Row],[税前应发总额]]-SUM(表1_11[[#This Row],[养老保险]:[公积金]]),2)</f>
        <v>2541.06</v>
      </c>
      <c r="Z275" s="62">
        <f ca="1">ROUND(MAX((表1_11[[#This Row],[扣保险后工资金额]]-3500)*{3,10,20,25,30,35,45}%-{0,105,555,1005,2755,5505,13505},0),2)</f>
        <v>0</v>
      </c>
      <c r="AA275" s="63">
        <f ca="1">表1_11[[#This Row],[扣保险后工资金额]]-表1_11[[#This Row],[个人所得税]]</f>
        <v>2541.06</v>
      </c>
      <c r="AB275" s="53">
        <v>2276.9699999999998</v>
      </c>
      <c r="AC275" s="64">
        <f ca="1">(表1_11[[#This Row],[实发工资]]-表1_11[[#This Row],[上月对比]])/表1_11[[#This Row],[上月对比]]</f>
        <v>0.11598308278106438</v>
      </c>
      <c r="AD275" s="65" t="s">
        <v>1587</v>
      </c>
    </row>
    <row r="276" spans="1:30">
      <c r="A276" s="42" t="s">
        <v>577</v>
      </c>
      <c r="B276" s="42" t="s">
        <v>725</v>
      </c>
      <c r="C276" s="40" t="s">
        <v>711</v>
      </c>
      <c r="D276" s="40" t="s">
        <v>712</v>
      </c>
      <c r="E276" s="41" t="s">
        <v>1286</v>
      </c>
      <c r="F276" s="5" t="s">
        <v>272</v>
      </c>
      <c r="G276" s="25">
        <v>39902</v>
      </c>
      <c r="H276" s="5" t="s">
        <v>657</v>
      </c>
      <c r="I276" s="5">
        <f>VLOOKUP(MID(表1_11[[#This Row],[工资等级]],1,1),表12[],MATCH(MID(表1_11[[#This Row],[工资等级]],2,2),表12[[#Headers],[1]:[10]],0)+1,0)</f>
        <v>4000</v>
      </c>
      <c r="J276" s="5">
        <v>26.5</v>
      </c>
      <c r="K276" s="27">
        <v>1.1041666666666667</v>
      </c>
      <c r="L276" s="37">
        <f>IF(表1_11[[#This Row],[出勤率]]&gt;1,1,表1_11[[#This Row],[出勤率]])*表1_11[[#This Row],[岗位工资]]</f>
        <v>4000</v>
      </c>
      <c r="M276" s="5">
        <f>LOOKUP(表1_11[[#This Row],[岗位工资]],表13[lookup],表13[奖金比率])*表1_11[[#This Row],[岗位工资]]</f>
        <v>600</v>
      </c>
      <c r="N276" s="5">
        <v>96</v>
      </c>
      <c r="O276" s="38">
        <f>表1_11[[#This Row],[奖金等级]]*表1_11[[#This Row],[绩效得分]]/100</f>
        <v>576</v>
      </c>
      <c r="P276" s="5">
        <f>IF(表1_11[[#This Row],[出勤率]]&gt;=1,200,0)</f>
        <v>200</v>
      </c>
      <c r="Q276" s="23">
        <f t="shared" ca="1" si="4"/>
        <v>400</v>
      </c>
      <c r="R276" s="23">
        <f>IF(表1_11[[#This Row],[中心]]="营销中心",VLOOKUP(表1_11[[#This Row],[职位]],表2[[话费补贴]:[营销中心]],2,0),VLOOKUP(表1_11[[#This Row],[职位]],表2[],3,0))</f>
        <v>0</v>
      </c>
      <c r="S276" s="23">
        <v>200</v>
      </c>
      <c r="T276" s="61">
        <f ca="1">ROUND(SUM(表1_11[[#This Row],[基本工资]],表1_11[[#This Row],[奖金]],表1_11[[#This Row],[全勤奖]:[防暑降温补贴]]),2)</f>
        <v>5376</v>
      </c>
      <c r="U276" s="62">
        <f ca="1">ROUND(表1_11[[#This Row],[税前应发总额]]*8%,2)</f>
        <v>430.08</v>
      </c>
      <c r="V276" s="62">
        <f ca="1">ROUND(表1_11[[#This Row],[税前应发总额]]*2%+3,2)</f>
        <v>110.52</v>
      </c>
      <c r="W276" s="62">
        <f ca="1">ROUND(表1_11[[#This Row],[税前应发总额]]*0.2%,2)</f>
        <v>10.75</v>
      </c>
      <c r="X276" s="62">
        <f ca="1">ROUND(表1_11[[#This Row],[税前应发总额]]*12%,2)</f>
        <v>645.12</v>
      </c>
      <c r="Y276" s="61">
        <f ca="1">ROUND(表1_11[[#This Row],[税前应发总额]]-SUM(表1_11[[#This Row],[养老保险]:[公积金]]),2)</f>
        <v>4179.53</v>
      </c>
      <c r="Z276" s="62">
        <f ca="1">ROUND(MAX((表1_11[[#This Row],[扣保险后工资金额]]-3500)*{3,10,20,25,30,35,45}%-{0,105,555,1005,2755,5505,13505},0),2)</f>
        <v>20.39</v>
      </c>
      <c r="AA276" s="63">
        <f ca="1">表1_11[[#This Row],[扣保险后工资金额]]-表1_11[[#This Row],[个人所得税]]</f>
        <v>4159.1399999999994</v>
      </c>
      <c r="AB276" s="53">
        <v>3925.37</v>
      </c>
      <c r="AC276" s="64">
        <f ca="1">(表1_11[[#This Row],[实发工资]]-表1_11[[#This Row],[上月对比]])/表1_11[[#This Row],[上月对比]]</f>
        <v>5.9553621696808078E-2</v>
      </c>
      <c r="AD276" s="65" t="s">
        <v>1587</v>
      </c>
    </row>
    <row r="277" spans="1:30">
      <c r="A277" s="42" t="s">
        <v>577</v>
      </c>
      <c r="B277" s="42" t="s">
        <v>725</v>
      </c>
      <c r="C277" s="40" t="s">
        <v>713</v>
      </c>
      <c r="D277" s="40" t="s">
        <v>714</v>
      </c>
      <c r="E277" s="41" t="s">
        <v>1287</v>
      </c>
      <c r="F277" s="5" t="s">
        <v>273</v>
      </c>
      <c r="G277" s="25">
        <v>39324</v>
      </c>
      <c r="H277" s="5" t="s">
        <v>618</v>
      </c>
      <c r="I277" s="5">
        <f>VLOOKUP(MID(表1_11[[#This Row],[工资等级]],1,1),表12[],MATCH(MID(表1_11[[#This Row],[工资等级]],2,2),表12[[#Headers],[1]:[10]],0)+1,0)</f>
        <v>3000</v>
      </c>
      <c r="J277" s="5">
        <v>23</v>
      </c>
      <c r="K277" s="27">
        <v>0.95833333333333337</v>
      </c>
      <c r="L277" s="37">
        <f>IF(表1_11[[#This Row],[出勤率]]&gt;1,1,表1_11[[#This Row],[出勤率]])*表1_11[[#This Row],[岗位工资]]</f>
        <v>2875</v>
      </c>
      <c r="M277" s="5">
        <f>LOOKUP(表1_11[[#This Row],[岗位工资]],表13[lookup],表13[奖金比率])*表1_11[[#This Row],[岗位工资]]</f>
        <v>300</v>
      </c>
      <c r="N277" s="5">
        <v>89</v>
      </c>
      <c r="O277" s="38">
        <f>表1_11[[#This Row],[奖金等级]]*表1_11[[#This Row],[绩效得分]]/100</f>
        <v>267</v>
      </c>
      <c r="P277" s="5">
        <f>IF(表1_11[[#This Row],[出勤率]]&gt;=1,200,0)</f>
        <v>0</v>
      </c>
      <c r="Q277" s="23">
        <f t="shared" ca="1" si="4"/>
        <v>500</v>
      </c>
      <c r="R277" s="23">
        <f>IF(表1_11[[#This Row],[中心]]="营销中心",VLOOKUP(表1_11[[#This Row],[职位]],表2[[话费补贴]:[营销中心]],2,0),VLOOKUP(表1_11[[#This Row],[职位]],表2[],3,0))</f>
        <v>0</v>
      </c>
      <c r="S277" s="23">
        <v>200</v>
      </c>
      <c r="T277" s="61">
        <f ca="1">ROUND(SUM(表1_11[[#This Row],[基本工资]],表1_11[[#This Row],[奖金]],表1_11[[#This Row],[全勤奖]:[防暑降温补贴]]),2)</f>
        <v>3842</v>
      </c>
      <c r="U277" s="62">
        <f ca="1">ROUND(表1_11[[#This Row],[税前应发总额]]*8%,2)</f>
        <v>307.36</v>
      </c>
      <c r="V277" s="62">
        <f ca="1">ROUND(表1_11[[#This Row],[税前应发总额]]*2%+3,2)</f>
        <v>79.84</v>
      </c>
      <c r="W277" s="62">
        <f ca="1">ROUND(表1_11[[#This Row],[税前应发总额]]*0.2%,2)</f>
        <v>7.68</v>
      </c>
      <c r="X277" s="62">
        <f ca="1">ROUND(表1_11[[#This Row],[税前应发总额]]*12%,2)</f>
        <v>461.04</v>
      </c>
      <c r="Y277" s="61">
        <f ca="1">ROUND(表1_11[[#This Row],[税前应发总额]]-SUM(表1_11[[#This Row],[养老保险]:[公积金]]),2)</f>
        <v>2986.08</v>
      </c>
      <c r="Z277" s="62">
        <f ca="1">ROUND(MAX((表1_11[[#This Row],[扣保险后工资金额]]-3500)*{3,10,20,25,30,35,45}%-{0,105,555,1005,2755,5505,13505},0),2)</f>
        <v>0</v>
      </c>
      <c r="AA277" s="63">
        <f ca="1">表1_11[[#This Row],[扣保险后工资金额]]-表1_11[[#This Row],[个人所得税]]</f>
        <v>2986.08</v>
      </c>
      <c r="AB277" s="53">
        <v>3528.2</v>
      </c>
      <c r="AC277" s="64">
        <f ca="1">(表1_11[[#This Row],[实发工资]]-表1_11[[#This Row],[上月对比]])/表1_11[[#This Row],[上月对比]]</f>
        <v>-0.15365342100787935</v>
      </c>
      <c r="AD277" s="65" t="s">
        <v>1587</v>
      </c>
    </row>
    <row r="278" spans="1:30">
      <c r="A278" s="42" t="s">
        <v>577</v>
      </c>
      <c r="B278" s="42" t="s">
        <v>725</v>
      </c>
      <c r="C278" s="40" t="s">
        <v>599</v>
      </c>
      <c r="D278" s="40" t="s">
        <v>626</v>
      </c>
      <c r="E278" s="41" t="s">
        <v>1288</v>
      </c>
      <c r="F278" s="5" t="s">
        <v>274</v>
      </c>
      <c r="G278" s="25">
        <v>40417</v>
      </c>
      <c r="H278" s="5" t="s">
        <v>623</v>
      </c>
      <c r="I278" s="5">
        <f>VLOOKUP(MID(表1_11[[#This Row],[工资等级]],1,1),表12[],MATCH(MID(表1_11[[#This Row],[工资等级]],2,2),表12[[#Headers],[1]:[10]],0)+1,0)</f>
        <v>3800</v>
      </c>
      <c r="J278" s="5">
        <v>21.5</v>
      </c>
      <c r="K278" s="27">
        <v>0.89583333333333337</v>
      </c>
      <c r="L278" s="37">
        <f>IF(表1_11[[#This Row],[出勤率]]&gt;1,1,表1_11[[#This Row],[出勤率]])*表1_11[[#This Row],[岗位工资]]</f>
        <v>3404.166666666667</v>
      </c>
      <c r="M278" s="5">
        <f>LOOKUP(表1_11[[#This Row],[岗位工资]],表13[lookup],表13[奖金比率])*表1_11[[#This Row],[岗位工资]]</f>
        <v>380</v>
      </c>
      <c r="N278" s="5">
        <v>95</v>
      </c>
      <c r="O278" s="38">
        <f>表1_11[[#This Row],[奖金等级]]*表1_11[[#This Row],[绩效得分]]/100</f>
        <v>361</v>
      </c>
      <c r="P278" s="5">
        <f>IF(表1_11[[#This Row],[出勤率]]&gt;=1,200,0)</f>
        <v>0</v>
      </c>
      <c r="Q278" s="23">
        <f t="shared" ca="1" si="4"/>
        <v>350</v>
      </c>
      <c r="R278" s="23">
        <f>IF(表1_11[[#This Row],[中心]]="营销中心",VLOOKUP(表1_11[[#This Row],[职位]],表2[[话费补贴]:[营销中心]],2,0),VLOOKUP(表1_11[[#This Row],[职位]],表2[],3,0))</f>
        <v>0</v>
      </c>
      <c r="S278" s="23">
        <v>200</v>
      </c>
      <c r="T278" s="61">
        <f ca="1">ROUND(SUM(表1_11[[#This Row],[基本工资]],表1_11[[#This Row],[奖金]],表1_11[[#This Row],[全勤奖]:[防暑降温补贴]]),2)</f>
        <v>4315.17</v>
      </c>
      <c r="U278" s="62">
        <f ca="1">ROUND(表1_11[[#This Row],[税前应发总额]]*8%,2)</f>
        <v>345.21</v>
      </c>
      <c r="V278" s="62">
        <f ca="1">ROUND(表1_11[[#This Row],[税前应发总额]]*2%+3,2)</f>
        <v>89.3</v>
      </c>
      <c r="W278" s="62">
        <f ca="1">ROUND(表1_11[[#This Row],[税前应发总额]]*0.2%,2)</f>
        <v>8.6300000000000008</v>
      </c>
      <c r="X278" s="62">
        <f ca="1">ROUND(表1_11[[#This Row],[税前应发总额]]*12%,2)</f>
        <v>517.82000000000005</v>
      </c>
      <c r="Y278" s="61">
        <f ca="1">ROUND(表1_11[[#This Row],[税前应发总额]]-SUM(表1_11[[#This Row],[养老保险]:[公积金]]),2)</f>
        <v>3354.21</v>
      </c>
      <c r="Z278" s="62">
        <f ca="1">ROUND(MAX((表1_11[[#This Row],[扣保险后工资金额]]-3500)*{3,10,20,25,30,35,45}%-{0,105,555,1005,2755,5505,13505},0),2)</f>
        <v>0</v>
      </c>
      <c r="AA278" s="63">
        <f ca="1">表1_11[[#This Row],[扣保险后工资金额]]-表1_11[[#This Row],[个人所得税]]</f>
        <v>3354.21</v>
      </c>
      <c r="AB278" s="53">
        <v>3683.26</v>
      </c>
      <c r="AC278" s="64">
        <f ca="1">(表1_11[[#This Row],[实发工资]]-表1_11[[#This Row],[上月对比]])/表1_11[[#This Row],[上月对比]]</f>
        <v>-8.9336620276602829E-2</v>
      </c>
      <c r="AD278" s="65" t="s">
        <v>1587</v>
      </c>
    </row>
    <row r="279" spans="1:30">
      <c r="A279" s="42" t="s">
        <v>577</v>
      </c>
      <c r="B279" s="42" t="s">
        <v>725</v>
      </c>
      <c r="C279" s="40" t="s">
        <v>687</v>
      </c>
      <c r="D279" s="40" t="s">
        <v>688</v>
      </c>
      <c r="E279" s="41" t="s">
        <v>1289</v>
      </c>
      <c r="F279" s="5" t="s">
        <v>275</v>
      </c>
      <c r="G279" s="25">
        <v>40835</v>
      </c>
      <c r="H279" s="5" t="s">
        <v>615</v>
      </c>
      <c r="I279" s="5">
        <f>VLOOKUP(MID(表1_11[[#This Row],[工资等级]],1,1),表12[],MATCH(MID(表1_11[[#This Row],[工资等级]],2,2),表12[[#Headers],[1]:[10]],0)+1,0)</f>
        <v>3200</v>
      </c>
      <c r="J279" s="5">
        <v>26</v>
      </c>
      <c r="K279" s="27">
        <v>1.0833333333333333</v>
      </c>
      <c r="L279" s="37">
        <f>IF(表1_11[[#This Row],[出勤率]]&gt;1,1,表1_11[[#This Row],[出勤率]])*表1_11[[#This Row],[岗位工资]]</f>
        <v>3200</v>
      </c>
      <c r="M279" s="5">
        <f>LOOKUP(表1_11[[#This Row],[岗位工资]],表13[lookup],表13[奖金比率])*表1_11[[#This Row],[岗位工资]]</f>
        <v>320</v>
      </c>
      <c r="N279" s="5">
        <v>100</v>
      </c>
      <c r="O279" s="38">
        <f>表1_11[[#This Row],[奖金等级]]*表1_11[[#This Row],[绩效得分]]/100</f>
        <v>320</v>
      </c>
      <c r="P279" s="5">
        <f>IF(表1_11[[#This Row],[出勤率]]&gt;=1,200,0)</f>
        <v>200</v>
      </c>
      <c r="Q279" s="23">
        <f t="shared" ca="1" si="4"/>
        <v>300</v>
      </c>
      <c r="R279" s="23">
        <f>IF(表1_11[[#This Row],[中心]]="营销中心",VLOOKUP(表1_11[[#This Row],[职位]],表2[[话费补贴]:[营销中心]],2,0),VLOOKUP(表1_11[[#This Row],[职位]],表2[],3,0))</f>
        <v>0</v>
      </c>
      <c r="S279" s="23">
        <v>200</v>
      </c>
      <c r="T279" s="61">
        <f ca="1">ROUND(SUM(表1_11[[#This Row],[基本工资]],表1_11[[#This Row],[奖金]],表1_11[[#This Row],[全勤奖]:[防暑降温补贴]]),2)</f>
        <v>4220</v>
      </c>
      <c r="U279" s="62">
        <f ca="1">ROUND(表1_11[[#This Row],[税前应发总额]]*8%,2)</f>
        <v>337.6</v>
      </c>
      <c r="V279" s="62">
        <f ca="1">ROUND(表1_11[[#This Row],[税前应发总额]]*2%+3,2)</f>
        <v>87.4</v>
      </c>
      <c r="W279" s="62">
        <f ca="1">ROUND(表1_11[[#This Row],[税前应发总额]]*0.2%,2)</f>
        <v>8.44</v>
      </c>
      <c r="X279" s="62">
        <f ca="1">ROUND(表1_11[[#This Row],[税前应发总额]]*12%,2)</f>
        <v>506.4</v>
      </c>
      <c r="Y279" s="61">
        <f ca="1">ROUND(表1_11[[#This Row],[税前应发总额]]-SUM(表1_11[[#This Row],[养老保险]:[公积金]]),2)</f>
        <v>3280.16</v>
      </c>
      <c r="Z279" s="62">
        <f ca="1">ROUND(MAX((表1_11[[#This Row],[扣保险后工资金额]]-3500)*{3,10,20,25,30,35,45}%-{0,105,555,1005,2755,5505,13505},0),2)</f>
        <v>0</v>
      </c>
      <c r="AA279" s="63">
        <f ca="1">表1_11[[#This Row],[扣保险后工资金额]]-表1_11[[#This Row],[个人所得税]]</f>
        <v>3280.16</v>
      </c>
      <c r="AB279" s="53">
        <v>2759.65</v>
      </c>
      <c r="AC279" s="64">
        <f ca="1">(表1_11[[#This Row],[实发工资]]-表1_11[[#This Row],[上月对比]])/表1_11[[#This Row],[上月对比]]</f>
        <v>0.18861449821535331</v>
      </c>
      <c r="AD279" s="65" t="s">
        <v>1587</v>
      </c>
    </row>
    <row r="280" spans="1:30">
      <c r="A280" s="42" t="s">
        <v>577</v>
      </c>
      <c r="B280" s="42" t="s">
        <v>725</v>
      </c>
      <c r="C280" s="40" t="s">
        <v>599</v>
      </c>
      <c r="D280" s="40" t="s">
        <v>626</v>
      </c>
      <c r="E280" s="41" t="s">
        <v>1290</v>
      </c>
      <c r="F280" s="5" t="s">
        <v>276</v>
      </c>
      <c r="G280" s="25">
        <v>39908</v>
      </c>
      <c r="H280" s="5" t="s">
        <v>612</v>
      </c>
      <c r="I280" s="5">
        <f>VLOOKUP(MID(表1_11[[#This Row],[工资等级]],1,1),表12[],MATCH(MID(表1_11[[#This Row],[工资等级]],2,2),表12[[#Headers],[1]:[10]],0)+1,0)</f>
        <v>2700</v>
      </c>
      <c r="J280" s="5">
        <v>23.5</v>
      </c>
      <c r="K280" s="27">
        <v>0.97916666666666663</v>
      </c>
      <c r="L280" s="37">
        <f>IF(表1_11[[#This Row],[出勤率]]&gt;1,1,表1_11[[#This Row],[出勤率]])*表1_11[[#This Row],[岗位工资]]</f>
        <v>2643.75</v>
      </c>
      <c r="M280" s="5">
        <f>LOOKUP(表1_11[[#This Row],[岗位工资]],表13[lookup],表13[奖金比率])*表1_11[[#This Row],[岗位工资]]</f>
        <v>270</v>
      </c>
      <c r="N280" s="5">
        <v>96</v>
      </c>
      <c r="O280" s="38">
        <f>表1_11[[#This Row],[奖金等级]]*表1_11[[#This Row],[绩效得分]]/100</f>
        <v>259.2</v>
      </c>
      <c r="P280" s="5">
        <f>IF(表1_11[[#This Row],[出勤率]]&gt;=1,200,0)</f>
        <v>0</v>
      </c>
      <c r="Q280" s="23">
        <f t="shared" ca="1" si="4"/>
        <v>400</v>
      </c>
      <c r="R280" s="23">
        <f>IF(表1_11[[#This Row],[中心]]="营销中心",VLOOKUP(表1_11[[#This Row],[职位]],表2[[话费补贴]:[营销中心]],2,0),VLOOKUP(表1_11[[#This Row],[职位]],表2[],3,0))</f>
        <v>0</v>
      </c>
      <c r="S280" s="23">
        <v>200</v>
      </c>
      <c r="T280" s="61">
        <f ca="1">ROUND(SUM(表1_11[[#This Row],[基本工资]],表1_11[[#This Row],[奖金]],表1_11[[#This Row],[全勤奖]:[防暑降温补贴]]),2)</f>
        <v>3502.95</v>
      </c>
      <c r="U280" s="62">
        <f ca="1">ROUND(表1_11[[#This Row],[税前应发总额]]*8%,2)</f>
        <v>280.24</v>
      </c>
      <c r="V280" s="62">
        <f ca="1">ROUND(表1_11[[#This Row],[税前应发总额]]*2%+3,2)</f>
        <v>73.06</v>
      </c>
      <c r="W280" s="62">
        <f ca="1">ROUND(表1_11[[#This Row],[税前应发总额]]*0.2%,2)</f>
        <v>7.01</v>
      </c>
      <c r="X280" s="62">
        <f ca="1">ROUND(表1_11[[#This Row],[税前应发总额]]*12%,2)</f>
        <v>420.35</v>
      </c>
      <c r="Y280" s="61">
        <f ca="1">ROUND(表1_11[[#This Row],[税前应发总额]]-SUM(表1_11[[#This Row],[养老保险]:[公积金]]),2)</f>
        <v>2722.29</v>
      </c>
      <c r="Z280" s="62">
        <f ca="1">ROUND(MAX((表1_11[[#This Row],[扣保险后工资金额]]-3500)*{3,10,20,25,30,35,45}%-{0,105,555,1005,2755,5505,13505},0),2)</f>
        <v>0</v>
      </c>
      <c r="AA280" s="63">
        <f ca="1">表1_11[[#This Row],[扣保险后工资金额]]-表1_11[[#This Row],[个人所得税]]</f>
        <v>2722.29</v>
      </c>
      <c r="AB280" s="53">
        <v>2594.16</v>
      </c>
      <c r="AC280" s="64">
        <f ca="1">(表1_11[[#This Row],[实发工资]]-表1_11[[#This Row],[上月对比]])/表1_11[[#This Row],[上月对比]]</f>
        <v>4.9391710611527473E-2</v>
      </c>
      <c r="AD280" s="65" t="s">
        <v>1587</v>
      </c>
    </row>
    <row r="281" spans="1:30">
      <c r="A281" s="42" t="s">
        <v>577</v>
      </c>
      <c r="B281" s="42" t="s">
        <v>725</v>
      </c>
      <c r="C281" s="40" t="s">
        <v>711</v>
      </c>
      <c r="D281" s="40" t="s">
        <v>712</v>
      </c>
      <c r="E281" s="41" t="s">
        <v>1291</v>
      </c>
      <c r="F281" s="5" t="s">
        <v>277</v>
      </c>
      <c r="G281" s="25">
        <v>40032</v>
      </c>
      <c r="H281" s="5" t="s">
        <v>624</v>
      </c>
      <c r="I281" s="5">
        <f>VLOOKUP(MID(表1_11[[#This Row],[工资等级]],1,1),表12[],MATCH(MID(表1_11[[#This Row],[工资等级]],2,2),表12[[#Headers],[1]:[10]],0)+1,0)</f>
        <v>2800</v>
      </c>
      <c r="J281" s="5">
        <v>22.5</v>
      </c>
      <c r="K281" s="27">
        <v>0.9375</v>
      </c>
      <c r="L281" s="37">
        <f>IF(表1_11[[#This Row],[出勤率]]&gt;1,1,表1_11[[#This Row],[出勤率]])*表1_11[[#This Row],[岗位工资]]</f>
        <v>2625</v>
      </c>
      <c r="M281" s="5">
        <f>LOOKUP(表1_11[[#This Row],[岗位工资]],表13[lookup],表13[奖金比率])*表1_11[[#This Row],[岗位工资]]</f>
        <v>280</v>
      </c>
      <c r="N281" s="5">
        <v>79</v>
      </c>
      <c r="O281" s="38">
        <f>表1_11[[#This Row],[奖金等级]]*表1_11[[#This Row],[绩效得分]]/100</f>
        <v>221.2</v>
      </c>
      <c r="P281" s="5">
        <f>IF(表1_11[[#This Row],[出勤率]]&gt;=1,200,0)</f>
        <v>0</v>
      </c>
      <c r="Q281" s="23">
        <f t="shared" ca="1" si="4"/>
        <v>400</v>
      </c>
      <c r="R281" s="23">
        <f>IF(表1_11[[#This Row],[中心]]="营销中心",VLOOKUP(表1_11[[#This Row],[职位]],表2[[话费补贴]:[营销中心]],2,0),VLOOKUP(表1_11[[#This Row],[职位]],表2[],3,0))</f>
        <v>0</v>
      </c>
      <c r="S281" s="23">
        <v>200</v>
      </c>
      <c r="T281" s="61">
        <f ca="1">ROUND(SUM(表1_11[[#This Row],[基本工资]],表1_11[[#This Row],[奖金]],表1_11[[#This Row],[全勤奖]:[防暑降温补贴]]),2)</f>
        <v>3446.2</v>
      </c>
      <c r="U281" s="62">
        <f ca="1">ROUND(表1_11[[#This Row],[税前应发总额]]*8%,2)</f>
        <v>275.7</v>
      </c>
      <c r="V281" s="62">
        <f ca="1">ROUND(表1_11[[#This Row],[税前应发总额]]*2%+3,2)</f>
        <v>71.92</v>
      </c>
      <c r="W281" s="62">
        <f ca="1">ROUND(表1_11[[#This Row],[税前应发总额]]*0.2%,2)</f>
        <v>6.89</v>
      </c>
      <c r="X281" s="62">
        <f ca="1">ROUND(表1_11[[#This Row],[税前应发总额]]*12%,2)</f>
        <v>413.54</v>
      </c>
      <c r="Y281" s="61">
        <f ca="1">ROUND(表1_11[[#This Row],[税前应发总额]]-SUM(表1_11[[#This Row],[养老保险]:[公积金]]),2)</f>
        <v>2678.15</v>
      </c>
      <c r="Z281" s="62">
        <f ca="1">ROUND(MAX((表1_11[[#This Row],[扣保险后工资金额]]-3500)*{3,10,20,25,30,35,45}%-{0,105,555,1005,2755,5505,13505},0),2)</f>
        <v>0</v>
      </c>
      <c r="AA281" s="63">
        <f ca="1">表1_11[[#This Row],[扣保险后工资金额]]-表1_11[[#This Row],[个人所得税]]</f>
        <v>2678.15</v>
      </c>
      <c r="AB281" s="53">
        <v>2585.42</v>
      </c>
      <c r="AC281" s="64">
        <f ca="1">(表1_11[[#This Row],[实发工资]]-表1_11[[#This Row],[上月对比]])/表1_11[[#This Row],[上月对比]]</f>
        <v>3.5866512984350708E-2</v>
      </c>
      <c r="AD281" s="65" t="s">
        <v>1587</v>
      </c>
    </row>
    <row r="282" spans="1:30">
      <c r="A282" s="42" t="s">
        <v>577</v>
      </c>
      <c r="B282" s="42" t="s">
        <v>725</v>
      </c>
      <c r="C282" s="40" t="s">
        <v>739</v>
      </c>
      <c r="D282" s="40" t="s">
        <v>740</v>
      </c>
      <c r="E282" s="41" t="s">
        <v>1292</v>
      </c>
      <c r="F282" s="5" t="s">
        <v>278</v>
      </c>
      <c r="G282" s="25">
        <v>39316</v>
      </c>
      <c r="H282" s="5" t="s">
        <v>657</v>
      </c>
      <c r="I282" s="5">
        <f>VLOOKUP(MID(表1_11[[#This Row],[工资等级]],1,1),表12[],MATCH(MID(表1_11[[#This Row],[工资等级]],2,2),表12[[#Headers],[1]:[10]],0)+1,0)</f>
        <v>4000</v>
      </c>
      <c r="J282" s="5">
        <v>27.5</v>
      </c>
      <c r="K282" s="27">
        <v>1.1458333333333333</v>
      </c>
      <c r="L282" s="37">
        <f>IF(表1_11[[#This Row],[出勤率]]&gt;1,1,表1_11[[#This Row],[出勤率]])*表1_11[[#This Row],[岗位工资]]</f>
        <v>4000</v>
      </c>
      <c r="M282" s="5">
        <f>LOOKUP(表1_11[[#This Row],[岗位工资]],表13[lookup],表13[奖金比率])*表1_11[[#This Row],[岗位工资]]</f>
        <v>600</v>
      </c>
      <c r="N282" s="5">
        <v>82</v>
      </c>
      <c r="O282" s="38">
        <f>表1_11[[#This Row],[奖金等级]]*表1_11[[#This Row],[绩效得分]]/100</f>
        <v>492</v>
      </c>
      <c r="P282" s="5">
        <f>IF(表1_11[[#This Row],[出勤率]]&gt;=1,200,0)</f>
        <v>200</v>
      </c>
      <c r="Q282" s="23">
        <f t="shared" ca="1" si="4"/>
        <v>500</v>
      </c>
      <c r="R282" s="23">
        <f>IF(表1_11[[#This Row],[中心]]="营销中心",VLOOKUP(表1_11[[#This Row],[职位]],表2[[话费补贴]:[营销中心]],2,0),VLOOKUP(表1_11[[#This Row],[职位]],表2[],3,0))</f>
        <v>0</v>
      </c>
      <c r="S282" s="23">
        <v>200</v>
      </c>
      <c r="T282" s="61">
        <f ca="1">ROUND(SUM(表1_11[[#This Row],[基本工资]],表1_11[[#This Row],[奖金]],表1_11[[#This Row],[全勤奖]:[防暑降温补贴]]),2)</f>
        <v>5392</v>
      </c>
      <c r="U282" s="62">
        <f ca="1">ROUND(表1_11[[#This Row],[税前应发总额]]*8%,2)</f>
        <v>431.36</v>
      </c>
      <c r="V282" s="62">
        <f ca="1">ROUND(表1_11[[#This Row],[税前应发总额]]*2%+3,2)</f>
        <v>110.84</v>
      </c>
      <c r="W282" s="62">
        <f ca="1">ROUND(表1_11[[#This Row],[税前应发总额]]*0.2%,2)</f>
        <v>10.78</v>
      </c>
      <c r="X282" s="62">
        <f ca="1">ROUND(表1_11[[#This Row],[税前应发总额]]*12%,2)</f>
        <v>647.04</v>
      </c>
      <c r="Y282" s="61">
        <f ca="1">ROUND(表1_11[[#This Row],[税前应发总额]]-SUM(表1_11[[#This Row],[养老保险]:[公积金]]),2)</f>
        <v>4191.9799999999996</v>
      </c>
      <c r="Z282" s="62">
        <f ca="1">ROUND(MAX((表1_11[[#This Row],[扣保险后工资金额]]-3500)*{3,10,20,25,30,35,45}%-{0,105,555,1005,2755,5505,13505},0),2)</f>
        <v>20.76</v>
      </c>
      <c r="AA282" s="63">
        <f ca="1">表1_11[[#This Row],[扣保险后工资金额]]-表1_11[[#This Row],[个人所得税]]</f>
        <v>4171.2199999999993</v>
      </c>
      <c r="AB282" s="53">
        <v>4050.82</v>
      </c>
      <c r="AC282" s="64">
        <f ca="1">(表1_11[[#This Row],[实发工资]]-表1_11[[#This Row],[上月对比]])/表1_11[[#This Row],[上月对比]]</f>
        <v>2.9722377197702977E-2</v>
      </c>
      <c r="AD282" s="65" t="s">
        <v>1587</v>
      </c>
    </row>
    <row r="283" spans="1:30">
      <c r="A283" s="42" t="s">
        <v>577</v>
      </c>
      <c r="B283" s="42" t="s">
        <v>725</v>
      </c>
      <c r="C283" s="40" t="s">
        <v>741</v>
      </c>
      <c r="D283" s="40" t="s">
        <v>742</v>
      </c>
      <c r="E283" s="41" t="s">
        <v>1293</v>
      </c>
      <c r="F283" s="5" t="s">
        <v>279</v>
      </c>
      <c r="G283" s="25">
        <v>39472</v>
      </c>
      <c r="H283" s="5" t="s">
        <v>657</v>
      </c>
      <c r="I283" s="5">
        <f>VLOOKUP(MID(表1_11[[#This Row],[工资等级]],1,1),表12[],MATCH(MID(表1_11[[#This Row],[工资等级]],2,2),表12[[#Headers],[1]:[10]],0)+1,0)</f>
        <v>4000</v>
      </c>
      <c r="J283" s="5">
        <v>21.5</v>
      </c>
      <c r="K283" s="27">
        <v>0.89583333333333337</v>
      </c>
      <c r="L283" s="37">
        <f>IF(表1_11[[#This Row],[出勤率]]&gt;1,1,表1_11[[#This Row],[出勤率]])*表1_11[[#This Row],[岗位工资]]</f>
        <v>3583.3333333333335</v>
      </c>
      <c r="M283" s="5">
        <f>LOOKUP(表1_11[[#This Row],[岗位工资]],表13[lookup],表13[奖金比率])*表1_11[[#This Row],[岗位工资]]</f>
        <v>600</v>
      </c>
      <c r="N283" s="5">
        <v>98</v>
      </c>
      <c r="O283" s="38">
        <f>表1_11[[#This Row],[奖金等级]]*表1_11[[#This Row],[绩效得分]]/100</f>
        <v>588</v>
      </c>
      <c r="P283" s="5">
        <f>IF(表1_11[[#This Row],[出勤率]]&gt;=1,200,0)</f>
        <v>0</v>
      </c>
      <c r="Q283" s="23">
        <f t="shared" ca="1" si="4"/>
        <v>500</v>
      </c>
      <c r="R283" s="23">
        <f>IF(表1_11[[#This Row],[中心]]="营销中心",VLOOKUP(表1_11[[#This Row],[职位]],表2[[话费补贴]:[营销中心]],2,0),VLOOKUP(表1_11[[#This Row],[职位]],表2[],3,0))</f>
        <v>0</v>
      </c>
      <c r="S283" s="23">
        <v>200</v>
      </c>
      <c r="T283" s="61">
        <f ca="1">ROUND(SUM(表1_11[[#This Row],[基本工资]],表1_11[[#This Row],[奖金]],表1_11[[#This Row],[全勤奖]:[防暑降温补贴]]),2)</f>
        <v>4871.33</v>
      </c>
      <c r="U283" s="62">
        <f ca="1">ROUND(表1_11[[#This Row],[税前应发总额]]*8%,2)</f>
        <v>389.71</v>
      </c>
      <c r="V283" s="62">
        <f ca="1">ROUND(表1_11[[#This Row],[税前应发总额]]*2%+3,2)</f>
        <v>100.43</v>
      </c>
      <c r="W283" s="62">
        <f ca="1">ROUND(表1_11[[#This Row],[税前应发总额]]*0.2%,2)</f>
        <v>9.74</v>
      </c>
      <c r="X283" s="62">
        <f ca="1">ROUND(表1_11[[#This Row],[税前应发总额]]*12%,2)</f>
        <v>584.55999999999995</v>
      </c>
      <c r="Y283" s="61">
        <f ca="1">ROUND(表1_11[[#This Row],[税前应发总额]]-SUM(表1_11[[#This Row],[养老保险]:[公积金]]),2)</f>
        <v>3786.89</v>
      </c>
      <c r="Z283" s="62">
        <f ca="1">ROUND(MAX((表1_11[[#This Row],[扣保险后工资金额]]-3500)*{3,10,20,25,30,35,45}%-{0,105,555,1005,2755,5505,13505},0),2)</f>
        <v>8.61</v>
      </c>
      <c r="AA283" s="63">
        <f ca="1">表1_11[[#This Row],[扣保险后工资金额]]-表1_11[[#This Row],[个人所得税]]</f>
        <v>3778.2799999999997</v>
      </c>
      <c r="AB283" s="53">
        <v>4199.55</v>
      </c>
      <c r="AC283" s="64">
        <f ca="1">(表1_11[[#This Row],[实发工资]]-表1_11[[#This Row],[上月对比]])/表1_11[[#This Row],[上月对比]]</f>
        <v>-0.1003131287876083</v>
      </c>
      <c r="AD283" s="65" t="s">
        <v>1587</v>
      </c>
    </row>
    <row r="284" spans="1:30">
      <c r="A284" s="42" t="s">
        <v>577</v>
      </c>
      <c r="B284" s="42" t="s">
        <v>725</v>
      </c>
      <c r="C284" s="40" t="s">
        <v>743</v>
      </c>
      <c r="D284" s="40" t="s">
        <v>744</v>
      </c>
      <c r="E284" s="41" t="s">
        <v>1294</v>
      </c>
      <c r="F284" s="5" t="s">
        <v>280</v>
      </c>
      <c r="G284" s="25">
        <v>41917</v>
      </c>
      <c r="H284" s="5" t="s">
        <v>623</v>
      </c>
      <c r="I284" s="5">
        <f>VLOOKUP(MID(表1_11[[#This Row],[工资等级]],1,1),表12[],MATCH(MID(表1_11[[#This Row],[工资等级]],2,2),表12[[#Headers],[1]:[10]],0)+1,0)</f>
        <v>3800</v>
      </c>
      <c r="J284" s="5">
        <v>21.5</v>
      </c>
      <c r="K284" s="27">
        <v>0.89583333333333337</v>
      </c>
      <c r="L284" s="37">
        <f>IF(表1_11[[#This Row],[出勤率]]&gt;1,1,表1_11[[#This Row],[出勤率]])*表1_11[[#This Row],[岗位工资]]</f>
        <v>3404.166666666667</v>
      </c>
      <c r="M284" s="5">
        <f>LOOKUP(表1_11[[#This Row],[岗位工资]],表13[lookup],表13[奖金比率])*表1_11[[#This Row],[岗位工资]]</f>
        <v>380</v>
      </c>
      <c r="N284" s="5">
        <v>89</v>
      </c>
      <c r="O284" s="38">
        <f>表1_11[[#This Row],[奖金等级]]*表1_11[[#This Row],[绩效得分]]/100</f>
        <v>338.2</v>
      </c>
      <c r="P284" s="5">
        <f>IF(表1_11[[#This Row],[出勤率]]&gt;=1,200,0)</f>
        <v>0</v>
      </c>
      <c r="Q284" s="23">
        <f t="shared" ca="1" si="4"/>
        <v>150</v>
      </c>
      <c r="R284" s="23">
        <f>IF(表1_11[[#This Row],[中心]]="营销中心",VLOOKUP(表1_11[[#This Row],[职位]],表2[[话费补贴]:[营销中心]],2,0),VLOOKUP(表1_11[[#This Row],[职位]],表2[],3,0))</f>
        <v>0</v>
      </c>
      <c r="S284" s="23">
        <v>200</v>
      </c>
      <c r="T284" s="61">
        <f ca="1">ROUND(SUM(表1_11[[#This Row],[基本工资]],表1_11[[#This Row],[奖金]],表1_11[[#This Row],[全勤奖]:[防暑降温补贴]]),2)</f>
        <v>4092.37</v>
      </c>
      <c r="U284" s="62">
        <f ca="1">ROUND(表1_11[[#This Row],[税前应发总额]]*8%,2)</f>
        <v>327.39</v>
      </c>
      <c r="V284" s="62">
        <f ca="1">ROUND(表1_11[[#This Row],[税前应发总额]]*2%+3,2)</f>
        <v>84.85</v>
      </c>
      <c r="W284" s="62">
        <f ca="1">ROUND(表1_11[[#This Row],[税前应发总额]]*0.2%,2)</f>
        <v>8.18</v>
      </c>
      <c r="X284" s="62">
        <f ca="1">ROUND(表1_11[[#This Row],[税前应发总额]]*12%,2)</f>
        <v>491.08</v>
      </c>
      <c r="Y284" s="61">
        <f ca="1">ROUND(表1_11[[#This Row],[税前应发总额]]-SUM(表1_11[[#This Row],[养老保险]:[公积金]]),2)</f>
        <v>3180.87</v>
      </c>
      <c r="Z284" s="62">
        <f ca="1">ROUND(MAX((表1_11[[#This Row],[扣保险后工资金额]]-3500)*{3,10,20,25,30,35,45}%-{0,105,555,1005,2755,5505,13505},0),2)</f>
        <v>0</v>
      </c>
      <c r="AA284" s="63">
        <f ca="1">表1_11[[#This Row],[扣保险后工资金额]]-表1_11[[#This Row],[个人所得税]]</f>
        <v>3180.87</v>
      </c>
      <c r="AB284" s="53">
        <v>2987.9</v>
      </c>
      <c r="AC284" s="64">
        <f ca="1">(表1_11[[#This Row],[实发工资]]-表1_11[[#This Row],[上月对比]])/表1_11[[#This Row],[上月对比]]</f>
        <v>6.4583821413032497E-2</v>
      </c>
      <c r="AD284" s="65" t="s">
        <v>1587</v>
      </c>
    </row>
    <row r="285" spans="1:30">
      <c r="A285" s="42" t="s">
        <v>577</v>
      </c>
      <c r="B285" s="42" t="s">
        <v>725</v>
      </c>
      <c r="C285" s="40" t="s">
        <v>743</v>
      </c>
      <c r="D285" s="40" t="s">
        <v>744</v>
      </c>
      <c r="E285" s="41" t="s">
        <v>1295</v>
      </c>
      <c r="F285" s="5" t="s">
        <v>281</v>
      </c>
      <c r="G285" s="25">
        <v>42444</v>
      </c>
      <c r="H285" s="5" t="s">
        <v>624</v>
      </c>
      <c r="I285" s="5">
        <f>VLOOKUP(MID(表1_11[[#This Row],[工资等级]],1,1),表12[],MATCH(MID(表1_11[[#This Row],[工资等级]],2,2),表12[[#Headers],[1]:[10]],0)+1,0)</f>
        <v>2800</v>
      </c>
      <c r="J285" s="5">
        <v>27</v>
      </c>
      <c r="K285" s="27">
        <v>1.125</v>
      </c>
      <c r="L285" s="37">
        <f>IF(表1_11[[#This Row],[出勤率]]&gt;1,1,表1_11[[#This Row],[出勤率]])*表1_11[[#This Row],[岗位工资]]</f>
        <v>2800</v>
      </c>
      <c r="M285" s="5">
        <f>LOOKUP(表1_11[[#This Row],[岗位工资]],表13[lookup],表13[奖金比率])*表1_11[[#This Row],[岗位工资]]</f>
        <v>280</v>
      </c>
      <c r="N285" s="5">
        <v>97</v>
      </c>
      <c r="O285" s="38">
        <f>表1_11[[#This Row],[奖金等级]]*表1_11[[#This Row],[绩效得分]]/100</f>
        <v>271.60000000000002</v>
      </c>
      <c r="P285" s="5">
        <f>IF(表1_11[[#This Row],[出勤率]]&gt;=1,200,0)</f>
        <v>200</v>
      </c>
      <c r="Q285" s="23">
        <f t="shared" ca="1" si="4"/>
        <v>50</v>
      </c>
      <c r="R285" s="23">
        <f>IF(表1_11[[#This Row],[中心]]="营销中心",VLOOKUP(表1_11[[#This Row],[职位]],表2[[话费补贴]:[营销中心]],2,0),VLOOKUP(表1_11[[#This Row],[职位]],表2[],3,0))</f>
        <v>0</v>
      </c>
      <c r="S285" s="23">
        <v>200</v>
      </c>
      <c r="T285" s="61">
        <f ca="1">ROUND(SUM(表1_11[[#This Row],[基本工资]],表1_11[[#This Row],[奖金]],表1_11[[#This Row],[全勤奖]:[防暑降温补贴]]),2)</f>
        <v>3521.6</v>
      </c>
      <c r="U285" s="62">
        <f ca="1">ROUND(表1_11[[#This Row],[税前应发总额]]*8%,2)</f>
        <v>281.73</v>
      </c>
      <c r="V285" s="62">
        <f ca="1">ROUND(表1_11[[#This Row],[税前应发总额]]*2%+3,2)</f>
        <v>73.430000000000007</v>
      </c>
      <c r="W285" s="62">
        <f ca="1">ROUND(表1_11[[#This Row],[税前应发总额]]*0.2%,2)</f>
        <v>7.04</v>
      </c>
      <c r="X285" s="62">
        <f ca="1">ROUND(表1_11[[#This Row],[税前应发总额]]*12%,2)</f>
        <v>422.59</v>
      </c>
      <c r="Y285" s="61">
        <f ca="1">ROUND(表1_11[[#This Row],[税前应发总额]]-SUM(表1_11[[#This Row],[养老保险]:[公积金]]),2)</f>
        <v>2736.81</v>
      </c>
      <c r="Z285" s="62">
        <f ca="1">ROUND(MAX((表1_11[[#This Row],[扣保险后工资金额]]-3500)*{3,10,20,25,30,35,45}%-{0,105,555,1005,2755,5505,13505},0),2)</f>
        <v>0</v>
      </c>
      <c r="AA285" s="63">
        <f ca="1">表1_11[[#This Row],[扣保险后工资金额]]-表1_11[[#This Row],[个人所得税]]</f>
        <v>2736.81</v>
      </c>
      <c r="AB285" s="53">
        <v>3139.32</v>
      </c>
      <c r="AC285" s="64">
        <f ca="1">(表1_11[[#This Row],[实发工资]]-表1_11[[#This Row],[上月对比]])/表1_11[[#This Row],[上月对比]]</f>
        <v>-0.12821566453881739</v>
      </c>
      <c r="AD285" s="65" t="s">
        <v>1587</v>
      </c>
    </row>
    <row r="286" spans="1:30">
      <c r="A286" s="42" t="s">
        <v>577</v>
      </c>
      <c r="B286" s="42" t="s">
        <v>725</v>
      </c>
      <c r="C286" s="40" t="s">
        <v>743</v>
      </c>
      <c r="D286" s="40" t="s">
        <v>744</v>
      </c>
      <c r="E286" s="41" t="s">
        <v>1296</v>
      </c>
      <c r="F286" s="5" t="s">
        <v>282</v>
      </c>
      <c r="G286" s="25">
        <v>38395</v>
      </c>
      <c r="H286" s="5" t="s">
        <v>623</v>
      </c>
      <c r="I286" s="5">
        <f>VLOOKUP(MID(表1_11[[#This Row],[工资等级]],1,1),表12[],MATCH(MID(表1_11[[#This Row],[工资等级]],2,2),表12[[#Headers],[1]:[10]],0)+1,0)</f>
        <v>3800</v>
      </c>
      <c r="J286" s="5">
        <v>23.5</v>
      </c>
      <c r="K286" s="27">
        <v>0.97916666666666663</v>
      </c>
      <c r="L286" s="37">
        <f>IF(表1_11[[#This Row],[出勤率]]&gt;1,1,表1_11[[#This Row],[出勤率]])*表1_11[[#This Row],[岗位工资]]</f>
        <v>3720.833333333333</v>
      </c>
      <c r="M286" s="5">
        <f>LOOKUP(表1_11[[#This Row],[岗位工资]],表13[lookup],表13[奖金比率])*表1_11[[#This Row],[岗位工资]]</f>
        <v>380</v>
      </c>
      <c r="N286" s="5">
        <v>97</v>
      </c>
      <c r="O286" s="38">
        <f>表1_11[[#This Row],[奖金等级]]*表1_11[[#This Row],[绩效得分]]/100</f>
        <v>368.6</v>
      </c>
      <c r="P286" s="5">
        <f>IF(表1_11[[#This Row],[出勤率]]&gt;=1,200,0)</f>
        <v>0</v>
      </c>
      <c r="Q286" s="23">
        <f t="shared" ca="1" si="4"/>
        <v>500</v>
      </c>
      <c r="R286" s="23">
        <f>IF(表1_11[[#This Row],[中心]]="营销中心",VLOOKUP(表1_11[[#This Row],[职位]],表2[[话费补贴]:[营销中心]],2,0),VLOOKUP(表1_11[[#This Row],[职位]],表2[],3,0))</f>
        <v>0</v>
      </c>
      <c r="S286" s="23">
        <v>200</v>
      </c>
      <c r="T286" s="61">
        <f ca="1">ROUND(SUM(表1_11[[#This Row],[基本工资]],表1_11[[#This Row],[奖金]],表1_11[[#This Row],[全勤奖]:[防暑降温补贴]]),2)</f>
        <v>4789.43</v>
      </c>
      <c r="U286" s="62">
        <f ca="1">ROUND(表1_11[[#This Row],[税前应发总额]]*8%,2)</f>
        <v>383.15</v>
      </c>
      <c r="V286" s="62">
        <f ca="1">ROUND(表1_11[[#This Row],[税前应发总额]]*2%+3,2)</f>
        <v>98.79</v>
      </c>
      <c r="W286" s="62">
        <f ca="1">ROUND(表1_11[[#This Row],[税前应发总额]]*0.2%,2)</f>
        <v>9.58</v>
      </c>
      <c r="X286" s="62">
        <f ca="1">ROUND(表1_11[[#This Row],[税前应发总额]]*12%,2)</f>
        <v>574.73</v>
      </c>
      <c r="Y286" s="61">
        <f ca="1">ROUND(表1_11[[#This Row],[税前应发总额]]-SUM(表1_11[[#This Row],[养老保险]:[公积金]]),2)</f>
        <v>3723.18</v>
      </c>
      <c r="Z286" s="62">
        <f ca="1">ROUND(MAX((表1_11[[#This Row],[扣保险后工资金额]]-3500)*{3,10,20,25,30,35,45}%-{0,105,555,1005,2755,5505,13505},0),2)</f>
        <v>6.7</v>
      </c>
      <c r="AA286" s="63">
        <f ca="1">表1_11[[#This Row],[扣保险后工资金额]]-表1_11[[#This Row],[个人所得税]]</f>
        <v>3716.48</v>
      </c>
      <c r="AB286" s="53">
        <v>3571.6</v>
      </c>
      <c r="AC286" s="64">
        <f ca="1">(表1_11[[#This Row],[实发工资]]-表1_11[[#This Row],[上月对比]])/表1_11[[#This Row],[上月对比]]</f>
        <v>4.0564452906260533E-2</v>
      </c>
      <c r="AD286" s="65" t="s">
        <v>1587</v>
      </c>
    </row>
    <row r="287" spans="1:30">
      <c r="A287" s="42" t="s">
        <v>577</v>
      </c>
      <c r="B287" s="42" t="s">
        <v>725</v>
      </c>
      <c r="C287" s="40" t="s">
        <v>743</v>
      </c>
      <c r="D287" s="40" t="s">
        <v>744</v>
      </c>
      <c r="E287" s="41" t="s">
        <v>1297</v>
      </c>
      <c r="F287" s="5" t="s">
        <v>283</v>
      </c>
      <c r="G287" s="25">
        <v>41410</v>
      </c>
      <c r="H287" s="5" t="s">
        <v>623</v>
      </c>
      <c r="I287" s="5">
        <f>VLOOKUP(MID(表1_11[[#This Row],[工资等级]],1,1),表12[],MATCH(MID(表1_11[[#This Row],[工资等级]],2,2),表12[[#Headers],[1]:[10]],0)+1,0)</f>
        <v>3800</v>
      </c>
      <c r="J287" s="5">
        <v>26.5</v>
      </c>
      <c r="K287" s="27">
        <v>1.1041666666666667</v>
      </c>
      <c r="L287" s="37">
        <f>IF(表1_11[[#This Row],[出勤率]]&gt;1,1,表1_11[[#This Row],[出勤率]])*表1_11[[#This Row],[岗位工资]]</f>
        <v>3800</v>
      </c>
      <c r="M287" s="5">
        <f>LOOKUP(表1_11[[#This Row],[岗位工资]],表13[lookup],表13[奖金比率])*表1_11[[#This Row],[岗位工资]]</f>
        <v>380</v>
      </c>
      <c r="N287" s="5">
        <v>92</v>
      </c>
      <c r="O287" s="38">
        <f>表1_11[[#This Row],[奖金等级]]*表1_11[[#This Row],[绩效得分]]/100</f>
        <v>349.6</v>
      </c>
      <c r="P287" s="5">
        <f>IF(表1_11[[#This Row],[出勤率]]&gt;=1,200,0)</f>
        <v>200</v>
      </c>
      <c r="Q287" s="23">
        <f t="shared" ca="1" si="4"/>
        <v>200</v>
      </c>
      <c r="R287" s="23">
        <f>IF(表1_11[[#This Row],[中心]]="营销中心",VLOOKUP(表1_11[[#This Row],[职位]],表2[[话费补贴]:[营销中心]],2,0),VLOOKUP(表1_11[[#This Row],[职位]],表2[],3,0))</f>
        <v>0</v>
      </c>
      <c r="S287" s="23">
        <v>200</v>
      </c>
      <c r="T287" s="61">
        <f ca="1">ROUND(SUM(表1_11[[#This Row],[基本工资]],表1_11[[#This Row],[奖金]],表1_11[[#This Row],[全勤奖]:[防暑降温补贴]]),2)</f>
        <v>4749.6000000000004</v>
      </c>
      <c r="U287" s="62">
        <f ca="1">ROUND(表1_11[[#This Row],[税前应发总额]]*8%,2)</f>
        <v>379.97</v>
      </c>
      <c r="V287" s="62">
        <f ca="1">ROUND(表1_11[[#This Row],[税前应发总额]]*2%+3,2)</f>
        <v>97.99</v>
      </c>
      <c r="W287" s="62">
        <f ca="1">ROUND(表1_11[[#This Row],[税前应发总额]]*0.2%,2)</f>
        <v>9.5</v>
      </c>
      <c r="X287" s="62">
        <f ca="1">ROUND(表1_11[[#This Row],[税前应发总额]]*12%,2)</f>
        <v>569.95000000000005</v>
      </c>
      <c r="Y287" s="61">
        <f ca="1">ROUND(表1_11[[#This Row],[税前应发总额]]-SUM(表1_11[[#This Row],[养老保险]:[公积金]]),2)</f>
        <v>3692.19</v>
      </c>
      <c r="Z287" s="62">
        <f ca="1">ROUND(MAX((表1_11[[#This Row],[扣保险后工资金额]]-3500)*{3,10,20,25,30,35,45}%-{0,105,555,1005,2755,5505,13505},0),2)</f>
        <v>5.77</v>
      </c>
      <c r="AA287" s="63">
        <f ca="1">表1_11[[#This Row],[扣保险后工资金额]]-表1_11[[#This Row],[个人所得税]]</f>
        <v>3686.42</v>
      </c>
      <c r="AB287" s="53">
        <v>3435.16</v>
      </c>
      <c r="AC287" s="64">
        <f ca="1">(表1_11[[#This Row],[实发工资]]-表1_11[[#This Row],[上月对比]])/表1_11[[#This Row],[上月对比]]</f>
        <v>7.3143609031311563E-2</v>
      </c>
      <c r="AD287" s="65" t="s">
        <v>1587</v>
      </c>
    </row>
    <row r="288" spans="1:30">
      <c r="A288" s="42" t="s">
        <v>577</v>
      </c>
      <c r="B288" s="42" t="s">
        <v>725</v>
      </c>
      <c r="C288" s="40" t="s">
        <v>743</v>
      </c>
      <c r="D288" s="40" t="s">
        <v>744</v>
      </c>
      <c r="E288" s="41" t="s">
        <v>1298</v>
      </c>
      <c r="F288" s="5" t="s">
        <v>284</v>
      </c>
      <c r="G288" s="25">
        <v>42775</v>
      </c>
      <c r="H288" s="5" t="s">
        <v>610</v>
      </c>
      <c r="I288" s="5">
        <f>VLOOKUP(MID(表1_11[[#This Row],[工资等级]],1,1),表12[],MATCH(MID(表1_11[[#This Row],[工资等级]],2,2),表12[[#Headers],[1]:[10]],0)+1,0)</f>
        <v>3400</v>
      </c>
      <c r="J288" s="5">
        <v>24.5</v>
      </c>
      <c r="K288" s="27">
        <v>1.0208333333333333</v>
      </c>
      <c r="L288" s="37">
        <f>IF(表1_11[[#This Row],[出勤率]]&gt;1,1,表1_11[[#This Row],[出勤率]])*表1_11[[#This Row],[岗位工资]]</f>
        <v>3400</v>
      </c>
      <c r="M288" s="5">
        <f>LOOKUP(表1_11[[#This Row],[岗位工资]],表13[lookup],表13[奖金比率])*表1_11[[#This Row],[岗位工资]]</f>
        <v>340</v>
      </c>
      <c r="N288" s="5">
        <v>88</v>
      </c>
      <c r="O288" s="38">
        <f>表1_11[[#This Row],[奖金等级]]*表1_11[[#This Row],[绩效得分]]/100</f>
        <v>299.2</v>
      </c>
      <c r="P288" s="5">
        <f>IF(表1_11[[#This Row],[出勤率]]&gt;=1,200,0)</f>
        <v>200</v>
      </c>
      <c r="Q288" s="23">
        <f t="shared" ca="1" si="4"/>
        <v>50</v>
      </c>
      <c r="R288" s="23">
        <f>IF(表1_11[[#This Row],[中心]]="营销中心",VLOOKUP(表1_11[[#This Row],[职位]],表2[[话费补贴]:[营销中心]],2,0),VLOOKUP(表1_11[[#This Row],[职位]],表2[],3,0))</f>
        <v>0</v>
      </c>
      <c r="S288" s="23">
        <v>200</v>
      </c>
      <c r="T288" s="61">
        <f ca="1">ROUND(SUM(表1_11[[#This Row],[基本工资]],表1_11[[#This Row],[奖金]],表1_11[[#This Row],[全勤奖]:[防暑降温补贴]]),2)</f>
        <v>4149.2</v>
      </c>
      <c r="U288" s="62">
        <f ca="1">ROUND(表1_11[[#This Row],[税前应发总额]]*8%,2)</f>
        <v>331.94</v>
      </c>
      <c r="V288" s="62">
        <f ca="1">ROUND(表1_11[[#This Row],[税前应发总额]]*2%+3,2)</f>
        <v>85.98</v>
      </c>
      <c r="W288" s="62">
        <f ca="1">ROUND(表1_11[[#This Row],[税前应发总额]]*0.2%,2)</f>
        <v>8.3000000000000007</v>
      </c>
      <c r="X288" s="62">
        <f ca="1">ROUND(表1_11[[#This Row],[税前应发总额]]*12%,2)</f>
        <v>497.9</v>
      </c>
      <c r="Y288" s="61">
        <f ca="1">ROUND(表1_11[[#This Row],[税前应发总额]]-SUM(表1_11[[#This Row],[养老保险]:[公积金]]),2)</f>
        <v>3225.08</v>
      </c>
      <c r="Z288" s="62">
        <f ca="1">ROUND(MAX((表1_11[[#This Row],[扣保险后工资金额]]-3500)*{3,10,20,25,30,35,45}%-{0,105,555,1005,2755,5505,13505},0),2)</f>
        <v>0</v>
      </c>
      <c r="AA288" s="63">
        <f ca="1">表1_11[[#This Row],[扣保险后工资金额]]-表1_11[[#This Row],[个人所得税]]</f>
        <v>3225.08</v>
      </c>
      <c r="AB288" s="53">
        <v>2941.01</v>
      </c>
      <c r="AC288" s="64">
        <f ca="1">(表1_11[[#This Row],[实发工资]]-表1_11[[#This Row],[上月对比]])/表1_11[[#This Row],[上月对比]]</f>
        <v>9.6589266952509412E-2</v>
      </c>
      <c r="AD288" s="65" t="s">
        <v>1587</v>
      </c>
    </row>
    <row r="289" spans="1:30">
      <c r="A289" s="42" t="s">
        <v>577</v>
      </c>
      <c r="B289" s="42" t="s">
        <v>725</v>
      </c>
      <c r="C289" s="40" t="s">
        <v>743</v>
      </c>
      <c r="D289" s="40" t="s">
        <v>744</v>
      </c>
      <c r="E289" s="41" t="s">
        <v>1299</v>
      </c>
      <c r="F289" s="5" t="s">
        <v>285</v>
      </c>
      <c r="G289" s="25">
        <v>40022</v>
      </c>
      <c r="H289" s="5" t="s">
        <v>622</v>
      </c>
      <c r="I289" s="5">
        <f>VLOOKUP(MID(表1_11[[#This Row],[工资等级]],1,1),表12[],MATCH(MID(表1_11[[#This Row],[工资等级]],2,2),表12[[#Headers],[1]:[10]],0)+1,0)</f>
        <v>3600</v>
      </c>
      <c r="J289" s="5">
        <v>26.5</v>
      </c>
      <c r="K289" s="27">
        <v>1.1041666666666667</v>
      </c>
      <c r="L289" s="37">
        <f>IF(表1_11[[#This Row],[出勤率]]&gt;1,1,表1_11[[#This Row],[出勤率]])*表1_11[[#This Row],[岗位工资]]</f>
        <v>3600</v>
      </c>
      <c r="M289" s="5">
        <f>LOOKUP(表1_11[[#This Row],[岗位工资]],表13[lookup],表13[奖金比率])*表1_11[[#This Row],[岗位工资]]</f>
        <v>360</v>
      </c>
      <c r="N289" s="5">
        <v>99</v>
      </c>
      <c r="O289" s="38">
        <f>表1_11[[#This Row],[奖金等级]]*表1_11[[#This Row],[绩效得分]]/100</f>
        <v>356.4</v>
      </c>
      <c r="P289" s="5">
        <f>IF(表1_11[[#This Row],[出勤率]]&gt;=1,200,0)</f>
        <v>200</v>
      </c>
      <c r="Q289" s="23">
        <f t="shared" ca="1" si="4"/>
        <v>400</v>
      </c>
      <c r="R289" s="23">
        <f>IF(表1_11[[#This Row],[中心]]="营销中心",VLOOKUP(表1_11[[#This Row],[职位]],表2[[话费补贴]:[营销中心]],2,0),VLOOKUP(表1_11[[#This Row],[职位]],表2[],3,0))</f>
        <v>0</v>
      </c>
      <c r="S289" s="23">
        <v>200</v>
      </c>
      <c r="T289" s="61">
        <f ca="1">ROUND(SUM(表1_11[[#This Row],[基本工资]],表1_11[[#This Row],[奖金]],表1_11[[#This Row],[全勤奖]:[防暑降温补贴]]),2)</f>
        <v>4756.3999999999996</v>
      </c>
      <c r="U289" s="62">
        <f ca="1">ROUND(表1_11[[#This Row],[税前应发总额]]*8%,2)</f>
        <v>380.51</v>
      </c>
      <c r="V289" s="62">
        <f ca="1">ROUND(表1_11[[#This Row],[税前应发总额]]*2%+3,2)</f>
        <v>98.13</v>
      </c>
      <c r="W289" s="62">
        <f ca="1">ROUND(表1_11[[#This Row],[税前应发总额]]*0.2%,2)</f>
        <v>9.51</v>
      </c>
      <c r="X289" s="62">
        <f ca="1">ROUND(表1_11[[#This Row],[税前应发总额]]*12%,2)</f>
        <v>570.77</v>
      </c>
      <c r="Y289" s="61">
        <f ca="1">ROUND(表1_11[[#This Row],[税前应发总额]]-SUM(表1_11[[#This Row],[养老保险]:[公积金]]),2)</f>
        <v>3697.48</v>
      </c>
      <c r="Z289" s="62">
        <f ca="1">ROUND(MAX((表1_11[[#This Row],[扣保险后工资金额]]-3500)*{3,10,20,25,30,35,45}%-{0,105,555,1005,2755,5505,13505},0),2)</f>
        <v>5.92</v>
      </c>
      <c r="AA289" s="63">
        <f ca="1">表1_11[[#This Row],[扣保险后工资金额]]-表1_11[[#This Row],[个人所得税]]</f>
        <v>3691.56</v>
      </c>
      <c r="AB289" s="53">
        <v>3638.22</v>
      </c>
      <c r="AC289" s="64">
        <f ca="1">(表1_11[[#This Row],[实发工资]]-表1_11[[#This Row],[上月对比]])/表1_11[[#This Row],[上月对比]]</f>
        <v>1.4661015551560968E-2</v>
      </c>
      <c r="AD289" s="65" t="s">
        <v>1587</v>
      </c>
    </row>
    <row r="290" spans="1:30">
      <c r="A290" s="42" t="s">
        <v>577</v>
      </c>
      <c r="B290" s="42" t="s">
        <v>725</v>
      </c>
      <c r="C290" s="40" t="s">
        <v>743</v>
      </c>
      <c r="D290" s="40" t="s">
        <v>744</v>
      </c>
      <c r="E290" s="41" t="s">
        <v>1300</v>
      </c>
      <c r="F290" s="5" t="s">
        <v>286</v>
      </c>
      <c r="G290" s="25">
        <v>39839</v>
      </c>
      <c r="H290" s="5" t="s">
        <v>617</v>
      </c>
      <c r="I290" s="5">
        <f>VLOOKUP(MID(表1_11[[#This Row],[工资等级]],1,1),表12[],MATCH(MID(表1_11[[#This Row],[工资等级]],2,2),表12[[#Headers],[1]:[10]],0)+1,0)</f>
        <v>2500</v>
      </c>
      <c r="J290" s="5">
        <v>24</v>
      </c>
      <c r="K290" s="27">
        <v>1</v>
      </c>
      <c r="L290" s="37">
        <f>IF(表1_11[[#This Row],[出勤率]]&gt;1,1,表1_11[[#This Row],[出勤率]])*表1_11[[#This Row],[岗位工资]]</f>
        <v>2500</v>
      </c>
      <c r="M290" s="5">
        <f>LOOKUP(表1_11[[#This Row],[岗位工资]],表13[lookup],表13[奖金比率])*表1_11[[#This Row],[岗位工资]]</f>
        <v>250</v>
      </c>
      <c r="N290" s="5">
        <v>83</v>
      </c>
      <c r="O290" s="38">
        <f>表1_11[[#This Row],[奖金等级]]*表1_11[[#This Row],[绩效得分]]/100</f>
        <v>207.5</v>
      </c>
      <c r="P290" s="5">
        <f>IF(表1_11[[#This Row],[出勤率]]&gt;=1,200,0)</f>
        <v>200</v>
      </c>
      <c r="Q290" s="23">
        <f t="shared" ca="1" si="4"/>
        <v>450</v>
      </c>
      <c r="R290" s="23">
        <f>IF(表1_11[[#This Row],[中心]]="营销中心",VLOOKUP(表1_11[[#This Row],[职位]],表2[[话费补贴]:[营销中心]],2,0),VLOOKUP(表1_11[[#This Row],[职位]],表2[],3,0))</f>
        <v>0</v>
      </c>
      <c r="S290" s="23">
        <v>200</v>
      </c>
      <c r="T290" s="61">
        <f ca="1">ROUND(SUM(表1_11[[#This Row],[基本工资]],表1_11[[#This Row],[奖金]],表1_11[[#This Row],[全勤奖]:[防暑降温补贴]]),2)</f>
        <v>3557.5</v>
      </c>
      <c r="U290" s="62">
        <f ca="1">ROUND(表1_11[[#This Row],[税前应发总额]]*8%,2)</f>
        <v>284.60000000000002</v>
      </c>
      <c r="V290" s="62">
        <f ca="1">ROUND(表1_11[[#This Row],[税前应发总额]]*2%+3,2)</f>
        <v>74.150000000000006</v>
      </c>
      <c r="W290" s="62">
        <f ca="1">ROUND(表1_11[[#This Row],[税前应发总额]]*0.2%,2)</f>
        <v>7.12</v>
      </c>
      <c r="X290" s="62">
        <f ca="1">ROUND(表1_11[[#This Row],[税前应发总额]]*12%,2)</f>
        <v>426.9</v>
      </c>
      <c r="Y290" s="61">
        <f ca="1">ROUND(表1_11[[#This Row],[税前应发总额]]-SUM(表1_11[[#This Row],[养老保险]:[公积金]]),2)</f>
        <v>2764.73</v>
      </c>
      <c r="Z290" s="62">
        <f ca="1">ROUND(MAX((表1_11[[#This Row],[扣保险后工资金额]]-3500)*{3,10,20,25,30,35,45}%-{0,105,555,1005,2755,5505,13505},0),2)</f>
        <v>0</v>
      </c>
      <c r="AA290" s="63">
        <f ca="1">表1_11[[#This Row],[扣保险后工资金额]]-表1_11[[#This Row],[个人所得税]]</f>
        <v>2764.73</v>
      </c>
      <c r="AB290" s="53">
        <v>2966.91</v>
      </c>
      <c r="AC290" s="64">
        <f ca="1">(表1_11[[#This Row],[实发工资]]-表1_11[[#This Row],[上月对比]])/表1_11[[#This Row],[上月对比]]</f>
        <v>-6.814497237867001E-2</v>
      </c>
      <c r="AD290" s="65" t="s">
        <v>1587</v>
      </c>
    </row>
    <row r="291" spans="1:30">
      <c r="A291" s="42" t="s">
        <v>577</v>
      </c>
      <c r="B291" s="42" t="s">
        <v>725</v>
      </c>
      <c r="C291" s="40" t="s">
        <v>745</v>
      </c>
      <c r="D291" s="40" t="s">
        <v>746</v>
      </c>
      <c r="E291" s="41" t="s">
        <v>1301</v>
      </c>
      <c r="F291" s="5" t="s">
        <v>287</v>
      </c>
      <c r="G291" s="25">
        <v>40802</v>
      </c>
      <c r="H291" s="5" t="s">
        <v>622</v>
      </c>
      <c r="I291" s="5">
        <f>VLOOKUP(MID(表1_11[[#This Row],[工资等级]],1,1),表12[],MATCH(MID(表1_11[[#This Row],[工资等级]],2,2),表12[[#Headers],[1]:[10]],0)+1,0)</f>
        <v>3600</v>
      </c>
      <c r="J291" s="5">
        <v>22.5</v>
      </c>
      <c r="K291" s="27">
        <v>0.9375</v>
      </c>
      <c r="L291" s="37">
        <f>IF(表1_11[[#This Row],[出勤率]]&gt;1,1,表1_11[[#This Row],[出勤率]])*表1_11[[#This Row],[岗位工资]]</f>
        <v>3375</v>
      </c>
      <c r="M291" s="5">
        <f>LOOKUP(表1_11[[#This Row],[岗位工资]],表13[lookup],表13[奖金比率])*表1_11[[#This Row],[岗位工资]]</f>
        <v>360</v>
      </c>
      <c r="N291" s="5">
        <v>92</v>
      </c>
      <c r="O291" s="38">
        <f>表1_11[[#This Row],[奖金等级]]*表1_11[[#This Row],[绩效得分]]/100</f>
        <v>331.2</v>
      </c>
      <c r="P291" s="5">
        <f>IF(表1_11[[#This Row],[出勤率]]&gt;=1,200,0)</f>
        <v>0</v>
      </c>
      <c r="Q291" s="23">
        <f t="shared" ca="1" si="4"/>
        <v>300</v>
      </c>
      <c r="R291" s="23">
        <f>IF(表1_11[[#This Row],[中心]]="营销中心",VLOOKUP(表1_11[[#This Row],[职位]],表2[[话费补贴]:[营销中心]],2,0),VLOOKUP(表1_11[[#This Row],[职位]],表2[],3,0))</f>
        <v>0</v>
      </c>
      <c r="S291" s="23">
        <v>200</v>
      </c>
      <c r="T291" s="61">
        <f ca="1">ROUND(SUM(表1_11[[#This Row],[基本工资]],表1_11[[#This Row],[奖金]],表1_11[[#This Row],[全勤奖]:[防暑降温补贴]]),2)</f>
        <v>4206.2</v>
      </c>
      <c r="U291" s="62">
        <f ca="1">ROUND(表1_11[[#This Row],[税前应发总额]]*8%,2)</f>
        <v>336.5</v>
      </c>
      <c r="V291" s="62">
        <f ca="1">ROUND(表1_11[[#This Row],[税前应发总额]]*2%+3,2)</f>
        <v>87.12</v>
      </c>
      <c r="W291" s="62">
        <f ca="1">ROUND(表1_11[[#This Row],[税前应发总额]]*0.2%,2)</f>
        <v>8.41</v>
      </c>
      <c r="X291" s="62">
        <f ca="1">ROUND(表1_11[[#This Row],[税前应发总额]]*12%,2)</f>
        <v>504.74</v>
      </c>
      <c r="Y291" s="61">
        <f ca="1">ROUND(表1_11[[#This Row],[税前应发总额]]-SUM(表1_11[[#This Row],[养老保险]:[公积金]]),2)</f>
        <v>3269.43</v>
      </c>
      <c r="Z291" s="62">
        <f ca="1">ROUND(MAX((表1_11[[#This Row],[扣保险后工资金额]]-3500)*{3,10,20,25,30,35,45}%-{0,105,555,1005,2755,5505,13505},0),2)</f>
        <v>0</v>
      </c>
      <c r="AA291" s="63">
        <f ca="1">表1_11[[#This Row],[扣保险后工资金额]]-表1_11[[#This Row],[个人所得税]]</f>
        <v>3269.43</v>
      </c>
      <c r="AB291" s="53">
        <v>2717.37</v>
      </c>
      <c r="AC291" s="64">
        <f ca="1">(表1_11[[#This Row],[实发工资]]-表1_11[[#This Row],[上月对比]])/表1_11[[#This Row],[上月对比]]</f>
        <v>0.20315967277183453</v>
      </c>
      <c r="AD291" s="65" t="s">
        <v>1587</v>
      </c>
    </row>
    <row r="292" spans="1:30">
      <c r="A292" s="42" t="s">
        <v>577</v>
      </c>
      <c r="B292" s="42" t="s">
        <v>725</v>
      </c>
      <c r="C292" s="40" t="s">
        <v>743</v>
      </c>
      <c r="D292" s="40" t="s">
        <v>744</v>
      </c>
      <c r="E292" s="41" t="s">
        <v>1302</v>
      </c>
      <c r="F292" s="5" t="s">
        <v>288</v>
      </c>
      <c r="G292" s="25">
        <v>42298</v>
      </c>
      <c r="H292" s="5" t="s">
        <v>612</v>
      </c>
      <c r="I292" s="5">
        <f>VLOOKUP(MID(表1_11[[#This Row],[工资等级]],1,1),表12[],MATCH(MID(表1_11[[#This Row],[工资等级]],2,2),表12[[#Headers],[1]:[10]],0)+1,0)</f>
        <v>2700</v>
      </c>
      <c r="J292" s="5">
        <v>26.5</v>
      </c>
      <c r="K292" s="27">
        <v>1.1041666666666667</v>
      </c>
      <c r="L292" s="37">
        <f>IF(表1_11[[#This Row],[出勤率]]&gt;1,1,表1_11[[#This Row],[出勤率]])*表1_11[[#This Row],[岗位工资]]</f>
        <v>2700</v>
      </c>
      <c r="M292" s="5">
        <f>LOOKUP(表1_11[[#This Row],[岗位工资]],表13[lookup],表13[奖金比率])*表1_11[[#This Row],[岗位工资]]</f>
        <v>270</v>
      </c>
      <c r="N292" s="5">
        <v>90</v>
      </c>
      <c r="O292" s="38">
        <f>表1_11[[#This Row],[奖金等级]]*表1_11[[#This Row],[绩效得分]]/100</f>
        <v>243</v>
      </c>
      <c r="P292" s="5">
        <f>IF(表1_11[[#This Row],[出勤率]]&gt;=1,200,0)</f>
        <v>200</v>
      </c>
      <c r="Q292" s="23">
        <f t="shared" ca="1" si="4"/>
        <v>100</v>
      </c>
      <c r="R292" s="23">
        <f>IF(表1_11[[#This Row],[中心]]="营销中心",VLOOKUP(表1_11[[#This Row],[职位]],表2[[话费补贴]:[营销中心]],2,0),VLOOKUP(表1_11[[#This Row],[职位]],表2[],3,0))</f>
        <v>0</v>
      </c>
      <c r="S292" s="23">
        <v>200</v>
      </c>
      <c r="T292" s="61">
        <f ca="1">ROUND(SUM(表1_11[[#This Row],[基本工资]],表1_11[[#This Row],[奖金]],表1_11[[#This Row],[全勤奖]:[防暑降温补贴]]),2)</f>
        <v>3443</v>
      </c>
      <c r="U292" s="62">
        <f ca="1">ROUND(表1_11[[#This Row],[税前应发总额]]*8%,2)</f>
        <v>275.44</v>
      </c>
      <c r="V292" s="62">
        <f ca="1">ROUND(表1_11[[#This Row],[税前应发总额]]*2%+3,2)</f>
        <v>71.86</v>
      </c>
      <c r="W292" s="62">
        <f ca="1">ROUND(表1_11[[#This Row],[税前应发总额]]*0.2%,2)</f>
        <v>6.89</v>
      </c>
      <c r="X292" s="62">
        <f ca="1">ROUND(表1_11[[#This Row],[税前应发总额]]*12%,2)</f>
        <v>413.16</v>
      </c>
      <c r="Y292" s="61">
        <f ca="1">ROUND(表1_11[[#This Row],[税前应发总额]]-SUM(表1_11[[#This Row],[养老保险]:[公积金]]),2)</f>
        <v>2675.65</v>
      </c>
      <c r="Z292" s="62">
        <f ca="1">ROUND(MAX((表1_11[[#This Row],[扣保险后工资金额]]-3500)*{3,10,20,25,30,35,45}%-{0,105,555,1005,2755,5505,13505},0),2)</f>
        <v>0</v>
      </c>
      <c r="AA292" s="63">
        <f ca="1">表1_11[[#This Row],[扣保险后工资金额]]-表1_11[[#This Row],[个人所得税]]</f>
        <v>2675.65</v>
      </c>
      <c r="AB292" s="53">
        <v>2388.1999999999998</v>
      </c>
      <c r="AC292" s="64">
        <f ca="1">(表1_11[[#This Row],[实发工资]]-表1_11[[#This Row],[上月对比]])/表1_11[[#This Row],[上月对比]]</f>
        <v>0.12036261619629859</v>
      </c>
      <c r="AD292" s="65" t="s">
        <v>1587</v>
      </c>
    </row>
    <row r="293" spans="1:30">
      <c r="A293" s="42" t="s">
        <v>577</v>
      </c>
      <c r="B293" s="42" t="s">
        <v>725</v>
      </c>
      <c r="C293" s="40" t="s">
        <v>745</v>
      </c>
      <c r="D293" s="40" t="s">
        <v>746</v>
      </c>
      <c r="E293" s="41" t="s">
        <v>1303</v>
      </c>
      <c r="F293" s="5" t="s">
        <v>289</v>
      </c>
      <c r="G293" s="25">
        <v>41454</v>
      </c>
      <c r="H293" s="5" t="s">
        <v>624</v>
      </c>
      <c r="I293" s="5">
        <f>VLOOKUP(MID(表1_11[[#This Row],[工资等级]],1,1),表12[],MATCH(MID(表1_11[[#This Row],[工资等级]],2,2),表12[[#Headers],[1]:[10]],0)+1,0)</f>
        <v>2800</v>
      </c>
      <c r="J293" s="5">
        <v>25</v>
      </c>
      <c r="K293" s="27">
        <v>1.0416666666666667</v>
      </c>
      <c r="L293" s="37">
        <f>IF(表1_11[[#This Row],[出勤率]]&gt;1,1,表1_11[[#This Row],[出勤率]])*表1_11[[#This Row],[岗位工资]]</f>
        <v>2800</v>
      </c>
      <c r="M293" s="5">
        <f>LOOKUP(表1_11[[#This Row],[岗位工资]],表13[lookup],表13[奖金比率])*表1_11[[#This Row],[岗位工资]]</f>
        <v>280</v>
      </c>
      <c r="N293" s="5">
        <v>79</v>
      </c>
      <c r="O293" s="38">
        <f>表1_11[[#This Row],[奖金等级]]*表1_11[[#This Row],[绩效得分]]/100</f>
        <v>221.2</v>
      </c>
      <c r="P293" s="5">
        <f>IF(表1_11[[#This Row],[出勤率]]&gt;=1,200,0)</f>
        <v>200</v>
      </c>
      <c r="Q293" s="23">
        <f t="shared" ca="1" si="4"/>
        <v>200</v>
      </c>
      <c r="R293" s="23">
        <f>IF(表1_11[[#This Row],[中心]]="营销中心",VLOOKUP(表1_11[[#This Row],[职位]],表2[[话费补贴]:[营销中心]],2,0),VLOOKUP(表1_11[[#This Row],[职位]],表2[],3,0))</f>
        <v>0</v>
      </c>
      <c r="S293" s="23">
        <v>200</v>
      </c>
      <c r="T293" s="61">
        <f ca="1">ROUND(SUM(表1_11[[#This Row],[基本工资]],表1_11[[#This Row],[奖金]],表1_11[[#This Row],[全勤奖]:[防暑降温补贴]]),2)</f>
        <v>3621.2</v>
      </c>
      <c r="U293" s="62">
        <f ca="1">ROUND(表1_11[[#This Row],[税前应发总额]]*8%,2)</f>
        <v>289.7</v>
      </c>
      <c r="V293" s="62">
        <f ca="1">ROUND(表1_11[[#This Row],[税前应发总额]]*2%+3,2)</f>
        <v>75.42</v>
      </c>
      <c r="W293" s="62">
        <f ca="1">ROUND(表1_11[[#This Row],[税前应发总额]]*0.2%,2)</f>
        <v>7.24</v>
      </c>
      <c r="X293" s="62">
        <f ca="1">ROUND(表1_11[[#This Row],[税前应发总额]]*12%,2)</f>
        <v>434.54</v>
      </c>
      <c r="Y293" s="61">
        <f ca="1">ROUND(表1_11[[#This Row],[税前应发总额]]-SUM(表1_11[[#This Row],[养老保险]:[公积金]]),2)</f>
        <v>2814.3</v>
      </c>
      <c r="Z293" s="62">
        <f ca="1">ROUND(MAX((表1_11[[#This Row],[扣保险后工资金额]]-3500)*{3,10,20,25,30,35,45}%-{0,105,555,1005,2755,5505,13505},0),2)</f>
        <v>0</v>
      </c>
      <c r="AA293" s="63">
        <f ca="1">表1_11[[#This Row],[扣保险后工资金额]]-表1_11[[#This Row],[个人所得税]]</f>
        <v>2814.3</v>
      </c>
      <c r="AB293" s="53">
        <v>2575.41</v>
      </c>
      <c r="AC293" s="64">
        <f ca="1">(表1_11[[#This Row],[实发工资]]-表1_11[[#This Row],[上月对比]])/表1_11[[#This Row],[上月对比]]</f>
        <v>9.2758046291658541E-2</v>
      </c>
      <c r="AD293" s="65" t="s">
        <v>1587</v>
      </c>
    </row>
    <row r="294" spans="1:30">
      <c r="A294" s="42" t="s">
        <v>577</v>
      </c>
      <c r="B294" s="42" t="s">
        <v>725</v>
      </c>
      <c r="C294" s="40" t="s">
        <v>743</v>
      </c>
      <c r="D294" s="40" t="s">
        <v>744</v>
      </c>
      <c r="E294" s="41" t="s">
        <v>1304</v>
      </c>
      <c r="F294" s="5" t="s">
        <v>290</v>
      </c>
      <c r="G294" s="25">
        <v>42456</v>
      </c>
      <c r="H294" s="5" t="s">
        <v>623</v>
      </c>
      <c r="I294" s="5">
        <f>VLOOKUP(MID(表1_11[[#This Row],[工资等级]],1,1),表12[],MATCH(MID(表1_11[[#This Row],[工资等级]],2,2),表12[[#Headers],[1]:[10]],0)+1,0)</f>
        <v>3800</v>
      </c>
      <c r="J294" s="5">
        <v>26.5</v>
      </c>
      <c r="K294" s="27">
        <v>1.1041666666666667</v>
      </c>
      <c r="L294" s="37">
        <f>IF(表1_11[[#This Row],[出勤率]]&gt;1,1,表1_11[[#This Row],[出勤率]])*表1_11[[#This Row],[岗位工资]]</f>
        <v>3800</v>
      </c>
      <c r="M294" s="5">
        <f>LOOKUP(表1_11[[#This Row],[岗位工资]],表13[lookup],表13[奖金比率])*表1_11[[#This Row],[岗位工资]]</f>
        <v>380</v>
      </c>
      <c r="N294" s="5">
        <v>86</v>
      </c>
      <c r="O294" s="38">
        <f>表1_11[[#This Row],[奖金等级]]*表1_11[[#This Row],[绩效得分]]/100</f>
        <v>326.8</v>
      </c>
      <c r="P294" s="5">
        <f>IF(表1_11[[#This Row],[出勤率]]&gt;=1,200,0)</f>
        <v>200</v>
      </c>
      <c r="Q294" s="23">
        <f t="shared" ca="1" si="4"/>
        <v>50</v>
      </c>
      <c r="R294" s="23">
        <f>IF(表1_11[[#This Row],[中心]]="营销中心",VLOOKUP(表1_11[[#This Row],[职位]],表2[[话费补贴]:[营销中心]],2,0),VLOOKUP(表1_11[[#This Row],[职位]],表2[],3,0))</f>
        <v>0</v>
      </c>
      <c r="S294" s="23">
        <v>200</v>
      </c>
      <c r="T294" s="61">
        <f ca="1">ROUND(SUM(表1_11[[#This Row],[基本工资]],表1_11[[#This Row],[奖金]],表1_11[[#This Row],[全勤奖]:[防暑降温补贴]]),2)</f>
        <v>4576.8</v>
      </c>
      <c r="U294" s="62">
        <f ca="1">ROUND(表1_11[[#This Row],[税前应发总额]]*8%,2)</f>
        <v>366.14</v>
      </c>
      <c r="V294" s="62">
        <f ca="1">ROUND(表1_11[[#This Row],[税前应发总额]]*2%+3,2)</f>
        <v>94.54</v>
      </c>
      <c r="W294" s="62">
        <f ca="1">ROUND(表1_11[[#This Row],[税前应发总额]]*0.2%,2)</f>
        <v>9.15</v>
      </c>
      <c r="X294" s="62">
        <f ca="1">ROUND(表1_11[[#This Row],[税前应发总额]]*12%,2)</f>
        <v>549.22</v>
      </c>
      <c r="Y294" s="61">
        <f ca="1">ROUND(表1_11[[#This Row],[税前应发总额]]-SUM(表1_11[[#This Row],[养老保险]:[公积金]]),2)</f>
        <v>3557.75</v>
      </c>
      <c r="Z294" s="62">
        <f ca="1">ROUND(MAX((表1_11[[#This Row],[扣保险后工资金额]]-3500)*{3,10,20,25,30,35,45}%-{0,105,555,1005,2755,5505,13505},0),2)</f>
        <v>1.73</v>
      </c>
      <c r="AA294" s="63">
        <f ca="1">表1_11[[#This Row],[扣保险后工资金额]]-表1_11[[#This Row],[个人所得税]]</f>
        <v>3556.02</v>
      </c>
      <c r="AB294" s="53">
        <v>3468.81</v>
      </c>
      <c r="AC294" s="64">
        <f ca="1">(表1_11[[#This Row],[实发工资]]-表1_11[[#This Row],[上月对比]])/表1_11[[#This Row],[上月对比]]</f>
        <v>2.5141186747040061E-2</v>
      </c>
      <c r="AD294" s="65" t="s">
        <v>1587</v>
      </c>
    </row>
    <row r="295" spans="1:30">
      <c r="A295" s="42" t="s">
        <v>577</v>
      </c>
      <c r="B295" s="42" t="s">
        <v>725</v>
      </c>
      <c r="C295" s="40" t="s">
        <v>745</v>
      </c>
      <c r="D295" s="40" t="s">
        <v>746</v>
      </c>
      <c r="E295" s="41" t="s">
        <v>1305</v>
      </c>
      <c r="F295" s="5" t="s">
        <v>291</v>
      </c>
      <c r="G295" s="25">
        <v>38702</v>
      </c>
      <c r="H295" s="5" t="s">
        <v>657</v>
      </c>
      <c r="I295" s="5">
        <f>VLOOKUP(MID(表1_11[[#This Row],[工资等级]],1,1),表12[],MATCH(MID(表1_11[[#This Row],[工资等级]],2,2),表12[[#Headers],[1]:[10]],0)+1,0)</f>
        <v>4000</v>
      </c>
      <c r="J295" s="5">
        <v>27</v>
      </c>
      <c r="K295" s="27">
        <v>1.125</v>
      </c>
      <c r="L295" s="37">
        <f>IF(表1_11[[#This Row],[出勤率]]&gt;1,1,表1_11[[#This Row],[出勤率]])*表1_11[[#This Row],[岗位工资]]</f>
        <v>4000</v>
      </c>
      <c r="M295" s="5">
        <f>LOOKUP(表1_11[[#This Row],[岗位工资]],表13[lookup],表13[奖金比率])*表1_11[[#This Row],[岗位工资]]</f>
        <v>600</v>
      </c>
      <c r="N295" s="5">
        <v>81</v>
      </c>
      <c r="O295" s="38">
        <f>表1_11[[#This Row],[奖金等级]]*表1_11[[#This Row],[绩效得分]]/100</f>
        <v>486</v>
      </c>
      <c r="P295" s="5">
        <f>IF(表1_11[[#This Row],[出勤率]]&gt;=1,200,0)</f>
        <v>200</v>
      </c>
      <c r="Q295" s="23">
        <f t="shared" ca="1" si="4"/>
        <v>500</v>
      </c>
      <c r="R295" s="23">
        <f>IF(表1_11[[#This Row],[中心]]="营销中心",VLOOKUP(表1_11[[#This Row],[职位]],表2[[话费补贴]:[营销中心]],2,0),VLOOKUP(表1_11[[#This Row],[职位]],表2[],3,0))</f>
        <v>0</v>
      </c>
      <c r="S295" s="23">
        <v>200</v>
      </c>
      <c r="T295" s="61">
        <f ca="1">ROUND(SUM(表1_11[[#This Row],[基本工资]],表1_11[[#This Row],[奖金]],表1_11[[#This Row],[全勤奖]:[防暑降温补贴]]),2)</f>
        <v>5386</v>
      </c>
      <c r="U295" s="62">
        <f ca="1">ROUND(表1_11[[#This Row],[税前应发总额]]*8%,2)</f>
        <v>430.88</v>
      </c>
      <c r="V295" s="62">
        <f ca="1">ROUND(表1_11[[#This Row],[税前应发总额]]*2%+3,2)</f>
        <v>110.72</v>
      </c>
      <c r="W295" s="62">
        <f ca="1">ROUND(表1_11[[#This Row],[税前应发总额]]*0.2%,2)</f>
        <v>10.77</v>
      </c>
      <c r="X295" s="62">
        <f ca="1">ROUND(表1_11[[#This Row],[税前应发总额]]*12%,2)</f>
        <v>646.32000000000005</v>
      </c>
      <c r="Y295" s="61">
        <f ca="1">ROUND(表1_11[[#This Row],[税前应发总额]]-SUM(表1_11[[#This Row],[养老保险]:[公积金]]),2)</f>
        <v>4187.3100000000004</v>
      </c>
      <c r="Z295" s="62">
        <f ca="1">ROUND(MAX((表1_11[[#This Row],[扣保险后工资金额]]-3500)*{3,10,20,25,30,35,45}%-{0,105,555,1005,2755,5505,13505},0),2)</f>
        <v>20.62</v>
      </c>
      <c r="AA295" s="63">
        <f ca="1">表1_11[[#This Row],[扣保险后工资金额]]-表1_11[[#This Row],[个人所得税]]</f>
        <v>4166.6900000000005</v>
      </c>
      <c r="AB295" s="53">
        <v>4959.79</v>
      </c>
      <c r="AC295" s="64">
        <f ca="1">(表1_11[[#This Row],[实发工资]]-表1_11[[#This Row],[上月对比]])/表1_11[[#This Row],[上月对比]]</f>
        <v>-0.15990596376056235</v>
      </c>
      <c r="AD295" s="65" t="s">
        <v>1587</v>
      </c>
    </row>
    <row r="296" spans="1:30">
      <c r="A296" s="42" t="s">
        <v>577</v>
      </c>
      <c r="B296" s="42" t="s">
        <v>725</v>
      </c>
      <c r="C296" s="40" t="s">
        <v>743</v>
      </c>
      <c r="D296" s="40" t="s">
        <v>744</v>
      </c>
      <c r="E296" s="41" t="s">
        <v>1306</v>
      </c>
      <c r="F296" s="5" t="s">
        <v>292</v>
      </c>
      <c r="G296" s="25">
        <v>42102</v>
      </c>
      <c r="H296" s="5" t="s">
        <v>624</v>
      </c>
      <c r="I296" s="5">
        <f>VLOOKUP(MID(表1_11[[#This Row],[工资等级]],1,1),表12[],MATCH(MID(表1_11[[#This Row],[工资等级]],2,2),表12[[#Headers],[1]:[10]],0)+1,0)</f>
        <v>2800</v>
      </c>
      <c r="J296" s="5">
        <v>21</v>
      </c>
      <c r="K296" s="27">
        <v>0.875</v>
      </c>
      <c r="L296" s="37">
        <f>IF(表1_11[[#This Row],[出勤率]]&gt;1,1,表1_11[[#This Row],[出勤率]])*表1_11[[#This Row],[岗位工资]]</f>
        <v>2450</v>
      </c>
      <c r="M296" s="5">
        <f>LOOKUP(表1_11[[#This Row],[岗位工资]],表13[lookup],表13[奖金比率])*表1_11[[#This Row],[岗位工资]]</f>
        <v>280</v>
      </c>
      <c r="N296" s="5">
        <v>89</v>
      </c>
      <c r="O296" s="38">
        <f>表1_11[[#This Row],[奖金等级]]*表1_11[[#This Row],[绩效得分]]/100</f>
        <v>249.2</v>
      </c>
      <c r="P296" s="5">
        <f>IF(表1_11[[#This Row],[出勤率]]&gt;=1,200,0)</f>
        <v>0</v>
      </c>
      <c r="Q296" s="23">
        <f t="shared" ca="1" si="4"/>
        <v>100</v>
      </c>
      <c r="R296" s="23">
        <f>IF(表1_11[[#This Row],[中心]]="营销中心",VLOOKUP(表1_11[[#This Row],[职位]],表2[[话费补贴]:[营销中心]],2,0),VLOOKUP(表1_11[[#This Row],[职位]],表2[],3,0))</f>
        <v>0</v>
      </c>
      <c r="S296" s="23">
        <v>200</v>
      </c>
      <c r="T296" s="61">
        <f ca="1">ROUND(SUM(表1_11[[#This Row],[基本工资]],表1_11[[#This Row],[奖金]],表1_11[[#This Row],[全勤奖]:[防暑降温补贴]]),2)</f>
        <v>2999.2</v>
      </c>
      <c r="U296" s="62">
        <f ca="1">ROUND(表1_11[[#This Row],[税前应发总额]]*8%,2)</f>
        <v>239.94</v>
      </c>
      <c r="V296" s="62">
        <f ca="1">ROUND(表1_11[[#This Row],[税前应发总额]]*2%+3,2)</f>
        <v>62.98</v>
      </c>
      <c r="W296" s="62">
        <f ca="1">ROUND(表1_11[[#This Row],[税前应发总额]]*0.2%,2)</f>
        <v>6</v>
      </c>
      <c r="X296" s="62">
        <f ca="1">ROUND(表1_11[[#This Row],[税前应发总额]]*12%,2)</f>
        <v>359.9</v>
      </c>
      <c r="Y296" s="61">
        <f ca="1">ROUND(表1_11[[#This Row],[税前应发总额]]-SUM(表1_11[[#This Row],[养老保险]:[公积金]]),2)</f>
        <v>2330.38</v>
      </c>
      <c r="Z296" s="62">
        <f ca="1">ROUND(MAX((表1_11[[#This Row],[扣保险后工资金额]]-3500)*{3,10,20,25,30,35,45}%-{0,105,555,1005,2755,5505,13505},0),2)</f>
        <v>0</v>
      </c>
      <c r="AA296" s="63">
        <f ca="1">表1_11[[#This Row],[扣保险后工资金额]]-表1_11[[#This Row],[个人所得税]]</f>
        <v>2330.38</v>
      </c>
      <c r="AB296" s="53">
        <v>2125.91</v>
      </c>
      <c r="AC296" s="64">
        <f ca="1">(表1_11[[#This Row],[实发工资]]-表1_11[[#This Row],[上月对比]])/表1_11[[#This Row],[上月对比]]</f>
        <v>9.6179988804794309E-2</v>
      </c>
      <c r="AD296" s="65" t="s">
        <v>1587</v>
      </c>
    </row>
    <row r="297" spans="1:30">
      <c r="A297" s="42" t="s">
        <v>577</v>
      </c>
      <c r="B297" s="42" t="s">
        <v>725</v>
      </c>
      <c r="C297" s="40" t="s">
        <v>745</v>
      </c>
      <c r="D297" s="40" t="s">
        <v>746</v>
      </c>
      <c r="E297" s="41" t="s">
        <v>1307</v>
      </c>
      <c r="F297" s="5" t="s">
        <v>293</v>
      </c>
      <c r="G297" s="25">
        <v>38774</v>
      </c>
      <c r="H297" s="5" t="s">
        <v>657</v>
      </c>
      <c r="I297" s="5">
        <f>VLOOKUP(MID(表1_11[[#This Row],[工资等级]],1,1),表12[],MATCH(MID(表1_11[[#This Row],[工资等级]],2,2),表12[[#Headers],[1]:[10]],0)+1,0)</f>
        <v>4000</v>
      </c>
      <c r="J297" s="5">
        <v>23.5</v>
      </c>
      <c r="K297" s="27">
        <v>0.97916666666666663</v>
      </c>
      <c r="L297" s="37">
        <f>IF(表1_11[[#This Row],[出勤率]]&gt;1,1,表1_11[[#This Row],[出勤率]])*表1_11[[#This Row],[岗位工资]]</f>
        <v>3916.6666666666665</v>
      </c>
      <c r="M297" s="5">
        <f>LOOKUP(表1_11[[#This Row],[岗位工资]],表13[lookup],表13[奖金比率])*表1_11[[#This Row],[岗位工资]]</f>
        <v>600</v>
      </c>
      <c r="N297" s="5">
        <v>86</v>
      </c>
      <c r="O297" s="38">
        <f>表1_11[[#This Row],[奖金等级]]*表1_11[[#This Row],[绩效得分]]/100</f>
        <v>516</v>
      </c>
      <c r="P297" s="5">
        <f>IF(表1_11[[#This Row],[出勤率]]&gt;=1,200,0)</f>
        <v>0</v>
      </c>
      <c r="Q297" s="23">
        <f t="shared" ca="1" si="4"/>
        <v>500</v>
      </c>
      <c r="R297" s="23">
        <f>IF(表1_11[[#This Row],[中心]]="营销中心",VLOOKUP(表1_11[[#This Row],[职位]],表2[[话费补贴]:[营销中心]],2,0),VLOOKUP(表1_11[[#This Row],[职位]],表2[],3,0))</f>
        <v>0</v>
      </c>
      <c r="S297" s="23">
        <v>200</v>
      </c>
      <c r="T297" s="61">
        <f ca="1">ROUND(SUM(表1_11[[#This Row],[基本工资]],表1_11[[#This Row],[奖金]],表1_11[[#This Row],[全勤奖]:[防暑降温补贴]]),2)</f>
        <v>5132.67</v>
      </c>
      <c r="U297" s="62">
        <f ca="1">ROUND(表1_11[[#This Row],[税前应发总额]]*8%,2)</f>
        <v>410.61</v>
      </c>
      <c r="V297" s="62">
        <f ca="1">ROUND(表1_11[[#This Row],[税前应发总额]]*2%+3,2)</f>
        <v>105.65</v>
      </c>
      <c r="W297" s="62">
        <f ca="1">ROUND(表1_11[[#This Row],[税前应发总额]]*0.2%,2)</f>
        <v>10.27</v>
      </c>
      <c r="X297" s="62">
        <f ca="1">ROUND(表1_11[[#This Row],[税前应发总额]]*12%,2)</f>
        <v>615.91999999999996</v>
      </c>
      <c r="Y297" s="61">
        <f ca="1">ROUND(表1_11[[#This Row],[税前应发总额]]-SUM(表1_11[[#This Row],[养老保险]:[公积金]]),2)</f>
        <v>3990.22</v>
      </c>
      <c r="Z297" s="62">
        <f ca="1">ROUND(MAX((表1_11[[#This Row],[扣保险后工资金额]]-3500)*{3,10,20,25,30,35,45}%-{0,105,555,1005,2755,5505,13505},0),2)</f>
        <v>14.71</v>
      </c>
      <c r="AA297" s="63">
        <f ca="1">表1_11[[#This Row],[扣保险后工资金额]]-表1_11[[#This Row],[个人所得税]]</f>
        <v>3975.5099999999998</v>
      </c>
      <c r="AB297" s="53">
        <v>4683.1400000000003</v>
      </c>
      <c r="AC297" s="64">
        <f ca="1">(表1_11[[#This Row],[实发工资]]-表1_11[[#This Row],[上月对比]])/表1_11[[#This Row],[上月对比]]</f>
        <v>-0.15110161131206851</v>
      </c>
      <c r="AD297" s="65" t="s">
        <v>1587</v>
      </c>
    </row>
    <row r="298" spans="1:30">
      <c r="A298" s="42" t="s">
        <v>577</v>
      </c>
      <c r="B298" s="42" t="s">
        <v>725</v>
      </c>
      <c r="C298" s="40" t="s">
        <v>747</v>
      </c>
      <c r="D298" s="40" t="s">
        <v>748</v>
      </c>
      <c r="E298" s="41" t="s">
        <v>1308</v>
      </c>
      <c r="F298" s="5" t="s">
        <v>294</v>
      </c>
      <c r="G298" s="25">
        <v>41595</v>
      </c>
      <c r="H298" s="5" t="s">
        <v>612</v>
      </c>
      <c r="I298" s="5">
        <f>VLOOKUP(MID(表1_11[[#This Row],[工资等级]],1,1),表12[],MATCH(MID(表1_11[[#This Row],[工资等级]],2,2),表12[[#Headers],[1]:[10]],0)+1,0)</f>
        <v>2700</v>
      </c>
      <c r="J298" s="5">
        <v>20.5</v>
      </c>
      <c r="K298" s="27">
        <v>0.85416666666666663</v>
      </c>
      <c r="L298" s="37">
        <f>IF(表1_11[[#This Row],[出勤率]]&gt;1,1,表1_11[[#This Row],[出勤率]])*表1_11[[#This Row],[岗位工资]]</f>
        <v>2306.25</v>
      </c>
      <c r="M298" s="5">
        <f>LOOKUP(表1_11[[#This Row],[岗位工资]],表13[lookup],表13[奖金比率])*表1_11[[#This Row],[岗位工资]]</f>
        <v>270</v>
      </c>
      <c r="N298" s="5">
        <v>83</v>
      </c>
      <c r="O298" s="38">
        <f>表1_11[[#This Row],[奖金等级]]*表1_11[[#This Row],[绩效得分]]/100</f>
        <v>224.1</v>
      </c>
      <c r="P298" s="5">
        <f>IF(表1_11[[#This Row],[出勤率]]&gt;=1,200,0)</f>
        <v>0</v>
      </c>
      <c r="Q298" s="23">
        <f t="shared" ca="1" si="4"/>
        <v>200</v>
      </c>
      <c r="R298" s="23">
        <f>IF(表1_11[[#This Row],[中心]]="营销中心",VLOOKUP(表1_11[[#This Row],[职位]],表2[[话费补贴]:[营销中心]],2,0),VLOOKUP(表1_11[[#This Row],[职位]],表2[],3,0))</f>
        <v>0</v>
      </c>
      <c r="S298" s="23">
        <v>200</v>
      </c>
      <c r="T298" s="61">
        <f ca="1">ROUND(SUM(表1_11[[#This Row],[基本工资]],表1_11[[#This Row],[奖金]],表1_11[[#This Row],[全勤奖]:[防暑降温补贴]]),2)</f>
        <v>2930.35</v>
      </c>
      <c r="U298" s="62">
        <f ca="1">ROUND(表1_11[[#This Row],[税前应发总额]]*8%,2)</f>
        <v>234.43</v>
      </c>
      <c r="V298" s="62">
        <f ca="1">ROUND(表1_11[[#This Row],[税前应发总额]]*2%+3,2)</f>
        <v>61.61</v>
      </c>
      <c r="W298" s="62">
        <f ca="1">ROUND(表1_11[[#This Row],[税前应发总额]]*0.2%,2)</f>
        <v>5.86</v>
      </c>
      <c r="X298" s="62">
        <f ca="1">ROUND(表1_11[[#This Row],[税前应发总额]]*12%,2)</f>
        <v>351.64</v>
      </c>
      <c r="Y298" s="61">
        <f ca="1">ROUND(表1_11[[#This Row],[税前应发总额]]-SUM(表1_11[[#This Row],[养老保险]:[公积金]]),2)</f>
        <v>2276.81</v>
      </c>
      <c r="Z298" s="62">
        <f ca="1">ROUND(MAX((表1_11[[#This Row],[扣保险后工资金额]]-3500)*{3,10,20,25,30,35,45}%-{0,105,555,1005,2755,5505,13505},0),2)</f>
        <v>0</v>
      </c>
      <c r="AA298" s="63">
        <f ca="1">表1_11[[#This Row],[扣保险后工资金额]]-表1_11[[#This Row],[个人所得税]]</f>
        <v>2276.81</v>
      </c>
      <c r="AB298" s="53">
        <v>2337.5</v>
      </c>
      <c r="AC298" s="64">
        <f ca="1">(表1_11[[#This Row],[实发工资]]-表1_11[[#This Row],[上月对比]])/表1_11[[#This Row],[上月对比]]</f>
        <v>-2.5963636363636387E-2</v>
      </c>
      <c r="AD298" s="65" t="s">
        <v>1587</v>
      </c>
    </row>
    <row r="299" spans="1:30">
      <c r="A299" s="42" t="s">
        <v>577</v>
      </c>
      <c r="B299" s="42" t="s">
        <v>725</v>
      </c>
      <c r="C299" s="40" t="s">
        <v>745</v>
      </c>
      <c r="D299" s="40" t="s">
        <v>746</v>
      </c>
      <c r="E299" s="41" t="s">
        <v>1309</v>
      </c>
      <c r="F299" s="5" t="s">
        <v>295</v>
      </c>
      <c r="G299" s="25">
        <v>41269</v>
      </c>
      <c r="H299" s="5" t="s">
        <v>618</v>
      </c>
      <c r="I299" s="5">
        <f>VLOOKUP(MID(表1_11[[#This Row],[工资等级]],1,1),表12[],MATCH(MID(表1_11[[#This Row],[工资等级]],2,2),表12[[#Headers],[1]:[10]],0)+1,0)</f>
        <v>3000</v>
      </c>
      <c r="J299" s="5">
        <v>24.5</v>
      </c>
      <c r="K299" s="27">
        <v>1.0208333333333333</v>
      </c>
      <c r="L299" s="37">
        <f>IF(表1_11[[#This Row],[出勤率]]&gt;1,1,表1_11[[#This Row],[出勤率]])*表1_11[[#This Row],[岗位工资]]</f>
        <v>3000</v>
      </c>
      <c r="M299" s="5">
        <f>LOOKUP(表1_11[[#This Row],[岗位工资]],表13[lookup],表13[奖金比率])*表1_11[[#This Row],[岗位工资]]</f>
        <v>300</v>
      </c>
      <c r="N299" s="5">
        <v>83</v>
      </c>
      <c r="O299" s="38">
        <f>表1_11[[#This Row],[奖金等级]]*表1_11[[#This Row],[绩效得分]]/100</f>
        <v>249</v>
      </c>
      <c r="P299" s="5">
        <f>IF(表1_11[[#This Row],[出勤率]]&gt;=1,200,0)</f>
        <v>200</v>
      </c>
      <c r="Q299" s="23">
        <f t="shared" ca="1" si="4"/>
        <v>250</v>
      </c>
      <c r="R299" s="23">
        <f>IF(表1_11[[#This Row],[中心]]="营销中心",VLOOKUP(表1_11[[#This Row],[职位]],表2[[话费补贴]:[营销中心]],2,0),VLOOKUP(表1_11[[#This Row],[职位]],表2[],3,0))</f>
        <v>0</v>
      </c>
      <c r="S299" s="23">
        <v>200</v>
      </c>
      <c r="T299" s="61">
        <f ca="1">ROUND(SUM(表1_11[[#This Row],[基本工资]],表1_11[[#This Row],[奖金]],表1_11[[#This Row],[全勤奖]:[防暑降温补贴]]),2)</f>
        <v>3899</v>
      </c>
      <c r="U299" s="62">
        <f ca="1">ROUND(表1_11[[#This Row],[税前应发总额]]*8%,2)</f>
        <v>311.92</v>
      </c>
      <c r="V299" s="62">
        <f ca="1">ROUND(表1_11[[#This Row],[税前应发总额]]*2%+3,2)</f>
        <v>80.98</v>
      </c>
      <c r="W299" s="62">
        <f ca="1">ROUND(表1_11[[#This Row],[税前应发总额]]*0.2%,2)</f>
        <v>7.8</v>
      </c>
      <c r="X299" s="62">
        <f ca="1">ROUND(表1_11[[#This Row],[税前应发总额]]*12%,2)</f>
        <v>467.88</v>
      </c>
      <c r="Y299" s="61">
        <f ca="1">ROUND(表1_11[[#This Row],[税前应发总额]]-SUM(表1_11[[#This Row],[养老保险]:[公积金]]),2)</f>
        <v>3030.42</v>
      </c>
      <c r="Z299" s="62">
        <f ca="1">ROUND(MAX((表1_11[[#This Row],[扣保险后工资金额]]-3500)*{3,10,20,25,30,35,45}%-{0,105,555,1005,2755,5505,13505},0),2)</f>
        <v>0</v>
      </c>
      <c r="AA299" s="63">
        <f ca="1">表1_11[[#This Row],[扣保险后工资金额]]-表1_11[[#This Row],[个人所得税]]</f>
        <v>3030.42</v>
      </c>
      <c r="AB299" s="53">
        <v>2572.71</v>
      </c>
      <c r="AC299" s="64">
        <f ca="1">(表1_11[[#This Row],[实发工资]]-表1_11[[#This Row],[上月对比]])/表1_11[[#This Row],[上月对比]]</f>
        <v>0.1779096750119524</v>
      </c>
      <c r="AD299" s="65" t="s">
        <v>1587</v>
      </c>
    </row>
    <row r="300" spans="1:30">
      <c r="A300" s="42" t="s">
        <v>577</v>
      </c>
      <c r="B300" s="42" t="s">
        <v>725</v>
      </c>
      <c r="C300" s="40" t="s">
        <v>747</v>
      </c>
      <c r="D300" s="40" t="s">
        <v>748</v>
      </c>
      <c r="E300" s="41" t="s">
        <v>1310</v>
      </c>
      <c r="F300" s="5" t="s">
        <v>296</v>
      </c>
      <c r="G300" s="25">
        <v>40778</v>
      </c>
      <c r="H300" s="5" t="s">
        <v>617</v>
      </c>
      <c r="I300" s="5">
        <f>VLOOKUP(MID(表1_11[[#This Row],[工资等级]],1,1),表12[],MATCH(MID(表1_11[[#This Row],[工资等级]],2,2),表12[[#Headers],[1]:[10]],0)+1,0)</f>
        <v>2500</v>
      </c>
      <c r="J300" s="5">
        <v>21.5</v>
      </c>
      <c r="K300" s="27">
        <v>0.89583333333333337</v>
      </c>
      <c r="L300" s="37">
        <f>IF(表1_11[[#This Row],[出勤率]]&gt;1,1,表1_11[[#This Row],[出勤率]])*表1_11[[#This Row],[岗位工资]]</f>
        <v>2239.5833333333335</v>
      </c>
      <c r="M300" s="5">
        <f>LOOKUP(表1_11[[#This Row],[岗位工资]],表13[lookup],表13[奖金比率])*表1_11[[#This Row],[岗位工资]]</f>
        <v>250</v>
      </c>
      <c r="N300" s="5">
        <v>84</v>
      </c>
      <c r="O300" s="38">
        <f>表1_11[[#This Row],[奖金等级]]*表1_11[[#This Row],[绩效得分]]/100</f>
        <v>210</v>
      </c>
      <c r="P300" s="5">
        <f>IF(表1_11[[#This Row],[出勤率]]&gt;=1,200,0)</f>
        <v>0</v>
      </c>
      <c r="Q300" s="23">
        <f t="shared" ca="1" si="4"/>
        <v>300</v>
      </c>
      <c r="R300" s="23">
        <f>IF(表1_11[[#This Row],[中心]]="营销中心",VLOOKUP(表1_11[[#This Row],[职位]],表2[[话费补贴]:[营销中心]],2,0),VLOOKUP(表1_11[[#This Row],[职位]],表2[],3,0))</f>
        <v>0</v>
      </c>
      <c r="S300" s="23">
        <v>200</v>
      </c>
      <c r="T300" s="61">
        <f ca="1">ROUND(SUM(表1_11[[#This Row],[基本工资]],表1_11[[#This Row],[奖金]],表1_11[[#This Row],[全勤奖]:[防暑降温补贴]]),2)</f>
        <v>2949.58</v>
      </c>
      <c r="U300" s="62">
        <f ca="1">ROUND(表1_11[[#This Row],[税前应发总额]]*8%,2)</f>
        <v>235.97</v>
      </c>
      <c r="V300" s="62">
        <f ca="1">ROUND(表1_11[[#This Row],[税前应发总额]]*2%+3,2)</f>
        <v>61.99</v>
      </c>
      <c r="W300" s="62">
        <f ca="1">ROUND(表1_11[[#This Row],[税前应发总额]]*0.2%,2)</f>
        <v>5.9</v>
      </c>
      <c r="X300" s="62">
        <f ca="1">ROUND(表1_11[[#This Row],[税前应发总额]]*12%,2)</f>
        <v>353.95</v>
      </c>
      <c r="Y300" s="61">
        <f ca="1">ROUND(表1_11[[#This Row],[税前应发总额]]-SUM(表1_11[[#This Row],[养老保险]:[公积金]]),2)</f>
        <v>2291.77</v>
      </c>
      <c r="Z300" s="62">
        <f ca="1">ROUND(MAX((表1_11[[#This Row],[扣保险后工资金额]]-3500)*{3,10,20,25,30,35,45}%-{0,105,555,1005,2755,5505,13505},0),2)</f>
        <v>0</v>
      </c>
      <c r="AA300" s="63">
        <f ca="1">表1_11[[#This Row],[扣保险后工资金额]]-表1_11[[#This Row],[个人所得税]]</f>
        <v>2291.77</v>
      </c>
      <c r="AB300" s="53">
        <v>1921.55</v>
      </c>
      <c r="AC300" s="64">
        <f ca="1">(表1_11[[#This Row],[实发工资]]-表1_11[[#This Row],[上月对比]])/表1_11[[#This Row],[上月对比]]</f>
        <v>0.19266737789805108</v>
      </c>
      <c r="AD300" s="65" t="s">
        <v>1587</v>
      </c>
    </row>
    <row r="301" spans="1:30">
      <c r="A301" s="42" t="s">
        <v>577</v>
      </c>
      <c r="B301" s="42" t="s">
        <v>725</v>
      </c>
      <c r="C301" s="40" t="s">
        <v>745</v>
      </c>
      <c r="D301" s="40" t="s">
        <v>746</v>
      </c>
      <c r="E301" s="41" t="s">
        <v>1311</v>
      </c>
      <c r="F301" s="5" t="s">
        <v>297</v>
      </c>
      <c r="G301" s="25">
        <v>42634</v>
      </c>
      <c r="H301" s="5" t="s">
        <v>618</v>
      </c>
      <c r="I301" s="5">
        <f>VLOOKUP(MID(表1_11[[#This Row],[工资等级]],1,1),表12[],MATCH(MID(表1_11[[#This Row],[工资等级]],2,2),表12[[#Headers],[1]:[10]],0)+1,0)</f>
        <v>3000</v>
      </c>
      <c r="J301" s="5">
        <v>25.5</v>
      </c>
      <c r="K301" s="27">
        <v>1.0625</v>
      </c>
      <c r="L301" s="37">
        <f>IF(表1_11[[#This Row],[出勤率]]&gt;1,1,表1_11[[#This Row],[出勤率]])*表1_11[[#This Row],[岗位工资]]</f>
        <v>3000</v>
      </c>
      <c r="M301" s="5">
        <f>LOOKUP(表1_11[[#This Row],[岗位工资]],表13[lookup],表13[奖金比率])*表1_11[[#This Row],[岗位工资]]</f>
        <v>300</v>
      </c>
      <c r="N301" s="5">
        <v>82</v>
      </c>
      <c r="O301" s="38">
        <f>表1_11[[#This Row],[奖金等级]]*表1_11[[#This Row],[绩效得分]]/100</f>
        <v>246</v>
      </c>
      <c r="P301" s="5">
        <f>IF(表1_11[[#This Row],[出勤率]]&gt;=1,200,0)</f>
        <v>200</v>
      </c>
      <c r="Q301" s="23">
        <f t="shared" ca="1" si="4"/>
        <v>50</v>
      </c>
      <c r="R301" s="23">
        <f>IF(表1_11[[#This Row],[中心]]="营销中心",VLOOKUP(表1_11[[#This Row],[职位]],表2[[话费补贴]:[营销中心]],2,0),VLOOKUP(表1_11[[#This Row],[职位]],表2[],3,0))</f>
        <v>0</v>
      </c>
      <c r="S301" s="23">
        <v>200</v>
      </c>
      <c r="T301" s="61">
        <f ca="1">ROUND(SUM(表1_11[[#This Row],[基本工资]],表1_11[[#This Row],[奖金]],表1_11[[#This Row],[全勤奖]:[防暑降温补贴]]),2)</f>
        <v>3696</v>
      </c>
      <c r="U301" s="62">
        <f ca="1">ROUND(表1_11[[#This Row],[税前应发总额]]*8%,2)</f>
        <v>295.68</v>
      </c>
      <c r="V301" s="62">
        <f ca="1">ROUND(表1_11[[#This Row],[税前应发总额]]*2%+3,2)</f>
        <v>76.92</v>
      </c>
      <c r="W301" s="62">
        <f ca="1">ROUND(表1_11[[#This Row],[税前应发总额]]*0.2%,2)</f>
        <v>7.39</v>
      </c>
      <c r="X301" s="62">
        <f ca="1">ROUND(表1_11[[#This Row],[税前应发总额]]*12%,2)</f>
        <v>443.52</v>
      </c>
      <c r="Y301" s="61">
        <f ca="1">ROUND(表1_11[[#This Row],[税前应发总额]]-SUM(表1_11[[#This Row],[养老保险]:[公积金]]),2)</f>
        <v>2872.49</v>
      </c>
      <c r="Z301" s="62">
        <f ca="1">ROUND(MAX((表1_11[[#This Row],[扣保险后工资金额]]-3500)*{3,10,20,25,30,35,45}%-{0,105,555,1005,2755,5505,13505},0),2)</f>
        <v>0</v>
      </c>
      <c r="AA301" s="63">
        <f ca="1">表1_11[[#This Row],[扣保险后工资金额]]-表1_11[[#This Row],[个人所得税]]</f>
        <v>2872.49</v>
      </c>
      <c r="AB301" s="53">
        <v>3419.19</v>
      </c>
      <c r="AC301" s="64">
        <f ca="1">(表1_11[[#This Row],[实发工资]]-表1_11[[#This Row],[上月对比]])/表1_11[[#This Row],[上月对比]]</f>
        <v>-0.15989167024938664</v>
      </c>
      <c r="AD301" s="65" t="s">
        <v>1587</v>
      </c>
    </row>
    <row r="302" spans="1:30">
      <c r="A302" s="42" t="s">
        <v>577</v>
      </c>
      <c r="B302" s="42" t="s">
        <v>725</v>
      </c>
      <c r="C302" s="40" t="s">
        <v>747</v>
      </c>
      <c r="D302" s="40" t="s">
        <v>748</v>
      </c>
      <c r="E302" s="41" t="s">
        <v>1312</v>
      </c>
      <c r="F302" s="5" t="s">
        <v>298</v>
      </c>
      <c r="G302" s="25">
        <v>38513</v>
      </c>
      <c r="H302" s="5" t="s">
        <v>618</v>
      </c>
      <c r="I302" s="5">
        <f>VLOOKUP(MID(表1_11[[#This Row],[工资等级]],1,1),表12[],MATCH(MID(表1_11[[#This Row],[工资等级]],2,2),表12[[#Headers],[1]:[10]],0)+1,0)</f>
        <v>3000</v>
      </c>
      <c r="J302" s="5">
        <v>24.5</v>
      </c>
      <c r="K302" s="27">
        <v>1.0208333333333333</v>
      </c>
      <c r="L302" s="37">
        <f>IF(表1_11[[#This Row],[出勤率]]&gt;1,1,表1_11[[#This Row],[出勤率]])*表1_11[[#This Row],[岗位工资]]</f>
        <v>3000</v>
      </c>
      <c r="M302" s="5">
        <f>LOOKUP(表1_11[[#This Row],[岗位工资]],表13[lookup],表13[奖金比率])*表1_11[[#This Row],[岗位工资]]</f>
        <v>300</v>
      </c>
      <c r="N302" s="5">
        <v>85</v>
      </c>
      <c r="O302" s="38">
        <f>表1_11[[#This Row],[奖金等级]]*表1_11[[#This Row],[绩效得分]]/100</f>
        <v>255</v>
      </c>
      <c r="P302" s="5">
        <f>IF(表1_11[[#This Row],[出勤率]]&gt;=1,200,0)</f>
        <v>200</v>
      </c>
      <c r="Q302" s="23">
        <f t="shared" ca="1" si="4"/>
        <v>500</v>
      </c>
      <c r="R302" s="23">
        <f>IF(表1_11[[#This Row],[中心]]="营销中心",VLOOKUP(表1_11[[#This Row],[职位]],表2[[话费补贴]:[营销中心]],2,0),VLOOKUP(表1_11[[#This Row],[职位]],表2[],3,0))</f>
        <v>0</v>
      </c>
      <c r="S302" s="23">
        <v>200</v>
      </c>
      <c r="T302" s="61">
        <f ca="1">ROUND(SUM(表1_11[[#This Row],[基本工资]],表1_11[[#This Row],[奖金]],表1_11[[#This Row],[全勤奖]:[防暑降温补贴]]),2)</f>
        <v>4155</v>
      </c>
      <c r="U302" s="62">
        <f ca="1">ROUND(表1_11[[#This Row],[税前应发总额]]*8%,2)</f>
        <v>332.4</v>
      </c>
      <c r="V302" s="62">
        <f ca="1">ROUND(表1_11[[#This Row],[税前应发总额]]*2%+3,2)</f>
        <v>86.1</v>
      </c>
      <c r="W302" s="62">
        <f ca="1">ROUND(表1_11[[#This Row],[税前应发总额]]*0.2%,2)</f>
        <v>8.31</v>
      </c>
      <c r="X302" s="62">
        <f ca="1">ROUND(表1_11[[#This Row],[税前应发总额]]*12%,2)</f>
        <v>498.6</v>
      </c>
      <c r="Y302" s="61">
        <f ca="1">ROUND(表1_11[[#This Row],[税前应发总额]]-SUM(表1_11[[#This Row],[养老保险]:[公积金]]),2)</f>
        <v>3229.59</v>
      </c>
      <c r="Z302" s="62">
        <f ca="1">ROUND(MAX((表1_11[[#This Row],[扣保险后工资金额]]-3500)*{3,10,20,25,30,35,45}%-{0,105,555,1005,2755,5505,13505},0),2)</f>
        <v>0</v>
      </c>
      <c r="AA302" s="63">
        <f ca="1">表1_11[[#This Row],[扣保险后工资金额]]-表1_11[[#This Row],[个人所得税]]</f>
        <v>3229.59</v>
      </c>
      <c r="AB302" s="53">
        <v>3767.69</v>
      </c>
      <c r="AC302" s="64">
        <f ca="1">(表1_11[[#This Row],[实发工资]]-表1_11[[#This Row],[上月对比]])/表1_11[[#This Row],[上月对比]]</f>
        <v>-0.14281960564696136</v>
      </c>
      <c r="AD302" s="65" t="s">
        <v>1587</v>
      </c>
    </row>
    <row r="303" spans="1:30">
      <c r="A303" s="42" t="s">
        <v>577</v>
      </c>
      <c r="B303" s="42" t="s">
        <v>725</v>
      </c>
      <c r="C303" s="40" t="s">
        <v>745</v>
      </c>
      <c r="D303" s="40" t="s">
        <v>746</v>
      </c>
      <c r="E303" s="41" t="s">
        <v>1313</v>
      </c>
      <c r="F303" s="5" t="s">
        <v>299</v>
      </c>
      <c r="G303" s="25">
        <v>41553</v>
      </c>
      <c r="H303" s="5" t="s">
        <v>615</v>
      </c>
      <c r="I303" s="5">
        <f>VLOOKUP(MID(表1_11[[#This Row],[工资等级]],1,1),表12[],MATCH(MID(表1_11[[#This Row],[工资等级]],2,2),表12[[#Headers],[1]:[10]],0)+1,0)</f>
        <v>3200</v>
      </c>
      <c r="J303" s="5">
        <v>24</v>
      </c>
      <c r="K303" s="27">
        <v>1</v>
      </c>
      <c r="L303" s="37">
        <f>IF(表1_11[[#This Row],[出勤率]]&gt;1,1,表1_11[[#This Row],[出勤率]])*表1_11[[#This Row],[岗位工资]]</f>
        <v>3200</v>
      </c>
      <c r="M303" s="5">
        <f>LOOKUP(表1_11[[#This Row],[岗位工资]],表13[lookup],表13[奖金比率])*表1_11[[#This Row],[岗位工资]]</f>
        <v>320</v>
      </c>
      <c r="N303" s="5">
        <v>98</v>
      </c>
      <c r="O303" s="38">
        <f>表1_11[[#This Row],[奖金等级]]*表1_11[[#This Row],[绩效得分]]/100</f>
        <v>313.60000000000002</v>
      </c>
      <c r="P303" s="5">
        <f>IF(表1_11[[#This Row],[出勤率]]&gt;=1,200,0)</f>
        <v>200</v>
      </c>
      <c r="Q303" s="23">
        <f t="shared" ca="1" si="4"/>
        <v>200</v>
      </c>
      <c r="R303" s="23">
        <f>IF(表1_11[[#This Row],[中心]]="营销中心",VLOOKUP(表1_11[[#This Row],[职位]],表2[[话费补贴]:[营销中心]],2,0),VLOOKUP(表1_11[[#This Row],[职位]],表2[],3,0))</f>
        <v>0</v>
      </c>
      <c r="S303" s="23">
        <v>200</v>
      </c>
      <c r="T303" s="61">
        <f ca="1">ROUND(SUM(表1_11[[#This Row],[基本工资]],表1_11[[#This Row],[奖金]],表1_11[[#This Row],[全勤奖]:[防暑降温补贴]]),2)</f>
        <v>4113.6000000000004</v>
      </c>
      <c r="U303" s="62">
        <f ca="1">ROUND(表1_11[[#This Row],[税前应发总额]]*8%,2)</f>
        <v>329.09</v>
      </c>
      <c r="V303" s="62">
        <f ca="1">ROUND(表1_11[[#This Row],[税前应发总额]]*2%+3,2)</f>
        <v>85.27</v>
      </c>
      <c r="W303" s="62">
        <f ca="1">ROUND(表1_11[[#This Row],[税前应发总额]]*0.2%,2)</f>
        <v>8.23</v>
      </c>
      <c r="X303" s="62">
        <f ca="1">ROUND(表1_11[[#This Row],[税前应发总额]]*12%,2)</f>
        <v>493.63</v>
      </c>
      <c r="Y303" s="61">
        <f ca="1">ROUND(表1_11[[#This Row],[税前应发总额]]-SUM(表1_11[[#This Row],[养老保险]:[公积金]]),2)</f>
        <v>3197.38</v>
      </c>
      <c r="Z303" s="62">
        <f ca="1">ROUND(MAX((表1_11[[#This Row],[扣保险后工资金额]]-3500)*{3,10,20,25,30,35,45}%-{0,105,555,1005,2755,5505,13505},0),2)</f>
        <v>0</v>
      </c>
      <c r="AA303" s="63">
        <f ca="1">表1_11[[#This Row],[扣保险后工资金额]]-表1_11[[#This Row],[个人所得税]]</f>
        <v>3197.38</v>
      </c>
      <c r="AB303" s="53">
        <v>2817.98</v>
      </c>
      <c r="AC303" s="64">
        <f ca="1">(表1_11[[#This Row],[实发工资]]-表1_11[[#This Row],[上月对比]])/表1_11[[#This Row],[上月对比]]</f>
        <v>0.13463544808692754</v>
      </c>
      <c r="AD303" s="65" t="s">
        <v>1587</v>
      </c>
    </row>
    <row r="304" spans="1:30">
      <c r="A304" s="42" t="s">
        <v>577</v>
      </c>
      <c r="B304" s="42" t="s">
        <v>725</v>
      </c>
      <c r="C304" s="40" t="s">
        <v>747</v>
      </c>
      <c r="D304" s="40" t="s">
        <v>748</v>
      </c>
      <c r="E304" s="41" t="s">
        <v>1314</v>
      </c>
      <c r="F304" s="5" t="s">
        <v>300</v>
      </c>
      <c r="G304" s="25">
        <v>42423</v>
      </c>
      <c r="H304" s="5" t="s">
        <v>617</v>
      </c>
      <c r="I304" s="5">
        <f>VLOOKUP(MID(表1_11[[#This Row],[工资等级]],1,1),表12[],MATCH(MID(表1_11[[#This Row],[工资等级]],2,2),表12[[#Headers],[1]:[10]],0)+1,0)</f>
        <v>2500</v>
      </c>
      <c r="J304" s="5">
        <v>24.5</v>
      </c>
      <c r="K304" s="27">
        <v>1.0208333333333333</v>
      </c>
      <c r="L304" s="37">
        <f>IF(表1_11[[#This Row],[出勤率]]&gt;1,1,表1_11[[#This Row],[出勤率]])*表1_11[[#This Row],[岗位工资]]</f>
        <v>2500</v>
      </c>
      <c r="M304" s="5">
        <f>LOOKUP(表1_11[[#This Row],[岗位工资]],表13[lookup],表13[奖金比率])*表1_11[[#This Row],[岗位工资]]</f>
        <v>250</v>
      </c>
      <c r="N304" s="5">
        <v>81</v>
      </c>
      <c r="O304" s="38">
        <f>表1_11[[#This Row],[奖金等级]]*表1_11[[#This Row],[绩效得分]]/100</f>
        <v>202.5</v>
      </c>
      <c r="P304" s="5">
        <f>IF(表1_11[[#This Row],[出勤率]]&gt;=1,200,0)</f>
        <v>200</v>
      </c>
      <c r="Q304" s="23">
        <f t="shared" ca="1" si="4"/>
        <v>100</v>
      </c>
      <c r="R304" s="23">
        <f>IF(表1_11[[#This Row],[中心]]="营销中心",VLOOKUP(表1_11[[#This Row],[职位]],表2[[话费补贴]:[营销中心]],2,0),VLOOKUP(表1_11[[#This Row],[职位]],表2[],3,0))</f>
        <v>0</v>
      </c>
      <c r="S304" s="23">
        <v>200</v>
      </c>
      <c r="T304" s="61">
        <f ca="1">ROUND(SUM(表1_11[[#This Row],[基本工资]],表1_11[[#This Row],[奖金]],表1_11[[#This Row],[全勤奖]:[防暑降温补贴]]),2)</f>
        <v>3202.5</v>
      </c>
      <c r="U304" s="62">
        <f ca="1">ROUND(表1_11[[#This Row],[税前应发总额]]*8%,2)</f>
        <v>256.2</v>
      </c>
      <c r="V304" s="62">
        <f ca="1">ROUND(表1_11[[#This Row],[税前应发总额]]*2%+3,2)</f>
        <v>67.05</v>
      </c>
      <c r="W304" s="62">
        <f ca="1">ROUND(表1_11[[#This Row],[税前应发总额]]*0.2%,2)</f>
        <v>6.41</v>
      </c>
      <c r="X304" s="62">
        <f ca="1">ROUND(表1_11[[#This Row],[税前应发总额]]*12%,2)</f>
        <v>384.3</v>
      </c>
      <c r="Y304" s="61">
        <f ca="1">ROUND(表1_11[[#This Row],[税前应发总额]]-SUM(表1_11[[#This Row],[养老保险]:[公积金]]),2)</f>
        <v>2488.54</v>
      </c>
      <c r="Z304" s="62">
        <f ca="1">ROUND(MAX((表1_11[[#This Row],[扣保险后工资金额]]-3500)*{3,10,20,25,30,35,45}%-{0,105,555,1005,2755,5505,13505},0),2)</f>
        <v>0</v>
      </c>
      <c r="AA304" s="63">
        <f ca="1">表1_11[[#This Row],[扣保险后工资金额]]-表1_11[[#This Row],[个人所得税]]</f>
        <v>2488.54</v>
      </c>
      <c r="AB304" s="53">
        <v>2412</v>
      </c>
      <c r="AC304" s="64">
        <f ca="1">(表1_11[[#This Row],[实发工资]]-表1_11[[#This Row],[上月对比]])/表1_11[[#This Row],[上月对比]]</f>
        <v>3.1733001658374775E-2</v>
      </c>
      <c r="AD304" s="65" t="s">
        <v>1587</v>
      </c>
    </row>
    <row r="305" spans="1:30">
      <c r="A305" s="42" t="s">
        <v>577</v>
      </c>
      <c r="B305" s="42" t="s">
        <v>725</v>
      </c>
      <c r="C305" s="40" t="s">
        <v>745</v>
      </c>
      <c r="D305" s="40" t="s">
        <v>746</v>
      </c>
      <c r="E305" s="41" t="s">
        <v>1315</v>
      </c>
      <c r="F305" s="5" t="s">
        <v>301</v>
      </c>
      <c r="G305" s="25">
        <v>38644</v>
      </c>
      <c r="H305" s="5" t="s">
        <v>622</v>
      </c>
      <c r="I305" s="5">
        <f>VLOOKUP(MID(表1_11[[#This Row],[工资等级]],1,1),表12[],MATCH(MID(表1_11[[#This Row],[工资等级]],2,2),表12[[#Headers],[1]:[10]],0)+1,0)</f>
        <v>3600</v>
      </c>
      <c r="J305" s="5">
        <v>23</v>
      </c>
      <c r="K305" s="27">
        <v>0.95833333333333337</v>
      </c>
      <c r="L305" s="37">
        <f>IF(表1_11[[#This Row],[出勤率]]&gt;1,1,表1_11[[#This Row],[出勤率]])*表1_11[[#This Row],[岗位工资]]</f>
        <v>3450</v>
      </c>
      <c r="M305" s="5">
        <f>LOOKUP(表1_11[[#This Row],[岗位工资]],表13[lookup],表13[奖金比率])*表1_11[[#This Row],[岗位工资]]</f>
        <v>360</v>
      </c>
      <c r="N305" s="5">
        <v>79</v>
      </c>
      <c r="O305" s="38">
        <f>表1_11[[#This Row],[奖金等级]]*表1_11[[#This Row],[绩效得分]]/100</f>
        <v>284.39999999999998</v>
      </c>
      <c r="P305" s="5">
        <f>IF(表1_11[[#This Row],[出勤率]]&gt;=1,200,0)</f>
        <v>0</v>
      </c>
      <c r="Q305" s="23">
        <f t="shared" ca="1" si="4"/>
        <v>500</v>
      </c>
      <c r="R305" s="23">
        <f>IF(表1_11[[#This Row],[中心]]="营销中心",VLOOKUP(表1_11[[#This Row],[职位]],表2[[话费补贴]:[营销中心]],2,0),VLOOKUP(表1_11[[#This Row],[职位]],表2[],3,0))</f>
        <v>0</v>
      </c>
      <c r="S305" s="23">
        <v>200</v>
      </c>
      <c r="T305" s="61">
        <f ca="1">ROUND(SUM(表1_11[[#This Row],[基本工资]],表1_11[[#This Row],[奖金]],表1_11[[#This Row],[全勤奖]:[防暑降温补贴]]),2)</f>
        <v>4434.3999999999996</v>
      </c>
      <c r="U305" s="62">
        <f ca="1">ROUND(表1_11[[#This Row],[税前应发总额]]*8%,2)</f>
        <v>354.75</v>
      </c>
      <c r="V305" s="62">
        <f ca="1">ROUND(表1_11[[#This Row],[税前应发总额]]*2%+3,2)</f>
        <v>91.69</v>
      </c>
      <c r="W305" s="62">
        <f ca="1">ROUND(表1_11[[#This Row],[税前应发总额]]*0.2%,2)</f>
        <v>8.8699999999999992</v>
      </c>
      <c r="X305" s="62">
        <f ca="1">ROUND(表1_11[[#This Row],[税前应发总额]]*12%,2)</f>
        <v>532.13</v>
      </c>
      <c r="Y305" s="61">
        <f ca="1">ROUND(表1_11[[#This Row],[税前应发总额]]-SUM(表1_11[[#This Row],[养老保险]:[公积金]]),2)</f>
        <v>3446.96</v>
      </c>
      <c r="Z305" s="62">
        <f ca="1">ROUND(MAX((表1_11[[#This Row],[扣保险后工资金额]]-3500)*{3,10,20,25,30,35,45}%-{0,105,555,1005,2755,5505,13505},0),2)</f>
        <v>0</v>
      </c>
      <c r="AA305" s="63">
        <f ca="1">表1_11[[#This Row],[扣保险后工资金额]]-表1_11[[#This Row],[个人所得税]]</f>
        <v>3446.96</v>
      </c>
      <c r="AB305" s="53">
        <v>3550.18</v>
      </c>
      <c r="AC305" s="64">
        <f ca="1">(表1_11[[#This Row],[实发工资]]-表1_11[[#This Row],[上月对比]])/表1_11[[#This Row],[上月对比]]</f>
        <v>-2.9074582133863582E-2</v>
      </c>
      <c r="AD305" s="65" t="s">
        <v>1587</v>
      </c>
    </row>
    <row r="306" spans="1:30">
      <c r="A306" s="42" t="s">
        <v>577</v>
      </c>
      <c r="B306" s="42" t="s">
        <v>725</v>
      </c>
      <c r="C306" s="40" t="s">
        <v>747</v>
      </c>
      <c r="D306" s="40" t="s">
        <v>748</v>
      </c>
      <c r="E306" s="41" t="s">
        <v>1316</v>
      </c>
      <c r="F306" s="5" t="s">
        <v>302</v>
      </c>
      <c r="G306" s="25">
        <v>41890</v>
      </c>
      <c r="H306" s="5" t="s">
        <v>617</v>
      </c>
      <c r="I306" s="5">
        <f>VLOOKUP(MID(表1_11[[#This Row],[工资等级]],1,1),表12[],MATCH(MID(表1_11[[#This Row],[工资等级]],2,2),表12[[#Headers],[1]:[10]],0)+1,0)</f>
        <v>2500</v>
      </c>
      <c r="J306" s="5">
        <v>27</v>
      </c>
      <c r="K306" s="27">
        <v>1.125</v>
      </c>
      <c r="L306" s="37">
        <f>IF(表1_11[[#This Row],[出勤率]]&gt;1,1,表1_11[[#This Row],[出勤率]])*表1_11[[#This Row],[岗位工资]]</f>
        <v>2500</v>
      </c>
      <c r="M306" s="5">
        <f>LOOKUP(表1_11[[#This Row],[岗位工资]],表13[lookup],表13[奖金比率])*表1_11[[#This Row],[岗位工资]]</f>
        <v>250</v>
      </c>
      <c r="N306" s="5">
        <v>87</v>
      </c>
      <c r="O306" s="38">
        <f>表1_11[[#This Row],[奖金等级]]*表1_11[[#This Row],[绩效得分]]/100</f>
        <v>217.5</v>
      </c>
      <c r="P306" s="5">
        <f>IF(表1_11[[#This Row],[出勤率]]&gt;=1,200,0)</f>
        <v>200</v>
      </c>
      <c r="Q306" s="23">
        <f t="shared" ca="1" si="4"/>
        <v>150</v>
      </c>
      <c r="R306" s="23">
        <f>IF(表1_11[[#This Row],[中心]]="营销中心",VLOOKUP(表1_11[[#This Row],[职位]],表2[[话费补贴]:[营销中心]],2,0),VLOOKUP(表1_11[[#This Row],[职位]],表2[],3,0))</f>
        <v>0</v>
      </c>
      <c r="S306" s="23">
        <v>200</v>
      </c>
      <c r="T306" s="61">
        <f ca="1">ROUND(SUM(表1_11[[#This Row],[基本工资]],表1_11[[#This Row],[奖金]],表1_11[[#This Row],[全勤奖]:[防暑降温补贴]]),2)</f>
        <v>3267.5</v>
      </c>
      <c r="U306" s="62">
        <f ca="1">ROUND(表1_11[[#This Row],[税前应发总额]]*8%,2)</f>
        <v>261.39999999999998</v>
      </c>
      <c r="V306" s="62">
        <f ca="1">ROUND(表1_11[[#This Row],[税前应发总额]]*2%+3,2)</f>
        <v>68.349999999999994</v>
      </c>
      <c r="W306" s="62">
        <f ca="1">ROUND(表1_11[[#This Row],[税前应发总额]]*0.2%,2)</f>
        <v>6.54</v>
      </c>
      <c r="X306" s="62">
        <f ca="1">ROUND(表1_11[[#This Row],[税前应发总额]]*12%,2)</f>
        <v>392.1</v>
      </c>
      <c r="Y306" s="61">
        <f ca="1">ROUND(表1_11[[#This Row],[税前应发总额]]-SUM(表1_11[[#This Row],[养老保险]:[公积金]]),2)</f>
        <v>2539.11</v>
      </c>
      <c r="Z306" s="62">
        <f ca="1">ROUND(MAX((表1_11[[#This Row],[扣保险后工资金额]]-3500)*{3,10,20,25,30,35,45}%-{0,105,555,1005,2755,5505,13505},0),2)</f>
        <v>0</v>
      </c>
      <c r="AA306" s="63">
        <f ca="1">表1_11[[#This Row],[扣保险后工资金额]]-表1_11[[#This Row],[个人所得税]]</f>
        <v>2539.11</v>
      </c>
      <c r="AB306" s="53">
        <v>2825.24</v>
      </c>
      <c r="AC306" s="64">
        <f ca="1">(表1_11[[#This Row],[实发工资]]-表1_11[[#This Row],[上月对比]])/表1_11[[#This Row],[上月对比]]</f>
        <v>-0.10127635174356857</v>
      </c>
      <c r="AD306" s="65" t="s">
        <v>1587</v>
      </c>
    </row>
    <row r="307" spans="1:30">
      <c r="A307" s="42" t="s">
        <v>577</v>
      </c>
      <c r="B307" s="42" t="s">
        <v>725</v>
      </c>
      <c r="C307" s="40" t="s">
        <v>747</v>
      </c>
      <c r="D307" s="40" t="s">
        <v>748</v>
      </c>
      <c r="E307" s="41" t="s">
        <v>1317</v>
      </c>
      <c r="F307" s="5" t="s">
        <v>303</v>
      </c>
      <c r="G307" s="25">
        <v>38594</v>
      </c>
      <c r="H307" s="5" t="s">
        <v>610</v>
      </c>
      <c r="I307" s="5">
        <f>VLOOKUP(MID(表1_11[[#This Row],[工资等级]],1,1),表12[],MATCH(MID(表1_11[[#This Row],[工资等级]],2,2),表12[[#Headers],[1]:[10]],0)+1,0)</f>
        <v>3400</v>
      </c>
      <c r="J307" s="5">
        <v>23</v>
      </c>
      <c r="K307" s="27">
        <v>0.95833333333333337</v>
      </c>
      <c r="L307" s="37">
        <f>IF(表1_11[[#This Row],[出勤率]]&gt;1,1,表1_11[[#This Row],[出勤率]])*表1_11[[#This Row],[岗位工资]]</f>
        <v>3258.3333333333335</v>
      </c>
      <c r="M307" s="5">
        <f>LOOKUP(表1_11[[#This Row],[岗位工资]],表13[lookup],表13[奖金比率])*表1_11[[#This Row],[岗位工资]]</f>
        <v>340</v>
      </c>
      <c r="N307" s="5">
        <v>85</v>
      </c>
      <c r="O307" s="38">
        <f>表1_11[[#This Row],[奖金等级]]*表1_11[[#This Row],[绩效得分]]/100</f>
        <v>289</v>
      </c>
      <c r="P307" s="5">
        <f>IF(表1_11[[#This Row],[出勤率]]&gt;=1,200,0)</f>
        <v>0</v>
      </c>
      <c r="Q307" s="23">
        <f t="shared" ca="1" si="4"/>
        <v>500</v>
      </c>
      <c r="R307" s="23">
        <f>IF(表1_11[[#This Row],[中心]]="营销中心",VLOOKUP(表1_11[[#This Row],[职位]],表2[[话费补贴]:[营销中心]],2,0),VLOOKUP(表1_11[[#This Row],[职位]],表2[],3,0))</f>
        <v>0</v>
      </c>
      <c r="S307" s="23">
        <v>200</v>
      </c>
      <c r="T307" s="61">
        <f ca="1">ROUND(SUM(表1_11[[#This Row],[基本工资]],表1_11[[#This Row],[奖金]],表1_11[[#This Row],[全勤奖]:[防暑降温补贴]]),2)</f>
        <v>4247.33</v>
      </c>
      <c r="U307" s="62">
        <f ca="1">ROUND(表1_11[[#This Row],[税前应发总额]]*8%,2)</f>
        <v>339.79</v>
      </c>
      <c r="V307" s="62">
        <f ca="1">ROUND(表1_11[[#This Row],[税前应发总额]]*2%+3,2)</f>
        <v>87.95</v>
      </c>
      <c r="W307" s="62">
        <f ca="1">ROUND(表1_11[[#This Row],[税前应发总额]]*0.2%,2)</f>
        <v>8.49</v>
      </c>
      <c r="X307" s="62">
        <f ca="1">ROUND(表1_11[[#This Row],[税前应发总额]]*12%,2)</f>
        <v>509.68</v>
      </c>
      <c r="Y307" s="61">
        <f ca="1">ROUND(表1_11[[#This Row],[税前应发总额]]-SUM(表1_11[[#This Row],[养老保险]:[公积金]]),2)</f>
        <v>3301.42</v>
      </c>
      <c r="Z307" s="62">
        <f ca="1">ROUND(MAX((表1_11[[#This Row],[扣保险后工资金额]]-3500)*{3,10,20,25,30,35,45}%-{0,105,555,1005,2755,5505,13505},0),2)</f>
        <v>0</v>
      </c>
      <c r="AA307" s="63">
        <f ca="1">表1_11[[#This Row],[扣保险后工资金额]]-表1_11[[#This Row],[个人所得税]]</f>
        <v>3301.42</v>
      </c>
      <c r="AB307" s="53">
        <v>3869.55</v>
      </c>
      <c r="AC307" s="64">
        <f ca="1">(表1_11[[#This Row],[实发工资]]-表1_11[[#This Row],[上月对比]])/表1_11[[#This Row],[上月对比]]</f>
        <v>-0.14682068974428553</v>
      </c>
      <c r="AD307" s="65" t="s">
        <v>1587</v>
      </c>
    </row>
    <row r="308" spans="1:30">
      <c r="A308" s="42" t="s">
        <v>577</v>
      </c>
      <c r="B308" s="42" t="s">
        <v>725</v>
      </c>
      <c r="C308" s="40" t="s">
        <v>749</v>
      </c>
      <c r="D308" s="40" t="s">
        <v>750</v>
      </c>
      <c r="E308" s="41" t="s">
        <v>1318</v>
      </c>
      <c r="F308" s="5" t="s">
        <v>304</v>
      </c>
      <c r="G308" s="25">
        <v>42650</v>
      </c>
      <c r="H308" s="5" t="s">
        <v>610</v>
      </c>
      <c r="I308" s="5">
        <f>VLOOKUP(MID(表1_11[[#This Row],[工资等级]],1,1),表12[],MATCH(MID(表1_11[[#This Row],[工资等级]],2,2),表12[[#Headers],[1]:[10]],0)+1,0)</f>
        <v>3400</v>
      </c>
      <c r="J308" s="5">
        <v>23</v>
      </c>
      <c r="K308" s="27">
        <v>0.95833333333333337</v>
      </c>
      <c r="L308" s="37">
        <f>IF(表1_11[[#This Row],[出勤率]]&gt;1,1,表1_11[[#This Row],[出勤率]])*表1_11[[#This Row],[岗位工资]]</f>
        <v>3258.3333333333335</v>
      </c>
      <c r="M308" s="5">
        <f>LOOKUP(表1_11[[#This Row],[岗位工资]],表13[lookup],表13[奖金比率])*表1_11[[#This Row],[岗位工资]]</f>
        <v>340</v>
      </c>
      <c r="N308" s="5">
        <v>86</v>
      </c>
      <c r="O308" s="38">
        <f>表1_11[[#This Row],[奖金等级]]*表1_11[[#This Row],[绩效得分]]/100</f>
        <v>292.39999999999998</v>
      </c>
      <c r="P308" s="5">
        <f>IF(表1_11[[#This Row],[出勤率]]&gt;=1,200,0)</f>
        <v>0</v>
      </c>
      <c r="Q308" s="23">
        <f t="shared" ca="1" si="4"/>
        <v>50</v>
      </c>
      <c r="R308" s="23">
        <f>IF(表1_11[[#This Row],[中心]]="营销中心",VLOOKUP(表1_11[[#This Row],[职位]],表2[[话费补贴]:[营销中心]],2,0),VLOOKUP(表1_11[[#This Row],[职位]],表2[],3,0))</f>
        <v>0</v>
      </c>
      <c r="S308" s="23">
        <v>200</v>
      </c>
      <c r="T308" s="61">
        <f ca="1">ROUND(SUM(表1_11[[#This Row],[基本工资]],表1_11[[#This Row],[奖金]],表1_11[[#This Row],[全勤奖]:[防暑降温补贴]]),2)</f>
        <v>3800.73</v>
      </c>
      <c r="U308" s="62">
        <f ca="1">ROUND(表1_11[[#This Row],[税前应发总额]]*8%,2)</f>
        <v>304.06</v>
      </c>
      <c r="V308" s="62">
        <f ca="1">ROUND(表1_11[[#This Row],[税前应发总额]]*2%+3,2)</f>
        <v>79.010000000000005</v>
      </c>
      <c r="W308" s="62">
        <f ca="1">ROUND(表1_11[[#This Row],[税前应发总额]]*0.2%,2)</f>
        <v>7.6</v>
      </c>
      <c r="X308" s="62">
        <f ca="1">ROUND(表1_11[[#This Row],[税前应发总额]]*12%,2)</f>
        <v>456.09</v>
      </c>
      <c r="Y308" s="61">
        <f ca="1">ROUND(表1_11[[#This Row],[税前应发总额]]-SUM(表1_11[[#This Row],[养老保险]:[公积金]]),2)</f>
        <v>2953.97</v>
      </c>
      <c r="Z308" s="62">
        <f ca="1">ROUND(MAX((表1_11[[#This Row],[扣保险后工资金额]]-3500)*{3,10,20,25,30,35,45}%-{0,105,555,1005,2755,5505,13505},0),2)</f>
        <v>0</v>
      </c>
      <c r="AA308" s="63">
        <f ca="1">表1_11[[#This Row],[扣保险后工资金额]]-表1_11[[#This Row],[个人所得税]]</f>
        <v>2953.97</v>
      </c>
      <c r="AB308" s="53">
        <v>2783.22</v>
      </c>
      <c r="AC308" s="64">
        <f ca="1">(表1_11[[#This Row],[实发工资]]-表1_11[[#This Row],[上月对比]])/表1_11[[#This Row],[上月对比]]</f>
        <v>6.1349803465051277E-2</v>
      </c>
      <c r="AD308" s="65" t="s">
        <v>1587</v>
      </c>
    </row>
    <row r="309" spans="1:30">
      <c r="A309" s="42" t="s">
        <v>577</v>
      </c>
      <c r="B309" s="42" t="s">
        <v>725</v>
      </c>
      <c r="C309" s="40" t="s">
        <v>747</v>
      </c>
      <c r="D309" s="40" t="s">
        <v>748</v>
      </c>
      <c r="E309" s="41" t="s">
        <v>1319</v>
      </c>
      <c r="F309" s="5" t="s">
        <v>305</v>
      </c>
      <c r="G309" s="25">
        <v>42290</v>
      </c>
      <c r="H309" s="5" t="s">
        <v>618</v>
      </c>
      <c r="I309" s="5">
        <f>VLOOKUP(MID(表1_11[[#This Row],[工资等级]],1,1),表12[],MATCH(MID(表1_11[[#This Row],[工资等级]],2,2),表12[[#Headers],[1]:[10]],0)+1,0)</f>
        <v>3000</v>
      </c>
      <c r="J309" s="5">
        <v>24.5</v>
      </c>
      <c r="K309" s="27">
        <v>1.0208333333333333</v>
      </c>
      <c r="L309" s="37">
        <f>IF(表1_11[[#This Row],[出勤率]]&gt;1,1,表1_11[[#This Row],[出勤率]])*表1_11[[#This Row],[岗位工资]]</f>
        <v>3000</v>
      </c>
      <c r="M309" s="5">
        <f>LOOKUP(表1_11[[#This Row],[岗位工资]],表13[lookup],表13[奖金比率])*表1_11[[#This Row],[岗位工资]]</f>
        <v>300</v>
      </c>
      <c r="N309" s="5">
        <v>86</v>
      </c>
      <c r="O309" s="38">
        <f>表1_11[[#This Row],[奖金等级]]*表1_11[[#This Row],[绩效得分]]/100</f>
        <v>258</v>
      </c>
      <c r="P309" s="5">
        <f>IF(表1_11[[#This Row],[出勤率]]&gt;=1,200,0)</f>
        <v>200</v>
      </c>
      <c r="Q309" s="23">
        <f t="shared" ca="1" si="4"/>
        <v>100</v>
      </c>
      <c r="R309" s="23">
        <f>IF(表1_11[[#This Row],[中心]]="营销中心",VLOOKUP(表1_11[[#This Row],[职位]],表2[[话费补贴]:[营销中心]],2,0),VLOOKUP(表1_11[[#This Row],[职位]],表2[],3,0))</f>
        <v>0</v>
      </c>
      <c r="S309" s="23">
        <v>200</v>
      </c>
      <c r="T309" s="61">
        <f ca="1">ROUND(SUM(表1_11[[#This Row],[基本工资]],表1_11[[#This Row],[奖金]],表1_11[[#This Row],[全勤奖]:[防暑降温补贴]]),2)</f>
        <v>3758</v>
      </c>
      <c r="U309" s="62">
        <f ca="1">ROUND(表1_11[[#This Row],[税前应发总额]]*8%,2)</f>
        <v>300.64</v>
      </c>
      <c r="V309" s="62">
        <f ca="1">ROUND(表1_11[[#This Row],[税前应发总额]]*2%+3,2)</f>
        <v>78.16</v>
      </c>
      <c r="W309" s="62">
        <f ca="1">ROUND(表1_11[[#This Row],[税前应发总额]]*0.2%,2)</f>
        <v>7.52</v>
      </c>
      <c r="X309" s="62">
        <f ca="1">ROUND(表1_11[[#This Row],[税前应发总额]]*12%,2)</f>
        <v>450.96</v>
      </c>
      <c r="Y309" s="61">
        <f ca="1">ROUND(表1_11[[#This Row],[税前应发总额]]-SUM(表1_11[[#This Row],[养老保险]:[公积金]]),2)</f>
        <v>2920.72</v>
      </c>
      <c r="Z309" s="62">
        <f ca="1">ROUND(MAX((表1_11[[#This Row],[扣保险后工资金额]]-3500)*{3,10,20,25,30,35,45}%-{0,105,555,1005,2755,5505,13505},0),2)</f>
        <v>0</v>
      </c>
      <c r="AA309" s="63">
        <f ca="1">表1_11[[#This Row],[扣保险后工资金额]]-表1_11[[#This Row],[个人所得税]]</f>
        <v>2920.72</v>
      </c>
      <c r="AB309" s="53">
        <v>3351.68</v>
      </c>
      <c r="AC309" s="64">
        <f ca="1">(表1_11[[#This Row],[实发工资]]-表1_11[[#This Row],[上月对比]])/表1_11[[#This Row],[上月对比]]</f>
        <v>-0.12858029406148561</v>
      </c>
      <c r="AD309" s="65" t="s">
        <v>1587</v>
      </c>
    </row>
    <row r="310" spans="1:30">
      <c r="A310" s="42" t="s">
        <v>577</v>
      </c>
      <c r="B310" s="42" t="s">
        <v>725</v>
      </c>
      <c r="C310" s="40" t="s">
        <v>749</v>
      </c>
      <c r="D310" s="40" t="s">
        <v>750</v>
      </c>
      <c r="E310" s="41" t="s">
        <v>1320</v>
      </c>
      <c r="F310" s="5" t="s">
        <v>306</v>
      </c>
      <c r="G310" s="25">
        <v>39927</v>
      </c>
      <c r="H310" s="5" t="s">
        <v>610</v>
      </c>
      <c r="I310" s="5">
        <f>VLOOKUP(MID(表1_11[[#This Row],[工资等级]],1,1),表12[],MATCH(MID(表1_11[[#This Row],[工资等级]],2,2),表12[[#Headers],[1]:[10]],0)+1,0)</f>
        <v>3400</v>
      </c>
      <c r="J310" s="5">
        <v>22</v>
      </c>
      <c r="K310" s="27">
        <v>0.91666666666666663</v>
      </c>
      <c r="L310" s="37">
        <f>IF(表1_11[[#This Row],[出勤率]]&gt;1,1,表1_11[[#This Row],[出勤率]])*表1_11[[#This Row],[岗位工资]]</f>
        <v>3116.6666666666665</v>
      </c>
      <c r="M310" s="5">
        <f>LOOKUP(表1_11[[#This Row],[岗位工资]],表13[lookup],表13[奖金比率])*表1_11[[#This Row],[岗位工资]]</f>
        <v>340</v>
      </c>
      <c r="N310" s="5">
        <v>86</v>
      </c>
      <c r="O310" s="38">
        <f>表1_11[[#This Row],[奖金等级]]*表1_11[[#This Row],[绩效得分]]/100</f>
        <v>292.39999999999998</v>
      </c>
      <c r="P310" s="5">
        <f>IF(表1_11[[#This Row],[出勤率]]&gt;=1,200,0)</f>
        <v>0</v>
      </c>
      <c r="Q310" s="23">
        <f t="shared" ca="1" si="4"/>
        <v>400</v>
      </c>
      <c r="R310" s="23">
        <f>IF(表1_11[[#This Row],[中心]]="营销中心",VLOOKUP(表1_11[[#This Row],[职位]],表2[[话费补贴]:[营销中心]],2,0),VLOOKUP(表1_11[[#This Row],[职位]],表2[],3,0))</f>
        <v>0</v>
      </c>
      <c r="S310" s="23">
        <v>200</v>
      </c>
      <c r="T310" s="61">
        <f ca="1">ROUND(SUM(表1_11[[#This Row],[基本工资]],表1_11[[#This Row],[奖金]],表1_11[[#This Row],[全勤奖]:[防暑降温补贴]]),2)</f>
        <v>4009.07</v>
      </c>
      <c r="U310" s="62">
        <f ca="1">ROUND(表1_11[[#This Row],[税前应发总额]]*8%,2)</f>
        <v>320.73</v>
      </c>
      <c r="V310" s="62">
        <f ca="1">ROUND(表1_11[[#This Row],[税前应发总额]]*2%+3,2)</f>
        <v>83.18</v>
      </c>
      <c r="W310" s="62">
        <f ca="1">ROUND(表1_11[[#This Row],[税前应发总额]]*0.2%,2)</f>
        <v>8.02</v>
      </c>
      <c r="X310" s="62">
        <f ca="1">ROUND(表1_11[[#This Row],[税前应发总额]]*12%,2)</f>
        <v>481.09</v>
      </c>
      <c r="Y310" s="61">
        <f ca="1">ROUND(表1_11[[#This Row],[税前应发总额]]-SUM(表1_11[[#This Row],[养老保险]:[公积金]]),2)</f>
        <v>3116.05</v>
      </c>
      <c r="Z310" s="62">
        <f ca="1">ROUND(MAX((表1_11[[#This Row],[扣保险后工资金额]]-3500)*{3,10,20,25,30,35,45}%-{0,105,555,1005,2755,5505,13505},0),2)</f>
        <v>0</v>
      </c>
      <c r="AA310" s="63">
        <f ca="1">表1_11[[#This Row],[扣保险后工资金额]]-表1_11[[#This Row],[个人所得税]]</f>
        <v>3116.05</v>
      </c>
      <c r="AB310" s="53">
        <v>2936.29</v>
      </c>
      <c r="AC310" s="64">
        <f ca="1">(表1_11[[#This Row],[实发工资]]-表1_11[[#This Row],[上月对比]])/表1_11[[#This Row],[上月对比]]</f>
        <v>6.1220111092569272E-2</v>
      </c>
      <c r="AD310" s="65" t="s">
        <v>1587</v>
      </c>
    </row>
    <row r="311" spans="1:30">
      <c r="A311" s="42" t="s">
        <v>577</v>
      </c>
      <c r="B311" s="42" t="s">
        <v>725</v>
      </c>
      <c r="C311" s="40" t="s">
        <v>711</v>
      </c>
      <c r="D311" s="40" t="s">
        <v>712</v>
      </c>
      <c r="E311" s="41" t="s">
        <v>1321</v>
      </c>
      <c r="F311" s="5" t="s">
        <v>307</v>
      </c>
      <c r="G311" s="25">
        <v>38815</v>
      </c>
      <c r="H311" s="5" t="s">
        <v>615</v>
      </c>
      <c r="I311" s="5">
        <f>VLOOKUP(MID(表1_11[[#This Row],[工资等级]],1,1),表12[],MATCH(MID(表1_11[[#This Row],[工资等级]],2,2),表12[[#Headers],[1]:[10]],0)+1,0)</f>
        <v>3200</v>
      </c>
      <c r="J311" s="5">
        <v>21.5</v>
      </c>
      <c r="K311" s="27">
        <v>0.89583333333333337</v>
      </c>
      <c r="L311" s="37">
        <f>IF(表1_11[[#This Row],[出勤率]]&gt;1,1,表1_11[[#This Row],[出勤率]])*表1_11[[#This Row],[岗位工资]]</f>
        <v>2866.666666666667</v>
      </c>
      <c r="M311" s="5">
        <f>LOOKUP(表1_11[[#This Row],[岗位工资]],表13[lookup],表13[奖金比率])*表1_11[[#This Row],[岗位工资]]</f>
        <v>320</v>
      </c>
      <c r="N311" s="5">
        <v>98</v>
      </c>
      <c r="O311" s="38">
        <f>表1_11[[#This Row],[奖金等级]]*表1_11[[#This Row],[绩效得分]]/100</f>
        <v>313.60000000000002</v>
      </c>
      <c r="P311" s="5">
        <f>IF(表1_11[[#This Row],[出勤率]]&gt;=1,200,0)</f>
        <v>0</v>
      </c>
      <c r="Q311" s="23">
        <f t="shared" ca="1" si="4"/>
        <v>500</v>
      </c>
      <c r="R311" s="23">
        <f>IF(表1_11[[#This Row],[中心]]="营销中心",VLOOKUP(表1_11[[#This Row],[职位]],表2[[话费补贴]:[营销中心]],2,0),VLOOKUP(表1_11[[#This Row],[职位]],表2[],3,0))</f>
        <v>0</v>
      </c>
      <c r="S311" s="23">
        <v>200</v>
      </c>
      <c r="T311" s="61">
        <f ca="1">ROUND(SUM(表1_11[[#This Row],[基本工资]],表1_11[[#This Row],[奖金]],表1_11[[#This Row],[全勤奖]:[防暑降温补贴]]),2)</f>
        <v>3880.27</v>
      </c>
      <c r="U311" s="62">
        <f ca="1">ROUND(表1_11[[#This Row],[税前应发总额]]*8%,2)</f>
        <v>310.42</v>
      </c>
      <c r="V311" s="62">
        <f ca="1">ROUND(表1_11[[#This Row],[税前应发总额]]*2%+3,2)</f>
        <v>80.61</v>
      </c>
      <c r="W311" s="62">
        <f ca="1">ROUND(表1_11[[#This Row],[税前应发总额]]*0.2%,2)</f>
        <v>7.76</v>
      </c>
      <c r="X311" s="62">
        <f ca="1">ROUND(表1_11[[#This Row],[税前应发总额]]*12%,2)</f>
        <v>465.63</v>
      </c>
      <c r="Y311" s="61">
        <f ca="1">ROUND(表1_11[[#This Row],[税前应发总额]]-SUM(表1_11[[#This Row],[养老保险]:[公积金]]),2)</f>
        <v>3015.85</v>
      </c>
      <c r="Z311" s="62">
        <f ca="1">ROUND(MAX((表1_11[[#This Row],[扣保险后工资金额]]-3500)*{3,10,20,25,30,35,45}%-{0,105,555,1005,2755,5505,13505},0),2)</f>
        <v>0</v>
      </c>
      <c r="AA311" s="63">
        <f ca="1">表1_11[[#This Row],[扣保险后工资金额]]-表1_11[[#This Row],[个人所得税]]</f>
        <v>3015.85</v>
      </c>
      <c r="AB311" s="53">
        <v>3402.28</v>
      </c>
      <c r="AC311" s="64">
        <f ca="1">(表1_11[[#This Row],[实发工资]]-表1_11[[#This Row],[上月对比]])/表1_11[[#This Row],[上月对比]]</f>
        <v>-0.11357971713086526</v>
      </c>
      <c r="AD311" s="65" t="s">
        <v>1587</v>
      </c>
    </row>
    <row r="312" spans="1:30">
      <c r="A312" s="42" t="s">
        <v>577</v>
      </c>
      <c r="B312" s="42" t="s">
        <v>725</v>
      </c>
      <c r="C312" s="40" t="s">
        <v>713</v>
      </c>
      <c r="D312" s="40" t="s">
        <v>714</v>
      </c>
      <c r="E312" s="41" t="s">
        <v>1322</v>
      </c>
      <c r="F312" s="5" t="s">
        <v>308</v>
      </c>
      <c r="G312" s="25">
        <v>42100</v>
      </c>
      <c r="H312" s="5" t="s">
        <v>657</v>
      </c>
      <c r="I312" s="5">
        <f>VLOOKUP(MID(表1_11[[#This Row],[工资等级]],1,1),表12[],MATCH(MID(表1_11[[#This Row],[工资等级]],2,2),表12[[#Headers],[1]:[10]],0)+1,0)</f>
        <v>4000</v>
      </c>
      <c r="J312" s="5">
        <v>24.5</v>
      </c>
      <c r="K312" s="27">
        <v>1.0208333333333333</v>
      </c>
      <c r="L312" s="37">
        <f>IF(表1_11[[#This Row],[出勤率]]&gt;1,1,表1_11[[#This Row],[出勤率]])*表1_11[[#This Row],[岗位工资]]</f>
        <v>4000</v>
      </c>
      <c r="M312" s="5">
        <f>LOOKUP(表1_11[[#This Row],[岗位工资]],表13[lookup],表13[奖金比率])*表1_11[[#This Row],[岗位工资]]</f>
        <v>600</v>
      </c>
      <c r="N312" s="5">
        <v>80</v>
      </c>
      <c r="O312" s="38">
        <f>表1_11[[#This Row],[奖金等级]]*表1_11[[#This Row],[绩效得分]]/100</f>
        <v>480</v>
      </c>
      <c r="P312" s="5">
        <f>IF(表1_11[[#This Row],[出勤率]]&gt;=1,200,0)</f>
        <v>200</v>
      </c>
      <c r="Q312" s="23">
        <f t="shared" ca="1" si="4"/>
        <v>100</v>
      </c>
      <c r="R312" s="23">
        <f>IF(表1_11[[#This Row],[中心]]="营销中心",VLOOKUP(表1_11[[#This Row],[职位]],表2[[话费补贴]:[营销中心]],2,0),VLOOKUP(表1_11[[#This Row],[职位]],表2[],3,0))</f>
        <v>0</v>
      </c>
      <c r="S312" s="23">
        <v>200</v>
      </c>
      <c r="T312" s="61">
        <f ca="1">ROUND(SUM(表1_11[[#This Row],[基本工资]],表1_11[[#This Row],[奖金]],表1_11[[#This Row],[全勤奖]:[防暑降温补贴]]),2)</f>
        <v>4980</v>
      </c>
      <c r="U312" s="62">
        <f ca="1">ROUND(表1_11[[#This Row],[税前应发总额]]*8%,2)</f>
        <v>398.4</v>
      </c>
      <c r="V312" s="62">
        <f ca="1">ROUND(表1_11[[#This Row],[税前应发总额]]*2%+3,2)</f>
        <v>102.6</v>
      </c>
      <c r="W312" s="62">
        <f ca="1">ROUND(表1_11[[#This Row],[税前应发总额]]*0.2%,2)</f>
        <v>9.9600000000000009</v>
      </c>
      <c r="X312" s="62">
        <f ca="1">ROUND(表1_11[[#This Row],[税前应发总额]]*12%,2)</f>
        <v>597.6</v>
      </c>
      <c r="Y312" s="61">
        <f ca="1">ROUND(表1_11[[#This Row],[税前应发总额]]-SUM(表1_11[[#This Row],[养老保险]:[公积金]]),2)</f>
        <v>3871.44</v>
      </c>
      <c r="Z312" s="62">
        <f ca="1">ROUND(MAX((表1_11[[#This Row],[扣保险后工资金额]]-3500)*{3,10,20,25,30,35,45}%-{0,105,555,1005,2755,5505,13505},0),2)</f>
        <v>11.14</v>
      </c>
      <c r="AA312" s="63">
        <f ca="1">表1_11[[#This Row],[扣保险后工资金额]]-表1_11[[#This Row],[个人所得税]]</f>
        <v>3860.3</v>
      </c>
      <c r="AB312" s="53">
        <v>3731.97</v>
      </c>
      <c r="AC312" s="64">
        <f ca="1">(表1_11[[#This Row],[实发工资]]-表1_11[[#This Row],[上月对比]])/表1_11[[#This Row],[上月对比]]</f>
        <v>3.4386664415844821E-2</v>
      </c>
      <c r="AD312" s="65" t="s">
        <v>1587</v>
      </c>
    </row>
    <row r="313" spans="1:30">
      <c r="A313" s="42" t="s">
        <v>577</v>
      </c>
      <c r="B313" s="42" t="s">
        <v>725</v>
      </c>
      <c r="C313" s="40" t="s">
        <v>599</v>
      </c>
      <c r="D313" s="40" t="s">
        <v>626</v>
      </c>
      <c r="E313" s="41" t="s">
        <v>1323</v>
      </c>
      <c r="F313" s="5" t="s">
        <v>309</v>
      </c>
      <c r="G313" s="25">
        <v>39469</v>
      </c>
      <c r="H313" s="5" t="s">
        <v>630</v>
      </c>
      <c r="I313" s="5">
        <f>VLOOKUP(MID(表1_11[[#This Row],[工资等级]],1,1),表12[],MATCH(MID(表1_11[[#This Row],[工资等级]],2,2),表12[[#Headers],[1]:[10]],0)+1,0)</f>
        <v>2600</v>
      </c>
      <c r="J313" s="5">
        <v>24</v>
      </c>
      <c r="K313" s="27">
        <v>1</v>
      </c>
      <c r="L313" s="37">
        <f>IF(表1_11[[#This Row],[出勤率]]&gt;1,1,表1_11[[#This Row],[出勤率]])*表1_11[[#This Row],[岗位工资]]</f>
        <v>2600</v>
      </c>
      <c r="M313" s="5">
        <f>LOOKUP(表1_11[[#This Row],[岗位工资]],表13[lookup],表13[奖金比率])*表1_11[[#This Row],[岗位工资]]</f>
        <v>260</v>
      </c>
      <c r="N313" s="5">
        <v>79</v>
      </c>
      <c r="O313" s="38">
        <f>表1_11[[#This Row],[奖金等级]]*表1_11[[#This Row],[绩效得分]]/100</f>
        <v>205.4</v>
      </c>
      <c r="P313" s="5">
        <f>IF(表1_11[[#This Row],[出勤率]]&gt;=1,200,0)</f>
        <v>200</v>
      </c>
      <c r="Q313" s="23">
        <f t="shared" ca="1" si="4"/>
        <v>500</v>
      </c>
      <c r="R313" s="23">
        <f>IF(表1_11[[#This Row],[中心]]="营销中心",VLOOKUP(表1_11[[#This Row],[职位]],表2[[话费补贴]:[营销中心]],2,0),VLOOKUP(表1_11[[#This Row],[职位]],表2[],3,0))</f>
        <v>0</v>
      </c>
      <c r="S313" s="23">
        <v>200</v>
      </c>
      <c r="T313" s="61">
        <f ca="1">ROUND(SUM(表1_11[[#This Row],[基本工资]],表1_11[[#This Row],[奖金]],表1_11[[#This Row],[全勤奖]:[防暑降温补贴]]),2)</f>
        <v>3705.4</v>
      </c>
      <c r="U313" s="62">
        <f ca="1">ROUND(表1_11[[#This Row],[税前应发总额]]*8%,2)</f>
        <v>296.43</v>
      </c>
      <c r="V313" s="62">
        <f ca="1">ROUND(表1_11[[#This Row],[税前应发总额]]*2%+3,2)</f>
        <v>77.11</v>
      </c>
      <c r="W313" s="62">
        <f ca="1">ROUND(表1_11[[#This Row],[税前应发总额]]*0.2%,2)</f>
        <v>7.41</v>
      </c>
      <c r="X313" s="62">
        <f ca="1">ROUND(表1_11[[#This Row],[税前应发总额]]*12%,2)</f>
        <v>444.65</v>
      </c>
      <c r="Y313" s="61">
        <f ca="1">ROUND(表1_11[[#This Row],[税前应发总额]]-SUM(表1_11[[#This Row],[养老保险]:[公积金]]),2)</f>
        <v>2879.8</v>
      </c>
      <c r="Z313" s="62">
        <f ca="1">ROUND(MAX((表1_11[[#This Row],[扣保险后工资金额]]-3500)*{3,10,20,25,30,35,45}%-{0,105,555,1005,2755,5505,13505},0),2)</f>
        <v>0</v>
      </c>
      <c r="AA313" s="63">
        <f ca="1">表1_11[[#This Row],[扣保险后工资金额]]-表1_11[[#This Row],[个人所得税]]</f>
        <v>2879.8</v>
      </c>
      <c r="AB313" s="53">
        <v>3328.59</v>
      </c>
      <c r="AC313" s="64">
        <f ca="1">(表1_11[[#This Row],[实发工资]]-表1_11[[#This Row],[上月对比]])/表1_11[[#This Row],[上月对比]]</f>
        <v>-0.13482886146987161</v>
      </c>
      <c r="AD313" s="65" t="s">
        <v>1587</v>
      </c>
    </row>
    <row r="314" spans="1:30">
      <c r="A314" s="42" t="s">
        <v>577</v>
      </c>
      <c r="B314" s="42" t="s">
        <v>725</v>
      </c>
      <c r="C314" s="40" t="s">
        <v>715</v>
      </c>
      <c r="D314" s="40" t="s">
        <v>716</v>
      </c>
      <c r="E314" s="41" t="s">
        <v>1324</v>
      </c>
      <c r="F314" s="5" t="s">
        <v>310</v>
      </c>
      <c r="G314" s="25">
        <v>41920</v>
      </c>
      <c r="H314" s="5" t="s">
        <v>612</v>
      </c>
      <c r="I314" s="5">
        <f>VLOOKUP(MID(表1_11[[#This Row],[工资等级]],1,1),表12[],MATCH(MID(表1_11[[#This Row],[工资等级]],2,2),表12[[#Headers],[1]:[10]],0)+1,0)</f>
        <v>2700</v>
      </c>
      <c r="J314" s="5">
        <v>21.5</v>
      </c>
      <c r="K314" s="27">
        <v>0.89583333333333337</v>
      </c>
      <c r="L314" s="37">
        <f>IF(表1_11[[#This Row],[出勤率]]&gt;1,1,表1_11[[#This Row],[出勤率]])*表1_11[[#This Row],[岗位工资]]</f>
        <v>2418.75</v>
      </c>
      <c r="M314" s="5">
        <f>LOOKUP(表1_11[[#This Row],[岗位工资]],表13[lookup],表13[奖金比率])*表1_11[[#This Row],[岗位工资]]</f>
        <v>270</v>
      </c>
      <c r="N314" s="5">
        <v>84</v>
      </c>
      <c r="O314" s="38">
        <f>表1_11[[#This Row],[奖金等级]]*表1_11[[#This Row],[绩效得分]]/100</f>
        <v>226.8</v>
      </c>
      <c r="P314" s="5">
        <f>IF(表1_11[[#This Row],[出勤率]]&gt;=1,200,0)</f>
        <v>0</v>
      </c>
      <c r="Q314" s="23">
        <f t="shared" ca="1" si="4"/>
        <v>150</v>
      </c>
      <c r="R314" s="23">
        <f>IF(表1_11[[#This Row],[中心]]="营销中心",VLOOKUP(表1_11[[#This Row],[职位]],表2[[话费补贴]:[营销中心]],2,0),VLOOKUP(表1_11[[#This Row],[职位]],表2[],3,0))</f>
        <v>0</v>
      </c>
      <c r="S314" s="23">
        <v>200</v>
      </c>
      <c r="T314" s="61">
        <f ca="1">ROUND(SUM(表1_11[[#This Row],[基本工资]],表1_11[[#This Row],[奖金]],表1_11[[#This Row],[全勤奖]:[防暑降温补贴]]),2)</f>
        <v>2995.55</v>
      </c>
      <c r="U314" s="62">
        <f ca="1">ROUND(表1_11[[#This Row],[税前应发总额]]*8%,2)</f>
        <v>239.64</v>
      </c>
      <c r="V314" s="62">
        <f ca="1">ROUND(表1_11[[#This Row],[税前应发总额]]*2%+3,2)</f>
        <v>62.91</v>
      </c>
      <c r="W314" s="62">
        <f ca="1">ROUND(表1_11[[#This Row],[税前应发总额]]*0.2%,2)</f>
        <v>5.99</v>
      </c>
      <c r="X314" s="62">
        <f ca="1">ROUND(表1_11[[#This Row],[税前应发总额]]*12%,2)</f>
        <v>359.47</v>
      </c>
      <c r="Y314" s="61">
        <f ca="1">ROUND(表1_11[[#This Row],[税前应发总额]]-SUM(表1_11[[#This Row],[养老保险]:[公积金]]),2)</f>
        <v>2327.54</v>
      </c>
      <c r="Z314" s="62">
        <f ca="1">ROUND(MAX((表1_11[[#This Row],[扣保险后工资金额]]-3500)*{3,10,20,25,30,35,45}%-{0,105,555,1005,2755,5505,13505},0),2)</f>
        <v>0</v>
      </c>
      <c r="AA314" s="63">
        <f ca="1">表1_11[[#This Row],[扣保险后工资金额]]-表1_11[[#This Row],[个人所得税]]</f>
        <v>2327.54</v>
      </c>
      <c r="AB314" s="53">
        <v>2503.77</v>
      </c>
      <c r="AC314" s="64">
        <f ca="1">(表1_11[[#This Row],[实发工资]]-表1_11[[#This Row],[上月对比]])/表1_11[[#This Row],[上月对比]]</f>
        <v>-7.0385858125946082E-2</v>
      </c>
      <c r="AD314" s="65" t="s">
        <v>1587</v>
      </c>
    </row>
    <row r="315" spans="1:30">
      <c r="A315" s="42" t="s">
        <v>577</v>
      </c>
      <c r="B315" s="42" t="s">
        <v>725</v>
      </c>
      <c r="C315" s="40" t="s">
        <v>751</v>
      </c>
      <c r="D315" s="40" t="s">
        <v>752</v>
      </c>
      <c r="E315" s="41" t="s">
        <v>1325</v>
      </c>
      <c r="F315" s="5" t="s">
        <v>311</v>
      </c>
      <c r="G315" s="25">
        <v>40446</v>
      </c>
      <c r="H315" s="5" t="s">
        <v>612</v>
      </c>
      <c r="I315" s="5">
        <f>VLOOKUP(MID(表1_11[[#This Row],[工资等级]],1,1),表12[],MATCH(MID(表1_11[[#This Row],[工资等级]],2,2),表12[[#Headers],[1]:[10]],0)+1,0)</f>
        <v>2700</v>
      </c>
      <c r="J315" s="5">
        <v>25.5</v>
      </c>
      <c r="K315" s="27">
        <v>1.0625</v>
      </c>
      <c r="L315" s="37">
        <f>IF(表1_11[[#This Row],[出勤率]]&gt;1,1,表1_11[[#This Row],[出勤率]])*表1_11[[#This Row],[岗位工资]]</f>
        <v>2700</v>
      </c>
      <c r="M315" s="5">
        <f>LOOKUP(表1_11[[#This Row],[岗位工资]],表13[lookup],表13[奖金比率])*表1_11[[#This Row],[岗位工资]]</f>
        <v>270</v>
      </c>
      <c r="N315" s="5">
        <v>93</v>
      </c>
      <c r="O315" s="38">
        <f>表1_11[[#This Row],[奖金等级]]*表1_11[[#This Row],[绩效得分]]/100</f>
        <v>251.1</v>
      </c>
      <c r="P315" s="5">
        <f>IF(表1_11[[#This Row],[出勤率]]&gt;=1,200,0)</f>
        <v>200</v>
      </c>
      <c r="Q315" s="23">
        <f t="shared" ca="1" si="4"/>
        <v>350</v>
      </c>
      <c r="R315" s="23">
        <f>IF(表1_11[[#This Row],[中心]]="营销中心",VLOOKUP(表1_11[[#This Row],[职位]],表2[[话费补贴]:[营销中心]],2,0),VLOOKUP(表1_11[[#This Row],[职位]],表2[],3,0))</f>
        <v>0</v>
      </c>
      <c r="S315" s="23">
        <v>200</v>
      </c>
      <c r="T315" s="61">
        <f ca="1">ROUND(SUM(表1_11[[#This Row],[基本工资]],表1_11[[#This Row],[奖金]],表1_11[[#This Row],[全勤奖]:[防暑降温补贴]]),2)</f>
        <v>3701.1</v>
      </c>
      <c r="U315" s="62">
        <f ca="1">ROUND(表1_11[[#This Row],[税前应发总额]]*8%,2)</f>
        <v>296.08999999999997</v>
      </c>
      <c r="V315" s="62">
        <f ca="1">ROUND(表1_11[[#This Row],[税前应发总额]]*2%+3,2)</f>
        <v>77.02</v>
      </c>
      <c r="W315" s="62">
        <f ca="1">ROUND(表1_11[[#This Row],[税前应发总额]]*0.2%,2)</f>
        <v>7.4</v>
      </c>
      <c r="X315" s="62">
        <f ca="1">ROUND(表1_11[[#This Row],[税前应发总额]]*12%,2)</f>
        <v>444.13</v>
      </c>
      <c r="Y315" s="61">
        <f ca="1">ROUND(表1_11[[#This Row],[税前应发总额]]-SUM(表1_11[[#This Row],[养老保险]:[公积金]]),2)</f>
        <v>2876.46</v>
      </c>
      <c r="Z315" s="62">
        <f ca="1">ROUND(MAX((表1_11[[#This Row],[扣保险后工资金额]]-3500)*{3,10,20,25,30,35,45}%-{0,105,555,1005,2755,5505,13505},0),2)</f>
        <v>0</v>
      </c>
      <c r="AA315" s="63">
        <f ca="1">表1_11[[#This Row],[扣保险后工资金额]]-表1_11[[#This Row],[个人所得税]]</f>
        <v>2876.46</v>
      </c>
      <c r="AB315" s="53">
        <v>3392.46</v>
      </c>
      <c r="AC315" s="64">
        <f ca="1">(表1_11[[#This Row],[实发工资]]-表1_11[[#This Row],[上月对比]])/表1_11[[#This Row],[上月对比]]</f>
        <v>-0.15210201446737764</v>
      </c>
      <c r="AD315" s="65" t="s">
        <v>1587</v>
      </c>
    </row>
    <row r="316" spans="1:30">
      <c r="A316" s="42" t="s">
        <v>577</v>
      </c>
      <c r="B316" s="42" t="s">
        <v>725</v>
      </c>
      <c r="C316" s="40" t="s">
        <v>753</v>
      </c>
      <c r="D316" s="40" t="s">
        <v>754</v>
      </c>
      <c r="E316" s="41" t="s">
        <v>1326</v>
      </c>
      <c r="F316" s="5" t="s">
        <v>312</v>
      </c>
      <c r="G316" s="25">
        <v>39950</v>
      </c>
      <c r="H316" s="5" t="s">
        <v>610</v>
      </c>
      <c r="I316" s="5">
        <f>VLOOKUP(MID(表1_11[[#This Row],[工资等级]],1,1),表12[],MATCH(MID(表1_11[[#This Row],[工资等级]],2,2),表12[[#Headers],[1]:[10]],0)+1,0)</f>
        <v>3400</v>
      </c>
      <c r="J316" s="5">
        <v>26.5</v>
      </c>
      <c r="K316" s="27">
        <v>1.1041666666666667</v>
      </c>
      <c r="L316" s="37">
        <f>IF(表1_11[[#This Row],[出勤率]]&gt;1,1,表1_11[[#This Row],[出勤率]])*表1_11[[#This Row],[岗位工资]]</f>
        <v>3400</v>
      </c>
      <c r="M316" s="5">
        <f>LOOKUP(表1_11[[#This Row],[岗位工资]],表13[lookup],表13[奖金比率])*表1_11[[#This Row],[岗位工资]]</f>
        <v>340</v>
      </c>
      <c r="N316" s="5">
        <v>89</v>
      </c>
      <c r="O316" s="38">
        <f>表1_11[[#This Row],[奖金等级]]*表1_11[[#This Row],[绩效得分]]/100</f>
        <v>302.60000000000002</v>
      </c>
      <c r="P316" s="5">
        <f>IF(表1_11[[#This Row],[出勤率]]&gt;=1,200,0)</f>
        <v>200</v>
      </c>
      <c r="Q316" s="23">
        <f t="shared" ca="1" si="4"/>
        <v>400</v>
      </c>
      <c r="R316" s="23">
        <f>IF(表1_11[[#This Row],[中心]]="营销中心",VLOOKUP(表1_11[[#This Row],[职位]],表2[[话费补贴]:[营销中心]],2,0),VLOOKUP(表1_11[[#This Row],[职位]],表2[],3,0))</f>
        <v>0</v>
      </c>
      <c r="S316" s="23">
        <v>200</v>
      </c>
      <c r="T316" s="61">
        <f ca="1">ROUND(SUM(表1_11[[#This Row],[基本工资]],表1_11[[#This Row],[奖金]],表1_11[[#This Row],[全勤奖]:[防暑降温补贴]]),2)</f>
        <v>4502.6000000000004</v>
      </c>
      <c r="U316" s="62">
        <f ca="1">ROUND(表1_11[[#This Row],[税前应发总额]]*8%,2)</f>
        <v>360.21</v>
      </c>
      <c r="V316" s="62">
        <f ca="1">ROUND(表1_11[[#This Row],[税前应发总额]]*2%+3,2)</f>
        <v>93.05</v>
      </c>
      <c r="W316" s="62">
        <f ca="1">ROUND(表1_11[[#This Row],[税前应发总额]]*0.2%,2)</f>
        <v>9.01</v>
      </c>
      <c r="X316" s="62">
        <f ca="1">ROUND(表1_11[[#This Row],[税前应发总额]]*12%,2)</f>
        <v>540.30999999999995</v>
      </c>
      <c r="Y316" s="61">
        <f ca="1">ROUND(表1_11[[#This Row],[税前应发总额]]-SUM(表1_11[[#This Row],[养老保险]:[公积金]]),2)</f>
        <v>3500.02</v>
      </c>
      <c r="Z316" s="62">
        <f ca="1">ROUND(MAX((表1_11[[#This Row],[扣保险后工资金额]]-3500)*{3,10,20,25,30,35,45}%-{0,105,555,1005,2755,5505,13505},0),2)</f>
        <v>0</v>
      </c>
      <c r="AA316" s="63">
        <f ca="1">表1_11[[#This Row],[扣保险后工资金额]]-表1_11[[#This Row],[个人所得税]]</f>
        <v>3500.02</v>
      </c>
      <c r="AB316" s="53">
        <v>3191.53</v>
      </c>
      <c r="AC316" s="64">
        <f ca="1">(表1_11[[#This Row],[实发工资]]-表1_11[[#This Row],[上月对比]])/表1_11[[#This Row],[上月对比]]</f>
        <v>9.6658969209125326E-2</v>
      </c>
      <c r="AD316" s="65" t="s">
        <v>1587</v>
      </c>
    </row>
    <row r="317" spans="1:30">
      <c r="A317" s="42" t="s">
        <v>577</v>
      </c>
      <c r="B317" s="42" t="s">
        <v>725</v>
      </c>
      <c r="C317" s="40" t="s">
        <v>755</v>
      </c>
      <c r="D317" s="40" t="s">
        <v>756</v>
      </c>
      <c r="E317" s="41" t="s">
        <v>1327</v>
      </c>
      <c r="F317" s="5" t="s">
        <v>313</v>
      </c>
      <c r="G317" s="25">
        <v>41835</v>
      </c>
      <c r="H317" s="5" t="s">
        <v>612</v>
      </c>
      <c r="I317" s="5">
        <f>VLOOKUP(MID(表1_11[[#This Row],[工资等级]],1,1),表12[],MATCH(MID(表1_11[[#This Row],[工资等级]],2,2),表12[[#Headers],[1]:[10]],0)+1,0)</f>
        <v>2700</v>
      </c>
      <c r="J317" s="5">
        <v>20.5</v>
      </c>
      <c r="K317" s="27">
        <v>0.85416666666666663</v>
      </c>
      <c r="L317" s="37">
        <f>IF(表1_11[[#This Row],[出勤率]]&gt;1,1,表1_11[[#This Row],[出勤率]])*表1_11[[#This Row],[岗位工资]]</f>
        <v>2306.25</v>
      </c>
      <c r="M317" s="5">
        <f>LOOKUP(表1_11[[#This Row],[岗位工资]],表13[lookup],表13[奖金比率])*表1_11[[#This Row],[岗位工资]]</f>
        <v>270</v>
      </c>
      <c r="N317" s="5">
        <v>99</v>
      </c>
      <c r="O317" s="38">
        <f>表1_11[[#This Row],[奖金等级]]*表1_11[[#This Row],[绩效得分]]/100</f>
        <v>267.3</v>
      </c>
      <c r="P317" s="5">
        <f>IF(表1_11[[#This Row],[出勤率]]&gt;=1,200,0)</f>
        <v>0</v>
      </c>
      <c r="Q317" s="23">
        <f t="shared" ca="1" si="4"/>
        <v>150</v>
      </c>
      <c r="R317" s="23">
        <f>IF(表1_11[[#This Row],[中心]]="营销中心",VLOOKUP(表1_11[[#This Row],[职位]],表2[[话费补贴]:[营销中心]],2,0),VLOOKUP(表1_11[[#This Row],[职位]],表2[],3,0))</f>
        <v>0</v>
      </c>
      <c r="S317" s="23">
        <v>200</v>
      </c>
      <c r="T317" s="61">
        <f ca="1">ROUND(SUM(表1_11[[#This Row],[基本工资]],表1_11[[#This Row],[奖金]],表1_11[[#This Row],[全勤奖]:[防暑降温补贴]]),2)</f>
        <v>2923.55</v>
      </c>
      <c r="U317" s="62">
        <f ca="1">ROUND(表1_11[[#This Row],[税前应发总额]]*8%,2)</f>
        <v>233.88</v>
      </c>
      <c r="V317" s="62">
        <f ca="1">ROUND(表1_11[[#This Row],[税前应发总额]]*2%+3,2)</f>
        <v>61.47</v>
      </c>
      <c r="W317" s="62">
        <f ca="1">ROUND(表1_11[[#This Row],[税前应发总额]]*0.2%,2)</f>
        <v>5.85</v>
      </c>
      <c r="X317" s="62">
        <f ca="1">ROUND(表1_11[[#This Row],[税前应发总额]]*12%,2)</f>
        <v>350.83</v>
      </c>
      <c r="Y317" s="61">
        <f ca="1">ROUND(表1_11[[#This Row],[税前应发总额]]-SUM(表1_11[[#This Row],[养老保险]:[公积金]]),2)</f>
        <v>2271.52</v>
      </c>
      <c r="Z317" s="62">
        <f ca="1">ROUND(MAX((表1_11[[#This Row],[扣保险后工资金额]]-3500)*{3,10,20,25,30,35,45}%-{0,105,555,1005,2755,5505,13505},0),2)</f>
        <v>0</v>
      </c>
      <c r="AA317" s="63">
        <f ca="1">表1_11[[#This Row],[扣保险后工资金额]]-表1_11[[#This Row],[个人所得税]]</f>
        <v>2271.52</v>
      </c>
      <c r="AB317" s="53">
        <v>2361.94</v>
      </c>
      <c r="AC317" s="64">
        <f ca="1">(表1_11[[#This Row],[实发工资]]-表1_11[[#This Row],[上月对比]])/表1_11[[#This Row],[上月对比]]</f>
        <v>-3.828209014623575E-2</v>
      </c>
      <c r="AD317" s="65" t="s">
        <v>1587</v>
      </c>
    </row>
    <row r="318" spans="1:30">
      <c r="A318" s="42" t="s">
        <v>577</v>
      </c>
      <c r="B318" s="42" t="s">
        <v>725</v>
      </c>
      <c r="C318" s="40" t="s">
        <v>757</v>
      </c>
      <c r="D318" s="40" t="s">
        <v>758</v>
      </c>
      <c r="E318" s="41" t="s">
        <v>1328</v>
      </c>
      <c r="F318" s="5" t="s">
        <v>314</v>
      </c>
      <c r="G318" s="25">
        <v>38264</v>
      </c>
      <c r="H318" s="5" t="s">
        <v>630</v>
      </c>
      <c r="I318" s="5">
        <f>VLOOKUP(MID(表1_11[[#This Row],[工资等级]],1,1),表12[],MATCH(MID(表1_11[[#This Row],[工资等级]],2,2),表12[[#Headers],[1]:[10]],0)+1,0)</f>
        <v>2600</v>
      </c>
      <c r="J318" s="5">
        <v>25.5</v>
      </c>
      <c r="K318" s="27">
        <v>1.0625</v>
      </c>
      <c r="L318" s="37">
        <f>IF(表1_11[[#This Row],[出勤率]]&gt;1,1,表1_11[[#This Row],[出勤率]])*表1_11[[#This Row],[岗位工资]]</f>
        <v>2600</v>
      </c>
      <c r="M318" s="5">
        <f>LOOKUP(表1_11[[#This Row],[岗位工资]],表13[lookup],表13[奖金比率])*表1_11[[#This Row],[岗位工资]]</f>
        <v>260</v>
      </c>
      <c r="N318" s="5">
        <v>84</v>
      </c>
      <c r="O318" s="38">
        <f>表1_11[[#This Row],[奖金等级]]*表1_11[[#This Row],[绩效得分]]/100</f>
        <v>218.4</v>
      </c>
      <c r="P318" s="5">
        <f>IF(表1_11[[#This Row],[出勤率]]&gt;=1,200,0)</f>
        <v>200</v>
      </c>
      <c r="Q318" s="23">
        <f t="shared" ca="1" si="4"/>
        <v>500</v>
      </c>
      <c r="R318" s="23">
        <f>IF(表1_11[[#This Row],[中心]]="营销中心",VLOOKUP(表1_11[[#This Row],[职位]],表2[[话费补贴]:[营销中心]],2,0),VLOOKUP(表1_11[[#This Row],[职位]],表2[],3,0))</f>
        <v>0</v>
      </c>
      <c r="S318" s="23">
        <v>200</v>
      </c>
      <c r="T318" s="61">
        <f ca="1">ROUND(SUM(表1_11[[#This Row],[基本工资]],表1_11[[#This Row],[奖金]],表1_11[[#This Row],[全勤奖]:[防暑降温补贴]]),2)</f>
        <v>3718.4</v>
      </c>
      <c r="U318" s="62">
        <f ca="1">ROUND(表1_11[[#This Row],[税前应发总额]]*8%,2)</f>
        <v>297.47000000000003</v>
      </c>
      <c r="V318" s="62">
        <f ca="1">ROUND(表1_11[[#This Row],[税前应发总额]]*2%+3,2)</f>
        <v>77.37</v>
      </c>
      <c r="W318" s="62">
        <f ca="1">ROUND(表1_11[[#This Row],[税前应发总额]]*0.2%,2)</f>
        <v>7.44</v>
      </c>
      <c r="X318" s="62">
        <f ca="1">ROUND(表1_11[[#This Row],[税前应发总额]]*12%,2)</f>
        <v>446.21</v>
      </c>
      <c r="Y318" s="61">
        <f ca="1">ROUND(表1_11[[#This Row],[税前应发总额]]-SUM(表1_11[[#This Row],[养老保险]:[公积金]]),2)</f>
        <v>2889.91</v>
      </c>
      <c r="Z318" s="62">
        <f ca="1">ROUND(MAX((表1_11[[#This Row],[扣保险后工资金额]]-3500)*{3,10,20,25,30,35,45}%-{0,105,555,1005,2755,5505,13505},0),2)</f>
        <v>0</v>
      </c>
      <c r="AA318" s="63">
        <f ca="1">表1_11[[#This Row],[扣保险后工资金额]]-表1_11[[#This Row],[个人所得税]]</f>
        <v>2889.91</v>
      </c>
      <c r="AB318" s="53">
        <v>2485.3200000000002</v>
      </c>
      <c r="AC318" s="64">
        <f ca="1">(表1_11[[#This Row],[实发工资]]-表1_11[[#This Row],[上月对比]])/表1_11[[#This Row],[上月对比]]</f>
        <v>0.16279191411971081</v>
      </c>
      <c r="AD318" s="65" t="s">
        <v>1587</v>
      </c>
    </row>
    <row r="319" spans="1:30">
      <c r="A319" s="42" t="s">
        <v>577</v>
      </c>
      <c r="B319" s="42" t="s">
        <v>725</v>
      </c>
      <c r="C319" s="40" t="s">
        <v>759</v>
      </c>
      <c r="D319" s="40" t="s">
        <v>760</v>
      </c>
      <c r="E319" s="41" t="s">
        <v>1329</v>
      </c>
      <c r="F319" s="5" t="s">
        <v>315</v>
      </c>
      <c r="G319" s="25">
        <v>40788</v>
      </c>
      <c r="H319" s="5" t="s">
        <v>623</v>
      </c>
      <c r="I319" s="5">
        <f>VLOOKUP(MID(表1_11[[#This Row],[工资等级]],1,1),表12[],MATCH(MID(表1_11[[#This Row],[工资等级]],2,2),表12[[#Headers],[1]:[10]],0)+1,0)</f>
        <v>3800</v>
      </c>
      <c r="J319" s="5">
        <v>27.5</v>
      </c>
      <c r="K319" s="27">
        <v>1.1458333333333333</v>
      </c>
      <c r="L319" s="37">
        <f>IF(表1_11[[#This Row],[出勤率]]&gt;1,1,表1_11[[#This Row],[出勤率]])*表1_11[[#This Row],[岗位工资]]</f>
        <v>3800</v>
      </c>
      <c r="M319" s="5">
        <f>LOOKUP(表1_11[[#This Row],[岗位工资]],表13[lookup],表13[奖金比率])*表1_11[[#This Row],[岗位工资]]</f>
        <v>380</v>
      </c>
      <c r="N319" s="5">
        <v>93</v>
      </c>
      <c r="O319" s="38">
        <f>表1_11[[#This Row],[奖金等级]]*表1_11[[#This Row],[绩效得分]]/100</f>
        <v>353.4</v>
      </c>
      <c r="P319" s="5">
        <f>IF(表1_11[[#This Row],[出勤率]]&gt;=1,200,0)</f>
        <v>200</v>
      </c>
      <c r="Q319" s="23">
        <f t="shared" ca="1" si="4"/>
        <v>300</v>
      </c>
      <c r="R319" s="23">
        <f>IF(表1_11[[#This Row],[中心]]="营销中心",VLOOKUP(表1_11[[#This Row],[职位]],表2[[话费补贴]:[营销中心]],2,0),VLOOKUP(表1_11[[#This Row],[职位]],表2[],3,0))</f>
        <v>0</v>
      </c>
      <c r="S319" s="23">
        <v>200</v>
      </c>
      <c r="T319" s="61">
        <f ca="1">ROUND(SUM(表1_11[[#This Row],[基本工资]],表1_11[[#This Row],[奖金]],表1_11[[#This Row],[全勤奖]:[防暑降温补贴]]),2)</f>
        <v>4853.3999999999996</v>
      </c>
      <c r="U319" s="62">
        <f ca="1">ROUND(表1_11[[#This Row],[税前应发总额]]*8%,2)</f>
        <v>388.27</v>
      </c>
      <c r="V319" s="62">
        <f ca="1">ROUND(表1_11[[#This Row],[税前应发总额]]*2%+3,2)</f>
        <v>100.07</v>
      </c>
      <c r="W319" s="62">
        <f ca="1">ROUND(表1_11[[#This Row],[税前应发总额]]*0.2%,2)</f>
        <v>9.7100000000000009</v>
      </c>
      <c r="X319" s="62">
        <f ca="1">ROUND(表1_11[[#This Row],[税前应发总额]]*12%,2)</f>
        <v>582.41</v>
      </c>
      <c r="Y319" s="61">
        <f ca="1">ROUND(表1_11[[#This Row],[税前应发总额]]-SUM(表1_11[[#This Row],[养老保险]:[公积金]]),2)</f>
        <v>3772.94</v>
      </c>
      <c r="Z319" s="62">
        <f ca="1">ROUND(MAX((表1_11[[#This Row],[扣保险后工资金额]]-3500)*{3,10,20,25,30,35,45}%-{0,105,555,1005,2755,5505,13505},0),2)</f>
        <v>8.19</v>
      </c>
      <c r="AA319" s="63">
        <f ca="1">表1_11[[#This Row],[扣保险后工资金额]]-表1_11[[#This Row],[个人所得税]]</f>
        <v>3764.75</v>
      </c>
      <c r="AB319" s="53">
        <v>3172.85</v>
      </c>
      <c r="AC319" s="64">
        <f ca="1">(表1_11[[#This Row],[实发工资]]-表1_11[[#This Row],[上月对比]])/表1_11[[#This Row],[上月对比]]</f>
        <v>0.18655152307862019</v>
      </c>
      <c r="AD319" s="65" t="s">
        <v>1587</v>
      </c>
    </row>
    <row r="320" spans="1:30">
      <c r="A320" s="42" t="s">
        <v>577</v>
      </c>
      <c r="B320" s="42" t="s">
        <v>725</v>
      </c>
      <c r="C320" s="40" t="s">
        <v>711</v>
      </c>
      <c r="D320" s="40" t="s">
        <v>712</v>
      </c>
      <c r="E320" s="41" t="s">
        <v>1330</v>
      </c>
      <c r="F320" s="5" t="s">
        <v>316</v>
      </c>
      <c r="G320" s="25">
        <v>39936</v>
      </c>
      <c r="H320" s="5" t="s">
        <v>630</v>
      </c>
      <c r="I320" s="5">
        <f>VLOOKUP(MID(表1_11[[#This Row],[工资等级]],1,1),表12[],MATCH(MID(表1_11[[#This Row],[工资等级]],2,2),表12[[#Headers],[1]:[10]],0)+1,0)</f>
        <v>2600</v>
      </c>
      <c r="J320" s="5">
        <v>21</v>
      </c>
      <c r="K320" s="27">
        <v>0.875</v>
      </c>
      <c r="L320" s="37">
        <f>IF(表1_11[[#This Row],[出勤率]]&gt;1,1,表1_11[[#This Row],[出勤率]])*表1_11[[#This Row],[岗位工资]]</f>
        <v>2275</v>
      </c>
      <c r="M320" s="5">
        <f>LOOKUP(表1_11[[#This Row],[岗位工资]],表13[lookup],表13[奖金比率])*表1_11[[#This Row],[岗位工资]]</f>
        <v>260</v>
      </c>
      <c r="N320" s="5">
        <v>90</v>
      </c>
      <c r="O320" s="38">
        <f>表1_11[[#This Row],[奖金等级]]*表1_11[[#This Row],[绩效得分]]/100</f>
        <v>234</v>
      </c>
      <c r="P320" s="5">
        <f>IF(表1_11[[#This Row],[出勤率]]&gt;=1,200,0)</f>
        <v>0</v>
      </c>
      <c r="Q320" s="23">
        <f t="shared" ca="1" si="4"/>
        <v>400</v>
      </c>
      <c r="R320" s="23">
        <f>IF(表1_11[[#This Row],[中心]]="营销中心",VLOOKUP(表1_11[[#This Row],[职位]],表2[[话费补贴]:[营销中心]],2,0),VLOOKUP(表1_11[[#This Row],[职位]],表2[],3,0))</f>
        <v>0</v>
      </c>
      <c r="S320" s="23">
        <v>200</v>
      </c>
      <c r="T320" s="61">
        <f ca="1">ROUND(SUM(表1_11[[#This Row],[基本工资]],表1_11[[#This Row],[奖金]],表1_11[[#This Row],[全勤奖]:[防暑降温补贴]]),2)</f>
        <v>3109</v>
      </c>
      <c r="U320" s="62">
        <f ca="1">ROUND(表1_11[[#This Row],[税前应发总额]]*8%,2)</f>
        <v>248.72</v>
      </c>
      <c r="V320" s="62">
        <f ca="1">ROUND(表1_11[[#This Row],[税前应发总额]]*2%+3,2)</f>
        <v>65.180000000000007</v>
      </c>
      <c r="W320" s="62">
        <f ca="1">ROUND(表1_11[[#This Row],[税前应发总额]]*0.2%,2)</f>
        <v>6.22</v>
      </c>
      <c r="X320" s="62">
        <f ca="1">ROUND(表1_11[[#This Row],[税前应发总额]]*12%,2)</f>
        <v>373.08</v>
      </c>
      <c r="Y320" s="61">
        <f ca="1">ROUND(表1_11[[#This Row],[税前应发总额]]-SUM(表1_11[[#This Row],[养老保险]:[公积金]]),2)</f>
        <v>2415.8000000000002</v>
      </c>
      <c r="Z320" s="62">
        <f ca="1">ROUND(MAX((表1_11[[#This Row],[扣保险后工资金额]]-3500)*{3,10,20,25,30,35,45}%-{0,105,555,1005,2755,5505,13505},0),2)</f>
        <v>0</v>
      </c>
      <c r="AA320" s="63">
        <f ca="1">表1_11[[#This Row],[扣保险后工资金额]]-表1_11[[#This Row],[个人所得税]]</f>
        <v>2415.8000000000002</v>
      </c>
      <c r="AB320" s="53">
        <v>2466.96</v>
      </c>
      <c r="AC320" s="64">
        <f ca="1">(表1_11[[#This Row],[实发工资]]-表1_11[[#This Row],[上月对比]])/表1_11[[#This Row],[上月对比]]</f>
        <v>-2.0738074391153424E-2</v>
      </c>
      <c r="AD320" s="65" t="s">
        <v>1587</v>
      </c>
    </row>
    <row r="321" spans="1:30">
      <c r="A321" s="42" t="s">
        <v>577</v>
      </c>
      <c r="B321" s="42" t="s">
        <v>725</v>
      </c>
      <c r="C321" s="40" t="s">
        <v>713</v>
      </c>
      <c r="D321" s="40" t="s">
        <v>714</v>
      </c>
      <c r="E321" s="41" t="s">
        <v>1331</v>
      </c>
      <c r="F321" s="5" t="s">
        <v>317</v>
      </c>
      <c r="G321" s="25">
        <v>42543</v>
      </c>
      <c r="H321" s="5" t="s">
        <v>623</v>
      </c>
      <c r="I321" s="5">
        <f>VLOOKUP(MID(表1_11[[#This Row],[工资等级]],1,1),表12[],MATCH(MID(表1_11[[#This Row],[工资等级]],2,2),表12[[#Headers],[1]:[10]],0)+1,0)</f>
        <v>3800</v>
      </c>
      <c r="J321" s="5">
        <v>22</v>
      </c>
      <c r="K321" s="27">
        <v>0.91666666666666663</v>
      </c>
      <c r="L321" s="37">
        <f>IF(表1_11[[#This Row],[出勤率]]&gt;1,1,表1_11[[#This Row],[出勤率]])*表1_11[[#This Row],[岗位工资]]</f>
        <v>3483.333333333333</v>
      </c>
      <c r="M321" s="5">
        <f>LOOKUP(表1_11[[#This Row],[岗位工资]],表13[lookup],表13[奖金比率])*表1_11[[#This Row],[岗位工资]]</f>
        <v>380</v>
      </c>
      <c r="N321" s="5">
        <v>96</v>
      </c>
      <c r="O321" s="38">
        <f>表1_11[[#This Row],[奖金等级]]*表1_11[[#This Row],[绩效得分]]/100</f>
        <v>364.8</v>
      </c>
      <c r="P321" s="5">
        <f>IF(表1_11[[#This Row],[出勤率]]&gt;=1,200,0)</f>
        <v>0</v>
      </c>
      <c r="Q321" s="23">
        <f t="shared" ca="1" si="4"/>
        <v>50</v>
      </c>
      <c r="R321" s="23">
        <f>IF(表1_11[[#This Row],[中心]]="营销中心",VLOOKUP(表1_11[[#This Row],[职位]],表2[[话费补贴]:[营销中心]],2,0),VLOOKUP(表1_11[[#This Row],[职位]],表2[],3,0))</f>
        <v>0</v>
      </c>
      <c r="S321" s="23">
        <v>200</v>
      </c>
      <c r="T321" s="61">
        <f ca="1">ROUND(SUM(表1_11[[#This Row],[基本工资]],表1_11[[#This Row],[奖金]],表1_11[[#This Row],[全勤奖]:[防暑降温补贴]]),2)</f>
        <v>4098.13</v>
      </c>
      <c r="U321" s="62">
        <f ca="1">ROUND(表1_11[[#This Row],[税前应发总额]]*8%,2)</f>
        <v>327.85</v>
      </c>
      <c r="V321" s="62">
        <f ca="1">ROUND(表1_11[[#This Row],[税前应发总额]]*2%+3,2)</f>
        <v>84.96</v>
      </c>
      <c r="W321" s="62">
        <f ca="1">ROUND(表1_11[[#This Row],[税前应发总额]]*0.2%,2)</f>
        <v>8.1999999999999993</v>
      </c>
      <c r="X321" s="62">
        <f ca="1">ROUND(表1_11[[#This Row],[税前应发总额]]*12%,2)</f>
        <v>491.78</v>
      </c>
      <c r="Y321" s="61">
        <f ca="1">ROUND(表1_11[[#This Row],[税前应发总额]]-SUM(表1_11[[#This Row],[养老保险]:[公积金]]),2)</f>
        <v>3185.34</v>
      </c>
      <c r="Z321" s="62">
        <f ca="1">ROUND(MAX((表1_11[[#This Row],[扣保险后工资金额]]-3500)*{3,10,20,25,30,35,45}%-{0,105,555,1005,2755,5505,13505},0),2)</f>
        <v>0</v>
      </c>
      <c r="AA321" s="63">
        <f ca="1">表1_11[[#This Row],[扣保险后工资金额]]-表1_11[[#This Row],[个人所得税]]</f>
        <v>3185.34</v>
      </c>
      <c r="AB321" s="53">
        <v>3563.37</v>
      </c>
      <c r="AC321" s="64">
        <f ca="1">(表1_11[[#This Row],[实发工资]]-表1_11[[#This Row],[上月对比]])/表1_11[[#This Row],[上月对比]]</f>
        <v>-0.10608777645880157</v>
      </c>
      <c r="AD321" s="65" t="s">
        <v>1587</v>
      </c>
    </row>
    <row r="322" spans="1:30">
      <c r="A322" s="42" t="s">
        <v>577</v>
      </c>
      <c r="B322" s="42" t="s">
        <v>725</v>
      </c>
      <c r="C322" s="40" t="s">
        <v>599</v>
      </c>
      <c r="D322" s="40" t="s">
        <v>626</v>
      </c>
      <c r="E322" s="41" t="s">
        <v>1332</v>
      </c>
      <c r="F322" s="5" t="s">
        <v>318</v>
      </c>
      <c r="G322" s="25">
        <v>40813</v>
      </c>
      <c r="H322" s="5" t="s">
        <v>610</v>
      </c>
      <c r="I322" s="5">
        <f>VLOOKUP(MID(表1_11[[#This Row],[工资等级]],1,1),表12[],MATCH(MID(表1_11[[#This Row],[工资等级]],2,2),表12[[#Headers],[1]:[10]],0)+1,0)</f>
        <v>3400</v>
      </c>
      <c r="J322" s="5">
        <v>23</v>
      </c>
      <c r="K322" s="27">
        <v>0.95833333333333337</v>
      </c>
      <c r="L322" s="37">
        <f>IF(表1_11[[#This Row],[出勤率]]&gt;1,1,表1_11[[#This Row],[出勤率]])*表1_11[[#This Row],[岗位工资]]</f>
        <v>3258.3333333333335</v>
      </c>
      <c r="M322" s="5">
        <f>LOOKUP(表1_11[[#This Row],[岗位工资]],表13[lookup],表13[奖金比率])*表1_11[[#This Row],[岗位工资]]</f>
        <v>340</v>
      </c>
      <c r="N322" s="5">
        <v>93</v>
      </c>
      <c r="O322" s="38">
        <f>表1_11[[#This Row],[奖金等级]]*表1_11[[#This Row],[绩效得分]]/100</f>
        <v>316.2</v>
      </c>
      <c r="P322" s="5">
        <f>IF(表1_11[[#This Row],[出勤率]]&gt;=1,200,0)</f>
        <v>0</v>
      </c>
      <c r="Q322" s="23">
        <f t="shared" ref="Q322:Q385" ca="1" si="5">IF(工龄&gt;=10,500,工龄*50)</f>
        <v>300</v>
      </c>
      <c r="R322" s="23">
        <f>IF(表1_11[[#This Row],[中心]]="营销中心",VLOOKUP(表1_11[[#This Row],[职位]],表2[[话费补贴]:[营销中心]],2,0),VLOOKUP(表1_11[[#This Row],[职位]],表2[],3,0))</f>
        <v>0</v>
      </c>
      <c r="S322" s="23">
        <v>200</v>
      </c>
      <c r="T322" s="61">
        <f ca="1">ROUND(SUM(表1_11[[#This Row],[基本工资]],表1_11[[#This Row],[奖金]],表1_11[[#This Row],[全勤奖]:[防暑降温补贴]]),2)</f>
        <v>4074.53</v>
      </c>
      <c r="U322" s="62">
        <f ca="1">ROUND(表1_11[[#This Row],[税前应发总额]]*8%,2)</f>
        <v>325.95999999999998</v>
      </c>
      <c r="V322" s="62">
        <f ca="1">ROUND(表1_11[[#This Row],[税前应发总额]]*2%+3,2)</f>
        <v>84.49</v>
      </c>
      <c r="W322" s="62">
        <f ca="1">ROUND(表1_11[[#This Row],[税前应发总额]]*0.2%,2)</f>
        <v>8.15</v>
      </c>
      <c r="X322" s="62">
        <f ca="1">ROUND(表1_11[[#This Row],[税前应发总额]]*12%,2)</f>
        <v>488.94</v>
      </c>
      <c r="Y322" s="61">
        <f ca="1">ROUND(表1_11[[#This Row],[税前应发总额]]-SUM(表1_11[[#This Row],[养老保险]:[公积金]]),2)</f>
        <v>3166.99</v>
      </c>
      <c r="Z322" s="62">
        <f ca="1">ROUND(MAX((表1_11[[#This Row],[扣保险后工资金额]]-3500)*{3,10,20,25,30,35,45}%-{0,105,555,1005,2755,5505,13505},0),2)</f>
        <v>0</v>
      </c>
      <c r="AA322" s="63">
        <f ca="1">表1_11[[#This Row],[扣保险后工资金额]]-表1_11[[#This Row],[个人所得税]]</f>
        <v>3166.99</v>
      </c>
      <c r="AB322" s="53">
        <v>2848.96</v>
      </c>
      <c r="AC322" s="64">
        <f ca="1">(表1_11[[#This Row],[实发工资]]-表1_11[[#This Row],[上月对比]])/表1_11[[#This Row],[上月对比]]</f>
        <v>0.11163020891834204</v>
      </c>
      <c r="AD322" s="65" t="s">
        <v>1587</v>
      </c>
    </row>
    <row r="323" spans="1:30">
      <c r="A323" s="42" t="s">
        <v>577</v>
      </c>
      <c r="B323" s="42" t="s">
        <v>725</v>
      </c>
      <c r="C323" s="40" t="s">
        <v>687</v>
      </c>
      <c r="D323" s="40" t="s">
        <v>688</v>
      </c>
      <c r="E323" s="41" t="s">
        <v>1333</v>
      </c>
      <c r="F323" s="5" t="s">
        <v>319</v>
      </c>
      <c r="G323" s="25">
        <v>41114</v>
      </c>
      <c r="H323" s="5" t="s">
        <v>618</v>
      </c>
      <c r="I323" s="5">
        <f>VLOOKUP(MID(表1_11[[#This Row],[工资等级]],1,1),表12[],MATCH(MID(表1_11[[#This Row],[工资等级]],2,2),表12[[#Headers],[1]:[10]],0)+1,0)</f>
        <v>3000</v>
      </c>
      <c r="J323" s="5">
        <v>25.5</v>
      </c>
      <c r="K323" s="27">
        <v>1.0625</v>
      </c>
      <c r="L323" s="37">
        <f>IF(表1_11[[#This Row],[出勤率]]&gt;1,1,表1_11[[#This Row],[出勤率]])*表1_11[[#This Row],[岗位工资]]</f>
        <v>3000</v>
      </c>
      <c r="M323" s="5">
        <f>LOOKUP(表1_11[[#This Row],[岗位工资]],表13[lookup],表13[奖金比率])*表1_11[[#This Row],[岗位工资]]</f>
        <v>300</v>
      </c>
      <c r="N323" s="5">
        <v>96</v>
      </c>
      <c r="O323" s="38">
        <f>表1_11[[#This Row],[奖金等级]]*表1_11[[#This Row],[绩效得分]]/100</f>
        <v>288</v>
      </c>
      <c r="P323" s="5">
        <f>IF(表1_11[[#This Row],[出勤率]]&gt;=1,200,0)</f>
        <v>200</v>
      </c>
      <c r="Q323" s="23">
        <f t="shared" ca="1" si="5"/>
        <v>250</v>
      </c>
      <c r="R323" s="23">
        <f>IF(表1_11[[#This Row],[中心]]="营销中心",VLOOKUP(表1_11[[#This Row],[职位]],表2[[话费补贴]:[营销中心]],2,0),VLOOKUP(表1_11[[#This Row],[职位]],表2[],3,0))</f>
        <v>0</v>
      </c>
      <c r="S323" s="23">
        <v>200</v>
      </c>
      <c r="T323" s="61">
        <f ca="1">ROUND(SUM(表1_11[[#This Row],[基本工资]],表1_11[[#This Row],[奖金]],表1_11[[#This Row],[全勤奖]:[防暑降温补贴]]),2)</f>
        <v>3938</v>
      </c>
      <c r="U323" s="62">
        <f ca="1">ROUND(表1_11[[#This Row],[税前应发总额]]*8%,2)</f>
        <v>315.04000000000002</v>
      </c>
      <c r="V323" s="62">
        <f ca="1">ROUND(表1_11[[#This Row],[税前应发总额]]*2%+3,2)</f>
        <v>81.760000000000005</v>
      </c>
      <c r="W323" s="62">
        <f ca="1">ROUND(表1_11[[#This Row],[税前应发总额]]*0.2%,2)</f>
        <v>7.88</v>
      </c>
      <c r="X323" s="62">
        <f ca="1">ROUND(表1_11[[#This Row],[税前应发总额]]*12%,2)</f>
        <v>472.56</v>
      </c>
      <c r="Y323" s="61">
        <f ca="1">ROUND(表1_11[[#This Row],[税前应发总额]]-SUM(表1_11[[#This Row],[养老保险]:[公积金]]),2)</f>
        <v>3060.76</v>
      </c>
      <c r="Z323" s="62">
        <f ca="1">ROUND(MAX((表1_11[[#This Row],[扣保险后工资金额]]-3500)*{3,10,20,25,30,35,45}%-{0,105,555,1005,2755,5505,13505},0),2)</f>
        <v>0</v>
      </c>
      <c r="AA323" s="63">
        <f ca="1">表1_11[[#This Row],[扣保险后工资金额]]-表1_11[[#This Row],[个人所得税]]</f>
        <v>3060.76</v>
      </c>
      <c r="AB323" s="53">
        <v>3288.75</v>
      </c>
      <c r="AC323" s="64">
        <f ca="1">(表1_11[[#This Row],[实发工资]]-表1_11[[#This Row],[上月对比]])/表1_11[[#This Row],[上月对比]]</f>
        <v>-6.9324211326491761E-2</v>
      </c>
      <c r="AD323" s="65" t="s">
        <v>1587</v>
      </c>
    </row>
    <row r="324" spans="1:30">
      <c r="A324" s="42" t="s">
        <v>577</v>
      </c>
      <c r="B324" s="42" t="s">
        <v>725</v>
      </c>
      <c r="C324" s="40" t="s">
        <v>713</v>
      </c>
      <c r="D324" s="40" t="s">
        <v>714</v>
      </c>
      <c r="E324" s="41" t="s">
        <v>1334</v>
      </c>
      <c r="F324" s="5" t="s">
        <v>320</v>
      </c>
      <c r="G324" s="25">
        <v>42716</v>
      </c>
      <c r="H324" s="5" t="s">
        <v>612</v>
      </c>
      <c r="I324" s="5">
        <f>VLOOKUP(MID(表1_11[[#This Row],[工资等级]],1,1),表12[],MATCH(MID(表1_11[[#This Row],[工资等级]],2,2),表12[[#Headers],[1]:[10]],0)+1,0)</f>
        <v>2700</v>
      </c>
      <c r="J324" s="5">
        <v>21.5</v>
      </c>
      <c r="K324" s="27">
        <v>0.89583333333333337</v>
      </c>
      <c r="L324" s="37">
        <f>IF(表1_11[[#This Row],[出勤率]]&gt;1,1,表1_11[[#This Row],[出勤率]])*表1_11[[#This Row],[岗位工资]]</f>
        <v>2418.75</v>
      </c>
      <c r="M324" s="5">
        <f>LOOKUP(表1_11[[#This Row],[岗位工资]],表13[lookup],表13[奖金比率])*表1_11[[#This Row],[岗位工资]]</f>
        <v>270</v>
      </c>
      <c r="N324" s="5">
        <v>94</v>
      </c>
      <c r="O324" s="38">
        <f>表1_11[[#This Row],[奖金等级]]*表1_11[[#This Row],[绩效得分]]/100</f>
        <v>253.8</v>
      </c>
      <c r="P324" s="5">
        <f>IF(表1_11[[#This Row],[出勤率]]&gt;=1,200,0)</f>
        <v>0</v>
      </c>
      <c r="Q324" s="23">
        <f t="shared" ca="1" si="5"/>
        <v>50</v>
      </c>
      <c r="R324" s="23">
        <f>IF(表1_11[[#This Row],[中心]]="营销中心",VLOOKUP(表1_11[[#This Row],[职位]],表2[[话费补贴]:[营销中心]],2,0),VLOOKUP(表1_11[[#This Row],[职位]],表2[],3,0))</f>
        <v>0</v>
      </c>
      <c r="S324" s="23">
        <v>200</v>
      </c>
      <c r="T324" s="61">
        <f ca="1">ROUND(SUM(表1_11[[#This Row],[基本工资]],表1_11[[#This Row],[奖金]],表1_11[[#This Row],[全勤奖]:[防暑降温补贴]]),2)</f>
        <v>2922.55</v>
      </c>
      <c r="U324" s="62">
        <f ca="1">ROUND(表1_11[[#This Row],[税前应发总额]]*8%,2)</f>
        <v>233.8</v>
      </c>
      <c r="V324" s="62">
        <f ca="1">ROUND(表1_11[[#This Row],[税前应发总额]]*2%+3,2)</f>
        <v>61.45</v>
      </c>
      <c r="W324" s="62">
        <f ca="1">ROUND(表1_11[[#This Row],[税前应发总额]]*0.2%,2)</f>
        <v>5.85</v>
      </c>
      <c r="X324" s="62">
        <f ca="1">ROUND(表1_11[[#This Row],[税前应发总额]]*12%,2)</f>
        <v>350.71</v>
      </c>
      <c r="Y324" s="61">
        <f ca="1">ROUND(表1_11[[#This Row],[税前应发总额]]-SUM(表1_11[[#This Row],[养老保险]:[公积金]]),2)</f>
        <v>2270.7399999999998</v>
      </c>
      <c r="Z324" s="62">
        <f ca="1">ROUND(MAX((表1_11[[#This Row],[扣保险后工资金额]]-3500)*{3,10,20,25,30,35,45}%-{0,105,555,1005,2755,5505,13505},0),2)</f>
        <v>0</v>
      </c>
      <c r="AA324" s="63">
        <f ca="1">表1_11[[#This Row],[扣保险后工资金额]]-表1_11[[#This Row],[个人所得税]]</f>
        <v>2270.7399999999998</v>
      </c>
      <c r="AB324" s="53">
        <v>2653.01</v>
      </c>
      <c r="AC324" s="64">
        <f ca="1">(表1_11[[#This Row],[实发工资]]-表1_11[[#This Row],[上月对比]])/表1_11[[#This Row],[上月对比]]</f>
        <v>-0.14408916664467922</v>
      </c>
      <c r="AD324" s="65" t="s">
        <v>1587</v>
      </c>
    </row>
    <row r="325" spans="1:30">
      <c r="A325" s="42" t="s">
        <v>577</v>
      </c>
      <c r="B325" s="42" t="s">
        <v>725</v>
      </c>
      <c r="C325" s="40" t="s">
        <v>717</v>
      </c>
      <c r="D325" s="40" t="s">
        <v>718</v>
      </c>
      <c r="E325" s="41" t="s">
        <v>1335</v>
      </c>
      <c r="F325" s="5" t="s">
        <v>321</v>
      </c>
      <c r="G325" s="25">
        <v>42792</v>
      </c>
      <c r="H325" s="5" t="s">
        <v>624</v>
      </c>
      <c r="I325" s="5">
        <f>VLOOKUP(MID(表1_11[[#This Row],[工资等级]],1,1),表12[],MATCH(MID(表1_11[[#This Row],[工资等级]],2,2),表12[[#Headers],[1]:[10]],0)+1,0)</f>
        <v>2800</v>
      </c>
      <c r="J325" s="5">
        <v>24</v>
      </c>
      <c r="K325" s="27">
        <v>1</v>
      </c>
      <c r="L325" s="37">
        <f>IF(表1_11[[#This Row],[出勤率]]&gt;1,1,表1_11[[#This Row],[出勤率]])*表1_11[[#This Row],[岗位工资]]</f>
        <v>2800</v>
      </c>
      <c r="M325" s="5">
        <f>LOOKUP(表1_11[[#This Row],[岗位工资]],表13[lookup],表13[奖金比率])*表1_11[[#This Row],[岗位工资]]</f>
        <v>280</v>
      </c>
      <c r="N325" s="5">
        <v>90</v>
      </c>
      <c r="O325" s="38">
        <f>表1_11[[#This Row],[奖金等级]]*表1_11[[#This Row],[绩效得分]]/100</f>
        <v>252</v>
      </c>
      <c r="P325" s="5">
        <f>IF(表1_11[[#This Row],[出勤率]]&gt;=1,200,0)</f>
        <v>200</v>
      </c>
      <c r="Q325" s="23">
        <f t="shared" ca="1" si="5"/>
        <v>50</v>
      </c>
      <c r="R325" s="23">
        <f>IF(表1_11[[#This Row],[中心]]="营销中心",VLOOKUP(表1_11[[#This Row],[职位]],表2[[话费补贴]:[营销中心]],2,0),VLOOKUP(表1_11[[#This Row],[职位]],表2[],3,0))</f>
        <v>0</v>
      </c>
      <c r="S325" s="23">
        <v>200</v>
      </c>
      <c r="T325" s="61">
        <f ca="1">ROUND(SUM(表1_11[[#This Row],[基本工资]],表1_11[[#This Row],[奖金]],表1_11[[#This Row],[全勤奖]:[防暑降温补贴]]),2)</f>
        <v>3502</v>
      </c>
      <c r="U325" s="62">
        <f ca="1">ROUND(表1_11[[#This Row],[税前应发总额]]*8%,2)</f>
        <v>280.16000000000003</v>
      </c>
      <c r="V325" s="62">
        <f ca="1">ROUND(表1_11[[#This Row],[税前应发总额]]*2%+3,2)</f>
        <v>73.040000000000006</v>
      </c>
      <c r="W325" s="62">
        <f ca="1">ROUND(表1_11[[#This Row],[税前应发总额]]*0.2%,2)</f>
        <v>7</v>
      </c>
      <c r="X325" s="62">
        <f ca="1">ROUND(表1_11[[#This Row],[税前应发总额]]*12%,2)</f>
        <v>420.24</v>
      </c>
      <c r="Y325" s="61">
        <f ca="1">ROUND(表1_11[[#This Row],[税前应发总额]]-SUM(表1_11[[#This Row],[养老保险]:[公积金]]),2)</f>
        <v>2721.56</v>
      </c>
      <c r="Z325" s="62">
        <f ca="1">ROUND(MAX((表1_11[[#This Row],[扣保险后工资金额]]-3500)*{3,10,20,25,30,35,45}%-{0,105,555,1005,2755,5505,13505},0),2)</f>
        <v>0</v>
      </c>
      <c r="AA325" s="63">
        <f ca="1">表1_11[[#This Row],[扣保险后工资金额]]-表1_11[[#This Row],[个人所得税]]</f>
        <v>2721.56</v>
      </c>
      <c r="AB325" s="53">
        <v>2839.66</v>
      </c>
      <c r="AC325" s="64">
        <f ca="1">(表1_11[[#This Row],[实发工资]]-表1_11[[#This Row],[上月对比]])/表1_11[[#This Row],[上月对比]]</f>
        <v>-4.1589486065233133E-2</v>
      </c>
      <c r="AD325" s="65" t="s">
        <v>1587</v>
      </c>
    </row>
    <row r="326" spans="1:30">
      <c r="A326" s="42" t="s">
        <v>577</v>
      </c>
      <c r="B326" s="42" t="s">
        <v>725</v>
      </c>
      <c r="C326" s="40" t="s">
        <v>711</v>
      </c>
      <c r="D326" s="40" t="s">
        <v>712</v>
      </c>
      <c r="E326" s="41" t="s">
        <v>1336</v>
      </c>
      <c r="F326" s="5" t="s">
        <v>322</v>
      </c>
      <c r="G326" s="25">
        <v>39825</v>
      </c>
      <c r="H326" s="5" t="s">
        <v>615</v>
      </c>
      <c r="I326" s="5">
        <f>VLOOKUP(MID(表1_11[[#This Row],[工资等级]],1,1),表12[],MATCH(MID(表1_11[[#This Row],[工资等级]],2,2),表12[[#Headers],[1]:[10]],0)+1,0)</f>
        <v>3200</v>
      </c>
      <c r="J326" s="5">
        <v>22</v>
      </c>
      <c r="K326" s="27">
        <v>0.91666666666666663</v>
      </c>
      <c r="L326" s="37">
        <f>IF(表1_11[[#This Row],[出勤率]]&gt;1,1,表1_11[[#This Row],[出勤率]])*表1_11[[#This Row],[岗位工资]]</f>
        <v>2933.333333333333</v>
      </c>
      <c r="M326" s="5">
        <f>LOOKUP(表1_11[[#This Row],[岗位工资]],表13[lookup],表13[奖金比率])*表1_11[[#This Row],[岗位工资]]</f>
        <v>320</v>
      </c>
      <c r="N326" s="5">
        <v>89</v>
      </c>
      <c r="O326" s="38">
        <f>表1_11[[#This Row],[奖金等级]]*表1_11[[#This Row],[绩效得分]]/100</f>
        <v>284.8</v>
      </c>
      <c r="P326" s="5">
        <f>IF(表1_11[[#This Row],[出勤率]]&gt;=1,200,0)</f>
        <v>0</v>
      </c>
      <c r="Q326" s="23">
        <f t="shared" ca="1" si="5"/>
        <v>450</v>
      </c>
      <c r="R326" s="23">
        <f>IF(表1_11[[#This Row],[中心]]="营销中心",VLOOKUP(表1_11[[#This Row],[职位]],表2[[话费补贴]:[营销中心]],2,0),VLOOKUP(表1_11[[#This Row],[职位]],表2[],3,0))</f>
        <v>0</v>
      </c>
      <c r="S326" s="23">
        <v>200</v>
      </c>
      <c r="T326" s="61">
        <f ca="1">ROUND(SUM(表1_11[[#This Row],[基本工资]],表1_11[[#This Row],[奖金]],表1_11[[#This Row],[全勤奖]:[防暑降温补贴]]),2)</f>
        <v>3868.13</v>
      </c>
      <c r="U326" s="62">
        <f ca="1">ROUND(表1_11[[#This Row],[税前应发总额]]*8%,2)</f>
        <v>309.45</v>
      </c>
      <c r="V326" s="62">
        <f ca="1">ROUND(表1_11[[#This Row],[税前应发总额]]*2%+3,2)</f>
        <v>80.36</v>
      </c>
      <c r="W326" s="62">
        <f ca="1">ROUND(表1_11[[#This Row],[税前应发总额]]*0.2%,2)</f>
        <v>7.74</v>
      </c>
      <c r="X326" s="62">
        <f ca="1">ROUND(表1_11[[#This Row],[税前应发总额]]*12%,2)</f>
        <v>464.18</v>
      </c>
      <c r="Y326" s="61">
        <f ca="1">ROUND(表1_11[[#This Row],[税前应发总额]]-SUM(表1_11[[#This Row],[养老保险]:[公积金]]),2)</f>
        <v>3006.4</v>
      </c>
      <c r="Z326" s="62">
        <f ca="1">ROUND(MAX((表1_11[[#This Row],[扣保险后工资金额]]-3500)*{3,10,20,25,30,35,45}%-{0,105,555,1005,2755,5505,13505},0),2)</f>
        <v>0</v>
      </c>
      <c r="AA326" s="63">
        <f ca="1">表1_11[[#This Row],[扣保险后工资金额]]-表1_11[[#This Row],[个人所得税]]</f>
        <v>3006.4</v>
      </c>
      <c r="AB326" s="53">
        <v>2534.9299999999998</v>
      </c>
      <c r="AC326" s="64">
        <f ca="1">(表1_11[[#This Row],[实发工资]]-表1_11[[#This Row],[上月对比]])/表1_11[[#This Row],[上月对比]]</f>
        <v>0.1859893567080749</v>
      </c>
      <c r="AD326" s="65" t="s">
        <v>1587</v>
      </c>
    </row>
    <row r="327" spans="1:30">
      <c r="A327" s="42" t="s">
        <v>577</v>
      </c>
      <c r="B327" s="42" t="s">
        <v>725</v>
      </c>
      <c r="C327" s="40" t="s">
        <v>599</v>
      </c>
      <c r="D327" s="40" t="s">
        <v>626</v>
      </c>
      <c r="E327" s="41" t="s">
        <v>1337</v>
      </c>
      <c r="F327" s="5" t="s">
        <v>323</v>
      </c>
      <c r="G327" s="25">
        <v>38247</v>
      </c>
      <c r="H327" s="5" t="s">
        <v>610</v>
      </c>
      <c r="I327" s="5">
        <f>VLOOKUP(MID(表1_11[[#This Row],[工资等级]],1,1),表12[],MATCH(MID(表1_11[[#This Row],[工资等级]],2,2),表12[[#Headers],[1]:[10]],0)+1,0)</f>
        <v>3400</v>
      </c>
      <c r="J327" s="5">
        <v>26</v>
      </c>
      <c r="K327" s="27">
        <v>1.0833333333333333</v>
      </c>
      <c r="L327" s="37">
        <f>IF(表1_11[[#This Row],[出勤率]]&gt;1,1,表1_11[[#This Row],[出勤率]])*表1_11[[#This Row],[岗位工资]]</f>
        <v>3400</v>
      </c>
      <c r="M327" s="5">
        <f>LOOKUP(表1_11[[#This Row],[岗位工资]],表13[lookup],表13[奖金比率])*表1_11[[#This Row],[岗位工资]]</f>
        <v>340</v>
      </c>
      <c r="N327" s="5">
        <v>84</v>
      </c>
      <c r="O327" s="38">
        <f>表1_11[[#This Row],[奖金等级]]*表1_11[[#This Row],[绩效得分]]/100</f>
        <v>285.60000000000002</v>
      </c>
      <c r="P327" s="5">
        <f>IF(表1_11[[#This Row],[出勤率]]&gt;=1,200,0)</f>
        <v>200</v>
      </c>
      <c r="Q327" s="23">
        <f t="shared" ca="1" si="5"/>
        <v>500</v>
      </c>
      <c r="R327" s="23">
        <f>IF(表1_11[[#This Row],[中心]]="营销中心",VLOOKUP(表1_11[[#This Row],[职位]],表2[[话费补贴]:[营销中心]],2,0),VLOOKUP(表1_11[[#This Row],[职位]],表2[],3,0))</f>
        <v>0</v>
      </c>
      <c r="S327" s="23">
        <v>200</v>
      </c>
      <c r="T327" s="61">
        <f ca="1">ROUND(SUM(表1_11[[#This Row],[基本工资]],表1_11[[#This Row],[奖金]],表1_11[[#This Row],[全勤奖]:[防暑降温补贴]]),2)</f>
        <v>4585.6000000000004</v>
      </c>
      <c r="U327" s="62">
        <f ca="1">ROUND(表1_11[[#This Row],[税前应发总额]]*8%,2)</f>
        <v>366.85</v>
      </c>
      <c r="V327" s="62">
        <f ca="1">ROUND(表1_11[[#This Row],[税前应发总额]]*2%+3,2)</f>
        <v>94.71</v>
      </c>
      <c r="W327" s="62">
        <f ca="1">ROUND(表1_11[[#This Row],[税前应发总额]]*0.2%,2)</f>
        <v>9.17</v>
      </c>
      <c r="X327" s="62">
        <f ca="1">ROUND(表1_11[[#This Row],[税前应发总额]]*12%,2)</f>
        <v>550.27</v>
      </c>
      <c r="Y327" s="61">
        <f ca="1">ROUND(表1_11[[#This Row],[税前应发总额]]-SUM(表1_11[[#This Row],[养老保险]:[公积金]]),2)</f>
        <v>3564.6</v>
      </c>
      <c r="Z327" s="62">
        <f ca="1">ROUND(MAX((表1_11[[#This Row],[扣保险后工资金额]]-3500)*{3,10,20,25,30,35,45}%-{0,105,555,1005,2755,5505,13505},0),2)</f>
        <v>1.94</v>
      </c>
      <c r="AA327" s="63">
        <f ca="1">表1_11[[#This Row],[扣保险后工资金额]]-表1_11[[#This Row],[个人所得税]]</f>
        <v>3562.66</v>
      </c>
      <c r="AB327" s="53">
        <v>3386.96</v>
      </c>
      <c r="AC327" s="64">
        <f ca="1">(表1_11[[#This Row],[实发工资]]-表1_11[[#This Row],[上月对比]])/表1_11[[#This Row],[上月对比]]</f>
        <v>5.1875428112525636E-2</v>
      </c>
      <c r="AD327" s="65" t="s">
        <v>1587</v>
      </c>
    </row>
    <row r="328" spans="1:30">
      <c r="A328" s="42" t="s">
        <v>577</v>
      </c>
      <c r="B328" s="42" t="s">
        <v>725</v>
      </c>
      <c r="C328" s="40" t="s">
        <v>761</v>
      </c>
      <c r="D328" s="40" t="s">
        <v>762</v>
      </c>
      <c r="E328" s="41" t="s">
        <v>1338</v>
      </c>
      <c r="F328" s="5" t="s">
        <v>324</v>
      </c>
      <c r="G328" s="25">
        <v>38452</v>
      </c>
      <c r="H328" s="5" t="s">
        <v>622</v>
      </c>
      <c r="I328" s="5">
        <f>VLOOKUP(MID(表1_11[[#This Row],[工资等级]],1,1),表12[],MATCH(MID(表1_11[[#This Row],[工资等级]],2,2),表12[[#Headers],[1]:[10]],0)+1,0)</f>
        <v>3600</v>
      </c>
      <c r="J328" s="5">
        <v>23.5</v>
      </c>
      <c r="K328" s="27">
        <v>0.97916666666666663</v>
      </c>
      <c r="L328" s="37">
        <f>IF(表1_11[[#This Row],[出勤率]]&gt;1,1,表1_11[[#This Row],[出勤率]])*表1_11[[#This Row],[岗位工资]]</f>
        <v>3525</v>
      </c>
      <c r="M328" s="5">
        <f>LOOKUP(表1_11[[#This Row],[岗位工资]],表13[lookup],表13[奖金比率])*表1_11[[#This Row],[岗位工资]]</f>
        <v>360</v>
      </c>
      <c r="N328" s="5">
        <v>79</v>
      </c>
      <c r="O328" s="38">
        <f>表1_11[[#This Row],[奖金等级]]*表1_11[[#This Row],[绩效得分]]/100</f>
        <v>284.39999999999998</v>
      </c>
      <c r="P328" s="5">
        <f>IF(表1_11[[#This Row],[出勤率]]&gt;=1,200,0)</f>
        <v>0</v>
      </c>
      <c r="Q328" s="23">
        <f t="shared" ca="1" si="5"/>
        <v>500</v>
      </c>
      <c r="R328" s="23">
        <f>IF(表1_11[[#This Row],[中心]]="营销中心",VLOOKUP(表1_11[[#This Row],[职位]],表2[[话费补贴]:[营销中心]],2,0),VLOOKUP(表1_11[[#This Row],[职位]],表2[],3,0))</f>
        <v>0</v>
      </c>
      <c r="S328" s="23">
        <v>200</v>
      </c>
      <c r="T328" s="61">
        <f ca="1">ROUND(SUM(表1_11[[#This Row],[基本工资]],表1_11[[#This Row],[奖金]],表1_11[[#This Row],[全勤奖]:[防暑降温补贴]]),2)</f>
        <v>4509.3999999999996</v>
      </c>
      <c r="U328" s="62">
        <f ca="1">ROUND(表1_11[[#This Row],[税前应发总额]]*8%,2)</f>
        <v>360.75</v>
      </c>
      <c r="V328" s="62">
        <f ca="1">ROUND(表1_11[[#This Row],[税前应发总额]]*2%+3,2)</f>
        <v>93.19</v>
      </c>
      <c r="W328" s="62">
        <f ca="1">ROUND(表1_11[[#This Row],[税前应发总额]]*0.2%,2)</f>
        <v>9.02</v>
      </c>
      <c r="X328" s="62">
        <f ca="1">ROUND(表1_11[[#This Row],[税前应发总额]]*12%,2)</f>
        <v>541.13</v>
      </c>
      <c r="Y328" s="61">
        <f ca="1">ROUND(表1_11[[#This Row],[税前应发总额]]-SUM(表1_11[[#This Row],[养老保险]:[公积金]]),2)</f>
        <v>3505.31</v>
      </c>
      <c r="Z328" s="62">
        <f ca="1">ROUND(MAX((表1_11[[#This Row],[扣保险后工资金额]]-3500)*{3,10,20,25,30,35,45}%-{0,105,555,1005,2755,5505,13505},0),2)</f>
        <v>0.16</v>
      </c>
      <c r="AA328" s="63">
        <f ca="1">表1_11[[#This Row],[扣保险后工资金额]]-表1_11[[#This Row],[个人所得税]]</f>
        <v>3505.15</v>
      </c>
      <c r="AB328" s="53">
        <v>3193.77</v>
      </c>
      <c r="AC328" s="64">
        <f ca="1">(表1_11[[#This Row],[实发工资]]-表1_11[[#This Row],[上月对比]])/表1_11[[#This Row],[上月对比]]</f>
        <v>9.749606264696585E-2</v>
      </c>
      <c r="AD328" s="65" t="s">
        <v>1587</v>
      </c>
    </row>
    <row r="329" spans="1:30">
      <c r="A329" s="42" t="s">
        <v>577</v>
      </c>
      <c r="B329" s="42" t="s">
        <v>725</v>
      </c>
      <c r="C329" s="40" t="s">
        <v>761</v>
      </c>
      <c r="D329" s="40" t="s">
        <v>762</v>
      </c>
      <c r="E329" s="41" t="s">
        <v>1339</v>
      </c>
      <c r="F329" s="5" t="s">
        <v>325</v>
      </c>
      <c r="G329" s="25">
        <v>39410</v>
      </c>
      <c r="H329" s="5" t="s">
        <v>624</v>
      </c>
      <c r="I329" s="5">
        <f>VLOOKUP(MID(表1_11[[#This Row],[工资等级]],1,1),表12[],MATCH(MID(表1_11[[#This Row],[工资等级]],2,2),表12[[#Headers],[1]:[10]],0)+1,0)</f>
        <v>2800</v>
      </c>
      <c r="J329" s="5">
        <v>21.5</v>
      </c>
      <c r="K329" s="27">
        <v>0.89583333333333337</v>
      </c>
      <c r="L329" s="37">
        <f>IF(表1_11[[#This Row],[出勤率]]&gt;1,1,表1_11[[#This Row],[出勤率]])*表1_11[[#This Row],[岗位工资]]</f>
        <v>2508.3333333333335</v>
      </c>
      <c r="M329" s="5">
        <f>LOOKUP(表1_11[[#This Row],[岗位工资]],表13[lookup],表13[奖金比率])*表1_11[[#This Row],[岗位工资]]</f>
        <v>280</v>
      </c>
      <c r="N329" s="5">
        <v>99</v>
      </c>
      <c r="O329" s="38">
        <f>表1_11[[#This Row],[奖金等级]]*表1_11[[#This Row],[绩效得分]]/100</f>
        <v>277.2</v>
      </c>
      <c r="P329" s="5">
        <f>IF(表1_11[[#This Row],[出勤率]]&gt;=1,200,0)</f>
        <v>0</v>
      </c>
      <c r="Q329" s="23">
        <f t="shared" ca="1" si="5"/>
        <v>500</v>
      </c>
      <c r="R329" s="23">
        <f>IF(表1_11[[#This Row],[中心]]="营销中心",VLOOKUP(表1_11[[#This Row],[职位]],表2[[话费补贴]:[营销中心]],2,0),VLOOKUP(表1_11[[#This Row],[职位]],表2[],3,0))</f>
        <v>0</v>
      </c>
      <c r="S329" s="23">
        <v>200</v>
      </c>
      <c r="T329" s="61">
        <f ca="1">ROUND(SUM(表1_11[[#This Row],[基本工资]],表1_11[[#This Row],[奖金]],表1_11[[#This Row],[全勤奖]:[防暑降温补贴]]),2)</f>
        <v>3485.53</v>
      </c>
      <c r="U329" s="62">
        <f ca="1">ROUND(表1_11[[#This Row],[税前应发总额]]*8%,2)</f>
        <v>278.83999999999997</v>
      </c>
      <c r="V329" s="62">
        <f ca="1">ROUND(表1_11[[#This Row],[税前应发总额]]*2%+3,2)</f>
        <v>72.709999999999994</v>
      </c>
      <c r="W329" s="62">
        <f ca="1">ROUND(表1_11[[#This Row],[税前应发总额]]*0.2%,2)</f>
        <v>6.97</v>
      </c>
      <c r="X329" s="62">
        <f ca="1">ROUND(表1_11[[#This Row],[税前应发总额]]*12%,2)</f>
        <v>418.26</v>
      </c>
      <c r="Y329" s="61">
        <f ca="1">ROUND(表1_11[[#This Row],[税前应发总额]]-SUM(表1_11[[#This Row],[养老保险]:[公积金]]),2)</f>
        <v>2708.75</v>
      </c>
      <c r="Z329" s="62">
        <f ca="1">ROUND(MAX((表1_11[[#This Row],[扣保险后工资金额]]-3500)*{3,10,20,25,30,35,45}%-{0,105,555,1005,2755,5505,13505},0),2)</f>
        <v>0</v>
      </c>
      <c r="AA329" s="63">
        <f ca="1">表1_11[[#This Row],[扣保险后工资金额]]-表1_11[[#This Row],[个人所得税]]</f>
        <v>2708.75</v>
      </c>
      <c r="AB329" s="53">
        <v>2470.8000000000002</v>
      </c>
      <c r="AC329" s="64">
        <f ca="1">(表1_11[[#This Row],[实发工资]]-表1_11[[#This Row],[上月对比]])/表1_11[[#This Row],[上月对比]]</f>
        <v>9.6304840537477662E-2</v>
      </c>
      <c r="AD329" s="65" t="s">
        <v>1587</v>
      </c>
    </row>
    <row r="330" spans="1:30">
      <c r="A330" s="42" t="s">
        <v>577</v>
      </c>
      <c r="B330" s="42" t="s">
        <v>725</v>
      </c>
      <c r="C330" s="40" t="s">
        <v>761</v>
      </c>
      <c r="D330" s="40" t="s">
        <v>762</v>
      </c>
      <c r="E330" s="41" t="s">
        <v>1340</v>
      </c>
      <c r="F330" s="5" t="s">
        <v>326</v>
      </c>
      <c r="G330" s="25">
        <v>41888</v>
      </c>
      <c r="H330" s="5" t="s">
        <v>623</v>
      </c>
      <c r="I330" s="5">
        <f>VLOOKUP(MID(表1_11[[#This Row],[工资等级]],1,1),表12[],MATCH(MID(表1_11[[#This Row],[工资等级]],2,2),表12[[#Headers],[1]:[10]],0)+1,0)</f>
        <v>3800</v>
      </c>
      <c r="J330" s="5">
        <v>21</v>
      </c>
      <c r="K330" s="27">
        <v>0.875</v>
      </c>
      <c r="L330" s="37">
        <f>IF(表1_11[[#This Row],[出勤率]]&gt;1,1,表1_11[[#This Row],[出勤率]])*表1_11[[#This Row],[岗位工资]]</f>
        <v>3325</v>
      </c>
      <c r="M330" s="5">
        <f>LOOKUP(表1_11[[#This Row],[岗位工资]],表13[lookup],表13[奖金比率])*表1_11[[#This Row],[岗位工资]]</f>
        <v>380</v>
      </c>
      <c r="N330" s="5">
        <v>95</v>
      </c>
      <c r="O330" s="38">
        <f>表1_11[[#This Row],[奖金等级]]*表1_11[[#This Row],[绩效得分]]/100</f>
        <v>361</v>
      </c>
      <c r="P330" s="5">
        <f>IF(表1_11[[#This Row],[出勤率]]&gt;=1,200,0)</f>
        <v>0</v>
      </c>
      <c r="Q330" s="23">
        <f t="shared" ca="1" si="5"/>
        <v>150</v>
      </c>
      <c r="R330" s="23">
        <f>IF(表1_11[[#This Row],[中心]]="营销中心",VLOOKUP(表1_11[[#This Row],[职位]],表2[[话费补贴]:[营销中心]],2,0),VLOOKUP(表1_11[[#This Row],[职位]],表2[],3,0))</f>
        <v>0</v>
      </c>
      <c r="S330" s="23">
        <v>200</v>
      </c>
      <c r="T330" s="61">
        <f ca="1">ROUND(SUM(表1_11[[#This Row],[基本工资]],表1_11[[#This Row],[奖金]],表1_11[[#This Row],[全勤奖]:[防暑降温补贴]]),2)</f>
        <v>4036</v>
      </c>
      <c r="U330" s="62">
        <f ca="1">ROUND(表1_11[[#This Row],[税前应发总额]]*8%,2)</f>
        <v>322.88</v>
      </c>
      <c r="V330" s="62">
        <f ca="1">ROUND(表1_11[[#This Row],[税前应发总额]]*2%+3,2)</f>
        <v>83.72</v>
      </c>
      <c r="W330" s="62">
        <f ca="1">ROUND(表1_11[[#This Row],[税前应发总额]]*0.2%,2)</f>
        <v>8.07</v>
      </c>
      <c r="X330" s="62">
        <f ca="1">ROUND(表1_11[[#This Row],[税前应发总额]]*12%,2)</f>
        <v>484.32</v>
      </c>
      <c r="Y330" s="61">
        <f ca="1">ROUND(表1_11[[#This Row],[税前应发总额]]-SUM(表1_11[[#This Row],[养老保险]:[公积金]]),2)</f>
        <v>3137.01</v>
      </c>
      <c r="Z330" s="62">
        <f ca="1">ROUND(MAX((表1_11[[#This Row],[扣保险后工资金额]]-3500)*{3,10,20,25,30,35,45}%-{0,105,555,1005,2755,5505,13505},0),2)</f>
        <v>0</v>
      </c>
      <c r="AA330" s="63">
        <f ca="1">表1_11[[#This Row],[扣保险后工资金额]]-表1_11[[#This Row],[个人所得税]]</f>
        <v>3137.01</v>
      </c>
      <c r="AB330" s="53">
        <v>3460.77</v>
      </c>
      <c r="AC330" s="64">
        <f ca="1">(表1_11[[#This Row],[实发工资]]-表1_11[[#This Row],[上月对比]])/表1_11[[#This Row],[上月对比]]</f>
        <v>-9.3551435085255527E-2</v>
      </c>
      <c r="AD330" s="65" t="s">
        <v>1587</v>
      </c>
    </row>
    <row r="331" spans="1:30">
      <c r="A331" s="42" t="s">
        <v>577</v>
      </c>
      <c r="B331" s="42" t="s">
        <v>725</v>
      </c>
      <c r="C331" s="40" t="s">
        <v>761</v>
      </c>
      <c r="D331" s="40" t="s">
        <v>762</v>
      </c>
      <c r="E331" s="41" t="s">
        <v>1341</v>
      </c>
      <c r="F331" s="5" t="s">
        <v>327</v>
      </c>
      <c r="G331" s="25">
        <v>41718</v>
      </c>
      <c r="H331" s="5" t="s">
        <v>624</v>
      </c>
      <c r="I331" s="5">
        <f>VLOOKUP(MID(表1_11[[#This Row],[工资等级]],1,1),表12[],MATCH(MID(表1_11[[#This Row],[工资等级]],2,2),表12[[#Headers],[1]:[10]],0)+1,0)</f>
        <v>2800</v>
      </c>
      <c r="J331" s="5">
        <v>26.5</v>
      </c>
      <c r="K331" s="27">
        <v>1.1041666666666667</v>
      </c>
      <c r="L331" s="37">
        <f>IF(表1_11[[#This Row],[出勤率]]&gt;1,1,表1_11[[#This Row],[出勤率]])*表1_11[[#This Row],[岗位工资]]</f>
        <v>2800</v>
      </c>
      <c r="M331" s="5">
        <f>LOOKUP(表1_11[[#This Row],[岗位工资]],表13[lookup],表13[奖金比率])*表1_11[[#This Row],[岗位工资]]</f>
        <v>280</v>
      </c>
      <c r="N331" s="5">
        <v>81</v>
      </c>
      <c r="O331" s="38">
        <f>表1_11[[#This Row],[奖金等级]]*表1_11[[#This Row],[绩效得分]]/100</f>
        <v>226.8</v>
      </c>
      <c r="P331" s="5">
        <f>IF(表1_11[[#This Row],[出勤率]]&gt;=1,200,0)</f>
        <v>200</v>
      </c>
      <c r="Q331" s="23">
        <f t="shared" ca="1" si="5"/>
        <v>150</v>
      </c>
      <c r="R331" s="23">
        <f>IF(表1_11[[#This Row],[中心]]="营销中心",VLOOKUP(表1_11[[#This Row],[职位]],表2[[话费补贴]:[营销中心]],2,0),VLOOKUP(表1_11[[#This Row],[职位]],表2[],3,0))</f>
        <v>0</v>
      </c>
      <c r="S331" s="23">
        <v>200</v>
      </c>
      <c r="T331" s="61">
        <f ca="1">ROUND(SUM(表1_11[[#This Row],[基本工资]],表1_11[[#This Row],[奖金]],表1_11[[#This Row],[全勤奖]:[防暑降温补贴]]),2)</f>
        <v>3576.8</v>
      </c>
      <c r="U331" s="62">
        <f ca="1">ROUND(表1_11[[#This Row],[税前应发总额]]*8%,2)</f>
        <v>286.14</v>
      </c>
      <c r="V331" s="62">
        <f ca="1">ROUND(表1_11[[#This Row],[税前应发总额]]*2%+3,2)</f>
        <v>74.540000000000006</v>
      </c>
      <c r="W331" s="62">
        <f ca="1">ROUND(表1_11[[#This Row],[税前应发总额]]*0.2%,2)</f>
        <v>7.15</v>
      </c>
      <c r="X331" s="62">
        <f ca="1">ROUND(表1_11[[#This Row],[税前应发总额]]*12%,2)</f>
        <v>429.22</v>
      </c>
      <c r="Y331" s="61">
        <f ca="1">ROUND(表1_11[[#This Row],[税前应发总额]]-SUM(表1_11[[#This Row],[养老保险]:[公积金]]),2)</f>
        <v>2779.75</v>
      </c>
      <c r="Z331" s="62">
        <f ca="1">ROUND(MAX((表1_11[[#This Row],[扣保险后工资金额]]-3500)*{3,10,20,25,30,35,45}%-{0,105,555,1005,2755,5505,13505},0),2)</f>
        <v>0</v>
      </c>
      <c r="AA331" s="63">
        <f ca="1">表1_11[[#This Row],[扣保险后工资金额]]-表1_11[[#This Row],[个人所得税]]</f>
        <v>2779.75</v>
      </c>
      <c r="AB331" s="53">
        <v>2559.38</v>
      </c>
      <c r="AC331" s="64">
        <f ca="1">(表1_11[[#This Row],[实发工资]]-表1_11[[#This Row],[上月对比]])/表1_11[[#This Row],[上月对比]]</f>
        <v>8.6102884292289489E-2</v>
      </c>
      <c r="AD331" s="65" t="s">
        <v>1587</v>
      </c>
    </row>
    <row r="332" spans="1:30">
      <c r="A332" s="42" t="s">
        <v>577</v>
      </c>
      <c r="B332" s="42" t="s">
        <v>725</v>
      </c>
      <c r="C332" s="40" t="s">
        <v>761</v>
      </c>
      <c r="D332" s="40" t="s">
        <v>762</v>
      </c>
      <c r="E332" s="41" t="s">
        <v>1342</v>
      </c>
      <c r="F332" s="5" t="s">
        <v>328</v>
      </c>
      <c r="G332" s="25">
        <v>42132</v>
      </c>
      <c r="H332" s="5" t="s">
        <v>624</v>
      </c>
      <c r="I332" s="5">
        <f>VLOOKUP(MID(表1_11[[#This Row],[工资等级]],1,1),表12[],MATCH(MID(表1_11[[#This Row],[工资等级]],2,2),表12[[#Headers],[1]:[10]],0)+1,0)</f>
        <v>2800</v>
      </c>
      <c r="J332" s="5">
        <v>21</v>
      </c>
      <c r="K332" s="27">
        <v>0.875</v>
      </c>
      <c r="L332" s="37">
        <f>IF(表1_11[[#This Row],[出勤率]]&gt;1,1,表1_11[[#This Row],[出勤率]])*表1_11[[#This Row],[岗位工资]]</f>
        <v>2450</v>
      </c>
      <c r="M332" s="5">
        <f>LOOKUP(表1_11[[#This Row],[岗位工资]],表13[lookup],表13[奖金比率])*表1_11[[#This Row],[岗位工资]]</f>
        <v>280</v>
      </c>
      <c r="N332" s="5">
        <v>95</v>
      </c>
      <c r="O332" s="38">
        <f>表1_11[[#This Row],[奖金等级]]*表1_11[[#This Row],[绩效得分]]/100</f>
        <v>266</v>
      </c>
      <c r="P332" s="5">
        <f>IF(表1_11[[#This Row],[出勤率]]&gt;=1,200,0)</f>
        <v>0</v>
      </c>
      <c r="Q332" s="23">
        <f t="shared" ca="1" si="5"/>
        <v>100</v>
      </c>
      <c r="R332" s="23">
        <f>IF(表1_11[[#This Row],[中心]]="营销中心",VLOOKUP(表1_11[[#This Row],[职位]],表2[[话费补贴]:[营销中心]],2,0),VLOOKUP(表1_11[[#This Row],[职位]],表2[],3,0))</f>
        <v>0</v>
      </c>
      <c r="S332" s="23">
        <v>200</v>
      </c>
      <c r="T332" s="61">
        <f ca="1">ROUND(SUM(表1_11[[#This Row],[基本工资]],表1_11[[#This Row],[奖金]],表1_11[[#This Row],[全勤奖]:[防暑降温补贴]]),2)</f>
        <v>3016</v>
      </c>
      <c r="U332" s="62">
        <f ca="1">ROUND(表1_11[[#This Row],[税前应发总额]]*8%,2)</f>
        <v>241.28</v>
      </c>
      <c r="V332" s="62">
        <f ca="1">ROUND(表1_11[[#This Row],[税前应发总额]]*2%+3,2)</f>
        <v>63.32</v>
      </c>
      <c r="W332" s="62">
        <f ca="1">ROUND(表1_11[[#This Row],[税前应发总额]]*0.2%,2)</f>
        <v>6.03</v>
      </c>
      <c r="X332" s="62">
        <f ca="1">ROUND(表1_11[[#This Row],[税前应发总额]]*12%,2)</f>
        <v>361.92</v>
      </c>
      <c r="Y332" s="61">
        <f ca="1">ROUND(表1_11[[#This Row],[税前应发总额]]-SUM(表1_11[[#This Row],[养老保险]:[公积金]]),2)</f>
        <v>2343.4499999999998</v>
      </c>
      <c r="Z332" s="62">
        <f ca="1">ROUND(MAX((表1_11[[#This Row],[扣保险后工资金额]]-3500)*{3,10,20,25,30,35,45}%-{0,105,555,1005,2755,5505,13505},0),2)</f>
        <v>0</v>
      </c>
      <c r="AA332" s="63">
        <f ca="1">表1_11[[#This Row],[扣保险后工资金额]]-表1_11[[#This Row],[个人所得税]]</f>
        <v>2343.4499999999998</v>
      </c>
      <c r="AB332" s="53">
        <v>2521.7800000000002</v>
      </c>
      <c r="AC332" s="64">
        <f ca="1">(表1_11[[#This Row],[实发工资]]-表1_11[[#This Row],[上月对比]])/表1_11[[#This Row],[上月对比]]</f>
        <v>-7.0715922879870718E-2</v>
      </c>
      <c r="AD332" s="65" t="s">
        <v>1587</v>
      </c>
    </row>
    <row r="333" spans="1:30">
      <c r="A333" s="42" t="s">
        <v>577</v>
      </c>
      <c r="B333" s="42" t="s">
        <v>725</v>
      </c>
      <c r="C333" s="40" t="s">
        <v>761</v>
      </c>
      <c r="D333" s="40" t="s">
        <v>762</v>
      </c>
      <c r="E333" s="41" t="s">
        <v>1343</v>
      </c>
      <c r="F333" s="5" t="s">
        <v>329</v>
      </c>
      <c r="G333" s="25">
        <v>38798</v>
      </c>
      <c r="H333" s="5" t="s">
        <v>657</v>
      </c>
      <c r="I333" s="5">
        <f>VLOOKUP(MID(表1_11[[#This Row],[工资等级]],1,1),表12[],MATCH(MID(表1_11[[#This Row],[工资等级]],2,2),表12[[#Headers],[1]:[10]],0)+1,0)</f>
        <v>4000</v>
      </c>
      <c r="J333" s="5">
        <v>23</v>
      </c>
      <c r="K333" s="27">
        <v>0.95833333333333337</v>
      </c>
      <c r="L333" s="37">
        <f>IF(表1_11[[#This Row],[出勤率]]&gt;1,1,表1_11[[#This Row],[出勤率]])*表1_11[[#This Row],[岗位工资]]</f>
        <v>3833.3333333333335</v>
      </c>
      <c r="M333" s="5">
        <f>LOOKUP(表1_11[[#This Row],[岗位工资]],表13[lookup],表13[奖金比率])*表1_11[[#This Row],[岗位工资]]</f>
        <v>600</v>
      </c>
      <c r="N333" s="5">
        <v>86</v>
      </c>
      <c r="O333" s="38">
        <f>表1_11[[#This Row],[奖金等级]]*表1_11[[#This Row],[绩效得分]]/100</f>
        <v>516</v>
      </c>
      <c r="P333" s="5">
        <f>IF(表1_11[[#This Row],[出勤率]]&gt;=1,200,0)</f>
        <v>0</v>
      </c>
      <c r="Q333" s="23">
        <f t="shared" ca="1" si="5"/>
        <v>500</v>
      </c>
      <c r="R333" s="23">
        <f>IF(表1_11[[#This Row],[中心]]="营销中心",VLOOKUP(表1_11[[#This Row],[职位]],表2[[话费补贴]:[营销中心]],2,0),VLOOKUP(表1_11[[#This Row],[职位]],表2[],3,0))</f>
        <v>0</v>
      </c>
      <c r="S333" s="23">
        <v>200</v>
      </c>
      <c r="T333" s="61">
        <f ca="1">ROUND(SUM(表1_11[[#This Row],[基本工资]],表1_11[[#This Row],[奖金]],表1_11[[#This Row],[全勤奖]:[防暑降温补贴]]),2)</f>
        <v>5049.33</v>
      </c>
      <c r="U333" s="62">
        <f ca="1">ROUND(表1_11[[#This Row],[税前应发总额]]*8%,2)</f>
        <v>403.95</v>
      </c>
      <c r="V333" s="62">
        <f ca="1">ROUND(表1_11[[#This Row],[税前应发总额]]*2%+3,2)</f>
        <v>103.99</v>
      </c>
      <c r="W333" s="62">
        <f ca="1">ROUND(表1_11[[#This Row],[税前应发总额]]*0.2%,2)</f>
        <v>10.1</v>
      </c>
      <c r="X333" s="62">
        <f ca="1">ROUND(表1_11[[#This Row],[税前应发总额]]*12%,2)</f>
        <v>605.91999999999996</v>
      </c>
      <c r="Y333" s="61">
        <f ca="1">ROUND(表1_11[[#This Row],[税前应发总额]]-SUM(表1_11[[#This Row],[养老保险]:[公积金]]),2)</f>
        <v>3925.37</v>
      </c>
      <c r="Z333" s="62">
        <f ca="1">ROUND(MAX((表1_11[[#This Row],[扣保险后工资金额]]-3500)*{3,10,20,25,30,35,45}%-{0,105,555,1005,2755,5505,13505},0),2)</f>
        <v>12.76</v>
      </c>
      <c r="AA333" s="63">
        <f ca="1">表1_11[[#This Row],[扣保险后工资金额]]-表1_11[[#This Row],[个人所得税]]</f>
        <v>3912.6099999999997</v>
      </c>
      <c r="AB333" s="53">
        <v>4625.43</v>
      </c>
      <c r="AC333" s="64">
        <f ca="1">(表1_11[[#This Row],[实发工资]]-表1_11[[#This Row],[上月对比]])/表1_11[[#This Row],[上月对比]]</f>
        <v>-0.15410891527922821</v>
      </c>
      <c r="AD333" s="65" t="s">
        <v>1587</v>
      </c>
    </row>
    <row r="334" spans="1:30">
      <c r="A334" s="42" t="s">
        <v>577</v>
      </c>
      <c r="B334" s="42" t="s">
        <v>725</v>
      </c>
      <c r="C334" s="40" t="s">
        <v>761</v>
      </c>
      <c r="D334" s="40" t="s">
        <v>762</v>
      </c>
      <c r="E334" s="41" t="s">
        <v>1344</v>
      </c>
      <c r="F334" s="5" t="s">
        <v>330</v>
      </c>
      <c r="G334" s="25">
        <v>40733</v>
      </c>
      <c r="H334" s="5" t="s">
        <v>623</v>
      </c>
      <c r="I334" s="5">
        <f>VLOOKUP(MID(表1_11[[#This Row],[工资等级]],1,1),表12[],MATCH(MID(表1_11[[#This Row],[工资等级]],2,2),表12[[#Headers],[1]:[10]],0)+1,0)</f>
        <v>3800</v>
      </c>
      <c r="J334" s="5">
        <v>22</v>
      </c>
      <c r="K334" s="27">
        <v>0.91666666666666663</v>
      </c>
      <c r="L334" s="37">
        <f>IF(表1_11[[#This Row],[出勤率]]&gt;1,1,表1_11[[#This Row],[出勤率]])*表1_11[[#This Row],[岗位工资]]</f>
        <v>3483.333333333333</v>
      </c>
      <c r="M334" s="5">
        <f>LOOKUP(表1_11[[#This Row],[岗位工资]],表13[lookup],表13[奖金比率])*表1_11[[#This Row],[岗位工资]]</f>
        <v>380</v>
      </c>
      <c r="N334" s="5">
        <v>82</v>
      </c>
      <c r="O334" s="38">
        <f>表1_11[[#This Row],[奖金等级]]*表1_11[[#This Row],[绩效得分]]/100</f>
        <v>311.60000000000002</v>
      </c>
      <c r="P334" s="5">
        <f>IF(表1_11[[#This Row],[出勤率]]&gt;=1,200,0)</f>
        <v>0</v>
      </c>
      <c r="Q334" s="23">
        <f t="shared" ca="1" si="5"/>
        <v>300</v>
      </c>
      <c r="R334" s="23">
        <f>IF(表1_11[[#This Row],[中心]]="营销中心",VLOOKUP(表1_11[[#This Row],[职位]],表2[[话费补贴]:[营销中心]],2,0),VLOOKUP(表1_11[[#This Row],[职位]],表2[],3,0))</f>
        <v>0</v>
      </c>
      <c r="S334" s="23">
        <v>200</v>
      </c>
      <c r="T334" s="61">
        <f ca="1">ROUND(SUM(表1_11[[#This Row],[基本工资]],表1_11[[#This Row],[奖金]],表1_11[[#This Row],[全勤奖]:[防暑降温补贴]]),2)</f>
        <v>4294.93</v>
      </c>
      <c r="U334" s="62">
        <f ca="1">ROUND(表1_11[[#This Row],[税前应发总额]]*8%,2)</f>
        <v>343.59</v>
      </c>
      <c r="V334" s="62">
        <f ca="1">ROUND(表1_11[[#This Row],[税前应发总额]]*2%+3,2)</f>
        <v>88.9</v>
      </c>
      <c r="W334" s="62">
        <f ca="1">ROUND(表1_11[[#This Row],[税前应发总额]]*0.2%,2)</f>
        <v>8.59</v>
      </c>
      <c r="X334" s="62">
        <f ca="1">ROUND(表1_11[[#This Row],[税前应发总额]]*12%,2)</f>
        <v>515.39</v>
      </c>
      <c r="Y334" s="61">
        <f ca="1">ROUND(表1_11[[#This Row],[税前应发总额]]-SUM(表1_11[[#This Row],[养老保险]:[公积金]]),2)</f>
        <v>3338.46</v>
      </c>
      <c r="Z334" s="62">
        <f ca="1">ROUND(MAX((表1_11[[#This Row],[扣保险后工资金额]]-3500)*{3,10,20,25,30,35,45}%-{0,105,555,1005,2755,5505,13505},0),2)</f>
        <v>0</v>
      </c>
      <c r="AA334" s="63">
        <f ca="1">表1_11[[#This Row],[扣保险后工资金额]]-表1_11[[#This Row],[个人所得税]]</f>
        <v>3338.46</v>
      </c>
      <c r="AB334" s="53">
        <v>3533.69</v>
      </c>
      <c r="AC334" s="64">
        <f ca="1">(表1_11[[#This Row],[实发工资]]-表1_11[[#This Row],[上月对比]])/表1_11[[#This Row],[上月对比]]</f>
        <v>-5.5248196644301001E-2</v>
      </c>
      <c r="AD334" s="65" t="s">
        <v>1587</v>
      </c>
    </row>
    <row r="335" spans="1:30">
      <c r="A335" s="42" t="s">
        <v>577</v>
      </c>
      <c r="B335" s="42" t="s">
        <v>725</v>
      </c>
      <c r="C335" s="40" t="s">
        <v>761</v>
      </c>
      <c r="D335" s="40" t="s">
        <v>762</v>
      </c>
      <c r="E335" s="41" t="s">
        <v>1345</v>
      </c>
      <c r="F335" s="5" t="s">
        <v>331</v>
      </c>
      <c r="G335" s="25">
        <v>39628</v>
      </c>
      <c r="H335" s="5" t="s">
        <v>617</v>
      </c>
      <c r="I335" s="5">
        <f>VLOOKUP(MID(表1_11[[#This Row],[工资等级]],1,1),表12[],MATCH(MID(表1_11[[#This Row],[工资等级]],2,2),表12[[#Headers],[1]:[10]],0)+1,0)</f>
        <v>2500</v>
      </c>
      <c r="J335" s="5">
        <v>22.5</v>
      </c>
      <c r="K335" s="27">
        <v>0.9375</v>
      </c>
      <c r="L335" s="37">
        <f>IF(表1_11[[#This Row],[出勤率]]&gt;1,1,表1_11[[#This Row],[出勤率]])*表1_11[[#This Row],[岗位工资]]</f>
        <v>2343.75</v>
      </c>
      <c r="M335" s="5">
        <f>LOOKUP(表1_11[[#This Row],[岗位工资]],表13[lookup],表13[奖金比率])*表1_11[[#This Row],[岗位工资]]</f>
        <v>250</v>
      </c>
      <c r="N335" s="5">
        <v>83</v>
      </c>
      <c r="O335" s="38">
        <f>表1_11[[#This Row],[奖金等级]]*表1_11[[#This Row],[绩效得分]]/100</f>
        <v>207.5</v>
      </c>
      <c r="P335" s="5">
        <f>IF(表1_11[[#This Row],[出勤率]]&gt;=1,200,0)</f>
        <v>0</v>
      </c>
      <c r="Q335" s="23">
        <f t="shared" ca="1" si="5"/>
        <v>450</v>
      </c>
      <c r="R335" s="23">
        <f>IF(表1_11[[#This Row],[中心]]="营销中心",VLOOKUP(表1_11[[#This Row],[职位]],表2[[话费补贴]:[营销中心]],2,0),VLOOKUP(表1_11[[#This Row],[职位]],表2[],3,0))</f>
        <v>0</v>
      </c>
      <c r="S335" s="23">
        <v>200</v>
      </c>
      <c r="T335" s="61">
        <f ca="1">ROUND(SUM(表1_11[[#This Row],[基本工资]],表1_11[[#This Row],[奖金]],表1_11[[#This Row],[全勤奖]:[防暑降温补贴]]),2)</f>
        <v>3201.25</v>
      </c>
      <c r="U335" s="62">
        <f ca="1">ROUND(表1_11[[#This Row],[税前应发总额]]*8%,2)</f>
        <v>256.10000000000002</v>
      </c>
      <c r="V335" s="62">
        <f ca="1">ROUND(表1_11[[#This Row],[税前应发总额]]*2%+3,2)</f>
        <v>67.03</v>
      </c>
      <c r="W335" s="62">
        <f ca="1">ROUND(表1_11[[#This Row],[税前应发总额]]*0.2%,2)</f>
        <v>6.4</v>
      </c>
      <c r="X335" s="62">
        <f ca="1">ROUND(表1_11[[#This Row],[税前应发总额]]*12%,2)</f>
        <v>384.15</v>
      </c>
      <c r="Y335" s="61">
        <f ca="1">ROUND(表1_11[[#This Row],[税前应发总额]]-SUM(表1_11[[#This Row],[养老保险]:[公积金]]),2)</f>
        <v>2487.5700000000002</v>
      </c>
      <c r="Z335" s="62">
        <f ca="1">ROUND(MAX((表1_11[[#This Row],[扣保险后工资金额]]-3500)*{3,10,20,25,30,35,45}%-{0,105,555,1005,2755,5505,13505},0),2)</f>
        <v>0</v>
      </c>
      <c r="AA335" s="63">
        <f ca="1">表1_11[[#This Row],[扣保险后工资金额]]-表1_11[[#This Row],[个人所得税]]</f>
        <v>2487.5700000000002</v>
      </c>
      <c r="AB335" s="53">
        <v>2640.36</v>
      </c>
      <c r="AC335" s="64">
        <f ca="1">(表1_11[[#This Row],[实发工资]]-表1_11[[#This Row],[上月对比]])/表1_11[[#This Row],[上月对比]]</f>
        <v>-5.7867109030586721E-2</v>
      </c>
      <c r="AD335" s="65" t="s">
        <v>1587</v>
      </c>
    </row>
    <row r="336" spans="1:30">
      <c r="A336" s="42" t="s">
        <v>577</v>
      </c>
      <c r="B336" s="42" t="s">
        <v>725</v>
      </c>
      <c r="C336" s="40" t="s">
        <v>761</v>
      </c>
      <c r="D336" s="40" t="s">
        <v>762</v>
      </c>
      <c r="E336" s="41" t="s">
        <v>1346</v>
      </c>
      <c r="F336" s="5" t="s">
        <v>332</v>
      </c>
      <c r="G336" s="25">
        <v>41598</v>
      </c>
      <c r="H336" s="5" t="s">
        <v>617</v>
      </c>
      <c r="I336" s="5">
        <f>VLOOKUP(MID(表1_11[[#This Row],[工资等级]],1,1),表12[],MATCH(MID(表1_11[[#This Row],[工资等级]],2,2),表12[[#Headers],[1]:[10]],0)+1,0)</f>
        <v>2500</v>
      </c>
      <c r="J336" s="5">
        <v>21</v>
      </c>
      <c r="K336" s="27">
        <v>0.875</v>
      </c>
      <c r="L336" s="37">
        <f>IF(表1_11[[#This Row],[出勤率]]&gt;1,1,表1_11[[#This Row],[出勤率]])*表1_11[[#This Row],[岗位工资]]</f>
        <v>2187.5</v>
      </c>
      <c r="M336" s="5">
        <f>LOOKUP(表1_11[[#This Row],[岗位工资]],表13[lookup],表13[奖金比率])*表1_11[[#This Row],[岗位工资]]</f>
        <v>250</v>
      </c>
      <c r="N336" s="5">
        <v>84</v>
      </c>
      <c r="O336" s="38">
        <f>表1_11[[#This Row],[奖金等级]]*表1_11[[#This Row],[绩效得分]]/100</f>
        <v>210</v>
      </c>
      <c r="P336" s="5">
        <f>IF(表1_11[[#This Row],[出勤率]]&gt;=1,200,0)</f>
        <v>0</v>
      </c>
      <c r="Q336" s="23">
        <f t="shared" ca="1" si="5"/>
        <v>200</v>
      </c>
      <c r="R336" s="23">
        <f>IF(表1_11[[#This Row],[中心]]="营销中心",VLOOKUP(表1_11[[#This Row],[职位]],表2[[话费补贴]:[营销中心]],2,0),VLOOKUP(表1_11[[#This Row],[职位]],表2[],3,0))</f>
        <v>0</v>
      </c>
      <c r="S336" s="23">
        <v>200</v>
      </c>
      <c r="T336" s="61">
        <f ca="1">ROUND(SUM(表1_11[[#This Row],[基本工资]],表1_11[[#This Row],[奖金]],表1_11[[#This Row],[全勤奖]:[防暑降温补贴]]),2)</f>
        <v>2797.5</v>
      </c>
      <c r="U336" s="62">
        <f ca="1">ROUND(表1_11[[#This Row],[税前应发总额]]*8%,2)</f>
        <v>223.8</v>
      </c>
      <c r="V336" s="62">
        <f ca="1">ROUND(表1_11[[#This Row],[税前应发总额]]*2%+3,2)</f>
        <v>58.95</v>
      </c>
      <c r="W336" s="62">
        <f ca="1">ROUND(表1_11[[#This Row],[税前应发总额]]*0.2%,2)</f>
        <v>5.6</v>
      </c>
      <c r="X336" s="62">
        <f ca="1">ROUND(表1_11[[#This Row],[税前应发总额]]*12%,2)</f>
        <v>335.7</v>
      </c>
      <c r="Y336" s="61">
        <f ca="1">ROUND(表1_11[[#This Row],[税前应发总额]]-SUM(表1_11[[#This Row],[养老保险]:[公积金]]),2)</f>
        <v>2173.4499999999998</v>
      </c>
      <c r="Z336" s="62">
        <f ca="1">ROUND(MAX((表1_11[[#This Row],[扣保险后工资金额]]-3500)*{3,10,20,25,30,35,45}%-{0,105,555,1005,2755,5505,13505},0),2)</f>
        <v>0</v>
      </c>
      <c r="AA336" s="63">
        <f ca="1">表1_11[[#This Row],[扣保险后工资金额]]-表1_11[[#This Row],[个人所得税]]</f>
        <v>2173.4499999999998</v>
      </c>
      <c r="AB336" s="53">
        <v>2486.0500000000002</v>
      </c>
      <c r="AC336" s="64">
        <f ca="1">(表1_11[[#This Row],[实发工资]]-表1_11[[#This Row],[上月对比]])/表1_11[[#This Row],[上月对比]]</f>
        <v>-0.12574163834194821</v>
      </c>
      <c r="AD336" s="65" t="s">
        <v>1587</v>
      </c>
    </row>
    <row r="337" spans="1:30">
      <c r="A337" s="42" t="s">
        <v>577</v>
      </c>
      <c r="B337" s="42" t="s">
        <v>725</v>
      </c>
      <c r="C337" s="40" t="s">
        <v>763</v>
      </c>
      <c r="D337" s="40" t="s">
        <v>764</v>
      </c>
      <c r="E337" s="41" t="s">
        <v>1347</v>
      </c>
      <c r="F337" s="5" t="s">
        <v>333</v>
      </c>
      <c r="G337" s="25">
        <v>42040</v>
      </c>
      <c r="H337" s="5" t="s">
        <v>612</v>
      </c>
      <c r="I337" s="5">
        <f>VLOOKUP(MID(表1_11[[#This Row],[工资等级]],1,1),表12[],MATCH(MID(表1_11[[#This Row],[工资等级]],2,2),表12[[#Headers],[1]:[10]],0)+1,0)</f>
        <v>2700</v>
      </c>
      <c r="J337" s="5">
        <v>21.5</v>
      </c>
      <c r="K337" s="27">
        <v>0.89583333333333337</v>
      </c>
      <c r="L337" s="37">
        <f>IF(表1_11[[#This Row],[出勤率]]&gt;1,1,表1_11[[#This Row],[出勤率]])*表1_11[[#This Row],[岗位工资]]</f>
        <v>2418.75</v>
      </c>
      <c r="M337" s="5">
        <f>LOOKUP(表1_11[[#This Row],[岗位工资]],表13[lookup],表13[奖金比率])*表1_11[[#This Row],[岗位工资]]</f>
        <v>270</v>
      </c>
      <c r="N337" s="5">
        <v>89</v>
      </c>
      <c r="O337" s="38">
        <f>表1_11[[#This Row],[奖金等级]]*表1_11[[#This Row],[绩效得分]]/100</f>
        <v>240.3</v>
      </c>
      <c r="P337" s="5">
        <f>IF(表1_11[[#This Row],[出勤率]]&gt;=1,200,0)</f>
        <v>0</v>
      </c>
      <c r="Q337" s="23">
        <f t="shared" ca="1" si="5"/>
        <v>150</v>
      </c>
      <c r="R337" s="23">
        <f>IF(表1_11[[#This Row],[中心]]="营销中心",VLOOKUP(表1_11[[#This Row],[职位]],表2[[话费补贴]:[营销中心]],2,0),VLOOKUP(表1_11[[#This Row],[职位]],表2[],3,0))</f>
        <v>0</v>
      </c>
      <c r="S337" s="23">
        <v>200</v>
      </c>
      <c r="T337" s="61">
        <f ca="1">ROUND(SUM(表1_11[[#This Row],[基本工资]],表1_11[[#This Row],[奖金]],表1_11[[#This Row],[全勤奖]:[防暑降温补贴]]),2)</f>
        <v>3009.05</v>
      </c>
      <c r="U337" s="62">
        <f ca="1">ROUND(表1_11[[#This Row],[税前应发总额]]*8%,2)</f>
        <v>240.72</v>
      </c>
      <c r="V337" s="62">
        <f ca="1">ROUND(表1_11[[#This Row],[税前应发总额]]*2%+3,2)</f>
        <v>63.18</v>
      </c>
      <c r="W337" s="62">
        <f ca="1">ROUND(表1_11[[#This Row],[税前应发总额]]*0.2%,2)</f>
        <v>6.02</v>
      </c>
      <c r="X337" s="62">
        <f ca="1">ROUND(表1_11[[#This Row],[税前应发总额]]*12%,2)</f>
        <v>361.09</v>
      </c>
      <c r="Y337" s="61">
        <f ca="1">ROUND(表1_11[[#This Row],[税前应发总额]]-SUM(表1_11[[#This Row],[养老保险]:[公积金]]),2)</f>
        <v>2338.04</v>
      </c>
      <c r="Z337" s="62">
        <f ca="1">ROUND(MAX((表1_11[[#This Row],[扣保险后工资金额]]-3500)*{3,10,20,25,30,35,45}%-{0,105,555,1005,2755,5505,13505},0),2)</f>
        <v>0</v>
      </c>
      <c r="AA337" s="63">
        <f ca="1">表1_11[[#This Row],[扣保险后工资金额]]-表1_11[[#This Row],[个人所得税]]</f>
        <v>2338.04</v>
      </c>
      <c r="AB337" s="53">
        <v>2760.98</v>
      </c>
      <c r="AC337" s="64">
        <f ca="1">(表1_11[[#This Row],[实发工资]]-表1_11[[#This Row],[上月对比]])/表1_11[[#This Row],[上月对比]]</f>
        <v>-0.15318473875218222</v>
      </c>
      <c r="AD337" s="65" t="s">
        <v>1587</v>
      </c>
    </row>
    <row r="338" spans="1:30">
      <c r="A338" s="42" t="s">
        <v>577</v>
      </c>
      <c r="B338" s="42" t="s">
        <v>725</v>
      </c>
      <c r="C338" s="40" t="s">
        <v>763</v>
      </c>
      <c r="D338" s="40" t="s">
        <v>764</v>
      </c>
      <c r="E338" s="41" t="s">
        <v>1348</v>
      </c>
      <c r="F338" s="5" t="s">
        <v>334</v>
      </c>
      <c r="G338" s="25">
        <v>42515</v>
      </c>
      <c r="H338" s="5" t="s">
        <v>618</v>
      </c>
      <c r="I338" s="5">
        <f>VLOOKUP(MID(表1_11[[#This Row],[工资等级]],1,1),表12[],MATCH(MID(表1_11[[#This Row],[工资等级]],2,2),表12[[#Headers],[1]:[10]],0)+1,0)</f>
        <v>3000</v>
      </c>
      <c r="J338" s="5">
        <v>27.5</v>
      </c>
      <c r="K338" s="27">
        <v>1.1458333333333333</v>
      </c>
      <c r="L338" s="37">
        <f>IF(表1_11[[#This Row],[出勤率]]&gt;1,1,表1_11[[#This Row],[出勤率]])*表1_11[[#This Row],[岗位工资]]</f>
        <v>3000</v>
      </c>
      <c r="M338" s="5">
        <f>LOOKUP(表1_11[[#This Row],[岗位工资]],表13[lookup],表13[奖金比率])*表1_11[[#This Row],[岗位工资]]</f>
        <v>300</v>
      </c>
      <c r="N338" s="5">
        <v>98</v>
      </c>
      <c r="O338" s="38">
        <f>表1_11[[#This Row],[奖金等级]]*表1_11[[#This Row],[绩效得分]]/100</f>
        <v>294</v>
      </c>
      <c r="P338" s="5">
        <f>IF(表1_11[[#This Row],[出勤率]]&gt;=1,200,0)</f>
        <v>200</v>
      </c>
      <c r="Q338" s="23">
        <f t="shared" ca="1" si="5"/>
        <v>50</v>
      </c>
      <c r="R338" s="23">
        <f>IF(表1_11[[#This Row],[中心]]="营销中心",VLOOKUP(表1_11[[#This Row],[职位]],表2[[话费补贴]:[营销中心]],2,0),VLOOKUP(表1_11[[#This Row],[职位]],表2[],3,0))</f>
        <v>0</v>
      </c>
      <c r="S338" s="23">
        <v>200</v>
      </c>
      <c r="T338" s="61">
        <f ca="1">ROUND(SUM(表1_11[[#This Row],[基本工资]],表1_11[[#This Row],[奖金]],表1_11[[#This Row],[全勤奖]:[防暑降温补贴]]),2)</f>
        <v>3744</v>
      </c>
      <c r="U338" s="62">
        <f ca="1">ROUND(表1_11[[#This Row],[税前应发总额]]*8%,2)</f>
        <v>299.52</v>
      </c>
      <c r="V338" s="62">
        <f ca="1">ROUND(表1_11[[#This Row],[税前应发总额]]*2%+3,2)</f>
        <v>77.88</v>
      </c>
      <c r="W338" s="62">
        <f ca="1">ROUND(表1_11[[#This Row],[税前应发总额]]*0.2%,2)</f>
        <v>7.49</v>
      </c>
      <c r="X338" s="62">
        <f ca="1">ROUND(表1_11[[#This Row],[税前应发总额]]*12%,2)</f>
        <v>449.28</v>
      </c>
      <c r="Y338" s="61">
        <f ca="1">ROUND(表1_11[[#This Row],[税前应发总额]]-SUM(表1_11[[#This Row],[养老保险]:[公积金]]),2)</f>
        <v>2909.83</v>
      </c>
      <c r="Z338" s="62">
        <f ca="1">ROUND(MAX((表1_11[[#This Row],[扣保险后工资金额]]-3500)*{3,10,20,25,30,35,45}%-{0,105,555,1005,2755,5505,13505},0),2)</f>
        <v>0</v>
      </c>
      <c r="AA338" s="63">
        <f ca="1">表1_11[[#This Row],[扣保险后工资金额]]-表1_11[[#This Row],[个人所得税]]</f>
        <v>2909.83</v>
      </c>
      <c r="AB338" s="53">
        <v>2830.67</v>
      </c>
      <c r="AC338" s="64">
        <f ca="1">(表1_11[[#This Row],[实发工资]]-表1_11[[#This Row],[上月对比]])/表1_11[[#This Row],[上月对比]]</f>
        <v>2.7965110733501202E-2</v>
      </c>
      <c r="AD338" s="65" t="s">
        <v>1587</v>
      </c>
    </row>
    <row r="339" spans="1:30">
      <c r="A339" s="42" t="s">
        <v>577</v>
      </c>
      <c r="B339" s="42" t="s">
        <v>725</v>
      </c>
      <c r="C339" s="40" t="s">
        <v>763</v>
      </c>
      <c r="D339" s="40" t="s">
        <v>764</v>
      </c>
      <c r="E339" s="41" t="s">
        <v>1349</v>
      </c>
      <c r="F339" s="5" t="s">
        <v>335</v>
      </c>
      <c r="G339" s="25">
        <v>38334</v>
      </c>
      <c r="H339" s="5" t="s">
        <v>618</v>
      </c>
      <c r="I339" s="5">
        <f>VLOOKUP(MID(表1_11[[#This Row],[工资等级]],1,1),表12[],MATCH(MID(表1_11[[#This Row],[工资等级]],2,2),表12[[#Headers],[1]:[10]],0)+1,0)</f>
        <v>3000</v>
      </c>
      <c r="J339" s="5">
        <v>24</v>
      </c>
      <c r="K339" s="27">
        <v>1</v>
      </c>
      <c r="L339" s="37">
        <f>IF(表1_11[[#This Row],[出勤率]]&gt;1,1,表1_11[[#This Row],[出勤率]])*表1_11[[#This Row],[岗位工资]]</f>
        <v>3000</v>
      </c>
      <c r="M339" s="5">
        <f>LOOKUP(表1_11[[#This Row],[岗位工资]],表13[lookup],表13[奖金比率])*表1_11[[#This Row],[岗位工资]]</f>
        <v>300</v>
      </c>
      <c r="N339" s="5">
        <v>95</v>
      </c>
      <c r="O339" s="38">
        <f>表1_11[[#This Row],[奖金等级]]*表1_11[[#This Row],[绩效得分]]/100</f>
        <v>285</v>
      </c>
      <c r="P339" s="5">
        <f>IF(表1_11[[#This Row],[出勤率]]&gt;=1,200,0)</f>
        <v>200</v>
      </c>
      <c r="Q339" s="23">
        <f t="shared" ca="1" si="5"/>
        <v>500</v>
      </c>
      <c r="R339" s="23">
        <f>IF(表1_11[[#This Row],[中心]]="营销中心",VLOOKUP(表1_11[[#This Row],[职位]],表2[[话费补贴]:[营销中心]],2,0),VLOOKUP(表1_11[[#This Row],[职位]],表2[],3,0))</f>
        <v>0</v>
      </c>
      <c r="S339" s="23">
        <v>200</v>
      </c>
      <c r="T339" s="61">
        <f ca="1">ROUND(SUM(表1_11[[#This Row],[基本工资]],表1_11[[#This Row],[奖金]],表1_11[[#This Row],[全勤奖]:[防暑降温补贴]]),2)</f>
        <v>4185</v>
      </c>
      <c r="U339" s="62">
        <f ca="1">ROUND(表1_11[[#This Row],[税前应发总额]]*8%,2)</f>
        <v>334.8</v>
      </c>
      <c r="V339" s="62">
        <f ca="1">ROUND(表1_11[[#This Row],[税前应发总额]]*2%+3,2)</f>
        <v>86.7</v>
      </c>
      <c r="W339" s="62">
        <f ca="1">ROUND(表1_11[[#This Row],[税前应发总额]]*0.2%,2)</f>
        <v>8.3699999999999992</v>
      </c>
      <c r="X339" s="62">
        <f ca="1">ROUND(表1_11[[#This Row],[税前应发总额]]*12%,2)</f>
        <v>502.2</v>
      </c>
      <c r="Y339" s="61">
        <f ca="1">ROUND(表1_11[[#This Row],[税前应发总额]]-SUM(表1_11[[#This Row],[养老保险]:[公积金]]),2)</f>
        <v>3252.93</v>
      </c>
      <c r="Z339" s="62">
        <f ca="1">ROUND(MAX((表1_11[[#This Row],[扣保险后工资金额]]-3500)*{3,10,20,25,30,35,45}%-{0,105,555,1005,2755,5505,13505},0),2)</f>
        <v>0</v>
      </c>
      <c r="AA339" s="63">
        <f ca="1">表1_11[[#This Row],[扣保险后工资金额]]-表1_11[[#This Row],[个人所得税]]</f>
        <v>3252.93</v>
      </c>
      <c r="AB339" s="53">
        <v>3859.87</v>
      </c>
      <c r="AC339" s="64">
        <f ca="1">(表1_11[[#This Row],[实发工资]]-表1_11[[#This Row],[上月对比]])/表1_11[[#This Row],[上月对比]]</f>
        <v>-0.15724363773909486</v>
      </c>
      <c r="AD339" s="65" t="s">
        <v>1587</v>
      </c>
    </row>
    <row r="340" spans="1:30">
      <c r="A340" s="42" t="s">
        <v>577</v>
      </c>
      <c r="B340" s="42" t="s">
        <v>765</v>
      </c>
      <c r="C340" s="40" t="s">
        <v>766</v>
      </c>
      <c r="D340" s="40" t="s">
        <v>767</v>
      </c>
      <c r="E340" s="41" t="s">
        <v>1350</v>
      </c>
      <c r="F340" s="5" t="s">
        <v>336</v>
      </c>
      <c r="G340" s="25">
        <v>40755</v>
      </c>
      <c r="H340" s="5" t="s">
        <v>768</v>
      </c>
      <c r="I340" s="5">
        <f>VLOOKUP(MID(表1_11[[#This Row],[工资等级]],1,1),表12[],MATCH(MID(表1_11[[#This Row],[工资等级]],2,2),表12[[#Headers],[1]:[10]],0)+1,0)</f>
        <v>8500</v>
      </c>
      <c r="J340" s="5">
        <v>27</v>
      </c>
      <c r="K340" s="27">
        <v>1.125</v>
      </c>
      <c r="L340" s="37">
        <f>IF(表1_11[[#This Row],[出勤率]]&gt;1,1,表1_11[[#This Row],[出勤率]])*表1_11[[#This Row],[岗位工资]]</f>
        <v>8500</v>
      </c>
      <c r="M340" s="5">
        <f>LOOKUP(表1_11[[#This Row],[岗位工资]],表13[lookup],表13[奖金比率])*表1_11[[#This Row],[岗位工资]]</f>
        <v>1700</v>
      </c>
      <c r="N340" s="5">
        <v>89</v>
      </c>
      <c r="O340" s="38">
        <f>表1_11[[#This Row],[奖金等级]]*表1_11[[#This Row],[绩效得分]]/100</f>
        <v>1513</v>
      </c>
      <c r="P340" s="5">
        <f>IF(表1_11[[#This Row],[出勤率]]&gt;=1,200,0)</f>
        <v>200</v>
      </c>
      <c r="Q340" s="23">
        <f t="shared" ca="1" si="5"/>
        <v>300</v>
      </c>
      <c r="R340" s="23">
        <f>IF(表1_11[[#This Row],[中心]]="营销中心",VLOOKUP(表1_11[[#This Row],[职位]],表2[[话费补贴]:[营销中心]],2,0),VLOOKUP(表1_11[[#This Row],[职位]],表2[],3,0))</f>
        <v>800</v>
      </c>
      <c r="S340" s="23">
        <v>200</v>
      </c>
      <c r="T340" s="61">
        <f ca="1">ROUND(SUM(表1_11[[#This Row],[基本工资]],表1_11[[#This Row],[奖金]],表1_11[[#This Row],[全勤奖]:[防暑降温补贴]]),2)</f>
        <v>11513</v>
      </c>
      <c r="U340" s="62">
        <f ca="1">ROUND(表1_11[[#This Row],[税前应发总额]]*8%,2)</f>
        <v>921.04</v>
      </c>
      <c r="V340" s="62">
        <f ca="1">ROUND(表1_11[[#This Row],[税前应发总额]]*2%+3,2)</f>
        <v>233.26</v>
      </c>
      <c r="W340" s="62">
        <f ca="1">ROUND(表1_11[[#This Row],[税前应发总额]]*0.2%,2)</f>
        <v>23.03</v>
      </c>
      <c r="X340" s="62">
        <f ca="1">ROUND(表1_11[[#This Row],[税前应发总额]]*12%,2)</f>
        <v>1381.56</v>
      </c>
      <c r="Y340" s="61">
        <f ca="1">ROUND(表1_11[[#This Row],[税前应发总额]]-SUM(表1_11[[#This Row],[养老保险]:[公积金]]),2)</f>
        <v>8954.11</v>
      </c>
      <c r="Z340" s="62">
        <f ca="1">ROUND(MAX((表1_11[[#This Row],[扣保险后工资金额]]-3500)*{3,10,20,25,30,35,45}%-{0,105,555,1005,2755,5505,13505},0),2)</f>
        <v>535.82000000000005</v>
      </c>
      <c r="AA340" s="63">
        <f ca="1">表1_11[[#This Row],[扣保险后工资金额]]-表1_11[[#This Row],[个人所得税]]</f>
        <v>8418.2900000000009</v>
      </c>
      <c r="AB340" s="53">
        <v>8481.73</v>
      </c>
      <c r="AC340" s="64">
        <f ca="1">(表1_11[[#This Row],[实发工资]]-表1_11[[#This Row],[上月对比]])/表1_11[[#This Row],[上月对比]]</f>
        <v>-7.4796061652515101E-3</v>
      </c>
      <c r="AD340" s="65" t="s">
        <v>1587</v>
      </c>
    </row>
    <row r="341" spans="1:30">
      <c r="A341" s="42" t="s">
        <v>577</v>
      </c>
      <c r="B341" s="42" t="s">
        <v>765</v>
      </c>
      <c r="C341" s="40" t="s">
        <v>769</v>
      </c>
      <c r="D341" s="40" t="s">
        <v>769</v>
      </c>
      <c r="E341" s="41" t="s">
        <v>1351</v>
      </c>
      <c r="F341" s="5" t="s">
        <v>337</v>
      </c>
      <c r="G341" s="25">
        <v>42307</v>
      </c>
      <c r="H341" s="5" t="s">
        <v>600</v>
      </c>
      <c r="I341" s="5">
        <f>VLOOKUP(MID(表1_11[[#This Row],[工资等级]],1,1),表12[],MATCH(MID(表1_11[[#This Row],[工资等级]],2,2),表12[[#Headers],[1]:[10]],0)+1,0)</f>
        <v>7000</v>
      </c>
      <c r="J341" s="5">
        <v>24</v>
      </c>
      <c r="K341" s="27">
        <v>1</v>
      </c>
      <c r="L341" s="37">
        <f>IF(表1_11[[#This Row],[出勤率]]&gt;1,1,表1_11[[#This Row],[出勤率]])*表1_11[[#This Row],[岗位工资]]</f>
        <v>7000</v>
      </c>
      <c r="M341" s="5">
        <f>LOOKUP(表1_11[[#This Row],[岗位工资]],表13[lookup],表13[奖金比率])*表1_11[[#This Row],[岗位工资]]</f>
        <v>1400</v>
      </c>
      <c r="N341" s="5">
        <v>80</v>
      </c>
      <c r="O341" s="38">
        <f>表1_11[[#This Row],[奖金等级]]*表1_11[[#This Row],[绩效得分]]/100</f>
        <v>1120</v>
      </c>
      <c r="P341" s="5">
        <f>IF(表1_11[[#This Row],[出勤率]]&gt;=1,200,0)</f>
        <v>200</v>
      </c>
      <c r="Q341" s="23">
        <f t="shared" ca="1" si="5"/>
        <v>100</v>
      </c>
      <c r="R341" s="23">
        <f>IF(表1_11[[#This Row],[中心]]="营销中心",VLOOKUP(表1_11[[#This Row],[职位]],表2[[话费补贴]:[营销中心]],2,0),VLOOKUP(表1_11[[#This Row],[职位]],表2[],3,0))</f>
        <v>500</v>
      </c>
      <c r="S341" s="23">
        <v>200</v>
      </c>
      <c r="T341" s="61">
        <f ca="1">ROUND(SUM(表1_11[[#This Row],[基本工资]],表1_11[[#This Row],[奖金]],表1_11[[#This Row],[全勤奖]:[防暑降温补贴]]),2)</f>
        <v>9120</v>
      </c>
      <c r="U341" s="62">
        <f ca="1">ROUND(表1_11[[#This Row],[税前应发总额]]*8%,2)</f>
        <v>729.6</v>
      </c>
      <c r="V341" s="62">
        <f ca="1">ROUND(表1_11[[#This Row],[税前应发总额]]*2%+3,2)</f>
        <v>185.4</v>
      </c>
      <c r="W341" s="62">
        <f ca="1">ROUND(表1_11[[#This Row],[税前应发总额]]*0.2%,2)</f>
        <v>18.239999999999998</v>
      </c>
      <c r="X341" s="62">
        <f ca="1">ROUND(表1_11[[#This Row],[税前应发总额]]*12%,2)</f>
        <v>1094.4000000000001</v>
      </c>
      <c r="Y341" s="61">
        <f ca="1">ROUND(表1_11[[#This Row],[税前应发总额]]-SUM(表1_11[[#This Row],[养老保险]:[公积金]]),2)</f>
        <v>7092.36</v>
      </c>
      <c r="Z341" s="62">
        <f ca="1">ROUND(MAX((表1_11[[#This Row],[扣保险后工资金额]]-3500)*{3,10,20,25,30,35,45}%-{0,105,555,1005,2755,5505,13505},0),2)</f>
        <v>254.24</v>
      </c>
      <c r="AA341" s="63">
        <f ca="1">表1_11[[#This Row],[扣保险后工资金额]]-表1_11[[#This Row],[个人所得税]]</f>
        <v>6838.12</v>
      </c>
      <c r="AB341" s="53">
        <v>6940.35</v>
      </c>
      <c r="AC341" s="64">
        <f ca="1">(表1_11[[#This Row],[实发工资]]-表1_11[[#This Row],[上月对比]])/表1_11[[#This Row],[上月对比]]</f>
        <v>-1.472980469284697E-2</v>
      </c>
      <c r="AD341" s="65" t="s">
        <v>1587</v>
      </c>
    </row>
    <row r="342" spans="1:30">
      <c r="A342" s="42" t="s">
        <v>577</v>
      </c>
      <c r="B342" s="42" t="s">
        <v>765</v>
      </c>
      <c r="C342" s="40" t="s">
        <v>668</v>
      </c>
      <c r="D342" s="40" t="s">
        <v>770</v>
      </c>
      <c r="E342" s="41" t="s">
        <v>1352</v>
      </c>
      <c r="F342" s="5" t="s">
        <v>338</v>
      </c>
      <c r="G342" s="25">
        <v>41314</v>
      </c>
      <c r="H342" s="5" t="s">
        <v>672</v>
      </c>
      <c r="I342" s="5">
        <f>VLOOKUP(MID(表1_11[[#This Row],[工资等级]],1,1),表12[],MATCH(MID(表1_11[[#This Row],[工资等级]],2,2),表12[[#Headers],[1]:[10]],0)+1,0)</f>
        <v>3800</v>
      </c>
      <c r="J342" s="5">
        <v>22.5</v>
      </c>
      <c r="K342" s="27">
        <v>0.9375</v>
      </c>
      <c r="L342" s="37">
        <f>IF(表1_11[[#This Row],[出勤率]]&gt;1,1,表1_11[[#This Row],[出勤率]])*表1_11[[#This Row],[岗位工资]]</f>
        <v>3562.5</v>
      </c>
      <c r="M342" s="5">
        <f>LOOKUP(表1_11[[#This Row],[岗位工资]],表13[lookup],表13[奖金比率])*表1_11[[#This Row],[岗位工资]]</f>
        <v>380</v>
      </c>
      <c r="N342" s="5">
        <v>86</v>
      </c>
      <c r="O342" s="38">
        <f>表1_11[[#This Row],[奖金等级]]*表1_11[[#This Row],[绩效得分]]/100</f>
        <v>326.8</v>
      </c>
      <c r="P342" s="5">
        <f>IF(表1_11[[#This Row],[出勤率]]&gt;=1,200,0)</f>
        <v>0</v>
      </c>
      <c r="Q342" s="23">
        <f t="shared" ca="1" si="5"/>
        <v>250</v>
      </c>
      <c r="R342" s="23">
        <f>IF(表1_11[[#This Row],[中心]]="营销中心",VLOOKUP(表1_11[[#This Row],[职位]],表2[[话费补贴]:[营销中心]],2,0),VLOOKUP(表1_11[[#This Row],[职位]],表2[],3,0))</f>
        <v>300</v>
      </c>
      <c r="S342" s="23">
        <v>200</v>
      </c>
      <c r="T342" s="61">
        <f ca="1">ROUND(SUM(表1_11[[#This Row],[基本工资]],表1_11[[#This Row],[奖金]],表1_11[[#This Row],[全勤奖]:[防暑降温补贴]]),2)</f>
        <v>4639.3</v>
      </c>
      <c r="U342" s="62">
        <f ca="1">ROUND(表1_11[[#This Row],[税前应发总额]]*8%,2)</f>
        <v>371.14</v>
      </c>
      <c r="V342" s="62">
        <f ca="1">ROUND(表1_11[[#This Row],[税前应发总额]]*2%+3,2)</f>
        <v>95.79</v>
      </c>
      <c r="W342" s="62">
        <f ca="1">ROUND(表1_11[[#This Row],[税前应发总额]]*0.2%,2)</f>
        <v>9.2799999999999994</v>
      </c>
      <c r="X342" s="62">
        <f ca="1">ROUND(表1_11[[#This Row],[税前应发总额]]*12%,2)</f>
        <v>556.72</v>
      </c>
      <c r="Y342" s="61">
        <f ca="1">ROUND(表1_11[[#This Row],[税前应发总额]]-SUM(表1_11[[#This Row],[养老保险]:[公积金]]),2)</f>
        <v>3606.37</v>
      </c>
      <c r="Z342" s="62">
        <f ca="1">ROUND(MAX((表1_11[[#This Row],[扣保险后工资金额]]-3500)*{3,10,20,25,30,35,45}%-{0,105,555,1005,2755,5505,13505},0),2)</f>
        <v>3.19</v>
      </c>
      <c r="AA342" s="63">
        <f ca="1">表1_11[[#This Row],[扣保险后工资金额]]-表1_11[[#This Row],[个人所得税]]</f>
        <v>3603.18</v>
      </c>
      <c r="AB342" s="53">
        <v>3101.94</v>
      </c>
      <c r="AC342" s="64">
        <f ca="1">(表1_11[[#This Row],[实发工资]]-表1_11[[#This Row],[上月对比]])/表1_11[[#This Row],[上月对比]]</f>
        <v>0.16158919901738905</v>
      </c>
      <c r="AD342" s="65" t="s">
        <v>1587</v>
      </c>
    </row>
    <row r="343" spans="1:30">
      <c r="A343" s="42" t="s">
        <v>577</v>
      </c>
      <c r="B343" s="42" t="s">
        <v>765</v>
      </c>
      <c r="C343" s="40" t="s">
        <v>668</v>
      </c>
      <c r="D343" s="40" t="s">
        <v>770</v>
      </c>
      <c r="E343" s="41" t="s">
        <v>1353</v>
      </c>
      <c r="F343" s="5" t="s">
        <v>339</v>
      </c>
      <c r="G343" s="25">
        <v>38477</v>
      </c>
      <c r="H343" s="5" t="s">
        <v>771</v>
      </c>
      <c r="I343" s="5">
        <f>VLOOKUP(MID(表1_11[[#This Row],[工资等级]],1,1),表12[],MATCH(MID(表1_11[[#This Row],[工资等级]],2,2),表12[[#Headers],[1]:[10]],0)+1,0)</f>
        <v>3700</v>
      </c>
      <c r="J343" s="5">
        <v>27</v>
      </c>
      <c r="K343" s="27">
        <v>1.125</v>
      </c>
      <c r="L343" s="37">
        <f>IF(表1_11[[#This Row],[出勤率]]&gt;1,1,表1_11[[#This Row],[出勤率]])*表1_11[[#This Row],[岗位工资]]</f>
        <v>3700</v>
      </c>
      <c r="M343" s="5">
        <f>LOOKUP(表1_11[[#This Row],[岗位工资]],表13[lookup],表13[奖金比率])*表1_11[[#This Row],[岗位工资]]</f>
        <v>370</v>
      </c>
      <c r="N343" s="5">
        <v>84</v>
      </c>
      <c r="O343" s="38">
        <f>表1_11[[#This Row],[奖金等级]]*表1_11[[#This Row],[绩效得分]]/100</f>
        <v>310.8</v>
      </c>
      <c r="P343" s="5">
        <f>IF(表1_11[[#This Row],[出勤率]]&gt;=1,200,0)</f>
        <v>200</v>
      </c>
      <c r="Q343" s="23">
        <f t="shared" ca="1" si="5"/>
        <v>500</v>
      </c>
      <c r="R343" s="23">
        <f>IF(表1_11[[#This Row],[中心]]="营销中心",VLOOKUP(表1_11[[#This Row],[职位]],表2[[话费补贴]:[营销中心]],2,0),VLOOKUP(表1_11[[#This Row],[职位]],表2[],3,0))</f>
        <v>300</v>
      </c>
      <c r="S343" s="23">
        <v>200</v>
      </c>
      <c r="T343" s="61">
        <f ca="1">ROUND(SUM(表1_11[[#This Row],[基本工资]],表1_11[[#This Row],[奖金]],表1_11[[#This Row],[全勤奖]:[防暑降温补贴]]),2)</f>
        <v>5210.8</v>
      </c>
      <c r="U343" s="62">
        <f ca="1">ROUND(表1_11[[#This Row],[税前应发总额]]*8%,2)</f>
        <v>416.86</v>
      </c>
      <c r="V343" s="62">
        <f ca="1">ROUND(表1_11[[#This Row],[税前应发总额]]*2%+3,2)</f>
        <v>107.22</v>
      </c>
      <c r="W343" s="62">
        <f ca="1">ROUND(表1_11[[#This Row],[税前应发总额]]*0.2%,2)</f>
        <v>10.42</v>
      </c>
      <c r="X343" s="62">
        <f ca="1">ROUND(表1_11[[#This Row],[税前应发总额]]*12%,2)</f>
        <v>625.29999999999995</v>
      </c>
      <c r="Y343" s="61">
        <f ca="1">ROUND(表1_11[[#This Row],[税前应发总额]]-SUM(表1_11[[#This Row],[养老保险]:[公积金]]),2)</f>
        <v>4051</v>
      </c>
      <c r="Z343" s="62">
        <f ca="1">ROUND(MAX((表1_11[[#This Row],[扣保险后工资金额]]-3500)*{3,10,20,25,30,35,45}%-{0,105,555,1005,2755,5505,13505},0),2)</f>
        <v>16.53</v>
      </c>
      <c r="AA343" s="63">
        <f ca="1">表1_11[[#This Row],[扣保险后工资金额]]-表1_11[[#This Row],[个人所得税]]</f>
        <v>4034.47</v>
      </c>
      <c r="AB343" s="53">
        <v>3721.99</v>
      </c>
      <c r="AC343" s="64">
        <f ca="1">(表1_11[[#This Row],[实发工资]]-表1_11[[#This Row],[上月对比]])/表1_11[[#This Row],[上月对比]]</f>
        <v>8.3955088541344827E-2</v>
      </c>
      <c r="AD343" s="65" t="s">
        <v>1587</v>
      </c>
    </row>
    <row r="344" spans="1:30">
      <c r="A344" s="42" t="s">
        <v>577</v>
      </c>
      <c r="B344" s="42" t="s">
        <v>772</v>
      </c>
      <c r="C344" s="40" t="s">
        <v>711</v>
      </c>
      <c r="D344" s="40" t="s">
        <v>712</v>
      </c>
      <c r="E344" s="41" t="s">
        <v>1354</v>
      </c>
      <c r="F344" s="5" t="s">
        <v>340</v>
      </c>
      <c r="G344" s="25">
        <v>41992</v>
      </c>
      <c r="H344" s="5" t="s">
        <v>615</v>
      </c>
      <c r="I344" s="5">
        <f>VLOOKUP(MID(表1_11[[#This Row],[工资等级]],1,1),表12[],MATCH(MID(表1_11[[#This Row],[工资等级]],2,2),表12[[#Headers],[1]:[10]],0)+1,0)</f>
        <v>3200</v>
      </c>
      <c r="J344" s="5">
        <v>24</v>
      </c>
      <c r="K344" s="27">
        <v>1</v>
      </c>
      <c r="L344" s="37">
        <f>IF(表1_11[[#This Row],[出勤率]]&gt;1,1,表1_11[[#This Row],[出勤率]])*表1_11[[#This Row],[岗位工资]]</f>
        <v>3200</v>
      </c>
      <c r="M344" s="5">
        <f>LOOKUP(表1_11[[#This Row],[岗位工资]],表13[lookup],表13[奖金比率])*表1_11[[#This Row],[岗位工资]]</f>
        <v>320</v>
      </c>
      <c r="N344" s="5">
        <v>90</v>
      </c>
      <c r="O344" s="38">
        <f>表1_11[[#This Row],[奖金等级]]*表1_11[[#This Row],[绩效得分]]/100</f>
        <v>288</v>
      </c>
      <c r="P344" s="5">
        <f>IF(表1_11[[#This Row],[出勤率]]&gt;=1,200,0)</f>
        <v>200</v>
      </c>
      <c r="Q344" s="23">
        <f t="shared" ca="1" si="5"/>
        <v>150</v>
      </c>
      <c r="R344" s="23">
        <f>IF(表1_11[[#This Row],[中心]]="营销中心",VLOOKUP(表1_11[[#This Row],[职位]],表2[[话费补贴]:[营销中心]],2,0),VLOOKUP(表1_11[[#This Row],[职位]],表2[],3,0))</f>
        <v>0</v>
      </c>
      <c r="S344" s="23">
        <v>200</v>
      </c>
      <c r="T344" s="61">
        <f ca="1">ROUND(SUM(表1_11[[#This Row],[基本工资]],表1_11[[#This Row],[奖金]],表1_11[[#This Row],[全勤奖]:[防暑降温补贴]]),2)</f>
        <v>4038</v>
      </c>
      <c r="U344" s="62">
        <f ca="1">ROUND(表1_11[[#This Row],[税前应发总额]]*8%,2)</f>
        <v>323.04000000000002</v>
      </c>
      <c r="V344" s="62">
        <f ca="1">ROUND(表1_11[[#This Row],[税前应发总额]]*2%+3,2)</f>
        <v>83.76</v>
      </c>
      <c r="W344" s="62">
        <f ca="1">ROUND(表1_11[[#This Row],[税前应发总额]]*0.2%,2)</f>
        <v>8.08</v>
      </c>
      <c r="X344" s="62">
        <f ca="1">ROUND(表1_11[[#This Row],[税前应发总额]]*12%,2)</f>
        <v>484.56</v>
      </c>
      <c r="Y344" s="61">
        <f ca="1">ROUND(表1_11[[#This Row],[税前应发总额]]-SUM(表1_11[[#This Row],[养老保险]:[公积金]]),2)</f>
        <v>3138.56</v>
      </c>
      <c r="Z344" s="62">
        <f ca="1">ROUND(MAX((表1_11[[#This Row],[扣保险后工资金额]]-3500)*{3,10,20,25,30,35,45}%-{0,105,555,1005,2755,5505,13505},0),2)</f>
        <v>0</v>
      </c>
      <c r="AA344" s="63">
        <f ca="1">表1_11[[#This Row],[扣保险后工资金额]]-表1_11[[#This Row],[个人所得税]]</f>
        <v>3138.56</v>
      </c>
      <c r="AB344" s="53">
        <v>3035.23</v>
      </c>
      <c r="AC344" s="64">
        <f ca="1">(表1_11[[#This Row],[实发工资]]-表1_11[[#This Row],[上月对比]])/表1_11[[#This Row],[上月对比]]</f>
        <v>3.4043548594340438E-2</v>
      </c>
      <c r="AD344" s="65" t="s">
        <v>1587</v>
      </c>
    </row>
    <row r="345" spans="1:30">
      <c r="A345" s="42" t="s">
        <v>577</v>
      </c>
      <c r="B345" s="42" t="s">
        <v>773</v>
      </c>
      <c r="C345" s="40" t="s">
        <v>713</v>
      </c>
      <c r="D345" s="40" t="s">
        <v>714</v>
      </c>
      <c r="E345" s="41" t="s">
        <v>1355</v>
      </c>
      <c r="F345" s="5" t="s">
        <v>341</v>
      </c>
      <c r="G345" s="25">
        <v>40306</v>
      </c>
      <c r="H345" s="5" t="s">
        <v>617</v>
      </c>
      <c r="I345" s="5">
        <f>VLOOKUP(MID(表1_11[[#This Row],[工资等级]],1,1),表12[],MATCH(MID(表1_11[[#This Row],[工资等级]],2,2),表12[[#Headers],[1]:[10]],0)+1,0)</f>
        <v>2500</v>
      </c>
      <c r="J345" s="5">
        <v>25.5</v>
      </c>
      <c r="K345" s="27">
        <v>1.0625</v>
      </c>
      <c r="L345" s="37">
        <f>IF(表1_11[[#This Row],[出勤率]]&gt;1,1,表1_11[[#This Row],[出勤率]])*表1_11[[#This Row],[岗位工资]]</f>
        <v>2500</v>
      </c>
      <c r="M345" s="5">
        <f>LOOKUP(表1_11[[#This Row],[岗位工资]],表13[lookup],表13[奖金比率])*表1_11[[#This Row],[岗位工资]]</f>
        <v>250</v>
      </c>
      <c r="N345" s="5">
        <v>84</v>
      </c>
      <c r="O345" s="38">
        <f>表1_11[[#This Row],[奖金等级]]*表1_11[[#This Row],[绩效得分]]/100</f>
        <v>210</v>
      </c>
      <c r="P345" s="5">
        <f>IF(表1_11[[#This Row],[出勤率]]&gt;=1,200,0)</f>
        <v>200</v>
      </c>
      <c r="Q345" s="23">
        <f t="shared" ca="1" si="5"/>
        <v>350</v>
      </c>
      <c r="R345" s="23">
        <f>IF(表1_11[[#This Row],[中心]]="营销中心",VLOOKUP(表1_11[[#This Row],[职位]],表2[[话费补贴]:[营销中心]],2,0),VLOOKUP(表1_11[[#This Row],[职位]],表2[],3,0))</f>
        <v>0</v>
      </c>
      <c r="S345" s="23">
        <v>200</v>
      </c>
      <c r="T345" s="61">
        <f ca="1">ROUND(SUM(表1_11[[#This Row],[基本工资]],表1_11[[#This Row],[奖金]],表1_11[[#This Row],[全勤奖]:[防暑降温补贴]]),2)</f>
        <v>3460</v>
      </c>
      <c r="U345" s="62">
        <f ca="1">ROUND(表1_11[[#This Row],[税前应发总额]]*8%,2)</f>
        <v>276.8</v>
      </c>
      <c r="V345" s="62">
        <f ca="1">ROUND(表1_11[[#This Row],[税前应发总额]]*2%+3,2)</f>
        <v>72.2</v>
      </c>
      <c r="W345" s="62">
        <f ca="1">ROUND(表1_11[[#This Row],[税前应发总额]]*0.2%,2)</f>
        <v>6.92</v>
      </c>
      <c r="X345" s="62">
        <f ca="1">ROUND(表1_11[[#This Row],[税前应发总额]]*12%,2)</f>
        <v>415.2</v>
      </c>
      <c r="Y345" s="61">
        <f ca="1">ROUND(表1_11[[#This Row],[税前应发总额]]-SUM(表1_11[[#This Row],[养老保险]:[公积金]]),2)</f>
        <v>2688.88</v>
      </c>
      <c r="Z345" s="62">
        <f ca="1">ROUND(MAX((表1_11[[#This Row],[扣保险后工资金额]]-3500)*{3,10,20,25,30,35,45}%-{0,105,555,1005,2755,5505,13505},0),2)</f>
        <v>0</v>
      </c>
      <c r="AA345" s="63">
        <f ca="1">表1_11[[#This Row],[扣保险后工资金额]]-表1_11[[#This Row],[个人所得税]]</f>
        <v>2688.88</v>
      </c>
      <c r="AB345" s="53">
        <v>2310.5500000000002</v>
      </c>
      <c r="AC345" s="64">
        <f ca="1">(表1_11[[#This Row],[实发工资]]-表1_11[[#This Row],[上月对比]])/表1_11[[#This Row],[上月对比]]</f>
        <v>0.16374023500898049</v>
      </c>
      <c r="AD345" s="65" t="s">
        <v>1587</v>
      </c>
    </row>
    <row r="346" spans="1:30">
      <c r="A346" s="42" t="s">
        <v>577</v>
      </c>
      <c r="B346" s="42" t="s">
        <v>774</v>
      </c>
      <c r="C346" s="40" t="s">
        <v>599</v>
      </c>
      <c r="D346" s="40" t="s">
        <v>626</v>
      </c>
      <c r="E346" s="41" t="s">
        <v>1356</v>
      </c>
      <c r="F346" s="5" t="s">
        <v>342</v>
      </c>
      <c r="G346" s="25">
        <v>41697</v>
      </c>
      <c r="H346" s="5" t="s">
        <v>624</v>
      </c>
      <c r="I346" s="5">
        <f>VLOOKUP(MID(表1_11[[#This Row],[工资等级]],1,1),表12[],MATCH(MID(表1_11[[#This Row],[工资等级]],2,2),表12[[#Headers],[1]:[10]],0)+1,0)</f>
        <v>2800</v>
      </c>
      <c r="J346" s="5">
        <v>21</v>
      </c>
      <c r="K346" s="27">
        <v>0.875</v>
      </c>
      <c r="L346" s="37">
        <f>IF(表1_11[[#This Row],[出勤率]]&gt;1,1,表1_11[[#This Row],[出勤率]])*表1_11[[#This Row],[岗位工资]]</f>
        <v>2450</v>
      </c>
      <c r="M346" s="5">
        <f>LOOKUP(表1_11[[#This Row],[岗位工资]],表13[lookup],表13[奖金比率])*表1_11[[#This Row],[岗位工资]]</f>
        <v>280</v>
      </c>
      <c r="N346" s="5">
        <v>99</v>
      </c>
      <c r="O346" s="38">
        <f>表1_11[[#This Row],[奖金等级]]*表1_11[[#This Row],[绩效得分]]/100</f>
        <v>277.2</v>
      </c>
      <c r="P346" s="5">
        <f>IF(表1_11[[#This Row],[出勤率]]&gt;=1,200,0)</f>
        <v>0</v>
      </c>
      <c r="Q346" s="23">
        <f t="shared" ca="1" si="5"/>
        <v>200</v>
      </c>
      <c r="R346" s="23">
        <f>IF(表1_11[[#This Row],[中心]]="营销中心",VLOOKUP(表1_11[[#This Row],[职位]],表2[[话费补贴]:[营销中心]],2,0),VLOOKUP(表1_11[[#This Row],[职位]],表2[],3,0))</f>
        <v>0</v>
      </c>
      <c r="S346" s="23">
        <v>200</v>
      </c>
      <c r="T346" s="61">
        <f ca="1">ROUND(SUM(表1_11[[#This Row],[基本工资]],表1_11[[#This Row],[奖金]],表1_11[[#This Row],[全勤奖]:[防暑降温补贴]]),2)</f>
        <v>3127.2</v>
      </c>
      <c r="U346" s="62">
        <f ca="1">ROUND(表1_11[[#This Row],[税前应发总额]]*8%,2)</f>
        <v>250.18</v>
      </c>
      <c r="V346" s="62">
        <f ca="1">ROUND(表1_11[[#This Row],[税前应发总额]]*2%+3,2)</f>
        <v>65.540000000000006</v>
      </c>
      <c r="W346" s="62">
        <f ca="1">ROUND(表1_11[[#This Row],[税前应发总额]]*0.2%,2)</f>
        <v>6.25</v>
      </c>
      <c r="X346" s="62">
        <f ca="1">ROUND(表1_11[[#This Row],[税前应发总额]]*12%,2)</f>
        <v>375.26</v>
      </c>
      <c r="Y346" s="61">
        <f ca="1">ROUND(表1_11[[#This Row],[税前应发总额]]-SUM(表1_11[[#This Row],[养老保险]:[公积金]]),2)</f>
        <v>2429.9699999999998</v>
      </c>
      <c r="Z346" s="62">
        <f ca="1">ROUND(MAX((表1_11[[#This Row],[扣保险后工资金额]]-3500)*{3,10,20,25,30,35,45}%-{0,105,555,1005,2755,5505,13505},0),2)</f>
        <v>0</v>
      </c>
      <c r="AA346" s="63">
        <f ca="1">表1_11[[#This Row],[扣保险后工资金额]]-表1_11[[#This Row],[个人所得税]]</f>
        <v>2429.9699999999998</v>
      </c>
      <c r="AB346" s="53">
        <v>2297.5100000000002</v>
      </c>
      <c r="AC346" s="64">
        <f ca="1">(表1_11[[#This Row],[实发工资]]-表1_11[[#This Row],[上月对比]])/表1_11[[#This Row],[上月对比]]</f>
        <v>5.7653720767265243E-2</v>
      </c>
      <c r="AD346" s="65" t="s">
        <v>1587</v>
      </c>
    </row>
    <row r="347" spans="1:30">
      <c r="A347" s="42" t="s">
        <v>577</v>
      </c>
      <c r="B347" s="42" t="s">
        <v>775</v>
      </c>
      <c r="C347" s="40" t="s">
        <v>715</v>
      </c>
      <c r="D347" s="40" t="s">
        <v>716</v>
      </c>
      <c r="E347" s="41" t="s">
        <v>1357</v>
      </c>
      <c r="F347" s="5" t="s">
        <v>343</v>
      </c>
      <c r="G347" s="25">
        <v>40752</v>
      </c>
      <c r="H347" s="5" t="s">
        <v>622</v>
      </c>
      <c r="I347" s="5">
        <f>VLOOKUP(MID(表1_11[[#This Row],[工资等级]],1,1),表12[],MATCH(MID(表1_11[[#This Row],[工资等级]],2,2),表12[[#Headers],[1]:[10]],0)+1,0)</f>
        <v>3600</v>
      </c>
      <c r="J347" s="5">
        <v>24</v>
      </c>
      <c r="K347" s="27">
        <v>1</v>
      </c>
      <c r="L347" s="37">
        <f>IF(表1_11[[#This Row],[出勤率]]&gt;1,1,表1_11[[#This Row],[出勤率]])*表1_11[[#This Row],[岗位工资]]</f>
        <v>3600</v>
      </c>
      <c r="M347" s="5">
        <f>LOOKUP(表1_11[[#This Row],[岗位工资]],表13[lookup],表13[奖金比率])*表1_11[[#This Row],[岗位工资]]</f>
        <v>360</v>
      </c>
      <c r="N347" s="5">
        <v>79</v>
      </c>
      <c r="O347" s="38">
        <f>表1_11[[#This Row],[奖金等级]]*表1_11[[#This Row],[绩效得分]]/100</f>
        <v>284.39999999999998</v>
      </c>
      <c r="P347" s="5">
        <f>IF(表1_11[[#This Row],[出勤率]]&gt;=1,200,0)</f>
        <v>200</v>
      </c>
      <c r="Q347" s="23">
        <f t="shared" ca="1" si="5"/>
        <v>300</v>
      </c>
      <c r="R347" s="23">
        <f>IF(表1_11[[#This Row],[中心]]="营销中心",VLOOKUP(表1_11[[#This Row],[职位]],表2[[话费补贴]:[营销中心]],2,0),VLOOKUP(表1_11[[#This Row],[职位]],表2[],3,0))</f>
        <v>0</v>
      </c>
      <c r="S347" s="23">
        <v>200</v>
      </c>
      <c r="T347" s="61">
        <f ca="1">ROUND(SUM(表1_11[[#This Row],[基本工资]],表1_11[[#This Row],[奖金]],表1_11[[#This Row],[全勤奖]:[防暑降温补贴]]),2)</f>
        <v>4584.3999999999996</v>
      </c>
      <c r="U347" s="62">
        <f ca="1">ROUND(表1_11[[#This Row],[税前应发总额]]*8%,2)</f>
        <v>366.75</v>
      </c>
      <c r="V347" s="62">
        <f ca="1">ROUND(表1_11[[#This Row],[税前应发总额]]*2%+3,2)</f>
        <v>94.69</v>
      </c>
      <c r="W347" s="62">
        <f ca="1">ROUND(表1_11[[#This Row],[税前应发总额]]*0.2%,2)</f>
        <v>9.17</v>
      </c>
      <c r="X347" s="62">
        <f ca="1">ROUND(表1_11[[#This Row],[税前应发总额]]*12%,2)</f>
        <v>550.13</v>
      </c>
      <c r="Y347" s="61">
        <f ca="1">ROUND(表1_11[[#This Row],[税前应发总额]]-SUM(表1_11[[#This Row],[养老保险]:[公积金]]),2)</f>
        <v>3563.66</v>
      </c>
      <c r="Z347" s="62">
        <f ca="1">ROUND(MAX((表1_11[[#This Row],[扣保险后工资金额]]-3500)*{3,10,20,25,30,35,45}%-{0,105,555,1005,2755,5505,13505},0),2)</f>
        <v>1.91</v>
      </c>
      <c r="AA347" s="63">
        <f ca="1">表1_11[[#This Row],[扣保险后工资金额]]-表1_11[[#This Row],[个人所得税]]</f>
        <v>3561.75</v>
      </c>
      <c r="AB347" s="53">
        <v>3098.98</v>
      </c>
      <c r="AC347" s="64">
        <f ca="1">(表1_11[[#This Row],[实发工资]]-表1_11[[#This Row],[上月对比]])/表1_11[[#This Row],[上月对比]]</f>
        <v>0.14932977947582751</v>
      </c>
      <c r="AD347" s="65" t="s">
        <v>1587</v>
      </c>
    </row>
    <row r="348" spans="1:30">
      <c r="A348" s="42" t="s">
        <v>577</v>
      </c>
      <c r="B348" s="42" t="s">
        <v>776</v>
      </c>
      <c r="C348" s="40" t="s">
        <v>655</v>
      </c>
      <c r="D348" s="40" t="s">
        <v>656</v>
      </c>
      <c r="E348" s="41" t="s">
        <v>1358</v>
      </c>
      <c r="F348" s="5" t="s">
        <v>344</v>
      </c>
      <c r="G348" s="25">
        <v>42776</v>
      </c>
      <c r="H348" s="5" t="s">
        <v>657</v>
      </c>
      <c r="I348" s="5">
        <f>VLOOKUP(MID(表1_11[[#This Row],[工资等级]],1,1),表12[],MATCH(MID(表1_11[[#This Row],[工资等级]],2,2),表12[[#Headers],[1]:[10]],0)+1,0)</f>
        <v>4000</v>
      </c>
      <c r="J348" s="5">
        <v>22.5</v>
      </c>
      <c r="K348" s="27">
        <v>0.9375</v>
      </c>
      <c r="L348" s="37">
        <f>IF(表1_11[[#This Row],[出勤率]]&gt;1,1,表1_11[[#This Row],[出勤率]])*表1_11[[#This Row],[岗位工资]]</f>
        <v>3750</v>
      </c>
      <c r="M348" s="5">
        <f>LOOKUP(表1_11[[#This Row],[岗位工资]],表13[lookup],表13[奖金比率])*表1_11[[#This Row],[岗位工资]]</f>
        <v>600</v>
      </c>
      <c r="N348" s="5">
        <v>86</v>
      </c>
      <c r="O348" s="38">
        <f>表1_11[[#This Row],[奖金等级]]*表1_11[[#This Row],[绩效得分]]/100</f>
        <v>516</v>
      </c>
      <c r="P348" s="5">
        <f>IF(表1_11[[#This Row],[出勤率]]&gt;=1,200,0)</f>
        <v>0</v>
      </c>
      <c r="Q348" s="23">
        <f t="shared" ca="1" si="5"/>
        <v>50</v>
      </c>
      <c r="R348" s="23">
        <f>IF(表1_11[[#This Row],[中心]]="营销中心",VLOOKUP(表1_11[[#This Row],[职位]],表2[[话费补贴]:[营销中心]],2,0),VLOOKUP(表1_11[[#This Row],[职位]],表2[],3,0))</f>
        <v>0</v>
      </c>
      <c r="S348" s="23">
        <v>200</v>
      </c>
      <c r="T348" s="61">
        <f ca="1">ROUND(SUM(表1_11[[#This Row],[基本工资]],表1_11[[#This Row],[奖金]],表1_11[[#This Row],[全勤奖]:[防暑降温补贴]]),2)</f>
        <v>4516</v>
      </c>
      <c r="U348" s="62">
        <f ca="1">ROUND(表1_11[[#This Row],[税前应发总额]]*8%,2)</f>
        <v>361.28</v>
      </c>
      <c r="V348" s="62">
        <f ca="1">ROUND(表1_11[[#This Row],[税前应发总额]]*2%+3,2)</f>
        <v>93.32</v>
      </c>
      <c r="W348" s="62">
        <f ca="1">ROUND(表1_11[[#This Row],[税前应发总额]]*0.2%,2)</f>
        <v>9.0299999999999994</v>
      </c>
      <c r="X348" s="62">
        <f ca="1">ROUND(表1_11[[#This Row],[税前应发总额]]*12%,2)</f>
        <v>541.91999999999996</v>
      </c>
      <c r="Y348" s="61">
        <f ca="1">ROUND(表1_11[[#This Row],[税前应发总额]]-SUM(表1_11[[#This Row],[养老保险]:[公积金]]),2)</f>
        <v>3510.45</v>
      </c>
      <c r="Z348" s="62">
        <f ca="1">ROUND(MAX((表1_11[[#This Row],[扣保险后工资金额]]-3500)*{3,10,20,25,30,35,45}%-{0,105,555,1005,2755,5505,13505},0),2)</f>
        <v>0.31</v>
      </c>
      <c r="AA348" s="63">
        <f ca="1">表1_11[[#This Row],[扣保险后工资金额]]-表1_11[[#This Row],[个人所得税]]</f>
        <v>3510.14</v>
      </c>
      <c r="AB348" s="53">
        <v>3939.8</v>
      </c>
      <c r="AC348" s="64">
        <f ca="1">(表1_11[[#This Row],[实发工资]]-表1_11[[#This Row],[上月对比]])/表1_11[[#This Row],[上月对比]]</f>
        <v>-0.10905629727397337</v>
      </c>
      <c r="AD348" s="65" t="s">
        <v>1587</v>
      </c>
    </row>
    <row r="349" spans="1:30">
      <c r="A349" s="42" t="s">
        <v>577</v>
      </c>
      <c r="B349" s="42" t="s">
        <v>777</v>
      </c>
      <c r="C349" s="40" t="s">
        <v>778</v>
      </c>
      <c r="D349" s="40" t="s">
        <v>779</v>
      </c>
      <c r="E349" s="41" t="s">
        <v>1359</v>
      </c>
      <c r="F349" s="5" t="s">
        <v>345</v>
      </c>
      <c r="G349" s="25">
        <v>39249</v>
      </c>
      <c r="H349" s="5" t="s">
        <v>617</v>
      </c>
      <c r="I349" s="5">
        <f>VLOOKUP(MID(表1_11[[#This Row],[工资等级]],1,1),表12[],MATCH(MID(表1_11[[#This Row],[工资等级]],2,2),表12[[#Headers],[1]:[10]],0)+1,0)</f>
        <v>2500</v>
      </c>
      <c r="J349" s="5">
        <v>27.5</v>
      </c>
      <c r="K349" s="27">
        <v>1.1458333333333333</v>
      </c>
      <c r="L349" s="37">
        <f>IF(表1_11[[#This Row],[出勤率]]&gt;1,1,表1_11[[#This Row],[出勤率]])*表1_11[[#This Row],[岗位工资]]</f>
        <v>2500</v>
      </c>
      <c r="M349" s="5">
        <f>LOOKUP(表1_11[[#This Row],[岗位工资]],表13[lookup],表13[奖金比率])*表1_11[[#This Row],[岗位工资]]</f>
        <v>250</v>
      </c>
      <c r="N349" s="5">
        <v>98</v>
      </c>
      <c r="O349" s="38">
        <f>表1_11[[#This Row],[奖金等级]]*表1_11[[#This Row],[绩效得分]]/100</f>
        <v>245</v>
      </c>
      <c r="P349" s="5">
        <f>IF(表1_11[[#This Row],[出勤率]]&gt;=1,200,0)</f>
        <v>200</v>
      </c>
      <c r="Q349" s="23">
        <f t="shared" ca="1" si="5"/>
        <v>500</v>
      </c>
      <c r="R349" s="23">
        <f>IF(表1_11[[#This Row],[中心]]="营销中心",VLOOKUP(表1_11[[#This Row],[职位]],表2[[话费补贴]:[营销中心]],2,0),VLOOKUP(表1_11[[#This Row],[职位]],表2[],3,0))</f>
        <v>0</v>
      </c>
      <c r="S349" s="23">
        <v>200</v>
      </c>
      <c r="T349" s="61">
        <f ca="1">ROUND(SUM(表1_11[[#This Row],[基本工资]],表1_11[[#This Row],[奖金]],表1_11[[#This Row],[全勤奖]:[防暑降温补贴]]),2)</f>
        <v>3645</v>
      </c>
      <c r="U349" s="62">
        <f ca="1">ROUND(表1_11[[#This Row],[税前应发总额]]*8%,2)</f>
        <v>291.60000000000002</v>
      </c>
      <c r="V349" s="62">
        <f ca="1">ROUND(表1_11[[#This Row],[税前应发总额]]*2%+3,2)</f>
        <v>75.900000000000006</v>
      </c>
      <c r="W349" s="62">
        <f ca="1">ROUND(表1_11[[#This Row],[税前应发总额]]*0.2%,2)</f>
        <v>7.29</v>
      </c>
      <c r="X349" s="62">
        <f ca="1">ROUND(表1_11[[#This Row],[税前应发总额]]*12%,2)</f>
        <v>437.4</v>
      </c>
      <c r="Y349" s="61">
        <f ca="1">ROUND(表1_11[[#This Row],[税前应发总额]]-SUM(表1_11[[#This Row],[养老保险]:[公积金]]),2)</f>
        <v>2832.81</v>
      </c>
      <c r="Z349" s="62">
        <f ca="1">ROUND(MAX((表1_11[[#This Row],[扣保险后工资金额]]-3500)*{3,10,20,25,30,35,45}%-{0,105,555,1005,2755,5505,13505},0),2)</f>
        <v>0</v>
      </c>
      <c r="AA349" s="63">
        <f ca="1">表1_11[[#This Row],[扣保险后工资金额]]-表1_11[[#This Row],[个人所得税]]</f>
        <v>2832.81</v>
      </c>
      <c r="AB349" s="53">
        <v>2561.4499999999998</v>
      </c>
      <c r="AC349" s="64">
        <f ca="1">(表1_11[[#This Row],[实发工资]]-表1_11[[#This Row],[上月对比]])/表1_11[[#This Row],[上月对比]]</f>
        <v>0.10593999492474972</v>
      </c>
      <c r="AD349" s="65" t="s">
        <v>1587</v>
      </c>
    </row>
    <row r="350" spans="1:30">
      <c r="A350" s="42" t="s">
        <v>577</v>
      </c>
      <c r="B350" s="42" t="s">
        <v>780</v>
      </c>
      <c r="C350" s="40" t="s">
        <v>781</v>
      </c>
      <c r="D350" s="40" t="s">
        <v>782</v>
      </c>
      <c r="E350" s="41" t="s">
        <v>1360</v>
      </c>
      <c r="F350" s="5" t="s">
        <v>346</v>
      </c>
      <c r="G350" s="25">
        <v>40294</v>
      </c>
      <c r="H350" s="5" t="s">
        <v>623</v>
      </c>
      <c r="I350" s="5">
        <f>VLOOKUP(MID(表1_11[[#This Row],[工资等级]],1,1),表12[],MATCH(MID(表1_11[[#This Row],[工资等级]],2,2),表12[[#Headers],[1]:[10]],0)+1,0)</f>
        <v>3800</v>
      </c>
      <c r="J350" s="5">
        <v>26.5</v>
      </c>
      <c r="K350" s="27">
        <v>1.1041666666666667</v>
      </c>
      <c r="L350" s="37">
        <f>IF(表1_11[[#This Row],[出勤率]]&gt;1,1,表1_11[[#This Row],[出勤率]])*表1_11[[#This Row],[岗位工资]]</f>
        <v>3800</v>
      </c>
      <c r="M350" s="5">
        <f>LOOKUP(表1_11[[#This Row],[岗位工资]],表13[lookup],表13[奖金比率])*表1_11[[#This Row],[岗位工资]]</f>
        <v>380</v>
      </c>
      <c r="N350" s="5">
        <v>91</v>
      </c>
      <c r="O350" s="38">
        <f>表1_11[[#This Row],[奖金等级]]*表1_11[[#This Row],[绩效得分]]/100</f>
        <v>345.8</v>
      </c>
      <c r="P350" s="5">
        <f>IF(表1_11[[#This Row],[出勤率]]&gt;=1,200,0)</f>
        <v>200</v>
      </c>
      <c r="Q350" s="23">
        <f t="shared" ca="1" si="5"/>
        <v>350</v>
      </c>
      <c r="R350" s="23">
        <f>IF(表1_11[[#This Row],[中心]]="营销中心",VLOOKUP(表1_11[[#This Row],[职位]],表2[[话费补贴]:[营销中心]],2,0),VLOOKUP(表1_11[[#This Row],[职位]],表2[],3,0))</f>
        <v>0</v>
      </c>
      <c r="S350" s="23">
        <v>200</v>
      </c>
      <c r="T350" s="61">
        <f ca="1">ROUND(SUM(表1_11[[#This Row],[基本工资]],表1_11[[#This Row],[奖金]],表1_11[[#This Row],[全勤奖]:[防暑降温补贴]]),2)</f>
        <v>4895.8</v>
      </c>
      <c r="U350" s="62">
        <f ca="1">ROUND(表1_11[[#This Row],[税前应发总额]]*8%,2)</f>
        <v>391.66</v>
      </c>
      <c r="V350" s="62">
        <f ca="1">ROUND(表1_11[[#This Row],[税前应发总额]]*2%+3,2)</f>
        <v>100.92</v>
      </c>
      <c r="W350" s="62">
        <f ca="1">ROUND(表1_11[[#This Row],[税前应发总额]]*0.2%,2)</f>
        <v>9.7899999999999991</v>
      </c>
      <c r="X350" s="62">
        <f ca="1">ROUND(表1_11[[#This Row],[税前应发总额]]*12%,2)</f>
        <v>587.5</v>
      </c>
      <c r="Y350" s="61">
        <f ca="1">ROUND(表1_11[[#This Row],[税前应发总额]]-SUM(表1_11[[#This Row],[养老保险]:[公积金]]),2)</f>
        <v>3805.93</v>
      </c>
      <c r="Z350" s="62">
        <f ca="1">ROUND(MAX((表1_11[[#This Row],[扣保险后工资金额]]-3500)*{3,10,20,25,30,35,45}%-{0,105,555,1005,2755,5505,13505},0),2)</f>
        <v>9.18</v>
      </c>
      <c r="AA350" s="63">
        <f ca="1">表1_11[[#This Row],[扣保险后工资金额]]-表1_11[[#This Row],[个人所得税]]</f>
        <v>3796.75</v>
      </c>
      <c r="AB350" s="53">
        <v>3810.8</v>
      </c>
      <c r="AC350" s="64">
        <f ca="1">(表1_11[[#This Row],[实发工资]]-表1_11[[#This Row],[上月对比]])/表1_11[[#This Row],[上月对比]]</f>
        <v>-3.6868898918862658E-3</v>
      </c>
      <c r="AD350" s="65" t="s">
        <v>1587</v>
      </c>
    </row>
    <row r="351" spans="1:30">
      <c r="A351" s="42" t="s">
        <v>577</v>
      </c>
      <c r="B351" s="42" t="s">
        <v>772</v>
      </c>
      <c r="C351" s="40" t="s">
        <v>711</v>
      </c>
      <c r="D351" s="40" t="s">
        <v>712</v>
      </c>
      <c r="E351" s="41" t="s">
        <v>1361</v>
      </c>
      <c r="F351" s="5" t="s">
        <v>347</v>
      </c>
      <c r="G351" s="25">
        <v>39755</v>
      </c>
      <c r="H351" s="5" t="s">
        <v>610</v>
      </c>
      <c r="I351" s="5">
        <f>VLOOKUP(MID(表1_11[[#This Row],[工资等级]],1,1),表12[],MATCH(MID(表1_11[[#This Row],[工资等级]],2,2),表12[[#Headers],[1]:[10]],0)+1,0)</f>
        <v>3400</v>
      </c>
      <c r="J351" s="5">
        <v>26.5</v>
      </c>
      <c r="K351" s="27">
        <v>1.1041666666666667</v>
      </c>
      <c r="L351" s="37">
        <f>IF(表1_11[[#This Row],[出勤率]]&gt;1,1,表1_11[[#This Row],[出勤率]])*表1_11[[#This Row],[岗位工资]]</f>
        <v>3400</v>
      </c>
      <c r="M351" s="5">
        <f>LOOKUP(表1_11[[#This Row],[岗位工资]],表13[lookup],表13[奖金比率])*表1_11[[#This Row],[岗位工资]]</f>
        <v>340</v>
      </c>
      <c r="N351" s="5">
        <v>100</v>
      </c>
      <c r="O351" s="38">
        <f>表1_11[[#This Row],[奖金等级]]*表1_11[[#This Row],[绩效得分]]/100</f>
        <v>340</v>
      </c>
      <c r="P351" s="5">
        <f>IF(表1_11[[#This Row],[出勤率]]&gt;=1,200,0)</f>
        <v>200</v>
      </c>
      <c r="Q351" s="23">
        <f t="shared" ca="1" si="5"/>
        <v>450</v>
      </c>
      <c r="R351" s="23">
        <f>IF(表1_11[[#This Row],[中心]]="营销中心",VLOOKUP(表1_11[[#This Row],[职位]],表2[[话费补贴]:[营销中心]],2,0),VLOOKUP(表1_11[[#This Row],[职位]],表2[],3,0))</f>
        <v>0</v>
      </c>
      <c r="S351" s="23">
        <v>200</v>
      </c>
      <c r="T351" s="61">
        <f ca="1">ROUND(SUM(表1_11[[#This Row],[基本工资]],表1_11[[#This Row],[奖金]],表1_11[[#This Row],[全勤奖]:[防暑降温补贴]]),2)</f>
        <v>4590</v>
      </c>
      <c r="U351" s="62">
        <f ca="1">ROUND(表1_11[[#This Row],[税前应发总额]]*8%,2)</f>
        <v>367.2</v>
      </c>
      <c r="V351" s="62">
        <f ca="1">ROUND(表1_11[[#This Row],[税前应发总额]]*2%+3,2)</f>
        <v>94.8</v>
      </c>
      <c r="W351" s="62">
        <f ca="1">ROUND(表1_11[[#This Row],[税前应发总额]]*0.2%,2)</f>
        <v>9.18</v>
      </c>
      <c r="X351" s="62">
        <f ca="1">ROUND(表1_11[[#This Row],[税前应发总额]]*12%,2)</f>
        <v>550.79999999999995</v>
      </c>
      <c r="Y351" s="61">
        <f ca="1">ROUND(表1_11[[#This Row],[税前应发总额]]-SUM(表1_11[[#This Row],[养老保险]:[公积金]]),2)</f>
        <v>3568.02</v>
      </c>
      <c r="Z351" s="62">
        <f ca="1">ROUND(MAX((表1_11[[#This Row],[扣保险后工资金额]]-3500)*{3,10,20,25,30,35,45}%-{0,105,555,1005,2755,5505,13505},0),2)</f>
        <v>2.04</v>
      </c>
      <c r="AA351" s="63">
        <f ca="1">表1_11[[#This Row],[扣保险后工资金额]]-表1_11[[#This Row],[个人所得税]]</f>
        <v>3565.98</v>
      </c>
      <c r="AB351" s="53">
        <v>3920.02</v>
      </c>
      <c r="AC351" s="64">
        <f ca="1">(表1_11[[#This Row],[实发工资]]-表1_11[[#This Row],[上月对比]])/表1_11[[#This Row],[上月对比]]</f>
        <v>-9.0315865735378892E-2</v>
      </c>
      <c r="AD351" s="65" t="s">
        <v>1587</v>
      </c>
    </row>
    <row r="352" spans="1:30">
      <c r="A352" s="42" t="s">
        <v>577</v>
      </c>
      <c r="B352" s="42" t="s">
        <v>774</v>
      </c>
      <c r="C352" s="40" t="s">
        <v>599</v>
      </c>
      <c r="D352" s="40" t="s">
        <v>626</v>
      </c>
      <c r="E352" s="41" t="s">
        <v>1362</v>
      </c>
      <c r="F352" s="5" t="s">
        <v>348</v>
      </c>
      <c r="G352" s="25">
        <v>40378</v>
      </c>
      <c r="H352" s="5" t="s">
        <v>612</v>
      </c>
      <c r="I352" s="5">
        <f>VLOOKUP(MID(表1_11[[#This Row],[工资等级]],1,1),表12[],MATCH(MID(表1_11[[#This Row],[工资等级]],2,2),表12[[#Headers],[1]:[10]],0)+1,0)</f>
        <v>2700</v>
      </c>
      <c r="J352" s="5">
        <v>23.5</v>
      </c>
      <c r="K352" s="27">
        <v>0.97916666666666663</v>
      </c>
      <c r="L352" s="37">
        <f>IF(表1_11[[#This Row],[出勤率]]&gt;1,1,表1_11[[#This Row],[出勤率]])*表1_11[[#This Row],[岗位工资]]</f>
        <v>2643.75</v>
      </c>
      <c r="M352" s="5">
        <f>LOOKUP(表1_11[[#This Row],[岗位工资]],表13[lookup],表13[奖金比率])*表1_11[[#This Row],[岗位工资]]</f>
        <v>270</v>
      </c>
      <c r="N352" s="5">
        <v>95</v>
      </c>
      <c r="O352" s="38">
        <f>表1_11[[#This Row],[奖金等级]]*表1_11[[#This Row],[绩效得分]]/100</f>
        <v>256.5</v>
      </c>
      <c r="P352" s="5">
        <f>IF(表1_11[[#This Row],[出勤率]]&gt;=1,200,0)</f>
        <v>0</v>
      </c>
      <c r="Q352" s="23">
        <f t="shared" ca="1" si="5"/>
        <v>350</v>
      </c>
      <c r="R352" s="23">
        <f>IF(表1_11[[#This Row],[中心]]="营销中心",VLOOKUP(表1_11[[#This Row],[职位]],表2[[话费补贴]:[营销中心]],2,0),VLOOKUP(表1_11[[#This Row],[职位]],表2[],3,0))</f>
        <v>0</v>
      </c>
      <c r="S352" s="23">
        <v>200</v>
      </c>
      <c r="T352" s="61">
        <f ca="1">ROUND(SUM(表1_11[[#This Row],[基本工资]],表1_11[[#This Row],[奖金]],表1_11[[#This Row],[全勤奖]:[防暑降温补贴]]),2)</f>
        <v>3450.25</v>
      </c>
      <c r="U352" s="62">
        <f ca="1">ROUND(表1_11[[#This Row],[税前应发总额]]*8%,2)</f>
        <v>276.02</v>
      </c>
      <c r="V352" s="62">
        <f ca="1">ROUND(表1_11[[#This Row],[税前应发总额]]*2%+3,2)</f>
        <v>72.010000000000005</v>
      </c>
      <c r="W352" s="62">
        <f ca="1">ROUND(表1_11[[#This Row],[税前应发总额]]*0.2%,2)</f>
        <v>6.9</v>
      </c>
      <c r="X352" s="62">
        <f ca="1">ROUND(表1_11[[#This Row],[税前应发总额]]*12%,2)</f>
        <v>414.03</v>
      </c>
      <c r="Y352" s="61">
        <f ca="1">ROUND(表1_11[[#This Row],[税前应发总额]]-SUM(表1_11[[#This Row],[养老保险]:[公积金]]),2)</f>
        <v>2681.29</v>
      </c>
      <c r="Z352" s="62">
        <f ca="1">ROUND(MAX((表1_11[[#This Row],[扣保险后工资金额]]-3500)*{3,10,20,25,30,35,45}%-{0,105,555,1005,2755,5505,13505},0),2)</f>
        <v>0</v>
      </c>
      <c r="AA352" s="63">
        <f ca="1">表1_11[[#This Row],[扣保险后工资金额]]-表1_11[[#This Row],[个人所得税]]</f>
        <v>2681.29</v>
      </c>
      <c r="AB352" s="53">
        <v>2334.91</v>
      </c>
      <c r="AC352" s="64">
        <f ca="1">(表1_11[[#This Row],[实发工资]]-表1_11[[#This Row],[上月对比]])/表1_11[[#This Row],[上月对比]]</f>
        <v>0.1483483303424972</v>
      </c>
      <c r="AD352" s="65" t="s">
        <v>1587</v>
      </c>
    </row>
    <row r="353" spans="1:30">
      <c r="A353" s="42" t="s">
        <v>577</v>
      </c>
      <c r="B353" s="42" t="s">
        <v>774</v>
      </c>
      <c r="C353" s="40" t="s">
        <v>599</v>
      </c>
      <c r="D353" s="40" t="s">
        <v>626</v>
      </c>
      <c r="E353" s="41" t="s">
        <v>1363</v>
      </c>
      <c r="F353" s="5" t="s">
        <v>349</v>
      </c>
      <c r="G353" s="25">
        <v>40699</v>
      </c>
      <c r="H353" s="5" t="s">
        <v>624</v>
      </c>
      <c r="I353" s="5">
        <f>VLOOKUP(MID(表1_11[[#This Row],[工资等级]],1,1),表12[],MATCH(MID(表1_11[[#This Row],[工资等级]],2,2),表12[[#Headers],[1]:[10]],0)+1,0)</f>
        <v>2800</v>
      </c>
      <c r="J353" s="5">
        <v>21.5</v>
      </c>
      <c r="K353" s="27">
        <v>0.89583333333333337</v>
      </c>
      <c r="L353" s="37">
        <f>IF(表1_11[[#This Row],[出勤率]]&gt;1,1,表1_11[[#This Row],[出勤率]])*表1_11[[#This Row],[岗位工资]]</f>
        <v>2508.3333333333335</v>
      </c>
      <c r="M353" s="5">
        <f>LOOKUP(表1_11[[#This Row],[岗位工资]],表13[lookup],表13[奖金比率])*表1_11[[#This Row],[岗位工资]]</f>
        <v>280</v>
      </c>
      <c r="N353" s="5">
        <v>88</v>
      </c>
      <c r="O353" s="38">
        <f>表1_11[[#This Row],[奖金等级]]*表1_11[[#This Row],[绩效得分]]/100</f>
        <v>246.4</v>
      </c>
      <c r="P353" s="5">
        <f>IF(表1_11[[#This Row],[出勤率]]&gt;=1,200,0)</f>
        <v>0</v>
      </c>
      <c r="Q353" s="23">
        <f t="shared" ca="1" si="5"/>
        <v>300</v>
      </c>
      <c r="R353" s="23">
        <f>IF(表1_11[[#This Row],[中心]]="营销中心",VLOOKUP(表1_11[[#This Row],[职位]],表2[[话费补贴]:[营销中心]],2,0),VLOOKUP(表1_11[[#This Row],[职位]],表2[],3,0))</f>
        <v>0</v>
      </c>
      <c r="S353" s="23">
        <v>200</v>
      </c>
      <c r="T353" s="61">
        <f ca="1">ROUND(SUM(表1_11[[#This Row],[基本工资]],表1_11[[#This Row],[奖金]],表1_11[[#This Row],[全勤奖]:[防暑降温补贴]]),2)</f>
        <v>3254.73</v>
      </c>
      <c r="U353" s="62">
        <f ca="1">ROUND(表1_11[[#This Row],[税前应发总额]]*8%,2)</f>
        <v>260.38</v>
      </c>
      <c r="V353" s="62">
        <f ca="1">ROUND(表1_11[[#This Row],[税前应发总额]]*2%+3,2)</f>
        <v>68.09</v>
      </c>
      <c r="W353" s="62">
        <f ca="1">ROUND(表1_11[[#This Row],[税前应发总额]]*0.2%,2)</f>
        <v>6.51</v>
      </c>
      <c r="X353" s="62">
        <f ca="1">ROUND(表1_11[[#This Row],[税前应发总额]]*12%,2)</f>
        <v>390.57</v>
      </c>
      <c r="Y353" s="61">
        <f ca="1">ROUND(表1_11[[#This Row],[税前应发总额]]-SUM(表1_11[[#This Row],[养老保险]:[公积金]]),2)</f>
        <v>2529.1799999999998</v>
      </c>
      <c r="Z353" s="62">
        <f ca="1">ROUND(MAX((表1_11[[#This Row],[扣保险后工资金额]]-3500)*{3,10,20,25,30,35,45}%-{0,105,555,1005,2755,5505,13505},0),2)</f>
        <v>0</v>
      </c>
      <c r="AA353" s="63">
        <f ca="1">表1_11[[#This Row],[扣保险后工资金额]]-表1_11[[#This Row],[个人所得税]]</f>
        <v>2529.1799999999998</v>
      </c>
      <c r="AB353" s="53">
        <v>2648.94</v>
      </c>
      <c r="AC353" s="64">
        <f ca="1">(表1_11[[#This Row],[实发工资]]-表1_11[[#This Row],[上月对比]])/表1_11[[#This Row],[上月对比]]</f>
        <v>-4.5210537045006764E-2</v>
      </c>
      <c r="AD353" s="65" t="s">
        <v>1587</v>
      </c>
    </row>
    <row r="354" spans="1:30">
      <c r="A354" s="42" t="s">
        <v>577</v>
      </c>
      <c r="B354" s="42" t="s">
        <v>774</v>
      </c>
      <c r="C354" s="40" t="s">
        <v>599</v>
      </c>
      <c r="D354" s="40" t="s">
        <v>626</v>
      </c>
      <c r="E354" s="41" t="s">
        <v>1364</v>
      </c>
      <c r="F354" s="5" t="s">
        <v>350</v>
      </c>
      <c r="G354" s="25">
        <v>41508</v>
      </c>
      <c r="H354" s="5" t="s">
        <v>630</v>
      </c>
      <c r="I354" s="5">
        <f>VLOOKUP(MID(表1_11[[#This Row],[工资等级]],1,1),表12[],MATCH(MID(表1_11[[#This Row],[工资等级]],2,2),表12[[#Headers],[1]:[10]],0)+1,0)</f>
        <v>2600</v>
      </c>
      <c r="J354" s="5">
        <v>23</v>
      </c>
      <c r="K354" s="27">
        <v>0.95833333333333337</v>
      </c>
      <c r="L354" s="37">
        <f>IF(表1_11[[#This Row],[出勤率]]&gt;1,1,表1_11[[#This Row],[出勤率]])*表1_11[[#This Row],[岗位工资]]</f>
        <v>2491.666666666667</v>
      </c>
      <c r="M354" s="5">
        <f>LOOKUP(表1_11[[#This Row],[岗位工资]],表13[lookup],表13[奖金比率])*表1_11[[#This Row],[岗位工资]]</f>
        <v>260</v>
      </c>
      <c r="N354" s="5">
        <v>95</v>
      </c>
      <c r="O354" s="38">
        <f>表1_11[[#This Row],[奖金等级]]*表1_11[[#This Row],[绩效得分]]/100</f>
        <v>247</v>
      </c>
      <c r="P354" s="5">
        <f>IF(表1_11[[#This Row],[出勤率]]&gt;=1,200,0)</f>
        <v>0</v>
      </c>
      <c r="Q354" s="23">
        <f t="shared" ca="1" si="5"/>
        <v>200</v>
      </c>
      <c r="R354" s="23">
        <f>IF(表1_11[[#This Row],[中心]]="营销中心",VLOOKUP(表1_11[[#This Row],[职位]],表2[[话费补贴]:[营销中心]],2,0),VLOOKUP(表1_11[[#This Row],[职位]],表2[],3,0))</f>
        <v>0</v>
      </c>
      <c r="S354" s="23">
        <v>200</v>
      </c>
      <c r="T354" s="61">
        <f ca="1">ROUND(SUM(表1_11[[#This Row],[基本工资]],表1_11[[#This Row],[奖金]],表1_11[[#This Row],[全勤奖]:[防暑降温补贴]]),2)</f>
        <v>3138.67</v>
      </c>
      <c r="U354" s="62">
        <f ca="1">ROUND(表1_11[[#This Row],[税前应发总额]]*8%,2)</f>
        <v>251.09</v>
      </c>
      <c r="V354" s="62">
        <f ca="1">ROUND(表1_11[[#This Row],[税前应发总额]]*2%+3,2)</f>
        <v>65.77</v>
      </c>
      <c r="W354" s="62">
        <f ca="1">ROUND(表1_11[[#This Row],[税前应发总额]]*0.2%,2)</f>
        <v>6.28</v>
      </c>
      <c r="X354" s="62">
        <f ca="1">ROUND(表1_11[[#This Row],[税前应发总额]]*12%,2)</f>
        <v>376.64</v>
      </c>
      <c r="Y354" s="61">
        <f ca="1">ROUND(表1_11[[#This Row],[税前应发总额]]-SUM(表1_11[[#This Row],[养老保险]:[公积金]]),2)</f>
        <v>2438.89</v>
      </c>
      <c r="Z354" s="62">
        <f ca="1">ROUND(MAX((表1_11[[#This Row],[扣保险后工资金额]]-3500)*{3,10,20,25,30,35,45}%-{0,105,555,1005,2755,5505,13505},0),2)</f>
        <v>0</v>
      </c>
      <c r="AA354" s="63">
        <f ca="1">表1_11[[#This Row],[扣保险后工资金额]]-表1_11[[#This Row],[个人所得税]]</f>
        <v>2438.89</v>
      </c>
      <c r="AB354" s="53">
        <v>2667.59</v>
      </c>
      <c r="AC354" s="64">
        <f ca="1">(表1_11[[#This Row],[实发工资]]-表1_11[[#This Row],[上月对比]])/表1_11[[#This Row],[上月对比]]</f>
        <v>-8.5732815012801916E-2</v>
      </c>
      <c r="AD354" s="65" t="s">
        <v>1587</v>
      </c>
    </row>
    <row r="355" spans="1:30">
      <c r="A355" s="42" t="s">
        <v>577</v>
      </c>
      <c r="B355" s="42" t="s">
        <v>772</v>
      </c>
      <c r="C355" s="40" t="s">
        <v>711</v>
      </c>
      <c r="D355" s="40" t="s">
        <v>712</v>
      </c>
      <c r="E355" s="41" t="s">
        <v>1365</v>
      </c>
      <c r="F355" s="5" t="s">
        <v>351</v>
      </c>
      <c r="G355" s="25">
        <v>41795</v>
      </c>
      <c r="H355" s="5" t="s">
        <v>618</v>
      </c>
      <c r="I355" s="5">
        <f>VLOOKUP(MID(表1_11[[#This Row],[工资等级]],1,1),表12[],MATCH(MID(表1_11[[#This Row],[工资等级]],2,2),表12[[#Headers],[1]:[10]],0)+1,0)</f>
        <v>3000</v>
      </c>
      <c r="J355" s="5">
        <v>25.5</v>
      </c>
      <c r="K355" s="27">
        <v>1.0625</v>
      </c>
      <c r="L355" s="37">
        <f>IF(表1_11[[#This Row],[出勤率]]&gt;1,1,表1_11[[#This Row],[出勤率]])*表1_11[[#This Row],[岗位工资]]</f>
        <v>3000</v>
      </c>
      <c r="M355" s="5">
        <f>LOOKUP(表1_11[[#This Row],[岗位工资]],表13[lookup],表13[奖金比率])*表1_11[[#This Row],[岗位工资]]</f>
        <v>300</v>
      </c>
      <c r="N355" s="5">
        <v>87</v>
      </c>
      <c r="O355" s="38">
        <f>表1_11[[#This Row],[奖金等级]]*表1_11[[#This Row],[绩效得分]]/100</f>
        <v>261</v>
      </c>
      <c r="P355" s="5">
        <f>IF(表1_11[[#This Row],[出勤率]]&gt;=1,200,0)</f>
        <v>200</v>
      </c>
      <c r="Q355" s="23">
        <f t="shared" ca="1" si="5"/>
        <v>150</v>
      </c>
      <c r="R355" s="23">
        <f>IF(表1_11[[#This Row],[中心]]="营销中心",VLOOKUP(表1_11[[#This Row],[职位]],表2[[话费补贴]:[营销中心]],2,0),VLOOKUP(表1_11[[#This Row],[职位]],表2[],3,0))</f>
        <v>0</v>
      </c>
      <c r="S355" s="23">
        <v>200</v>
      </c>
      <c r="T355" s="61">
        <f ca="1">ROUND(SUM(表1_11[[#This Row],[基本工资]],表1_11[[#This Row],[奖金]],表1_11[[#This Row],[全勤奖]:[防暑降温补贴]]),2)</f>
        <v>3811</v>
      </c>
      <c r="U355" s="62">
        <f ca="1">ROUND(表1_11[[#This Row],[税前应发总额]]*8%,2)</f>
        <v>304.88</v>
      </c>
      <c r="V355" s="62">
        <f ca="1">ROUND(表1_11[[#This Row],[税前应发总额]]*2%+3,2)</f>
        <v>79.22</v>
      </c>
      <c r="W355" s="62">
        <f ca="1">ROUND(表1_11[[#This Row],[税前应发总额]]*0.2%,2)</f>
        <v>7.62</v>
      </c>
      <c r="X355" s="62">
        <f ca="1">ROUND(表1_11[[#This Row],[税前应发总额]]*12%,2)</f>
        <v>457.32</v>
      </c>
      <c r="Y355" s="61">
        <f ca="1">ROUND(表1_11[[#This Row],[税前应发总额]]-SUM(表1_11[[#This Row],[养老保险]:[公积金]]),2)</f>
        <v>2961.96</v>
      </c>
      <c r="Z355" s="62">
        <f ca="1">ROUND(MAX((表1_11[[#This Row],[扣保险后工资金额]]-3500)*{3,10,20,25,30,35,45}%-{0,105,555,1005,2755,5505,13505},0),2)</f>
        <v>0</v>
      </c>
      <c r="AA355" s="63">
        <f ca="1">表1_11[[#This Row],[扣保险后工资金额]]-表1_11[[#This Row],[个人所得税]]</f>
        <v>2961.96</v>
      </c>
      <c r="AB355" s="53">
        <v>3482.26</v>
      </c>
      <c r="AC355" s="64">
        <f ca="1">(表1_11[[#This Row],[实发工资]]-表1_11[[#This Row],[上月对比]])/表1_11[[#This Row],[上月对比]]</f>
        <v>-0.14941446072378287</v>
      </c>
      <c r="AD355" s="65" t="s">
        <v>1587</v>
      </c>
    </row>
    <row r="356" spans="1:30">
      <c r="A356" s="42" t="s">
        <v>577</v>
      </c>
      <c r="B356" s="42" t="s">
        <v>772</v>
      </c>
      <c r="C356" s="40" t="s">
        <v>711</v>
      </c>
      <c r="D356" s="40" t="s">
        <v>712</v>
      </c>
      <c r="E356" s="41" t="s">
        <v>1366</v>
      </c>
      <c r="F356" s="5" t="s">
        <v>352</v>
      </c>
      <c r="G356" s="25">
        <v>40519</v>
      </c>
      <c r="H356" s="5" t="s">
        <v>657</v>
      </c>
      <c r="I356" s="5">
        <f>VLOOKUP(MID(表1_11[[#This Row],[工资等级]],1,1),表12[],MATCH(MID(表1_11[[#This Row],[工资等级]],2,2),表12[[#Headers],[1]:[10]],0)+1,0)</f>
        <v>4000</v>
      </c>
      <c r="J356" s="5">
        <v>26.5</v>
      </c>
      <c r="K356" s="27">
        <v>1.1041666666666667</v>
      </c>
      <c r="L356" s="37">
        <f>IF(表1_11[[#This Row],[出勤率]]&gt;1,1,表1_11[[#This Row],[出勤率]])*表1_11[[#This Row],[岗位工资]]</f>
        <v>4000</v>
      </c>
      <c r="M356" s="5">
        <f>LOOKUP(表1_11[[#This Row],[岗位工资]],表13[lookup],表13[奖金比率])*表1_11[[#This Row],[岗位工资]]</f>
        <v>600</v>
      </c>
      <c r="N356" s="5">
        <v>85</v>
      </c>
      <c r="O356" s="38">
        <f>表1_11[[#This Row],[奖金等级]]*表1_11[[#This Row],[绩效得分]]/100</f>
        <v>510</v>
      </c>
      <c r="P356" s="5">
        <f>IF(表1_11[[#This Row],[出勤率]]&gt;=1,200,0)</f>
        <v>200</v>
      </c>
      <c r="Q356" s="23">
        <f t="shared" ca="1" si="5"/>
        <v>350</v>
      </c>
      <c r="R356" s="23">
        <f>IF(表1_11[[#This Row],[中心]]="营销中心",VLOOKUP(表1_11[[#This Row],[职位]],表2[[话费补贴]:[营销中心]],2,0),VLOOKUP(表1_11[[#This Row],[职位]],表2[],3,0))</f>
        <v>0</v>
      </c>
      <c r="S356" s="23">
        <v>200</v>
      </c>
      <c r="T356" s="61">
        <f ca="1">ROUND(SUM(表1_11[[#This Row],[基本工资]],表1_11[[#This Row],[奖金]],表1_11[[#This Row],[全勤奖]:[防暑降温补贴]]),2)</f>
        <v>5260</v>
      </c>
      <c r="U356" s="62">
        <f ca="1">ROUND(表1_11[[#This Row],[税前应发总额]]*8%,2)</f>
        <v>420.8</v>
      </c>
      <c r="V356" s="62">
        <f ca="1">ROUND(表1_11[[#This Row],[税前应发总额]]*2%+3,2)</f>
        <v>108.2</v>
      </c>
      <c r="W356" s="62">
        <f ca="1">ROUND(表1_11[[#This Row],[税前应发总额]]*0.2%,2)</f>
        <v>10.52</v>
      </c>
      <c r="X356" s="62">
        <f ca="1">ROUND(表1_11[[#This Row],[税前应发总额]]*12%,2)</f>
        <v>631.20000000000005</v>
      </c>
      <c r="Y356" s="61">
        <f ca="1">ROUND(表1_11[[#This Row],[税前应发总额]]-SUM(表1_11[[#This Row],[养老保险]:[公积金]]),2)</f>
        <v>4089.28</v>
      </c>
      <c r="Z356" s="62">
        <f ca="1">ROUND(MAX((表1_11[[#This Row],[扣保险后工资金额]]-3500)*{3,10,20,25,30,35,45}%-{0,105,555,1005,2755,5505,13505},0),2)</f>
        <v>17.68</v>
      </c>
      <c r="AA356" s="63">
        <f ca="1">表1_11[[#This Row],[扣保险后工资金额]]-表1_11[[#This Row],[个人所得税]]</f>
        <v>4071.6000000000004</v>
      </c>
      <c r="AB356" s="53">
        <v>4119.17</v>
      </c>
      <c r="AC356" s="64">
        <f ca="1">(表1_11[[#This Row],[实发工资]]-表1_11[[#This Row],[上月对比]])/表1_11[[#This Row],[上月对比]]</f>
        <v>-1.1548443011577505E-2</v>
      </c>
      <c r="AD356" s="65" t="s">
        <v>1587</v>
      </c>
    </row>
    <row r="357" spans="1:30">
      <c r="A357" s="42" t="s">
        <v>577</v>
      </c>
      <c r="B357" s="42" t="s">
        <v>774</v>
      </c>
      <c r="C357" s="40" t="s">
        <v>599</v>
      </c>
      <c r="D357" s="40" t="s">
        <v>626</v>
      </c>
      <c r="E357" s="41" t="s">
        <v>1367</v>
      </c>
      <c r="F357" s="5" t="s">
        <v>353</v>
      </c>
      <c r="G357" s="25">
        <v>38756</v>
      </c>
      <c r="H357" s="5" t="s">
        <v>657</v>
      </c>
      <c r="I357" s="5">
        <f>VLOOKUP(MID(表1_11[[#This Row],[工资等级]],1,1),表12[],MATCH(MID(表1_11[[#This Row],[工资等级]],2,2),表12[[#Headers],[1]:[10]],0)+1,0)</f>
        <v>4000</v>
      </c>
      <c r="J357" s="5">
        <v>21</v>
      </c>
      <c r="K357" s="27">
        <v>0.875</v>
      </c>
      <c r="L357" s="37">
        <f>IF(表1_11[[#This Row],[出勤率]]&gt;1,1,表1_11[[#This Row],[出勤率]])*表1_11[[#This Row],[岗位工资]]</f>
        <v>3500</v>
      </c>
      <c r="M357" s="5">
        <f>LOOKUP(表1_11[[#This Row],[岗位工资]],表13[lookup],表13[奖金比率])*表1_11[[#This Row],[岗位工资]]</f>
        <v>600</v>
      </c>
      <c r="N357" s="5">
        <v>88</v>
      </c>
      <c r="O357" s="38">
        <f>表1_11[[#This Row],[奖金等级]]*表1_11[[#This Row],[绩效得分]]/100</f>
        <v>528</v>
      </c>
      <c r="P357" s="5">
        <f>IF(表1_11[[#This Row],[出勤率]]&gt;=1,200,0)</f>
        <v>0</v>
      </c>
      <c r="Q357" s="23">
        <f t="shared" ca="1" si="5"/>
        <v>500</v>
      </c>
      <c r="R357" s="23">
        <f>IF(表1_11[[#This Row],[中心]]="营销中心",VLOOKUP(表1_11[[#This Row],[职位]],表2[[话费补贴]:[营销中心]],2,0),VLOOKUP(表1_11[[#This Row],[职位]],表2[],3,0))</f>
        <v>0</v>
      </c>
      <c r="S357" s="23">
        <v>200</v>
      </c>
      <c r="T357" s="61">
        <f ca="1">ROUND(SUM(表1_11[[#This Row],[基本工资]],表1_11[[#This Row],[奖金]],表1_11[[#This Row],[全勤奖]:[防暑降温补贴]]),2)</f>
        <v>4728</v>
      </c>
      <c r="U357" s="62">
        <f ca="1">ROUND(表1_11[[#This Row],[税前应发总额]]*8%,2)</f>
        <v>378.24</v>
      </c>
      <c r="V357" s="62">
        <f ca="1">ROUND(表1_11[[#This Row],[税前应发总额]]*2%+3,2)</f>
        <v>97.56</v>
      </c>
      <c r="W357" s="62">
        <f ca="1">ROUND(表1_11[[#This Row],[税前应发总额]]*0.2%,2)</f>
        <v>9.4600000000000009</v>
      </c>
      <c r="X357" s="62">
        <f ca="1">ROUND(表1_11[[#This Row],[税前应发总额]]*12%,2)</f>
        <v>567.36</v>
      </c>
      <c r="Y357" s="61">
        <f ca="1">ROUND(表1_11[[#This Row],[税前应发总额]]-SUM(表1_11[[#This Row],[养老保险]:[公积金]]),2)</f>
        <v>3675.38</v>
      </c>
      <c r="Z357" s="62">
        <f ca="1">ROUND(MAX((表1_11[[#This Row],[扣保险后工资金额]]-3500)*{3,10,20,25,30,35,45}%-{0,105,555,1005,2755,5505,13505},0),2)</f>
        <v>5.26</v>
      </c>
      <c r="AA357" s="63">
        <f ca="1">表1_11[[#This Row],[扣保险后工资金额]]-表1_11[[#This Row],[个人所得税]]</f>
        <v>3670.12</v>
      </c>
      <c r="AB357" s="53">
        <v>3873.44</v>
      </c>
      <c r="AC357" s="64">
        <f ca="1">(表1_11[[#This Row],[实发工资]]-表1_11[[#This Row],[上月对比]])/表1_11[[#This Row],[上月对比]]</f>
        <v>-5.2490809203188937E-2</v>
      </c>
      <c r="AD357" s="65" t="s">
        <v>1587</v>
      </c>
    </row>
    <row r="358" spans="1:30">
      <c r="A358" s="42" t="s">
        <v>577</v>
      </c>
      <c r="B358" s="42" t="s">
        <v>772</v>
      </c>
      <c r="C358" s="40" t="s">
        <v>711</v>
      </c>
      <c r="D358" s="40" t="s">
        <v>712</v>
      </c>
      <c r="E358" s="41" t="s">
        <v>1368</v>
      </c>
      <c r="F358" s="5" t="s">
        <v>354</v>
      </c>
      <c r="G358" s="25">
        <v>38440</v>
      </c>
      <c r="H358" s="5" t="s">
        <v>624</v>
      </c>
      <c r="I358" s="5">
        <f>VLOOKUP(MID(表1_11[[#This Row],[工资等级]],1,1),表12[],MATCH(MID(表1_11[[#This Row],[工资等级]],2,2),表12[[#Headers],[1]:[10]],0)+1,0)</f>
        <v>2800</v>
      </c>
      <c r="J358" s="5">
        <v>24</v>
      </c>
      <c r="K358" s="27">
        <v>1</v>
      </c>
      <c r="L358" s="37">
        <f>IF(表1_11[[#This Row],[出勤率]]&gt;1,1,表1_11[[#This Row],[出勤率]])*表1_11[[#This Row],[岗位工资]]</f>
        <v>2800</v>
      </c>
      <c r="M358" s="5">
        <f>LOOKUP(表1_11[[#This Row],[岗位工资]],表13[lookup],表13[奖金比率])*表1_11[[#This Row],[岗位工资]]</f>
        <v>280</v>
      </c>
      <c r="N358" s="5">
        <v>89</v>
      </c>
      <c r="O358" s="38">
        <f>表1_11[[#This Row],[奖金等级]]*表1_11[[#This Row],[绩效得分]]/100</f>
        <v>249.2</v>
      </c>
      <c r="P358" s="5">
        <f>IF(表1_11[[#This Row],[出勤率]]&gt;=1,200,0)</f>
        <v>200</v>
      </c>
      <c r="Q358" s="23">
        <f t="shared" ca="1" si="5"/>
        <v>500</v>
      </c>
      <c r="R358" s="23">
        <f>IF(表1_11[[#This Row],[中心]]="营销中心",VLOOKUP(表1_11[[#This Row],[职位]],表2[[话费补贴]:[营销中心]],2,0),VLOOKUP(表1_11[[#This Row],[职位]],表2[],3,0))</f>
        <v>0</v>
      </c>
      <c r="S358" s="23">
        <v>200</v>
      </c>
      <c r="T358" s="61">
        <f ca="1">ROUND(SUM(表1_11[[#This Row],[基本工资]],表1_11[[#This Row],[奖金]],表1_11[[#This Row],[全勤奖]:[防暑降温补贴]]),2)</f>
        <v>3949.2</v>
      </c>
      <c r="U358" s="62">
        <f ca="1">ROUND(表1_11[[#This Row],[税前应发总额]]*8%,2)</f>
        <v>315.94</v>
      </c>
      <c r="V358" s="62">
        <f ca="1">ROUND(表1_11[[#This Row],[税前应发总额]]*2%+3,2)</f>
        <v>81.98</v>
      </c>
      <c r="W358" s="62">
        <f ca="1">ROUND(表1_11[[#This Row],[税前应发总额]]*0.2%,2)</f>
        <v>7.9</v>
      </c>
      <c r="X358" s="62">
        <f ca="1">ROUND(表1_11[[#This Row],[税前应发总额]]*12%,2)</f>
        <v>473.9</v>
      </c>
      <c r="Y358" s="61">
        <f ca="1">ROUND(表1_11[[#This Row],[税前应发总额]]-SUM(表1_11[[#This Row],[养老保险]:[公积金]]),2)</f>
        <v>3069.48</v>
      </c>
      <c r="Z358" s="62">
        <f ca="1">ROUND(MAX((表1_11[[#This Row],[扣保险后工资金额]]-3500)*{3,10,20,25,30,35,45}%-{0,105,555,1005,2755,5505,13505},0),2)</f>
        <v>0</v>
      </c>
      <c r="AA358" s="63">
        <f ca="1">表1_11[[#This Row],[扣保险后工资金额]]-表1_11[[#This Row],[个人所得税]]</f>
        <v>3069.48</v>
      </c>
      <c r="AB358" s="53">
        <v>2987.96</v>
      </c>
      <c r="AC358" s="64">
        <f ca="1">(表1_11[[#This Row],[实发工资]]-表1_11[[#This Row],[上月对比]])/表1_11[[#This Row],[上月对比]]</f>
        <v>2.7282828418051106E-2</v>
      </c>
      <c r="AD358" s="65" t="s">
        <v>1587</v>
      </c>
    </row>
    <row r="359" spans="1:30">
      <c r="A359" s="42" t="s">
        <v>577</v>
      </c>
      <c r="B359" s="42" t="s">
        <v>774</v>
      </c>
      <c r="C359" s="40" t="s">
        <v>599</v>
      </c>
      <c r="D359" s="40" t="s">
        <v>626</v>
      </c>
      <c r="E359" s="41" t="s">
        <v>1369</v>
      </c>
      <c r="F359" s="5" t="s">
        <v>355</v>
      </c>
      <c r="G359" s="25">
        <v>40801</v>
      </c>
      <c r="H359" s="5" t="s">
        <v>623</v>
      </c>
      <c r="I359" s="5">
        <f>VLOOKUP(MID(表1_11[[#This Row],[工资等级]],1,1),表12[],MATCH(MID(表1_11[[#This Row],[工资等级]],2,2),表12[[#Headers],[1]:[10]],0)+1,0)</f>
        <v>3800</v>
      </c>
      <c r="J359" s="5">
        <v>22</v>
      </c>
      <c r="K359" s="27">
        <v>0.91666666666666663</v>
      </c>
      <c r="L359" s="37">
        <f>IF(表1_11[[#This Row],[出勤率]]&gt;1,1,表1_11[[#This Row],[出勤率]])*表1_11[[#This Row],[岗位工资]]</f>
        <v>3483.333333333333</v>
      </c>
      <c r="M359" s="5">
        <f>LOOKUP(表1_11[[#This Row],[岗位工资]],表13[lookup],表13[奖金比率])*表1_11[[#This Row],[岗位工资]]</f>
        <v>380</v>
      </c>
      <c r="N359" s="5">
        <v>84</v>
      </c>
      <c r="O359" s="38">
        <f>表1_11[[#This Row],[奖金等级]]*表1_11[[#This Row],[绩效得分]]/100</f>
        <v>319.2</v>
      </c>
      <c r="P359" s="5">
        <f>IF(表1_11[[#This Row],[出勤率]]&gt;=1,200,0)</f>
        <v>0</v>
      </c>
      <c r="Q359" s="23">
        <f t="shared" ca="1" si="5"/>
        <v>300</v>
      </c>
      <c r="R359" s="23">
        <f>IF(表1_11[[#This Row],[中心]]="营销中心",VLOOKUP(表1_11[[#This Row],[职位]],表2[[话费补贴]:[营销中心]],2,0),VLOOKUP(表1_11[[#This Row],[职位]],表2[],3,0))</f>
        <v>0</v>
      </c>
      <c r="S359" s="23">
        <v>200</v>
      </c>
      <c r="T359" s="61">
        <f ca="1">ROUND(SUM(表1_11[[#This Row],[基本工资]],表1_11[[#This Row],[奖金]],表1_11[[#This Row],[全勤奖]:[防暑降温补贴]]),2)</f>
        <v>4302.53</v>
      </c>
      <c r="U359" s="62">
        <f ca="1">ROUND(表1_11[[#This Row],[税前应发总额]]*8%,2)</f>
        <v>344.2</v>
      </c>
      <c r="V359" s="62">
        <f ca="1">ROUND(表1_11[[#This Row],[税前应发总额]]*2%+3,2)</f>
        <v>89.05</v>
      </c>
      <c r="W359" s="62">
        <f ca="1">ROUND(表1_11[[#This Row],[税前应发总额]]*0.2%,2)</f>
        <v>8.61</v>
      </c>
      <c r="X359" s="62">
        <f ca="1">ROUND(表1_11[[#This Row],[税前应发总额]]*12%,2)</f>
        <v>516.29999999999995</v>
      </c>
      <c r="Y359" s="61">
        <f ca="1">ROUND(表1_11[[#This Row],[税前应发总额]]-SUM(表1_11[[#This Row],[养老保险]:[公积金]]),2)</f>
        <v>3344.37</v>
      </c>
      <c r="Z359" s="62">
        <f ca="1">ROUND(MAX((表1_11[[#This Row],[扣保险后工资金额]]-3500)*{3,10,20,25,30,35,45}%-{0,105,555,1005,2755,5505,13505},0),2)</f>
        <v>0</v>
      </c>
      <c r="AA359" s="63">
        <f ca="1">表1_11[[#This Row],[扣保险后工资金额]]-表1_11[[#This Row],[个人所得税]]</f>
        <v>3344.37</v>
      </c>
      <c r="AB359" s="53">
        <v>3468.44</v>
      </c>
      <c r="AC359" s="64">
        <f ca="1">(表1_11[[#This Row],[实发工资]]-表1_11[[#This Row],[上月对比]])/表1_11[[#This Row],[上月对比]]</f>
        <v>-3.577112477079037E-2</v>
      </c>
      <c r="AD359" s="65" t="s">
        <v>1587</v>
      </c>
    </row>
    <row r="360" spans="1:30">
      <c r="A360" s="42" t="s">
        <v>577</v>
      </c>
      <c r="B360" s="42" t="s">
        <v>772</v>
      </c>
      <c r="C360" s="40" t="s">
        <v>711</v>
      </c>
      <c r="D360" s="40" t="s">
        <v>712</v>
      </c>
      <c r="E360" s="41" t="s">
        <v>1370</v>
      </c>
      <c r="F360" s="5" t="s">
        <v>356</v>
      </c>
      <c r="G360" s="25">
        <v>41698</v>
      </c>
      <c r="H360" s="5" t="s">
        <v>612</v>
      </c>
      <c r="I360" s="5">
        <f>VLOOKUP(MID(表1_11[[#This Row],[工资等级]],1,1),表12[],MATCH(MID(表1_11[[#This Row],[工资等级]],2,2),表12[[#Headers],[1]:[10]],0)+1,0)</f>
        <v>2700</v>
      </c>
      <c r="J360" s="5">
        <v>26</v>
      </c>
      <c r="K360" s="27">
        <v>1.0833333333333333</v>
      </c>
      <c r="L360" s="37">
        <f>IF(表1_11[[#This Row],[出勤率]]&gt;1,1,表1_11[[#This Row],[出勤率]])*表1_11[[#This Row],[岗位工资]]</f>
        <v>2700</v>
      </c>
      <c r="M360" s="5">
        <f>LOOKUP(表1_11[[#This Row],[岗位工资]],表13[lookup],表13[奖金比率])*表1_11[[#This Row],[岗位工资]]</f>
        <v>270</v>
      </c>
      <c r="N360" s="5">
        <v>94</v>
      </c>
      <c r="O360" s="38">
        <f>表1_11[[#This Row],[奖金等级]]*表1_11[[#This Row],[绩效得分]]/100</f>
        <v>253.8</v>
      </c>
      <c r="P360" s="5">
        <f>IF(表1_11[[#This Row],[出勤率]]&gt;=1,200,0)</f>
        <v>200</v>
      </c>
      <c r="Q360" s="23">
        <f t="shared" ca="1" si="5"/>
        <v>200</v>
      </c>
      <c r="R360" s="23">
        <f>IF(表1_11[[#This Row],[中心]]="营销中心",VLOOKUP(表1_11[[#This Row],[职位]],表2[[话费补贴]:[营销中心]],2,0),VLOOKUP(表1_11[[#This Row],[职位]],表2[],3,0))</f>
        <v>0</v>
      </c>
      <c r="S360" s="23">
        <v>200</v>
      </c>
      <c r="T360" s="61">
        <f ca="1">ROUND(SUM(表1_11[[#This Row],[基本工资]],表1_11[[#This Row],[奖金]],表1_11[[#This Row],[全勤奖]:[防暑降温补贴]]),2)</f>
        <v>3553.8</v>
      </c>
      <c r="U360" s="62">
        <f ca="1">ROUND(表1_11[[#This Row],[税前应发总额]]*8%,2)</f>
        <v>284.3</v>
      </c>
      <c r="V360" s="62">
        <f ca="1">ROUND(表1_11[[#This Row],[税前应发总额]]*2%+3,2)</f>
        <v>74.08</v>
      </c>
      <c r="W360" s="62">
        <f ca="1">ROUND(表1_11[[#This Row],[税前应发总额]]*0.2%,2)</f>
        <v>7.11</v>
      </c>
      <c r="X360" s="62">
        <f ca="1">ROUND(表1_11[[#This Row],[税前应发总额]]*12%,2)</f>
        <v>426.46</v>
      </c>
      <c r="Y360" s="61">
        <f ca="1">ROUND(表1_11[[#This Row],[税前应发总额]]-SUM(表1_11[[#This Row],[养老保险]:[公积金]]),2)</f>
        <v>2761.85</v>
      </c>
      <c r="Z360" s="62">
        <f ca="1">ROUND(MAX((表1_11[[#This Row],[扣保险后工资金额]]-3500)*{3,10,20,25,30,35,45}%-{0,105,555,1005,2755,5505,13505},0),2)</f>
        <v>0</v>
      </c>
      <c r="AA360" s="63">
        <f ca="1">表1_11[[#This Row],[扣保险后工资金额]]-表1_11[[#This Row],[个人所得税]]</f>
        <v>2761.85</v>
      </c>
      <c r="AB360" s="53">
        <v>2307.37</v>
      </c>
      <c r="AC360" s="64">
        <f ca="1">(表1_11[[#This Row],[实发工资]]-表1_11[[#This Row],[上月对比]])/表1_11[[#This Row],[上月对比]]</f>
        <v>0.19696884331511635</v>
      </c>
      <c r="AD360" s="65" t="s">
        <v>1587</v>
      </c>
    </row>
    <row r="361" spans="1:30">
      <c r="A361" s="42" t="s">
        <v>577</v>
      </c>
      <c r="B361" s="42" t="s">
        <v>774</v>
      </c>
      <c r="C361" s="40" t="s">
        <v>599</v>
      </c>
      <c r="D361" s="40" t="s">
        <v>626</v>
      </c>
      <c r="E361" s="41" t="s">
        <v>1371</v>
      </c>
      <c r="F361" s="5" t="s">
        <v>357</v>
      </c>
      <c r="G361" s="25">
        <v>38406</v>
      </c>
      <c r="H361" s="5" t="s">
        <v>615</v>
      </c>
      <c r="I361" s="5">
        <f>VLOOKUP(MID(表1_11[[#This Row],[工资等级]],1,1),表12[],MATCH(MID(表1_11[[#This Row],[工资等级]],2,2),表12[[#Headers],[1]:[10]],0)+1,0)</f>
        <v>3200</v>
      </c>
      <c r="J361" s="5">
        <v>22.5</v>
      </c>
      <c r="K361" s="27">
        <v>0.9375</v>
      </c>
      <c r="L361" s="37">
        <f>IF(表1_11[[#This Row],[出勤率]]&gt;1,1,表1_11[[#This Row],[出勤率]])*表1_11[[#This Row],[岗位工资]]</f>
        <v>3000</v>
      </c>
      <c r="M361" s="5">
        <f>LOOKUP(表1_11[[#This Row],[岗位工资]],表13[lookup],表13[奖金比率])*表1_11[[#This Row],[岗位工资]]</f>
        <v>320</v>
      </c>
      <c r="N361" s="5">
        <v>97</v>
      </c>
      <c r="O361" s="38">
        <f>表1_11[[#This Row],[奖金等级]]*表1_11[[#This Row],[绩效得分]]/100</f>
        <v>310.39999999999998</v>
      </c>
      <c r="P361" s="5">
        <f>IF(表1_11[[#This Row],[出勤率]]&gt;=1,200,0)</f>
        <v>0</v>
      </c>
      <c r="Q361" s="23">
        <f t="shared" ca="1" si="5"/>
        <v>500</v>
      </c>
      <c r="R361" s="23">
        <f>IF(表1_11[[#This Row],[中心]]="营销中心",VLOOKUP(表1_11[[#This Row],[职位]],表2[[话费补贴]:[营销中心]],2,0),VLOOKUP(表1_11[[#This Row],[职位]],表2[],3,0))</f>
        <v>0</v>
      </c>
      <c r="S361" s="23">
        <v>200</v>
      </c>
      <c r="T361" s="61">
        <f ca="1">ROUND(SUM(表1_11[[#This Row],[基本工资]],表1_11[[#This Row],[奖金]],表1_11[[#This Row],[全勤奖]:[防暑降温补贴]]),2)</f>
        <v>4010.4</v>
      </c>
      <c r="U361" s="62">
        <f ca="1">ROUND(表1_11[[#This Row],[税前应发总额]]*8%,2)</f>
        <v>320.83</v>
      </c>
      <c r="V361" s="62">
        <f ca="1">ROUND(表1_11[[#This Row],[税前应发总额]]*2%+3,2)</f>
        <v>83.21</v>
      </c>
      <c r="W361" s="62">
        <f ca="1">ROUND(表1_11[[#This Row],[税前应发总额]]*0.2%,2)</f>
        <v>8.02</v>
      </c>
      <c r="X361" s="62">
        <f ca="1">ROUND(表1_11[[#This Row],[税前应发总额]]*12%,2)</f>
        <v>481.25</v>
      </c>
      <c r="Y361" s="61">
        <f ca="1">ROUND(表1_11[[#This Row],[税前应发总额]]-SUM(表1_11[[#This Row],[养老保险]:[公积金]]),2)</f>
        <v>3117.09</v>
      </c>
      <c r="Z361" s="62">
        <f ca="1">ROUND(MAX((表1_11[[#This Row],[扣保险后工资金额]]-3500)*{3,10,20,25,30,35,45}%-{0,105,555,1005,2755,5505,13505},0),2)</f>
        <v>0</v>
      </c>
      <c r="AA361" s="63">
        <f ca="1">表1_11[[#This Row],[扣保险后工资金额]]-表1_11[[#This Row],[个人所得税]]</f>
        <v>3117.09</v>
      </c>
      <c r="AB361" s="53">
        <v>3218.3</v>
      </c>
      <c r="AC361" s="64">
        <f ca="1">(表1_11[[#This Row],[实发工资]]-表1_11[[#This Row],[上月对比]])/表1_11[[#This Row],[上月对比]]</f>
        <v>-3.1448280147904184E-2</v>
      </c>
      <c r="AD361" s="65" t="s">
        <v>1587</v>
      </c>
    </row>
    <row r="362" spans="1:30">
      <c r="A362" s="42" t="s">
        <v>577</v>
      </c>
      <c r="B362" s="42" t="s">
        <v>783</v>
      </c>
      <c r="C362" s="40" t="s">
        <v>784</v>
      </c>
      <c r="D362" s="40" t="s">
        <v>785</v>
      </c>
      <c r="E362" s="41" t="s">
        <v>1372</v>
      </c>
      <c r="F362" s="5" t="s">
        <v>358</v>
      </c>
      <c r="G362" s="25">
        <v>41689</v>
      </c>
      <c r="H362" s="5" t="s">
        <v>657</v>
      </c>
      <c r="I362" s="5">
        <f>VLOOKUP(MID(表1_11[[#This Row],[工资等级]],1,1),表12[],MATCH(MID(表1_11[[#This Row],[工资等级]],2,2),表12[[#Headers],[1]:[10]],0)+1,0)</f>
        <v>4000</v>
      </c>
      <c r="J362" s="5">
        <v>27.5</v>
      </c>
      <c r="K362" s="27">
        <v>1.1458333333333333</v>
      </c>
      <c r="L362" s="37">
        <f>IF(表1_11[[#This Row],[出勤率]]&gt;1,1,表1_11[[#This Row],[出勤率]])*表1_11[[#This Row],[岗位工资]]</f>
        <v>4000</v>
      </c>
      <c r="M362" s="5">
        <f>LOOKUP(表1_11[[#This Row],[岗位工资]],表13[lookup],表13[奖金比率])*表1_11[[#This Row],[岗位工资]]</f>
        <v>600</v>
      </c>
      <c r="N362" s="5">
        <v>83</v>
      </c>
      <c r="O362" s="38">
        <f>表1_11[[#This Row],[奖金等级]]*表1_11[[#This Row],[绩效得分]]/100</f>
        <v>498</v>
      </c>
      <c r="P362" s="5">
        <f>IF(表1_11[[#This Row],[出勤率]]&gt;=1,200,0)</f>
        <v>200</v>
      </c>
      <c r="Q362" s="23">
        <f t="shared" ca="1" si="5"/>
        <v>200</v>
      </c>
      <c r="R362" s="23">
        <f>IF(表1_11[[#This Row],[中心]]="营销中心",VLOOKUP(表1_11[[#This Row],[职位]],表2[[话费补贴]:[营销中心]],2,0),VLOOKUP(表1_11[[#This Row],[职位]],表2[],3,0))</f>
        <v>0</v>
      </c>
      <c r="S362" s="23">
        <v>200</v>
      </c>
      <c r="T362" s="61">
        <f ca="1">ROUND(SUM(表1_11[[#This Row],[基本工资]],表1_11[[#This Row],[奖金]],表1_11[[#This Row],[全勤奖]:[防暑降温补贴]]),2)</f>
        <v>5098</v>
      </c>
      <c r="U362" s="62">
        <f ca="1">ROUND(表1_11[[#This Row],[税前应发总额]]*8%,2)</f>
        <v>407.84</v>
      </c>
      <c r="V362" s="62">
        <f ca="1">ROUND(表1_11[[#This Row],[税前应发总额]]*2%+3,2)</f>
        <v>104.96</v>
      </c>
      <c r="W362" s="62">
        <f ca="1">ROUND(表1_11[[#This Row],[税前应发总额]]*0.2%,2)</f>
        <v>10.199999999999999</v>
      </c>
      <c r="X362" s="62">
        <f ca="1">ROUND(表1_11[[#This Row],[税前应发总额]]*12%,2)</f>
        <v>611.76</v>
      </c>
      <c r="Y362" s="61">
        <f ca="1">ROUND(表1_11[[#This Row],[税前应发总额]]-SUM(表1_11[[#This Row],[养老保险]:[公积金]]),2)</f>
        <v>3963.24</v>
      </c>
      <c r="Z362" s="62">
        <f ca="1">ROUND(MAX((表1_11[[#This Row],[扣保险后工资金额]]-3500)*{3,10,20,25,30,35,45}%-{0,105,555,1005,2755,5505,13505},0),2)</f>
        <v>13.9</v>
      </c>
      <c r="AA362" s="63">
        <f ca="1">表1_11[[#This Row],[扣保险后工资金额]]-表1_11[[#This Row],[个人所得税]]</f>
        <v>3949.3399999999997</v>
      </c>
      <c r="AB362" s="53">
        <v>4406.3599999999997</v>
      </c>
      <c r="AC362" s="64">
        <f ca="1">(表1_11[[#This Row],[实发工资]]-表1_11[[#This Row],[上月对比]])/表1_11[[#This Row],[上月对比]]</f>
        <v>-0.1037182617852377</v>
      </c>
      <c r="AD362" s="65" t="s">
        <v>1587</v>
      </c>
    </row>
    <row r="363" spans="1:30">
      <c r="A363" s="42" t="s">
        <v>577</v>
      </c>
      <c r="B363" s="42" t="s">
        <v>783</v>
      </c>
      <c r="C363" s="40" t="s">
        <v>784</v>
      </c>
      <c r="D363" s="40" t="s">
        <v>785</v>
      </c>
      <c r="E363" s="41" t="s">
        <v>1373</v>
      </c>
      <c r="F363" s="5" t="s">
        <v>359</v>
      </c>
      <c r="G363" s="25">
        <v>40516</v>
      </c>
      <c r="H363" s="5" t="s">
        <v>657</v>
      </c>
      <c r="I363" s="5">
        <f>VLOOKUP(MID(表1_11[[#This Row],[工资等级]],1,1),表12[],MATCH(MID(表1_11[[#This Row],[工资等级]],2,2),表12[[#Headers],[1]:[10]],0)+1,0)</f>
        <v>4000</v>
      </c>
      <c r="J363" s="5">
        <v>22</v>
      </c>
      <c r="K363" s="27">
        <v>0.91666666666666663</v>
      </c>
      <c r="L363" s="37">
        <f>IF(表1_11[[#This Row],[出勤率]]&gt;1,1,表1_11[[#This Row],[出勤率]])*表1_11[[#This Row],[岗位工资]]</f>
        <v>3666.6666666666665</v>
      </c>
      <c r="M363" s="5">
        <f>LOOKUP(表1_11[[#This Row],[岗位工资]],表13[lookup],表13[奖金比率])*表1_11[[#This Row],[岗位工资]]</f>
        <v>600</v>
      </c>
      <c r="N363" s="5">
        <v>85</v>
      </c>
      <c r="O363" s="38">
        <f>表1_11[[#This Row],[奖金等级]]*表1_11[[#This Row],[绩效得分]]/100</f>
        <v>510</v>
      </c>
      <c r="P363" s="5">
        <f>IF(表1_11[[#This Row],[出勤率]]&gt;=1,200,0)</f>
        <v>0</v>
      </c>
      <c r="Q363" s="23">
        <f t="shared" ca="1" si="5"/>
        <v>350</v>
      </c>
      <c r="R363" s="23">
        <f>IF(表1_11[[#This Row],[中心]]="营销中心",VLOOKUP(表1_11[[#This Row],[职位]],表2[[话费补贴]:[营销中心]],2,0),VLOOKUP(表1_11[[#This Row],[职位]],表2[],3,0))</f>
        <v>0</v>
      </c>
      <c r="S363" s="23">
        <v>200</v>
      </c>
      <c r="T363" s="61">
        <f ca="1">ROUND(SUM(表1_11[[#This Row],[基本工资]],表1_11[[#This Row],[奖金]],表1_11[[#This Row],[全勤奖]:[防暑降温补贴]]),2)</f>
        <v>4726.67</v>
      </c>
      <c r="U363" s="62">
        <f ca="1">ROUND(表1_11[[#This Row],[税前应发总额]]*8%,2)</f>
        <v>378.13</v>
      </c>
      <c r="V363" s="62">
        <f ca="1">ROUND(表1_11[[#This Row],[税前应发总额]]*2%+3,2)</f>
        <v>97.53</v>
      </c>
      <c r="W363" s="62">
        <f ca="1">ROUND(表1_11[[#This Row],[税前应发总额]]*0.2%,2)</f>
        <v>9.4499999999999993</v>
      </c>
      <c r="X363" s="62">
        <f ca="1">ROUND(表1_11[[#This Row],[税前应发总额]]*12%,2)</f>
        <v>567.20000000000005</v>
      </c>
      <c r="Y363" s="61">
        <f ca="1">ROUND(表1_11[[#This Row],[税前应发总额]]-SUM(表1_11[[#This Row],[养老保险]:[公积金]]),2)</f>
        <v>3674.36</v>
      </c>
      <c r="Z363" s="62">
        <f ca="1">ROUND(MAX((表1_11[[#This Row],[扣保险后工资金额]]-3500)*{3,10,20,25,30,35,45}%-{0,105,555,1005,2755,5505,13505},0),2)</f>
        <v>5.23</v>
      </c>
      <c r="AA363" s="63">
        <f ca="1">表1_11[[#This Row],[扣保险后工资金额]]-表1_11[[#This Row],[个人所得税]]</f>
        <v>3669.13</v>
      </c>
      <c r="AB363" s="53">
        <v>3658.56</v>
      </c>
      <c r="AC363" s="64">
        <f ca="1">(表1_11[[#This Row],[实发工资]]-表1_11[[#This Row],[上月对比]])/表1_11[[#This Row],[上月对比]]</f>
        <v>2.8891148429983828E-3</v>
      </c>
      <c r="AD363" s="65" t="s">
        <v>1587</v>
      </c>
    </row>
    <row r="364" spans="1:30">
      <c r="A364" s="42" t="s">
        <v>577</v>
      </c>
      <c r="B364" s="42" t="s">
        <v>783</v>
      </c>
      <c r="C364" s="40" t="s">
        <v>784</v>
      </c>
      <c r="D364" s="40" t="s">
        <v>785</v>
      </c>
      <c r="E364" s="41" t="s">
        <v>1374</v>
      </c>
      <c r="F364" s="5" t="s">
        <v>360</v>
      </c>
      <c r="G364" s="25">
        <v>41627</v>
      </c>
      <c r="H364" s="5" t="s">
        <v>610</v>
      </c>
      <c r="I364" s="5">
        <f>VLOOKUP(MID(表1_11[[#This Row],[工资等级]],1,1),表12[],MATCH(MID(表1_11[[#This Row],[工资等级]],2,2),表12[[#Headers],[1]:[10]],0)+1,0)</f>
        <v>3400</v>
      </c>
      <c r="J364" s="5">
        <v>27</v>
      </c>
      <c r="K364" s="27">
        <v>1.125</v>
      </c>
      <c r="L364" s="37">
        <f>IF(表1_11[[#This Row],[出勤率]]&gt;1,1,表1_11[[#This Row],[出勤率]])*表1_11[[#This Row],[岗位工资]]</f>
        <v>3400</v>
      </c>
      <c r="M364" s="5">
        <f>LOOKUP(表1_11[[#This Row],[岗位工资]],表13[lookup],表13[奖金比率])*表1_11[[#This Row],[岗位工资]]</f>
        <v>340</v>
      </c>
      <c r="N364" s="5">
        <v>83</v>
      </c>
      <c r="O364" s="38">
        <f>表1_11[[#This Row],[奖金等级]]*表1_11[[#This Row],[绩效得分]]/100</f>
        <v>282.2</v>
      </c>
      <c r="P364" s="5">
        <f>IF(表1_11[[#This Row],[出勤率]]&gt;=1,200,0)</f>
        <v>200</v>
      </c>
      <c r="Q364" s="23">
        <f t="shared" ca="1" si="5"/>
        <v>200</v>
      </c>
      <c r="R364" s="23">
        <f>IF(表1_11[[#This Row],[中心]]="营销中心",VLOOKUP(表1_11[[#This Row],[职位]],表2[[话费补贴]:[营销中心]],2,0),VLOOKUP(表1_11[[#This Row],[职位]],表2[],3,0))</f>
        <v>0</v>
      </c>
      <c r="S364" s="23">
        <v>200</v>
      </c>
      <c r="T364" s="61">
        <f ca="1">ROUND(SUM(表1_11[[#This Row],[基本工资]],表1_11[[#This Row],[奖金]],表1_11[[#This Row],[全勤奖]:[防暑降温补贴]]),2)</f>
        <v>4282.2</v>
      </c>
      <c r="U364" s="62">
        <f ca="1">ROUND(表1_11[[#This Row],[税前应发总额]]*8%,2)</f>
        <v>342.58</v>
      </c>
      <c r="V364" s="62">
        <f ca="1">ROUND(表1_11[[#This Row],[税前应发总额]]*2%+3,2)</f>
        <v>88.64</v>
      </c>
      <c r="W364" s="62">
        <f ca="1">ROUND(表1_11[[#This Row],[税前应发总额]]*0.2%,2)</f>
        <v>8.56</v>
      </c>
      <c r="X364" s="62">
        <f ca="1">ROUND(表1_11[[#This Row],[税前应发总额]]*12%,2)</f>
        <v>513.86</v>
      </c>
      <c r="Y364" s="61">
        <f ca="1">ROUND(表1_11[[#This Row],[税前应发总额]]-SUM(表1_11[[#This Row],[养老保险]:[公积金]]),2)</f>
        <v>3328.56</v>
      </c>
      <c r="Z364" s="62">
        <f ca="1">ROUND(MAX((表1_11[[#This Row],[扣保险后工资金额]]-3500)*{3,10,20,25,30,35,45}%-{0,105,555,1005,2755,5505,13505},0),2)</f>
        <v>0</v>
      </c>
      <c r="AA364" s="63">
        <f ca="1">表1_11[[#This Row],[扣保险后工资金额]]-表1_11[[#This Row],[个人所得税]]</f>
        <v>3328.56</v>
      </c>
      <c r="AB364" s="53">
        <v>3054.45</v>
      </c>
      <c r="AC364" s="64">
        <f ca="1">(表1_11[[#This Row],[实发工资]]-表1_11[[#This Row],[上月对比]])/表1_11[[#This Row],[上月对比]]</f>
        <v>8.9741197269557579E-2</v>
      </c>
      <c r="AD364" s="65" t="s">
        <v>1587</v>
      </c>
    </row>
    <row r="365" spans="1:30">
      <c r="A365" s="42" t="s">
        <v>577</v>
      </c>
      <c r="B365" s="42" t="s">
        <v>783</v>
      </c>
      <c r="C365" s="40" t="s">
        <v>784</v>
      </c>
      <c r="D365" s="40" t="s">
        <v>785</v>
      </c>
      <c r="E365" s="41" t="s">
        <v>1375</v>
      </c>
      <c r="F365" s="5" t="s">
        <v>361</v>
      </c>
      <c r="G365" s="25">
        <v>38936</v>
      </c>
      <c r="H365" s="5" t="s">
        <v>624</v>
      </c>
      <c r="I365" s="5">
        <f>VLOOKUP(MID(表1_11[[#This Row],[工资等级]],1,1),表12[],MATCH(MID(表1_11[[#This Row],[工资等级]],2,2),表12[[#Headers],[1]:[10]],0)+1,0)</f>
        <v>2800</v>
      </c>
      <c r="J365" s="5">
        <v>24</v>
      </c>
      <c r="K365" s="27">
        <v>1</v>
      </c>
      <c r="L365" s="37">
        <f>IF(表1_11[[#This Row],[出勤率]]&gt;1,1,表1_11[[#This Row],[出勤率]])*表1_11[[#This Row],[岗位工资]]</f>
        <v>2800</v>
      </c>
      <c r="M365" s="5">
        <f>LOOKUP(表1_11[[#This Row],[岗位工资]],表13[lookup],表13[奖金比率])*表1_11[[#This Row],[岗位工资]]</f>
        <v>280</v>
      </c>
      <c r="N365" s="5">
        <v>82</v>
      </c>
      <c r="O365" s="38">
        <f>表1_11[[#This Row],[奖金等级]]*表1_11[[#This Row],[绩效得分]]/100</f>
        <v>229.6</v>
      </c>
      <c r="P365" s="5">
        <f>IF(表1_11[[#This Row],[出勤率]]&gt;=1,200,0)</f>
        <v>200</v>
      </c>
      <c r="Q365" s="23">
        <f t="shared" ca="1" si="5"/>
        <v>500</v>
      </c>
      <c r="R365" s="23">
        <f>IF(表1_11[[#This Row],[中心]]="营销中心",VLOOKUP(表1_11[[#This Row],[职位]],表2[[话费补贴]:[营销中心]],2,0),VLOOKUP(表1_11[[#This Row],[职位]],表2[],3,0))</f>
        <v>0</v>
      </c>
      <c r="S365" s="23">
        <v>200</v>
      </c>
      <c r="T365" s="61">
        <f ca="1">ROUND(SUM(表1_11[[#This Row],[基本工资]],表1_11[[#This Row],[奖金]],表1_11[[#This Row],[全勤奖]:[防暑降温补贴]]),2)</f>
        <v>3929.6</v>
      </c>
      <c r="U365" s="62">
        <f ca="1">ROUND(表1_11[[#This Row],[税前应发总额]]*8%,2)</f>
        <v>314.37</v>
      </c>
      <c r="V365" s="62">
        <f ca="1">ROUND(表1_11[[#This Row],[税前应发总额]]*2%+3,2)</f>
        <v>81.59</v>
      </c>
      <c r="W365" s="62">
        <f ca="1">ROUND(表1_11[[#This Row],[税前应发总额]]*0.2%,2)</f>
        <v>7.86</v>
      </c>
      <c r="X365" s="62">
        <f ca="1">ROUND(表1_11[[#This Row],[税前应发总额]]*12%,2)</f>
        <v>471.55</v>
      </c>
      <c r="Y365" s="61">
        <f ca="1">ROUND(表1_11[[#This Row],[税前应发总额]]-SUM(表1_11[[#This Row],[养老保险]:[公积金]]),2)</f>
        <v>3054.23</v>
      </c>
      <c r="Z365" s="62">
        <f ca="1">ROUND(MAX((表1_11[[#This Row],[扣保险后工资金额]]-3500)*{3,10,20,25,30,35,45}%-{0,105,555,1005,2755,5505,13505},0),2)</f>
        <v>0</v>
      </c>
      <c r="AA365" s="63">
        <f ca="1">表1_11[[#This Row],[扣保险后工资金额]]-表1_11[[#This Row],[个人所得税]]</f>
        <v>3054.23</v>
      </c>
      <c r="AB365" s="53">
        <v>2805.88</v>
      </c>
      <c r="AC365" s="64">
        <f ca="1">(表1_11[[#This Row],[实发工资]]-表1_11[[#This Row],[上月对比]])/表1_11[[#This Row],[上月对比]]</f>
        <v>8.8510556402982277E-2</v>
      </c>
      <c r="AD365" s="65" t="s">
        <v>1587</v>
      </c>
    </row>
    <row r="366" spans="1:30">
      <c r="A366" s="42" t="s">
        <v>577</v>
      </c>
      <c r="B366" s="42" t="s">
        <v>786</v>
      </c>
      <c r="C366" s="40" t="s">
        <v>787</v>
      </c>
      <c r="D366" s="40" t="s">
        <v>788</v>
      </c>
      <c r="E366" s="41" t="s">
        <v>1376</v>
      </c>
      <c r="F366" s="5" t="s">
        <v>362</v>
      </c>
      <c r="G366" s="25">
        <v>40075</v>
      </c>
      <c r="H366" s="5" t="s">
        <v>615</v>
      </c>
      <c r="I366" s="5">
        <f>VLOOKUP(MID(表1_11[[#This Row],[工资等级]],1,1),表12[],MATCH(MID(表1_11[[#This Row],[工资等级]],2,2),表12[[#Headers],[1]:[10]],0)+1,0)</f>
        <v>3200</v>
      </c>
      <c r="J366" s="5">
        <v>25.5</v>
      </c>
      <c r="K366" s="27">
        <v>1.0625</v>
      </c>
      <c r="L366" s="37">
        <f>IF(表1_11[[#This Row],[出勤率]]&gt;1,1,表1_11[[#This Row],[出勤率]])*表1_11[[#This Row],[岗位工资]]</f>
        <v>3200</v>
      </c>
      <c r="M366" s="5">
        <f>LOOKUP(表1_11[[#This Row],[岗位工资]],表13[lookup],表13[奖金比率])*表1_11[[#This Row],[岗位工资]]</f>
        <v>320</v>
      </c>
      <c r="N366" s="5">
        <v>82</v>
      </c>
      <c r="O366" s="38">
        <f>表1_11[[#This Row],[奖金等级]]*表1_11[[#This Row],[绩效得分]]/100</f>
        <v>262.39999999999998</v>
      </c>
      <c r="P366" s="5">
        <f>IF(表1_11[[#This Row],[出勤率]]&gt;=1,200,0)</f>
        <v>200</v>
      </c>
      <c r="Q366" s="23">
        <f t="shared" ca="1" si="5"/>
        <v>400</v>
      </c>
      <c r="R366" s="23">
        <f>IF(表1_11[[#This Row],[中心]]="营销中心",VLOOKUP(表1_11[[#This Row],[职位]],表2[[话费补贴]:[营销中心]],2,0),VLOOKUP(表1_11[[#This Row],[职位]],表2[],3,0))</f>
        <v>0</v>
      </c>
      <c r="S366" s="23">
        <v>200</v>
      </c>
      <c r="T366" s="61">
        <f ca="1">ROUND(SUM(表1_11[[#This Row],[基本工资]],表1_11[[#This Row],[奖金]],表1_11[[#This Row],[全勤奖]:[防暑降温补贴]]),2)</f>
        <v>4262.3999999999996</v>
      </c>
      <c r="U366" s="62">
        <f ca="1">ROUND(表1_11[[#This Row],[税前应发总额]]*8%,2)</f>
        <v>340.99</v>
      </c>
      <c r="V366" s="62">
        <f ca="1">ROUND(表1_11[[#This Row],[税前应发总额]]*2%+3,2)</f>
        <v>88.25</v>
      </c>
      <c r="W366" s="62">
        <f ca="1">ROUND(表1_11[[#This Row],[税前应发总额]]*0.2%,2)</f>
        <v>8.52</v>
      </c>
      <c r="X366" s="62">
        <f ca="1">ROUND(表1_11[[#This Row],[税前应发总额]]*12%,2)</f>
        <v>511.49</v>
      </c>
      <c r="Y366" s="61">
        <f ca="1">ROUND(表1_11[[#This Row],[税前应发总额]]-SUM(表1_11[[#This Row],[养老保险]:[公积金]]),2)</f>
        <v>3313.15</v>
      </c>
      <c r="Z366" s="62">
        <f ca="1">ROUND(MAX((表1_11[[#This Row],[扣保险后工资金额]]-3500)*{3,10,20,25,30,35,45}%-{0,105,555,1005,2755,5505,13505},0),2)</f>
        <v>0</v>
      </c>
      <c r="AA366" s="63">
        <f ca="1">表1_11[[#This Row],[扣保险后工资金额]]-表1_11[[#This Row],[个人所得税]]</f>
        <v>3313.15</v>
      </c>
      <c r="AB366" s="53">
        <v>3728.03</v>
      </c>
      <c r="AC366" s="64">
        <f ca="1">(表1_11[[#This Row],[实发工资]]-表1_11[[#This Row],[上月对比]])/表1_11[[#This Row],[上月对比]]</f>
        <v>-0.11128665810092732</v>
      </c>
      <c r="AD366" s="65" t="s">
        <v>1587</v>
      </c>
    </row>
    <row r="367" spans="1:30">
      <c r="A367" s="42" t="s">
        <v>577</v>
      </c>
      <c r="B367" s="42" t="s">
        <v>783</v>
      </c>
      <c r="C367" s="40" t="s">
        <v>784</v>
      </c>
      <c r="D367" s="40" t="s">
        <v>785</v>
      </c>
      <c r="E367" s="41" t="s">
        <v>1377</v>
      </c>
      <c r="F367" s="5" t="s">
        <v>363</v>
      </c>
      <c r="G367" s="25">
        <v>38836</v>
      </c>
      <c r="H367" s="5" t="s">
        <v>618</v>
      </c>
      <c r="I367" s="5">
        <f>VLOOKUP(MID(表1_11[[#This Row],[工资等级]],1,1),表12[],MATCH(MID(表1_11[[#This Row],[工资等级]],2,2),表12[[#Headers],[1]:[10]],0)+1,0)</f>
        <v>3000</v>
      </c>
      <c r="J367" s="5">
        <v>22</v>
      </c>
      <c r="K367" s="27">
        <v>0.91666666666666663</v>
      </c>
      <c r="L367" s="37">
        <f>IF(表1_11[[#This Row],[出勤率]]&gt;1,1,表1_11[[#This Row],[出勤率]])*表1_11[[#This Row],[岗位工资]]</f>
        <v>2750</v>
      </c>
      <c r="M367" s="5">
        <f>LOOKUP(表1_11[[#This Row],[岗位工资]],表13[lookup],表13[奖金比率])*表1_11[[#This Row],[岗位工资]]</f>
        <v>300</v>
      </c>
      <c r="N367" s="5">
        <v>95</v>
      </c>
      <c r="O367" s="38">
        <f>表1_11[[#This Row],[奖金等级]]*表1_11[[#This Row],[绩效得分]]/100</f>
        <v>285</v>
      </c>
      <c r="P367" s="5">
        <f>IF(表1_11[[#This Row],[出勤率]]&gt;=1,200,0)</f>
        <v>0</v>
      </c>
      <c r="Q367" s="23">
        <f t="shared" ca="1" si="5"/>
        <v>500</v>
      </c>
      <c r="R367" s="23">
        <f>IF(表1_11[[#This Row],[中心]]="营销中心",VLOOKUP(表1_11[[#This Row],[职位]],表2[[话费补贴]:[营销中心]],2,0),VLOOKUP(表1_11[[#This Row],[职位]],表2[],3,0))</f>
        <v>0</v>
      </c>
      <c r="S367" s="23">
        <v>200</v>
      </c>
      <c r="T367" s="61">
        <f ca="1">ROUND(SUM(表1_11[[#This Row],[基本工资]],表1_11[[#This Row],[奖金]],表1_11[[#This Row],[全勤奖]:[防暑降温补贴]]),2)</f>
        <v>3735</v>
      </c>
      <c r="U367" s="62">
        <f ca="1">ROUND(表1_11[[#This Row],[税前应发总额]]*8%,2)</f>
        <v>298.8</v>
      </c>
      <c r="V367" s="62">
        <f ca="1">ROUND(表1_11[[#This Row],[税前应发总额]]*2%+3,2)</f>
        <v>77.7</v>
      </c>
      <c r="W367" s="62">
        <f ca="1">ROUND(表1_11[[#This Row],[税前应发总额]]*0.2%,2)</f>
        <v>7.47</v>
      </c>
      <c r="X367" s="62">
        <f ca="1">ROUND(表1_11[[#This Row],[税前应发总额]]*12%,2)</f>
        <v>448.2</v>
      </c>
      <c r="Y367" s="61">
        <f ca="1">ROUND(表1_11[[#This Row],[税前应发总额]]-SUM(表1_11[[#This Row],[养老保险]:[公积金]]),2)</f>
        <v>2902.83</v>
      </c>
      <c r="Z367" s="62">
        <f ca="1">ROUND(MAX((表1_11[[#This Row],[扣保险后工资金额]]-3500)*{3,10,20,25,30,35,45}%-{0,105,555,1005,2755,5505,13505},0),2)</f>
        <v>0</v>
      </c>
      <c r="AA367" s="63">
        <f ca="1">表1_11[[#This Row],[扣保险后工资金额]]-表1_11[[#This Row],[个人所得税]]</f>
        <v>2902.83</v>
      </c>
      <c r="AB367" s="53">
        <v>3102.29</v>
      </c>
      <c r="AC367" s="64">
        <f ca="1">(表1_11[[#This Row],[实发工资]]-表1_11[[#This Row],[上月对比]])/表1_11[[#This Row],[上月对比]]</f>
        <v>-6.4294440558426202E-2</v>
      </c>
      <c r="AD367" s="65" t="s">
        <v>1587</v>
      </c>
    </row>
    <row r="368" spans="1:30">
      <c r="A368" s="42" t="s">
        <v>577</v>
      </c>
      <c r="B368" s="42" t="s">
        <v>786</v>
      </c>
      <c r="C368" s="40" t="s">
        <v>787</v>
      </c>
      <c r="D368" s="40" t="s">
        <v>788</v>
      </c>
      <c r="E368" s="41" t="s">
        <v>1378</v>
      </c>
      <c r="F368" s="5" t="s">
        <v>364</v>
      </c>
      <c r="G368" s="25">
        <v>42094</v>
      </c>
      <c r="H368" s="5" t="s">
        <v>615</v>
      </c>
      <c r="I368" s="5">
        <f>VLOOKUP(MID(表1_11[[#This Row],[工资等级]],1,1),表12[],MATCH(MID(表1_11[[#This Row],[工资等级]],2,2),表12[[#Headers],[1]:[10]],0)+1,0)</f>
        <v>3200</v>
      </c>
      <c r="J368" s="5">
        <v>26</v>
      </c>
      <c r="K368" s="27">
        <v>1.0833333333333333</v>
      </c>
      <c r="L368" s="37">
        <f>IF(表1_11[[#This Row],[出勤率]]&gt;1,1,表1_11[[#This Row],[出勤率]])*表1_11[[#This Row],[岗位工资]]</f>
        <v>3200</v>
      </c>
      <c r="M368" s="5">
        <f>LOOKUP(表1_11[[#This Row],[岗位工资]],表13[lookup],表13[奖金比率])*表1_11[[#This Row],[岗位工资]]</f>
        <v>320</v>
      </c>
      <c r="N368" s="5">
        <v>82</v>
      </c>
      <c r="O368" s="38">
        <f>表1_11[[#This Row],[奖金等级]]*表1_11[[#This Row],[绩效得分]]/100</f>
        <v>262.39999999999998</v>
      </c>
      <c r="P368" s="5">
        <f>IF(表1_11[[#This Row],[出勤率]]&gt;=1,200,0)</f>
        <v>200</v>
      </c>
      <c r="Q368" s="23">
        <f t="shared" ca="1" si="5"/>
        <v>100</v>
      </c>
      <c r="R368" s="23">
        <f>IF(表1_11[[#This Row],[中心]]="营销中心",VLOOKUP(表1_11[[#This Row],[职位]],表2[[话费补贴]:[营销中心]],2,0),VLOOKUP(表1_11[[#This Row],[职位]],表2[],3,0))</f>
        <v>0</v>
      </c>
      <c r="S368" s="23">
        <v>200</v>
      </c>
      <c r="T368" s="61">
        <f ca="1">ROUND(SUM(表1_11[[#This Row],[基本工资]],表1_11[[#This Row],[奖金]],表1_11[[#This Row],[全勤奖]:[防暑降温补贴]]),2)</f>
        <v>3962.4</v>
      </c>
      <c r="U368" s="62">
        <f ca="1">ROUND(表1_11[[#This Row],[税前应发总额]]*8%,2)</f>
        <v>316.99</v>
      </c>
      <c r="V368" s="62">
        <f ca="1">ROUND(表1_11[[#This Row],[税前应发总额]]*2%+3,2)</f>
        <v>82.25</v>
      </c>
      <c r="W368" s="62">
        <f ca="1">ROUND(表1_11[[#This Row],[税前应发总额]]*0.2%,2)</f>
        <v>7.92</v>
      </c>
      <c r="X368" s="62">
        <f ca="1">ROUND(表1_11[[#This Row],[税前应发总额]]*12%,2)</f>
        <v>475.49</v>
      </c>
      <c r="Y368" s="61">
        <f ca="1">ROUND(表1_11[[#This Row],[税前应发总额]]-SUM(表1_11[[#This Row],[养老保险]:[公积金]]),2)</f>
        <v>3079.75</v>
      </c>
      <c r="Z368" s="62">
        <f ca="1">ROUND(MAX((表1_11[[#This Row],[扣保险后工资金额]]-3500)*{3,10,20,25,30,35,45}%-{0,105,555,1005,2755,5505,13505},0),2)</f>
        <v>0</v>
      </c>
      <c r="AA368" s="63">
        <f ca="1">表1_11[[#This Row],[扣保险后工资金额]]-表1_11[[#This Row],[个人所得税]]</f>
        <v>3079.75</v>
      </c>
      <c r="AB368" s="53">
        <v>3114.61</v>
      </c>
      <c r="AC368" s="64">
        <f ca="1">(表1_11[[#This Row],[实发工资]]-表1_11[[#This Row],[上月对比]])/表1_11[[#This Row],[上月对比]]</f>
        <v>-1.1192412533190392E-2</v>
      </c>
      <c r="AD368" s="65" t="s">
        <v>1587</v>
      </c>
    </row>
    <row r="369" spans="1:30">
      <c r="A369" s="42" t="s">
        <v>577</v>
      </c>
      <c r="B369" s="42" t="s">
        <v>783</v>
      </c>
      <c r="C369" s="40" t="s">
        <v>784</v>
      </c>
      <c r="D369" s="40" t="s">
        <v>785</v>
      </c>
      <c r="E369" s="41" t="s">
        <v>1379</v>
      </c>
      <c r="F369" s="5" t="s">
        <v>365</v>
      </c>
      <c r="G369" s="25">
        <v>38555</v>
      </c>
      <c r="H369" s="5" t="s">
        <v>617</v>
      </c>
      <c r="I369" s="5">
        <f>VLOOKUP(MID(表1_11[[#This Row],[工资等级]],1,1),表12[],MATCH(MID(表1_11[[#This Row],[工资等级]],2,2),表12[[#Headers],[1]:[10]],0)+1,0)</f>
        <v>2500</v>
      </c>
      <c r="J369" s="5">
        <v>26.5</v>
      </c>
      <c r="K369" s="27">
        <v>1.1041666666666667</v>
      </c>
      <c r="L369" s="37">
        <f>IF(表1_11[[#This Row],[出勤率]]&gt;1,1,表1_11[[#This Row],[出勤率]])*表1_11[[#This Row],[岗位工资]]</f>
        <v>2500</v>
      </c>
      <c r="M369" s="5">
        <f>LOOKUP(表1_11[[#This Row],[岗位工资]],表13[lookup],表13[奖金比率])*表1_11[[#This Row],[岗位工资]]</f>
        <v>250</v>
      </c>
      <c r="N369" s="5">
        <v>84</v>
      </c>
      <c r="O369" s="38">
        <f>表1_11[[#This Row],[奖金等级]]*表1_11[[#This Row],[绩效得分]]/100</f>
        <v>210</v>
      </c>
      <c r="P369" s="5">
        <f>IF(表1_11[[#This Row],[出勤率]]&gt;=1,200,0)</f>
        <v>200</v>
      </c>
      <c r="Q369" s="23">
        <f t="shared" ca="1" si="5"/>
        <v>500</v>
      </c>
      <c r="R369" s="23">
        <f>IF(表1_11[[#This Row],[中心]]="营销中心",VLOOKUP(表1_11[[#This Row],[职位]],表2[[话费补贴]:[营销中心]],2,0),VLOOKUP(表1_11[[#This Row],[职位]],表2[],3,0))</f>
        <v>0</v>
      </c>
      <c r="S369" s="23">
        <v>200</v>
      </c>
      <c r="T369" s="61">
        <f ca="1">ROUND(SUM(表1_11[[#This Row],[基本工资]],表1_11[[#This Row],[奖金]],表1_11[[#This Row],[全勤奖]:[防暑降温补贴]]),2)</f>
        <v>3610</v>
      </c>
      <c r="U369" s="62">
        <f ca="1">ROUND(表1_11[[#This Row],[税前应发总额]]*8%,2)</f>
        <v>288.8</v>
      </c>
      <c r="V369" s="62">
        <f ca="1">ROUND(表1_11[[#This Row],[税前应发总额]]*2%+3,2)</f>
        <v>75.2</v>
      </c>
      <c r="W369" s="62">
        <f ca="1">ROUND(表1_11[[#This Row],[税前应发总额]]*0.2%,2)</f>
        <v>7.22</v>
      </c>
      <c r="X369" s="62">
        <f ca="1">ROUND(表1_11[[#This Row],[税前应发总额]]*12%,2)</f>
        <v>433.2</v>
      </c>
      <c r="Y369" s="61">
        <f ca="1">ROUND(表1_11[[#This Row],[税前应发总额]]-SUM(表1_11[[#This Row],[养老保险]:[公积金]]),2)</f>
        <v>2805.58</v>
      </c>
      <c r="Z369" s="62">
        <f ca="1">ROUND(MAX((表1_11[[#This Row],[扣保险后工资金额]]-3500)*{3,10,20,25,30,35,45}%-{0,105,555,1005,2755,5505,13505},0),2)</f>
        <v>0</v>
      </c>
      <c r="AA369" s="63">
        <f ca="1">表1_11[[#This Row],[扣保险后工资金额]]-表1_11[[#This Row],[个人所得税]]</f>
        <v>2805.58</v>
      </c>
      <c r="AB369" s="53">
        <v>3357.36</v>
      </c>
      <c r="AC369" s="64">
        <f ca="1">(表1_11[[#This Row],[实发工资]]-表1_11[[#This Row],[上月对比]])/表1_11[[#This Row],[上月对比]]</f>
        <v>-0.16434936974289327</v>
      </c>
      <c r="AD369" s="65" t="s">
        <v>1587</v>
      </c>
    </row>
    <row r="370" spans="1:30">
      <c r="A370" s="42" t="s">
        <v>577</v>
      </c>
      <c r="B370" s="42" t="s">
        <v>774</v>
      </c>
      <c r="C370" s="40" t="s">
        <v>599</v>
      </c>
      <c r="D370" s="40" t="s">
        <v>626</v>
      </c>
      <c r="E370" s="41" t="s">
        <v>1380</v>
      </c>
      <c r="F370" s="5" t="s">
        <v>366</v>
      </c>
      <c r="G370" s="25">
        <v>40534</v>
      </c>
      <c r="H370" s="5" t="s">
        <v>617</v>
      </c>
      <c r="I370" s="5">
        <f>VLOOKUP(MID(表1_11[[#This Row],[工资等级]],1,1),表12[],MATCH(MID(表1_11[[#This Row],[工资等级]],2,2),表12[[#Headers],[1]:[10]],0)+1,0)</f>
        <v>2500</v>
      </c>
      <c r="J370" s="5">
        <v>22</v>
      </c>
      <c r="K370" s="27">
        <v>0.91666666666666663</v>
      </c>
      <c r="L370" s="37">
        <f>IF(表1_11[[#This Row],[出勤率]]&gt;1,1,表1_11[[#This Row],[出勤率]])*表1_11[[#This Row],[岗位工资]]</f>
        <v>2291.6666666666665</v>
      </c>
      <c r="M370" s="5">
        <f>LOOKUP(表1_11[[#This Row],[岗位工资]],表13[lookup],表13[奖金比率])*表1_11[[#This Row],[岗位工资]]</f>
        <v>250</v>
      </c>
      <c r="N370" s="5">
        <v>99</v>
      </c>
      <c r="O370" s="38">
        <f>表1_11[[#This Row],[奖金等级]]*表1_11[[#This Row],[绩效得分]]/100</f>
        <v>247.5</v>
      </c>
      <c r="P370" s="5">
        <f>IF(表1_11[[#This Row],[出勤率]]&gt;=1,200,0)</f>
        <v>0</v>
      </c>
      <c r="Q370" s="23">
        <f t="shared" ca="1" si="5"/>
        <v>350</v>
      </c>
      <c r="R370" s="23">
        <f>IF(表1_11[[#This Row],[中心]]="营销中心",VLOOKUP(表1_11[[#This Row],[职位]],表2[[话费补贴]:[营销中心]],2,0),VLOOKUP(表1_11[[#This Row],[职位]],表2[],3,0))</f>
        <v>0</v>
      </c>
      <c r="S370" s="23">
        <v>200</v>
      </c>
      <c r="T370" s="61">
        <f ca="1">ROUND(SUM(表1_11[[#This Row],[基本工资]],表1_11[[#This Row],[奖金]],表1_11[[#This Row],[全勤奖]:[防暑降温补贴]]),2)</f>
        <v>3089.17</v>
      </c>
      <c r="U370" s="62">
        <f ca="1">ROUND(表1_11[[#This Row],[税前应发总额]]*8%,2)</f>
        <v>247.13</v>
      </c>
      <c r="V370" s="62">
        <f ca="1">ROUND(表1_11[[#This Row],[税前应发总额]]*2%+3,2)</f>
        <v>64.78</v>
      </c>
      <c r="W370" s="62">
        <f ca="1">ROUND(表1_11[[#This Row],[税前应发总额]]*0.2%,2)</f>
        <v>6.18</v>
      </c>
      <c r="X370" s="62">
        <f ca="1">ROUND(表1_11[[#This Row],[税前应发总额]]*12%,2)</f>
        <v>370.7</v>
      </c>
      <c r="Y370" s="61">
        <f ca="1">ROUND(表1_11[[#This Row],[税前应发总额]]-SUM(表1_11[[#This Row],[养老保险]:[公积金]]),2)</f>
        <v>2400.38</v>
      </c>
      <c r="Z370" s="62">
        <f ca="1">ROUND(MAX((表1_11[[#This Row],[扣保险后工资金额]]-3500)*{3,10,20,25,30,35,45}%-{0,105,555,1005,2755,5505,13505},0),2)</f>
        <v>0</v>
      </c>
      <c r="AA370" s="63">
        <f ca="1">表1_11[[#This Row],[扣保险后工资金额]]-表1_11[[#This Row],[个人所得税]]</f>
        <v>2400.38</v>
      </c>
      <c r="AB370" s="53">
        <v>2248.35</v>
      </c>
      <c r="AC370" s="64">
        <f ca="1">(表1_11[[#This Row],[实发工资]]-表1_11[[#This Row],[上月对比]])/表1_11[[#This Row],[上月对比]]</f>
        <v>6.7618475771121136E-2</v>
      </c>
      <c r="AD370" s="65" t="s">
        <v>1587</v>
      </c>
    </row>
    <row r="371" spans="1:30">
      <c r="A371" s="42" t="s">
        <v>577</v>
      </c>
      <c r="B371" s="42" t="s">
        <v>774</v>
      </c>
      <c r="C371" s="40" t="s">
        <v>599</v>
      </c>
      <c r="D371" s="40" t="s">
        <v>626</v>
      </c>
      <c r="E371" s="41" t="s">
        <v>1381</v>
      </c>
      <c r="F371" s="5" t="s">
        <v>367</v>
      </c>
      <c r="G371" s="25">
        <v>41807</v>
      </c>
      <c r="H371" s="5" t="s">
        <v>657</v>
      </c>
      <c r="I371" s="5">
        <f>VLOOKUP(MID(表1_11[[#This Row],[工资等级]],1,1),表12[],MATCH(MID(表1_11[[#This Row],[工资等级]],2,2),表12[[#Headers],[1]:[10]],0)+1,0)</f>
        <v>4000</v>
      </c>
      <c r="J371" s="5">
        <v>25.5</v>
      </c>
      <c r="K371" s="27">
        <v>1.0625</v>
      </c>
      <c r="L371" s="37">
        <f>IF(表1_11[[#This Row],[出勤率]]&gt;1,1,表1_11[[#This Row],[出勤率]])*表1_11[[#This Row],[岗位工资]]</f>
        <v>4000</v>
      </c>
      <c r="M371" s="5">
        <f>LOOKUP(表1_11[[#This Row],[岗位工资]],表13[lookup],表13[奖金比率])*表1_11[[#This Row],[岗位工资]]</f>
        <v>600</v>
      </c>
      <c r="N371" s="5">
        <v>93</v>
      </c>
      <c r="O371" s="38">
        <f>表1_11[[#This Row],[奖金等级]]*表1_11[[#This Row],[绩效得分]]/100</f>
        <v>558</v>
      </c>
      <c r="P371" s="5">
        <f>IF(表1_11[[#This Row],[出勤率]]&gt;=1,200,0)</f>
        <v>200</v>
      </c>
      <c r="Q371" s="23">
        <f t="shared" ca="1" si="5"/>
        <v>150</v>
      </c>
      <c r="R371" s="23">
        <f>IF(表1_11[[#This Row],[中心]]="营销中心",VLOOKUP(表1_11[[#This Row],[职位]],表2[[话费补贴]:[营销中心]],2,0),VLOOKUP(表1_11[[#This Row],[职位]],表2[],3,0))</f>
        <v>0</v>
      </c>
      <c r="S371" s="23">
        <v>200</v>
      </c>
      <c r="T371" s="61">
        <f ca="1">ROUND(SUM(表1_11[[#This Row],[基本工资]],表1_11[[#This Row],[奖金]],表1_11[[#This Row],[全勤奖]:[防暑降温补贴]]),2)</f>
        <v>5108</v>
      </c>
      <c r="U371" s="62">
        <f ca="1">ROUND(表1_11[[#This Row],[税前应发总额]]*8%,2)</f>
        <v>408.64</v>
      </c>
      <c r="V371" s="62">
        <f ca="1">ROUND(表1_11[[#This Row],[税前应发总额]]*2%+3,2)</f>
        <v>105.16</v>
      </c>
      <c r="W371" s="62">
        <f ca="1">ROUND(表1_11[[#This Row],[税前应发总额]]*0.2%,2)</f>
        <v>10.220000000000001</v>
      </c>
      <c r="X371" s="62">
        <f ca="1">ROUND(表1_11[[#This Row],[税前应发总额]]*12%,2)</f>
        <v>612.96</v>
      </c>
      <c r="Y371" s="61">
        <f ca="1">ROUND(表1_11[[#This Row],[税前应发总额]]-SUM(表1_11[[#This Row],[养老保险]:[公积金]]),2)</f>
        <v>3971.02</v>
      </c>
      <c r="Z371" s="62">
        <f ca="1">ROUND(MAX((表1_11[[#This Row],[扣保险后工资金额]]-3500)*{3,10,20,25,30,35,45}%-{0,105,555,1005,2755,5505,13505},0),2)</f>
        <v>14.13</v>
      </c>
      <c r="AA371" s="63">
        <f ca="1">表1_11[[#This Row],[扣保险后工资金额]]-表1_11[[#This Row],[个人所得税]]</f>
        <v>3956.89</v>
      </c>
      <c r="AB371" s="53">
        <v>4232.6899999999996</v>
      </c>
      <c r="AC371" s="64">
        <f ca="1">(表1_11[[#This Row],[实发工资]]-表1_11[[#This Row],[上月对比]])/表1_11[[#This Row],[上月对比]]</f>
        <v>-6.5159508492235382E-2</v>
      </c>
      <c r="AD371" s="65" t="s">
        <v>1587</v>
      </c>
    </row>
    <row r="372" spans="1:30">
      <c r="A372" s="42" t="s">
        <v>577</v>
      </c>
      <c r="B372" s="42" t="s">
        <v>789</v>
      </c>
      <c r="C372" s="40" t="s">
        <v>790</v>
      </c>
      <c r="D372" s="40" t="s">
        <v>791</v>
      </c>
      <c r="E372" s="41" t="s">
        <v>1382</v>
      </c>
      <c r="F372" s="5" t="s">
        <v>368</v>
      </c>
      <c r="G372" s="25">
        <v>41348</v>
      </c>
      <c r="H372" s="5" t="s">
        <v>630</v>
      </c>
      <c r="I372" s="5">
        <f>VLOOKUP(MID(表1_11[[#This Row],[工资等级]],1,1),表12[],MATCH(MID(表1_11[[#This Row],[工资等级]],2,2),表12[[#Headers],[1]:[10]],0)+1,0)</f>
        <v>2600</v>
      </c>
      <c r="J372" s="5">
        <v>23</v>
      </c>
      <c r="K372" s="27">
        <v>0.95833333333333337</v>
      </c>
      <c r="L372" s="37">
        <f>IF(表1_11[[#This Row],[出勤率]]&gt;1,1,表1_11[[#This Row],[出勤率]])*表1_11[[#This Row],[岗位工资]]</f>
        <v>2491.666666666667</v>
      </c>
      <c r="M372" s="5">
        <f>LOOKUP(表1_11[[#This Row],[岗位工资]],表13[lookup],表13[奖金比率])*表1_11[[#This Row],[岗位工资]]</f>
        <v>260</v>
      </c>
      <c r="N372" s="5">
        <v>83</v>
      </c>
      <c r="O372" s="38">
        <f>表1_11[[#This Row],[奖金等级]]*表1_11[[#This Row],[绩效得分]]/100</f>
        <v>215.8</v>
      </c>
      <c r="P372" s="5">
        <f>IF(表1_11[[#This Row],[出勤率]]&gt;=1,200,0)</f>
        <v>0</v>
      </c>
      <c r="Q372" s="23">
        <f t="shared" ca="1" si="5"/>
        <v>200</v>
      </c>
      <c r="R372" s="23">
        <f>IF(表1_11[[#This Row],[中心]]="营销中心",VLOOKUP(表1_11[[#This Row],[职位]],表2[[话费补贴]:[营销中心]],2,0),VLOOKUP(表1_11[[#This Row],[职位]],表2[],3,0))</f>
        <v>0</v>
      </c>
      <c r="S372" s="23">
        <v>200</v>
      </c>
      <c r="T372" s="61">
        <f ca="1">ROUND(SUM(表1_11[[#This Row],[基本工资]],表1_11[[#This Row],[奖金]],表1_11[[#This Row],[全勤奖]:[防暑降温补贴]]),2)</f>
        <v>3107.47</v>
      </c>
      <c r="U372" s="62">
        <f ca="1">ROUND(表1_11[[#This Row],[税前应发总额]]*8%,2)</f>
        <v>248.6</v>
      </c>
      <c r="V372" s="62">
        <f ca="1">ROUND(表1_11[[#This Row],[税前应发总额]]*2%+3,2)</f>
        <v>65.150000000000006</v>
      </c>
      <c r="W372" s="62">
        <f ca="1">ROUND(表1_11[[#This Row],[税前应发总额]]*0.2%,2)</f>
        <v>6.21</v>
      </c>
      <c r="X372" s="62">
        <f ca="1">ROUND(表1_11[[#This Row],[税前应发总额]]*12%,2)</f>
        <v>372.9</v>
      </c>
      <c r="Y372" s="61">
        <f ca="1">ROUND(表1_11[[#This Row],[税前应发总额]]-SUM(表1_11[[#This Row],[养老保险]:[公积金]]),2)</f>
        <v>2414.61</v>
      </c>
      <c r="Z372" s="62">
        <f ca="1">ROUND(MAX((表1_11[[#This Row],[扣保险后工资金额]]-3500)*{3,10,20,25,30,35,45}%-{0,105,555,1005,2755,5505,13505},0),2)</f>
        <v>0</v>
      </c>
      <c r="AA372" s="63">
        <f ca="1">表1_11[[#This Row],[扣保险后工资金额]]-表1_11[[#This Row],[个人所得税]]</f>
        <v>2414.61</v>
      </c>
      <c r="AB372" s="53">
        <v>2662.75</v>
      </c>
      <c r="AC372" s="64">
        <f ca="1">(表1_11[[#This Row],[实发工资]]-表1_11[[#This Row],[上月对比]])/表1_11[[#This Row],[上月对比]]</f>
        <v>-9.3189371889963332E-2</v>
      </c>
      <c r="AD372" s="65" t="s">
        <v>1587</v>
      </c>
    </row>
    <row r="373" spans="1:30">
      <c r="A373" s="42" t="s">
        <v>577</v>
      </c>
      <c r="B373" s="42" t="s">
        <v>783</v>
      </c>
      <c r="C373" s="40" t="s">
        <v>784</v>
      </c>
      <c r="D373" s="40" t="s">
        <v>785</v>
      </c>
      <c r="E373" s="41" t="s">
        <v>1383</v>
      </c>
      <c r="F373" s="5" t="s">
        <v>369</v>
      </c>
      <c r="G373" s="25">
        <v>41003</v>
      </c>
      <c r="H373" s="5" t="s">
        <v>622</v>
      </c>
      <c r="I373" s="5">
        <f>VLOOKUP(MID(表1_11[[#This Row],[工资等级]],1,1),表12[],MATCH(MID(表1_11[[#This Row],[工资等级]],2,2),表12[[#Headers],[1]:[10]],0)+1,0)</f>
        <v>3600</v>
      </c>
      <c r="J373" s="5">
        <v>25.5</v>
      </c>
      <c r="K373" s="27">
        <v>1.0625</v>
      </c>
      <c r="L373" s="37">
        <f>IF(表1_11[[#This Row],[出勤率]]&gt;1,1,表1_11[[#This Row],[出勤率]])*表1_11[[#This Row],[岗位工资]]</f>
        <v>3600</v>
      </c>
      <c r="M373" s="5">
        <f>LOOKUP(表1_11[[#This Row],[岗位工资]],表13[lookup],表13[奖金比率])*表1_11[[#This Row],[岗位工资]]</f>
        <v>360</v>
      </c>
      <c r="N373" s="5">
        <v>96</v>
      </c>
      <c r="O373" s="38">
        <f>表1_11[[#This Row],[奖金等级]]*表1_11[[#This Row],[绩效得分]]/100</f>
        <v>345.6</v>
      </c>
      <c r="P373" s="5">
        <f>IF(表1_11[[#This Row],[出勤率]]&gt;=1,200,0)</f>
        <v>200</v>
      </c>
      <c r="Q373" s="23">
        <f t="shared" ca="1" si="5"/>
        <v>250</v>
      </c>
      <c r="R373" s="23">
        <f>IF(表1_11[[#This Row],[中心]]="营销中心",VLOOKUP(表1_11[[#This Row],[职位]],表2[[话费补贴]:[营销中心]],2,0),VLOOKUP(表1_11[[#This Row],[职位]],表2[],3,0))</f>
        <v>0</v>
      </c>
      <c r="S373" s="23">
        <v>200</v>
      </c>
      <c r="T373" s="61">
        <f ca="1">ROUND(SUM(表1_11[[#This Row],[基本工资]],表1_11[[#This Row],[奖金]],表1_11[[#This Row],[全勤奖]:[防暑降温补贴]]),2)</f>
        <v>4595.6000000000004</v>
      </c>
      <c r="U373" s="62">
        <f ca="1">ROUND(表1_11[[#This Row],[税前应发总额]]*8%,2)</f>
        <v>367.65</v>
      </c>
      <c r="V373" s="62">
        <f ca="1">ROUND(表1_11[[#This Row],[税前应发总额]]*2%+3,2)</f>
        <v>94.91</v>
      </c>
      <c r="W373" s="62">
        <f ca="1">ROUND(表1_11[[#This Row],[税前应发总额]]*0.2%,2)</f>
        <v>9.19</v>
      </c>
      <c r="X373" s="62">
        <f ca="1">ROUND(表1_11[[#This Row],[税前应发总额]]*12%,2)</f>
        <v>551.47</v>
      </c>
      <c r="Y373" s="61">
        <f ca="1">ROUND(表1_11[[#This Row],[税前应发总额]]-SUM(表1_11[[#This Row],[养老保险]:[公积金]]),2)</f>
        <v>3572.38</v>
      </c>
      <c r="Z373" s="62">
        <f ca="1">ROUND(MAX((表1_11[[#This Row],[扣保险后工资金额]]-3500)*{3,10,20,25,30,35,45}%-{0,105,555,1005,2755,5505,13505},0),2)</f>
        <v>2.17</v>
      </c>
      <c r="AA373" s="63">
        <f ca="1">表1_11[[#This Row],[扣保险后工资金额]]-表1_11[[#This Row],[个人所得税]]</f>
        <v>3570.21</v>
      </c>
      <c r="AB373" s="53">
        <v>4209.76</v>
      </c>
      <c r="AC373" s="64">
        <f ca="1">(表1_11[[#This Row],[实发工资]]-表1_11[[#This Row],[上月对比]])/表1_11[[#This Row],[上月对比]]</f>
        <v>-0.15192077458097378</v>
      </c>
      <c r="AD373" s="65" t="s">
        <v>1587</v>
      </c>
    </row>
    <row r="374" spans="1:30">
      <c r="A374" s="42" t="s">
        <v>577</v>
      </c>
      <c r="B374" s="42" t="s">
        <v>789</v>
      </c>
      <c r="C374" s="40" t="s">
        <v>790</v>
      </c>
      <c r="D374" s="40" t="s">
        <v>791</v>
      </c>
      <c r="E374" s="41" t="s">
        <v>1384</v>
      </c>
      <c r="F374" s="5" t="s">
        <v>370</v>
      </c>
      <c r="G374" s="25">
        <v>41115</v>
      </c>
      <c r="H374" s="5" t="s">
        <v>624</v>
      </c>
      <c r="I374" s="5">
        <f>VLOOKUP(MID(表1_11[[#This Row],[工资等级]],1,1),表12[],MATCH(MID(表1_11[[#This Row],[工资等级]],2,2),表12[[#Headers],[1]:[10]],0)+1,0)</f>
        <v>2800</v>
      </c>
      <c r="J374" s="5">
        <v>25</v>
      </c>
      <c r="K374" s="27">
        <v>1.0416666666666667</v>
      </c>
      <c r="L374" s="37">
        <f>IF(表1_11[[#This Row],[出勤率]]&gt;1,1,表1_11[[#This Row],[出勤率]])*表1_11[[#This Row],[岗位工资]]</f>
        <v>2800</v>
      </c>
      <c r="M374" s="5">
        <f>LOOKUP(表1_11[[#This Row],[岗位工资]],表13[lookup],表13[奖金比率])*表1_11[[#This Row],[岗位工资]]</f>
        <v>280</v>
      </c>
      <c r="N374" s="5">
        <v>85</v>
      </c>
      <c r="O374" s="38">
        <f>表1_11[[#This Row],[奖金等级]]*表1_11[[#This Row],[绩效得分]]/100</f>
        <v>238</v>
      </c>
      <c r="P374" s="5">
        <f>IF(表1_11[[#This Row],[出勤率]]&gt;=1,200,0)</f>
        <v>200</v>
      </c>
      <c r="Q374" s="23">
        <f t="shared" ca="1" si="5"/>
        <v>250</v>
      </c>
      <c r="R374" s="23">
        <f>IF(表1_11[[#This Row],[中心]]="营销中心",VLOOKUP(表1_11[[#This Row],[职位]],表2[[话费补贴]:[营销中心]],2,0),VLOOKUP(表1_11[[#This Row],[职位]],表2[],3,0))</f>
        <v>0</v>
      </c>
      <c r="S374" s="23">
        <v>200</v>
      </c>
      <c r="T374" s="61">
        <f ca="1">ROUND(SUM(表1_11[[#This Row],[基本工资]],表1_11[[#This Row],[奖金]],表1_11[[#This Row],[全勤奖]:[防暑降温补贴]]),2)</f>
        <v>3688</v>
      </c>
      <c r="U374" s="62">
        <f ca="1">ROUND(表1_11[[#This Row],[税前应发总额]]*8%,2)</f>
        <v>295.04000000000002</v>
      </c>
      <c r="V374" s="62">
        <f ca="1">ROUND(表1_11[[#This Row],[税前应发总额]]*2%+3,2)</f>
        <v>76.760000000000005</v>
      </c>
      <c r="W374" s="62">
        <f ca="1">ROUND(表1_11[[#This Row],[税前应发总额]]*0.2%,2)</f>
        <v>7.38</v>
      </c>
      <c r="X374" s="62">
        <f ca="1">ROUND(表1_11[[#This Row],[税前应发总额]]*12%,2)</f>
        <v>442.56</v>
      </c>
      <c r="Y374" s="61">
        <f ca="1">ROUND(表1_11[[#This Row],[税前应发总额]]-SUM(表1_11[[#This Row],[养老保险]:[公积金]]),2)</f>
        <v>2866.26</v>
      </c>
      <c r="Z374" s="62">
        <f ca="1">ROUND(MAX((表1_11[[#This Row],[扣保险后工资金额]]-3500)*{3,10,20,25,30,35,45}%-{0,105,555,1005,2755,5505,13505},0),2)</f>
        <v>0</v>
      </c>
      <c r="AA374" s="63">
        <f ca="1">表1_11[[#This Row],[扣保险后工资金额]]-表1_11[[#This Row],[个人所得税]]</f>
        <v>2866.26</v>
      </c>
      <c r="AB374" s="53">
        <v>2465.4899999999998</v>
      </c>
      <c r="AC374" s="64">
        <f ca="1">(表1_11[[#This Row],[实发工资]]-表1_11[[#This Row],[上月对比]])/表1_11[[#This Row],[上月对比]]</f>
        <v>0.16255186595768001</v>
      </c>
      <c r="AD374" s="65" t="s">
        <v>1587</v>
      </c>
    </row>
    <row r="375" spans="1:30">
      <c r="A375" s="42" t="s">
        <v>577</v>
      </c>
      <c r="B375" s="42" t="s">
        <v>776</v>
      </c>
      <c r="C375" s="40" t="s">
        <v>655</v>
      </c>
      <c r="D375" s="40" t="s">
        <v>656</v>
      </c>
      <c r="E375" s="41" t="s">
        <v>1385</v>
      </c>
      <c r="F375" s="5" t="s">
        <v>371</v>
      </c>
      <c r="G375" s="25">
        <v>39894</v>
      </c>
      <c r="H375" s="5" t="s">
        <v>617</v>
      </c>
      <c r="I375" s="5">
        <f>VLOOKUP(MID(表1_11[[#This Row],[工资等级]],1,1),表12[],MATCH(MID(表1_11[[#This Row],[工资等级]],2,2),表12[[#Headers],[1]:[10]],0)+1,0)</f>
        <v>2500</v>
      </c>
      <c r="J375" s="5">
        <v>24.5</v>
      </c>
      <c r="K375" s="27">
        <v>1.0208333333333333</v>
      </c>
      <c r="L375" s="37">
        <f>IF(表1_11[[#This Row],[出勤率]]&gt;1,1,表1_11[[#This Row],[出勤率]])*表1_11[[#This Row],[岗位工资]]</f>
        <v>2500</v>
      </c>
      <c r="M375" s="5">
        <f>LOOKUP(表1_11[[#This Row],[岗位工资]],表13[lookup],表13[奖金比率])*表1_11[[#This Row],[岗位工资]]</f>
        <v>250</v>
      </c>
      <c r="N375" s="5">
        <v>95</v>
      </c>
      <c r="O375" s="38">
        <f>表1_11[[#This Row],[奖金等级]]*表1_11[[#This Row],[绩效得分]]/100</f>
        <v>237.5</v>
      </c>
      <c r="P375" s="5">
        <f>IF(表1_11[[#This Row],[出勤率]]&gt;=1,200,0)</f>
        <v>200</v>
      </c>
      <c r="Q375" s="23">
        <f t="shared" ca="1" si="5"/>
        <v>400</v>
      </c>
      <c r="R375" s="23">
        <f>IF(表1_11[[#This Row],[中心]]="营销中心",VLOOKUP(表1_11[[#This Row],[职位]],表2[[话费补贴]:[营销中心]],2,0),VLOOKUP(表1_11[[#This Row],[职位]],表2[],3,0))</f>
        <v>0</v>
      </c>
      <c r="S375" s="23">
        <v>200</v>
      </c>
      <c r="T375" s="61">
        <f ca="1">ROUND(SUM(表1_11[[#This Row],[基本工资]],表1_11[[#This Row],[奖金]],表1_11[[#This Row],[全勤奖]:[防暑降温补贴]]),2)</f>
        <v>3537.5</v>
      </c>
      <c r="U375" s="62">
        <f ca="1">ROUND(表1_11[[#This Row],[税前应发总额]]*8%,2)</f>
        <v>283</v>
      </c>
      <c r="V375" s="62">
        <f ca="1">ROUND(表1_11[[#This Row],[税前应发总额]]*2%+3,2)</f>
        <v>73.75</v>
      </c>
      <c r="W375" s="62">
        <f ca="1">ROUND(表1_11[[#This Row],[税前应发总额]]*0.2%,2)</f>
        <v>7.08</v>
      </c>
      <c r="X375" s="62">
        <f ca="1">ROUND(表1_11[[#This Row],[税前应发总额]]*12%,2)</f>
        <v>424.5</v>
      </c>
      <c r="Y375" s="61">
        <f ca="1">ROUND(表1_11[[#This Row],[税前应发总额]]-SUM(表1_11[[#This Row],[养老保险]:[公积金]]),2)</f>
        <v>2749.17</v>
      </c>
      <c r="Z375" s="62">
        <f ca="1">ROUND(MAX((表1_11[[#This Row],[扣保险后工资金额]]-3500)*{3,10,20,25,30,35,45}%-{0,105,555,1005,2755,5505,13505},0),2)</f>
        <v>0</v>
      </c>
      <c r="AA375" s="63">
        <f ca="1">表1_11[[#This Row],[扣保险后工资金额]]-表1_11[[#This Row],[个人所得税]]</f>
        <v>2749.17</v>
      </c>
      <c r="AB375" s="53">
        <v>2975.41</v>
      </c>
      <c r="AC375" s="64">
        <f ca="1">(表1_11[[#This Row],[实发工资]]-表1_11[[#This Row],[上月对比]])/表1_11[[#This Row],[上月对比]]</f>
        <v>-7.6036579832695253E-2</v>
      </c>
      <c r="AD375" s="65" t="s">
        <v>1587</v>
      </c>
    </row>
    <row r="376" spans="1:30">
      <c r="A376" s="42" t="s">
        <v>577</v>
      </c>
      <c r="B376" s="42" t="s">
        <v>780</v>
      </c>
      <c r="C376" s="40" t="s">
        <v>781</v>
      </c>
      <c r="D376" s="40" t="s">
        <v>782</v>
      </c>
      <c r="E376" s="41" t="s">
        <v>1386</v>
      </c>
      <c r="F376" s="5" t="s">
        <v>372</v>
      </c>
      <c r="G376" s="25">
        <v>40205</v>
      </c>
      <c r="H376" s="5" t="s">
        <v>612</v>
      </c>
      <c r="I376" s="5">
        <f>VLOOKUP(MID(表1_11[[#This Row],[工资等级]],1,1),表12[],MATCH(MID(表1_11[[#This Row],[工资等级]],2,2),表12[[#Headers],[1]:[10]],0)+1,0)</f>
        <v>2700</v>
      </c>
      <c r="J376" s="5">
        <v>24.5</v>
      </c>
      <c r="K376" s="27">
        <v>1.0208333333333333</v>
      </c>
      <c r="L376" s="37">
        <f>IF(表1_11[[#This Row],[出勤率]]&gt;1,1,表1_11[[#This Row],[出勤率]])*表1_11[[#This Row],[岗位工资]]</f>
        <v>2700</v>
      </c>
      <c r="M376" s="5">
        <f>LOOKUP(表1_11[[#This Row],[岗位工资]],表13[lookup],表13[奖金比率])*表1_11[[#This Row],[岗位工资]]</f>
        <v>270</v>
      </c>
      <c r="N376" s="5">
        <v>87</v>
      </c>
      <c r="O376" s="38">
        <f>表1_11[[#This Row],[奖金等级]]*表1_11[[#This Row],[绩效得分]]/100</f>
        <v>234.9</v>
      </c>
      <c r="P376" s="5">
        <f>IF(表1_11[[#This Row],[出勤率]]&gt;=1,200,0)</f>
        <v>200</v>
      </c>
      <c r="Q376" s="23">
        <f t="shared" ca="1" si="5"/>
        <v>400</v>
      </c>
      <c r="R376" s="23">
        <f>IF(表1_11[[#This Row],[中心]]="营销中心",VLOOKUP(表1_11[[#This Row],[职位]],表2[[话费补贴]:[营销中心]],2,0),VLOOKUP(表1_11[[#This Row],[职位]],表2[],3,0))</f>
        <v>0</v>
      </c>
      <c r="S376" s="23">
        <v>200</v>
      </c>
      <c r="T376" s="61">
        <f ca="1">ROUND(SUM(表1_11[[#This Row],[基本工资]],表1_11[[#This Row],[奖金]],表1_11[[#This Row],[全勤奖]:[防暑降温补贴]]),2)</f>
        <v>3734.9</v>
      </c>
      <c r="U376" s="62">
        <f ca="1">ROUND(表1_11[[#This Row],[税前应发总额]]*8%,2)</f>
        <v>298.79000000000002</v>
      </c>
      <c r="V376" s="62">
        <f ca="1">ROUND(表1_11[[#This Row],[税前应发总额]]*2%+3,2)</f>
        <v>77.7</v>
      </c>
      <c r="W376" s="62">
        <f ca="1">ROUND(表1_11[[#This Row],[税前应发总额]]*0.2%,2)</f>
        <v>7.47</v>
      </c>
      <c r="X376" s="62">
        <f ca="1">ROUND(表1_11[[#This Row],[税前应发总额]]*12%,2)</f>
        <v>448.19</v>
      </c>
      <c r="Y376" s="61">
        <f ca="1">ROUND(表1_11[[#This Row],[税前应发总额]]-SUM(表1_11[[#This Row],[养老保险]:[公积金]]),2)</f>
        <v>2902.75</v>
      </c>
      <c r="Z376" s="62">
        <f ca="1">ROUND(MAX((表1_11[[#This Row],[扣保险后工资金额]]-3500)*{3,10,20,25,30,35,45}%-{0,105,555,1005,2755,5505,13505},0),2)</f>
        <v>0</v>
      </c>
      <c r="AA376" s="63">
        <f ca="1">表1_11[[#This Row],[扣保险后工资金额]]-表1_11[[#This Row],[个人所得税]]</f>
        <v>2902.75</v>
      </c>
      <c r="AB376" s="53">
        <v>3199.86</v>
      </c>
      <c r="AC376" s="64">
        <f ca="1">(表1_11[[#This Row],[实发工资]]-表1_11[[#This Row],[上月对比]])/表1_11[[#This Row],[上月对比]]</f>
        <v>-9.285093722850378E-2</v>
      </c>
      <c r="AD376" s="65" t="s">
        <v>1587</v>
      </c>
    </row>
    <row r="377" spans="1:30">
      <c r="A377" s="42" t="s">
        <v>577</v>
      </c>
      <c r="B377" s="42" t="s">
        <v>786</v>
      </c>
      <c r="C377" s="40" t="s">
        <v>787</v>
      </c>
      <c r="D377" s="40" t="s">
        <v>788</v>
      </c>
      <c r="E377" s="41" t="s">
        <v>1387</v>
      </c>
      <c r="F377" s="5" t="s">
        <v>373</v>
      </c>
      <c r="G377" s="25">
        <v>38580</v>
      </c>
      <c r="H377" s="5" t="s">
        <v>623</v>
      </c>
      <c r="I377" s="5">
        <f>VLOOKUP(MID(表1_11[[#This Row],[工资等级]],1,1),表12[],MATCH(MID(表1_11[[#This Row],[工资等级]],2,2),表12[[#Headers],[1]:[10]],0)+1,0)</f>
        <v>3800</v>
      </c>
      <c r="J377" s="5">
        <v>20.5</v>
      </c>
      <c r="K377" s="27">
        <v>0.85416666666666663</v>
      </c>
      <c r="L377" s="37">
        <f>IF(表1_11[[#This Row],[出勤率]]&gt;1,1,表1_11[[#This Row],[出勤率]])*表1_11[[#This Row],[岗位工资]]</f>
        <v>3245.833333333333</v>
      </c>
      <c r="M377" s="5">
        <f>LOOKUP(表1_11[[#This Row],[岗位工资]],表13[lookup],表13[奖金比率])*表1_11[[#This Row],[岗位工资]]</f>
        <v>380</v>
      </c>
      <c r="N377" s="5">
        <v>99</v>
      </c>
      <c r="O377" s="38">
        <f>表1_11[[#This Row],[奖金等级]]*表1_11[[#This Row],[绩效得分]]/100</f>
        <v>376.2</v>
      </c>
      <c r="P377" s="5">
        <f>IF(表1_11[[#This Row],[出勤率]]&gt;=1,200,0)</f>
        <v>0</v>
      </c>
      <c r="Q377" s="23">
        <f t="shared" ca="1" si="5"/>
        <v>500</v>
      </c>
      <c r="R377" s="23">
        <f>IF(表1_11[[#This Row],[中心]]="营销中心",VLOOKUP(表1_11[[#This Row],[职位]],表2[[话费补贴]:[营销中心]],2,0),VLOOKUP(表1_11[[#This Row],[职位]],表2[],3,0))</f>
        <v>0</v>
      </c>
      <c r="S377" s="23">
        <v>200</v>
      </c>
      <c r="T377" s="61">
        <f ca="1">ROUND(SUM(表1_11[[#This Row],[基本工资]],表1_11[[#This Row],[奖金]],表1_11[[#This Row],[全勤奖]:[防暑降温补贴]]),2)</f>
        <v>4322.03</v>
      </c>
      <c r="U377" s="62">
        <f ca="1">ROUND(表1_11[[#This Row],[税前应发总额]]*8%,2)</f>
        <v>345.76</v>
      </c>
      <c r="V377" s="62">
        <f ca="1">ROUND(表1_11[[#This Row],[税前应发总额]]*2%+3,2)</f>
        <v>89.44</v>
      </c>
      <c r="W377" s="62">
        <f ca="1">ROUND(表1_11[[#This Row],[税前应发总额]]*0.2%,2)</f>
        <v>8.64</v>
      </c>
      <c r="X377" s="62">
        <f ca="1">ROUND(表1_11[[#This Row],[税前应发总额]]*12%,2)</f>
        <v>518.64</v>
      </c>
      <c r="Y377" s="61">
        <f ca="1">ROUND(表1_11[[#This Row],[税前应发总额]]-SUM(表1_11[[#This Row],[养老保险]:[公积金]]),2)</f>
        <v>3359.55</v>
      </c>
      <c r="Z377" s="62">
        <f ca="1">ROUND(MAX((表1_11[[#This Row],[扣保险后工资金额]]-3500)*{3,10,20,25,30,35,45}%-{0,105,555,1005,2755,5505,13505},0),2)</f>
        <v>0</v>
      </c>
      <c r="AA377" s="63">
        <f ca="1">表1_11[[#This Row],[扣保险后工资金额]]-表1_11[[#This Row],[个人所得税]]</f>
        <v>3359.55</v>
      </c>
      <c r="AB377" s="53">
        <v>3732.8</v>
      </c>
      <c r="AC377" s="64">
        <f ca="1">(表1_11[[#This Row],[实发工资]]-表1_11[[#This Row],[上月对比]])/表1_11[[#This Row],[上月对比]]</f>
        <v>-9.9991963137591081E-2</v>
      </c>
      <c r="AD377" s="65" t="s">
        <v>1587</v>
      </c>
    </row>
    <row r="378" spans="1:30">
      <c r="A378" s="42" t="s">
        <v>577</v>
      </c>
      <c r="B378" s="42" t="s">
        <v>783</v>
      </c>
      <c r="C378" s="40" t="s">
        <v>784</v>
      </c>
      <c r="D378" s="40" t="s">
        <v>785</v>
      </c>
      <c r="E378" s="41" t="s">
        <v>1388</v>
      </c>
      <c r="F378" s="5" t="s">
        <v>374</v>
      </c>
      <c r="G378" s="25">
        <v>39746</v>
      </c>
      <c r="H378" s="5" t="s">
        <v>624</v>
      </c>
      <c r="I378" s="5">
        <f>VLOOKUP(MID(表1_11[[#This Row],[工资等级]],1,1),表12[],MATCH(MID(表1_11[[#This Row],[工资等级]],2,2),表12[[#Headers],[1]:[10]],0)+1,0)</f>
        <v>2800</v>
      </c>
      <c r="J378" s="5">
        <v>22.5</v>
      </c>
      <c r="K378" s="27">
        <v>0.9375</v>
      </c>
      <c r="L378" s="37">
        <f>IF(表1_11[[#This Row],[出勤率]]&gt;1,1,表1_11[[#This Row],[出勤率]])*表1_11[[#This Row],[岗位工资]]</f>
        <v>2625</v>
      </c>
      <c r="M378" s="5">
        <f>LOOKUP(表1_11[[#This Row],[岗位工资]],表13[lookup],表13[奖金比率])*表1_11[[#This Row],[岗位工资]]</f>
        <v>280</v>
      </c>
      <c r="N378" s="5">
        <v>94</v>
      </c>
      <c r="O378" s="38">
        <f>表1_11[[#This Row],[奖金等级]]*表1_11[[#This Row],[绩效得分]]/100</f>
        <v>263.2</v>
      </c>
      <c r="P378" s="5">
        <f>IF(表1_11[[#This Row],[出勤率]]&gt;=1,200,0)</f>
        <v>0</v>
      </c>
      <c r="Q378" s="23">
        <f t="shared" ca="1" si="5"/>
        <v>450</v>
      </c>
      <c r="R378" s="23">
        <f>IF(表1_11[[#This Row],[中心]]="营销中心",VLOOKUP(表1_11[[#This Row],[职位]],表2[[话费补贴]:[营销中心]],2,0),VLOOKUP(表1_11[[#This Row],[职位]],表2[],3,0))</f>
        <v>0</v>
      </c>
      <c r="S378" s="23">
        <v>200</v>
      </c>
      <c r="T378" s="61">
        <f ca="1">ROUND(SUM(表1_11[[#This Row],[基本工资]],表1_11[[#This Row],[奖金]],表1_11[[#This Row],[全勤奖]:[防暑降温补贴]]),2)</f>
        <v>3538.2</v>
      </c>
      <c r="U378" s="62">
        <f ca="1">ROUND(表1_11[[#This Row],[税前应发总额]]*8%,2)</f>
        <v>283.06</v>
      </c>
      <c r="V378" s="62">
        <f ca="1">ROUND(表1_11[[#This Row],[税前应发总额]]*2%+3,2)</f>
        <v>73.760000000000005</v>
      </c>
      <c r="W378" s="62">
        <f ca="1">ROUND(表1_11[[#This Row],[税前应发总额]]*0.2%,2)</f>
        <v>7.08</v>
      </c>
      <c r="X378" s="62">
        <f ca="1">ROUND(表1_11[[#This Row],[税前应发总额]]*12%,2)</f>
        <v>424.58</v>
      </c>
      <c r="Y378" s="61">
        <f ca="1">ROUND(表1_11[[#This Row],[税前应发总额]]-SUM(表1_11[[#This Row],[养老保险]:[公积金]]),2)</f>
        <v>2749.72</v>
      </c>
      <c r="Z378" s="62">
        <f ca="1">ROUND(MAX((表1_11[[#This Row],[扣保险后工资金额]]-3500)*{3,10,20,25,30,35,45}%-{0,105,555,1005,2755,5505,13505},0),2)</f>
        <v>0</v>
      </c>
      <c r="AA378" s="63">
        <f ca="1">表1_11[[#This Row],[扣保险后工资金额]]-表1_11[[#This Row],[个人所得税]]</f>
        <v>2749.72</v>
      </c>
      <c r="AB378" s="53">
        <v>2707.12</v>
      </c>
      <c r="AC378" s="64">
        <f ca="1">(表1_11[[#This Row],[实发工资]]-表1_11[[#This Row],[上月对比]])/表1_11[[#This Row],[上月对比]]</f>
        <v>1.5736280622949819E-2</v>
      </c>
      <c r="AD378" s="65" t="s">
        <v>1587</v>
      </c>
    </row>
    <row r="379" spans="1:30">
      <c r="A379" s="42" t="s">
        <v>577</v>
      </c>
      <c r="B379" s="42" t="s">
        <v>786</v>
      </c>
      <c r="C379" s="40" t="s">
        <v>787</v>
      </c>
      <c r="D379" s="40" t="s">
        <v>788</v>
      </c>
      <c r="E379" s="41" t="s">
        <v>1389</v>
      </c>
      <c r="F379" s="5" t="s">
        <v>375</v>
      </c>
      <c r="G379" s="25">
        <v>41306</v>
      </c>
      <c r="H379" s="5" t="s">
        <v>630</v>
      </c>
      <c r="I379" s="5">
        <f>VLOOKUP(MID(表1_11[[#This Row],[工资等级]],1,1),表12[],MATCH(MID(表1_11[[#This Row],[工资等级]],2,2),表12[[#Headers],[1]:[10]],0)+1,0)</f>
        <v>2600</v>
      </c>
      <c r="J379" s="5">
        <v>26</v>
      </c>
      <c r="K379" s="27">
        <v>1.0833333333333333</v>
      </c>
      <c r="L379" s="37">
        <f>IF(表1_11[[#This Row],[出勤率]]&gt;1,1,表1_11[[#This Row],[出勤率]])*表1_11[[#This Row],[岗位工资]]</f>
        <v>2600</v>
      </c>
      <c r="M379" s="5">
        <f>LOOKUP(表1_11[[#This Row],[岗位工资]],表13[lookup],表13[奖金比率])*表1_11[[#This Row],[岗位工资]]</f>
        <v>260</v>
      </c>
      <c r="N379" s="5">
        <v>98</v>
      </c>
      <c r="O379" s="38">
        <f>表1_11[[#This Row],[奖金等级]]*表1_11[[#This Row],[绩效得分]]/100</f>
        <v>254.8</v>
      </c>
      <c r="P379" s="5">
        <f>IF(表1_11[[#This Row],[出勤率]]&gt;=1,200,0)</f>
        <v>200</v>
      </c>
      <c r="Q379" s="23">
        <f t="shared" ca="1" si="5"/>
        <v>250</v>
      </c>
      <c r="R379" s="23">
        <f>IF(表1_11[[#This Row],[中心]]="营销中心",VLOOKUP(表1_11[[#This Row],[职位]],表2[[话费补贴]:[营销中心]],2,0),VLOOKUP(表1_11[[#This Row],[职位]],表2[],3,0))</f>
        <v>0</v>
      </c>
      <c r="S379" s="23">
        <v>200</v>
      </c>
      <c r="T379" s="61">
        <f ca="1">ROUND(SUM(表1_11[[#This Row],[基本工资]],表1_11[[#This Row],[奖金]],表1_11[[#This Row],[全勤奖]:[防暑降温补贴]]),2)</f>
        <v>3504.8</v>
      </c>
      <c r="U379" s="62">
        <f ca="1">ROUND(表1_11[[#This Row],[税前应发总额]]*8%,2)</f>
        <v>280.38</v>
      </c>
      <c r="V379" s="62">
        <f ca="1">ROUND(表1_11[[#This Row],[税前应发总额]]*2%+3,2)</f>
        <v>73.099999999999994</v>
      </c>
      <c r="W379" s="62">
        <f ca="1">ROUND(表1_11[[#This Row],[税前应发总额]]*0.2%,2)</f>
        <v>7.01</v>
      </c>
      <c r="X379" s="62">
        <f ca="1">ROUND(表1_11[[#This Row],[税前应发总额]]*12%,2)</f>
        <v>420.58</v>
      </c>
      <c r="Y379" s="61">
        <f ca="1">ROUND(表1_11[[#This Row],[税前应发总额]]-SUM(表1_11[[#This Row],[养老保险]:[公积金]]),2)</f>
        <v>2723.73</v>
      </c>
      <c r="Z379" s="62">
        <f ca="1">ROUND(MAX((表1_11[[#This Row],[扣保险后工资金额]]-3500)*{3,10,20,25,30,35,45}%-{0,105,555,1005,2755,5505,13505},0),2)</f>
        <v>0</v>
      </c>
      <c r="AA379" s="63">
        <f ca="1">表1_11[[#This Row],[扣保险后工资金额]]-表1_11[[#This Row],[个人所得税]]</f>
        <v>2723.73</v>
      </c>
      <c r="AB379" s="53">
        <v>2559.96</v>
      </c>
      <c r="AC379" s="64">
        <f ca="1">(表1_11[[#This Row],[实发工资]]-表1_11[[#This Row],[上月对比]])/表1_11[[#This Row],[上月对比]]</f>
        <v>6.3973655838372473E-2</v>
      </c>
      <c r="AD379" s="65" t="s">
        <v>1587</v>
      </c>
    </row>
    <row r="380" spans="1:30">
      <c r="A380" s="42" t="s">
        <v>577</v>
      </c>
      <c r="B380" s="42" t="s">
        <v>783</v>
      </c>
      <c r="C380" s="40" t="s">
        <v>784</v>
      </c>
      <c r="D380" s="40" t="s">
        <v>785</v>
      </c>
      <c r="E380" s="41" t="s">
        <v>1390</v>
      </c>
      <c r="F380" s="5" t="s">
        <v>376</v>
      </c>
      <c r="G380" s="25">
        <v>41229</v>
      </c>
      <c r="H380" s="5" t="s">
        <v>622</v>
      </c>
      <c r="I380" s="5">
        <f>VLOOKUP(MID(表1_11[[#This Row],[工资等级]],1,1),表12[],MATCH(MID(表1_11[[#This Row],[工资等级]],2,2),表12[[#Headers],[1]:[10]],0)+1,0)</f>
        <v>3600</v>
      </c>
      <c r="J380" s="5">
        <v>21</v>
      </c>
      <c r="K380" s="27">
        <v>0.875</v>
      </c>
      <c r="L380" s="37">
        <f>IF(表1_11[[#This Row],[出勤率]]&gt;1,1,表1_11[[#This Row],[出勤率]])*表1_11[[#This Row],[岗位工资]]</f>
        <v>3150</v>
      </c>
      <c r="M380" s="5">
        <f>LOOKUP(表1_11[[#This Row],[岗位工资]],表13[lookup],表13[奖金比率])*表1_11[[#This Row],[岗位工资]]</f>
        <v>360</v>
      </c>
      <c r="N380" s="5">
        <v>81</v>
      </c>
      <c r="O380" s="38">
        <f>表1_11[[#This Row],[奖金等级]]*表1_11[[#This Row],[绩效得分]]/100</f>
        <v>291.60000000000002</v>
      </c>
      <c r="P380" s="5">
        <f>IF(表1_11[[#This Row],[出勤率]]&gt;=1,200,0)</f>
        <v>0</v>
      </c>
      <c r="Q380" s="23">
        <f t="shared" ca="1" si="5"/>
        <v>250</v>
      </c>
      <c r="R380" s="23">
        <f>IF(表1_11[[#This Row],[中心]]="营销中心",VLOOKUP(表1_11[[#This Row],[职位]],表2[[话费补贴]:[营销中心]],2,0),VLOOKUP(表1_11[[#This Row],[职位]],表2[],3,0))</f>
        <v>0</v>
      </c>
      <c r="S380" s="23">
        <v>200</v>
      </c>
      <c r="T380" s="61">
        <f ca="1">ROUND(SUM(表1_11[[#This Row],[基本工资]],表1_11[[#This Row],[奖金]],表1_11[[#This Row],[全勤奖]:[防暑降温补贴]]),2)</f>
        <v>3891.6</v>
      </c>
      <c r="U380" s="62">
        <f ca="1">ROUND(表1_11[[#This Row],[税前应发总额]]*8%,2)</f>
        <v>311.33</v>
      </c>
      <c r="V380" s="62">
        <f ca="1">ROUND(表1_11[[#This Row],[税前应发总额]]*2%+3,2)</f>
        <v>80.83</v>
      </c>
      <c r="W380" s="62">
        <f ca="1">ROUND(表1_11[[#This Row],[税前应发总额]]*0.2%,2)</f>
        <v>7.78</v>
      </c>
      <c r="X380" s="62">
        <f ca="1">ROUND(表1_11[[#This Row],[税前应发总额]]*12%,2)</f>
        <v>466.99</v>
      </c>
      <c r="Y380" s="61">
        <f ca="1">ROUND(表1_11[[#This Row],[税前应发总额]]-SUM(表1_11[[#This Row],[养老保险]:[公积金]]),2)</f>
        <v>3024.67</v>
      </c>
      <c r="Z380" s="62">
        <f ca="1">ROUND(MAX((表1_11[[#This Row],[扣保险后工资金额]]-3500)*{3,10,20,25,30,35,45}%-{0,105,555,1005,2755,5505,13505},0),2)</f>
        <v>0</v>
      </c>
      <c r="AA380" s="63">
        <f ca="1">表1_11[[#This Row],[扣保险后工资金额]]-表1_11[[#This Row],[个人所得税]]</f>
        <v>3024.67</v>
      </c>
      <c r="AB380" s="53">
        <v>2915.21</v>
      </c>
      <c r="AC380" s="64">
        <f ca="1">(表1_11[[#This Row],[实发工资]]-表1_11[[#This Row],[上月对比]])/表1_11[[#This Row],[上月对比]]</f>
        <v>3.7547895348877106E-2</v>
      </c>
      <c r="AD380" s="65" t="s">
        <v>1587</v>
      </c>
    </row>
    <row r="381" spans="1:30">
      <c r="A381" s="42" t="s">
        <v>577</v>
      </c>
      <c r="B381" s="42" t="s">
        <v>783</v>
      </c>
      <c r="C381" s="40" t="s">
        <v>784</v>
      </c>
      <c r="D381" s="40" t="s">
        <v>785</v>
      </c>
      <c r="E381" s="41" t="s">
        <v>1391</v>
      </c>
      <c r="F381" s="5" t="s">
        <v>377</v>
      </c>
      <c r="G381" s="25">
        <v>39024</v>
      </c>
      <c r="H381" s="5" t="s">
        <v>617</v>
      </c>
      <c r="I381" s="5">
        <f>VLOOKUP(MID(表1_11[[#This Row],[工资等级]],1,1),表12[],MATCH(MID(表1_11[[#This Row],[工资等级]],2,2),表12[[#Headers],[1]:[10]],0)+1,0)</f>
        <v>2500</v>
      </c>
      <c r="J381" s="5">
        <v>22</v>
      </c>
      <c r="K381" s="27">
        <v>0.91666666666666663</v>
      </c>
      <c r="L381" s="37">
        <f>IF(表1_11[[#This Row],[出勤率]]&gt;1,1,表1_11[[#This Row],[出勤率]])*表1_11[[#This Row],[岗位工资]]</f>
        <v>2291.6666666666665</v>
      </c>
      <c r="M381" s="5">
        <f>LOOKUP(表1_11[[#This Row],[岗位工资]],表13[lookup],表13[奖金比率])*表1_11[[#This Row],[岗位工资]]</f>
        <v>250</v>
      </c>
      <c r="N381" s="5">
        <v>97</v>
      </c>
      <c r="O381" s="38">
        <f>表1_11[[#This Row],[奖金等级]]*表1_11[[#This Row],[绩效得分]]/100</f>
        <v>242.5</v>
      </c>
      <c r="P381" s="5">
        <f>IF(表1_11[[#This Row],[出勤率]]&gt;=1,200,0)</f>
        <v>0</v>
      </c>
      <c r="Q381" s="23">
        <f t="shared" ca="1" si="5"/>
        <v>500</v>
      </c>
      <c r="R381" s="23">
        <f>IF(表1_11[[#This Row],[中心]]="营销中心",VLOOKUP(表1_11[[#This Row],[职位]],表2[[话费补贴]:[营销中心]],2,0),VLOOKUP(表1_11[[#This Row],[职位]],表2[],3,0))</f>
        <v>0</v>
      </c>
      <c r="S381" s="23">
        <v>200</v>
      </c>
      <c r="T381" s="61">
        <f ca="1">ROUND(SUM(表1_11[[#This Row],[基本工资]],表1_11[[#This Row],[奖金]],表1_11[[#This Row],[全勤奖]:[防暑降温补贴]]),2)</f>
        <v>3234.17</v>
      </c>
      <c r="U381" s="62">
        <f ca="1">ROUND(表1_11[[#This Row],[税前应发总额]]*8%,2)</f>
        <v>258.73</v>
      </c>
      <c r="V381" s="62">
        <f ca="1">ROUND(表1_11[[#This Row],[税前应发总额]]*2%+3,2)</f>
        <v>67.680000000000007</v>
      </c>
      <c r="W381" s="62">
        <f ca="1">ROUND(表1_11[[#This Row],[税前应发总额]]*0.2%,2)</f>
        <v>6.47</v>
      </c>
      <c r="X381" s="62">
        <f ca="1">ROUND(表1_11[[#This Row],[税前应发总额]]*12%,2)</f>
        <v>388.1</v>
      </c>
      <c r="Y381" s="61">
        <f ca="1">ROUND(表1_11[[#This Row],[税前应发总额]]-SUM(表1_11[[#This Row],[养老保险]:[公积金]]),2)</f>
        <v>2513.19</v>
      </c>
      <c r="Z381" s="62">
        <f ca="1">ROUND(MAX((表1_11[[#This Row],[扣保险后工资金额]]-3500)*{3,10,20,25,30,35,45}%-{0,105,555,1005,2755,5505,13505},0),2)</f>
        <v>0</v>
      </c>
      <c r="AA381" s="63">
        <f ca="1">表1_11[[#This Row],[扣保险后工资金额]]-表1_11[[#This Row],[个人所得税]]</f>
        <v>2513.19</v>
      </c>
      <c r="AB381" s="53">
        <v>2837.71</v>
      </c>
      <c r="AC381" s="64">
        <f ca="1">(表1_11[[#This Row],[实发工资]]-表1_11[[#This Row],[上月对比]])/表1_11[[#This Row],[上月对比]]</f>
        <v>-0.11435981830419598</v>
      </c>
      <c r="AD381" s="65" t="s">
        <v>1587</v>
      </c>
    </row>
    <row r="382" spans="1:30">
      <c r="A382" s="42" t="s">
        <v>577</v>
      </c>
      <c r="B382" s="42" t="s">
        <v>786</v>
      </c>
      <c r="C382" s="40" t="s">
        <v>787</v>
      </c>
      <c r="D382" s="40" t="s">
        <v>788</v>
      </c>
      <c r="E382" s="41" t="s">
        <v>1392</v>
      </c>
      <c r="F382" s="5" t="s">
        <v>378</v>
      </c>
      <c r="G382" s="25">
        <v>38491</v>
      </c>
      <c r="H382" s="5" t="s">
        <v>657</v>
      </c>
      <c r="I382" s="5">
        <f>VLOOKUP(MID(表1_11[[#This Row],[工资等级]],1,1),表12[],MATCH(MID(表1_11[[#This Row],[工资等级]],2,2),表12[[#Headers],[1]:[10]],0)+1,0)</f>
        <v>4000</v>
      </c>
      <c r="J382" s="5">
        <v>24</v>
      </c>
      <c r="K382" s="27">
        <v>1</v>
      </c>
      <c r="L382" s="37">
        <f>IF(表1_11[[#This Row],[出勤率]]&gt;1,1,表1_11[[#This Row],[出勤率]])*表1_11[[#This Row],[岗位工资]]</f>
        <v>4000</v>
      </c>
      <c r="M382" s="5">
        <f>LOOKUP(表1_11[[#This Row],[岗位工资]],表13[lookup],表13[奖金比率])*表1_11[[#This Row],[岗位工资]]</f>
        <v>600</v>
      </c>
      <c r="N382" s="5">
        <v>85</v>
      </c>
      <c r="O382" s="38">
        <f>表1_11[[#This Row],[奖金等级]]*表1_11[[#This Row],[绩效得分]]/100</f>
        <v>510</v>
      </c>
      <c r="P382" s="5">
        <f>IF(表1_11[[#This Row],[出勤率]]&gt;=1,200,0)</f>
        <v>200</v>
      </c>
      <c r="Q382" s="23">
        <f t="shared" ca="1" si="5"/>
        <v>500</v>
      </c>
      <c r="R382" s="23">
        <f>IF(表1_11[[#This Row],[中心]]="营销中心",VLOOKUP(表1_11[[#This Row],[职位]],表2[[话费补贴]:[营销中心]],2,0),VLOOKUP(表1_11[[#This Row],[职位]],表2[],3,0))</f>
        <v>0</v>
      </c>
      <c r="S382" s="23">
        <v>200</v>
      </c>
      <c r="T382" s="61">
        <f ca="1">ROUND(SUM(表1_11[[#This Row],[基本工资]],表1_11[[#This Row],[奖金]],表1_11[[#This Row],[全勤奖]:[防暑降温补贴]]),2)</f>
        <v>5410</v>
      </c>
      <c r="U382" s="62">
        <f ca="1">ROUND(表1_11[[#This Row],[税前应发总额]]*8%,2)</f>
        <v>432.8</v>
      </c>
      <c r="V382" s="62">
        <f ca="1">ROUND(表1_11[[#This Row],[税前应发总额]]*2%+3,2)</f>
        <v>111.2</v>
      </c>
      <c r="W382" s="62">
        <f ca="1">ROUND(表1_11[[#This Row],[税前应发总额]]*0.2%,2)</f>
        <v>10.82</v>
      </c>
      <c r="X382" s="62">
        <f ca="1">ROUND(表1_11[[#This Row],[税前应发总额]]*12%,2)</f>
        <v>649.20000000000005</v>
      </c>
      <c r="Y382" s="61">
        <f ca="1">ROUND(表1_11[[#This Row],[税前应发总额]]-SUM(表1_11[[#This Row],[养老保险]:[公积金]]),2)</f>
        <v>4205.9799999999996</v>
      </c>
      <c r="Z382" s="62">
        <f ca="1">ROUND(MAX((表1_11[[#This Row],[扣保险后工资金额]]-3500)*{3,10,20,25,30,35,45}%-{0,105,555,1005,2755,5505,13505},0),2)</f>
        <v>21.18</v>
      </c>
      <c r="AA382" s="63">
        <f ca="1">表1_11[[#This Row],[扣保险后工资金额]]-表1_11[[#This Row],[个人所得税]]</f>
        <v>4184.7999999999993</v>
      </c>
      <c r="AB382" s="53">
        <v>4154.3599999999997</v>
      </c>
      <c r="AC382" s="64">
        <f ca="1">(表1_11[[#This Row],[实发工资]]-表1_11[[#This Row],[上月对比]])/表1_11[[#This Row],[上月对比]]</f>
        <v>7.3272417412067331E-3</v>
      </c>
      <c r="AD382" s="65" t="s">
        <v>1587</v>
      </c>
    </row>
    <row r="383" spans="1:30">
      <c r="A383" s="42" t="s">
        <v>577</v>
      </c>
      <c r="B383" s="42" t="s">
        <v>772</v>
      </c>
      <c r="C383" s="40" t="s">
        <v>711</v>
      </c>
      <c r="D383" s="40" t="s">
        <v>712</v>
      </c>
      <c r="E383" s="41" t="s">
        <v>1393</v>
      </c>
      <c r="F383" s="5" t="s">
        <v>379</v>
      </c>
      <c r="G383" s="25">
        <v>41114</v>
      </c>
      <c r="H383" s="5" t="s">
        <v>618</v>
      </c>
      <c r="I383" s="5">
        <f>VLOOKUP(MID(表1_11[[#This Row],[工资等级]],1,1),表12[],MATCH(MID(表1_11[[#This Row],[工资等级]],2,2),表12[[#Headers],[1]:[10]],0)+1,0)</f>
        <v>3000</v>
      </c>
      <c r="J383" s="5">
        <v>22</v>
      </c>
      <c r="K383" s="27">
        <v>0.91666666666666663</v>
      </c>
      <c r="L383" s="37">
        <f>IF(表1_11[[#This Row],[出勤率]]&gt;1,1,表1_11[[#This Row],[出勤率]])*表1_11[[#This Row],[岗位工资]]</f>
        <v>2750</v>
      </c>
      <c r="M383" s="5">
        <f>LOOKUP(表1_11[[#This Row],[岗位工资]],表13[lookup],表13[奖金比率])*表1_11[[#This Row],[岗位工资]]</f>
        <v>300</v>
      </c>
      <c r="N383" s="5">
        <v>97</v>
      </c>
      <c r="O383" s="38">
        <f>表1_11[[#This Row],[奖金等级]]*表1_11[[#This Row],[绩效得分]]/100</f>
        <v>291</v>
      </c>
      <c r="P383" s="5">
        <f>IF(表1_11[[#This Row],[出勤率]]&gt;=1,200,0)</f>
        <v>0</v>
      </c>
      <c r="Q383" s="23">
        <f t="shared" ca="1" si="5"/>
        <v>250</v>
      </c>
      <c r="R383" s="23">
        <f>IF(表1_11[[#This Row],[中心]]="营销中心",VLOOKUP(表1_11[[#This Row],[职位]],表2[[话费补贴]:[营销中心]],2,0),VLOOKUP(表1_11[[#This Row],[职位]],表2[],3,0))</f>
        <v>0</v>
      </c>
      <c r="S383" s="23">
        <v>200</v>
      </c>
      <c r="T383" s="61">
        <f ca="1">ROUND(SUM(表1_11[[#This Row],[基本工资]],表1_11[[#This Row],[奖金]],表1_11[[#This Row],[全勤奖]:[防暑降温补贴]]),2)</f>
        <v>3491</v>
      </c>
      <c r="U383" s="62">
        <f ca="1">ROUND(表1_11[[#This Row],[税前应发总额]]*8%,2)</f>
        <v>279.27999999999997</v>
      </c>
      <c r="V383" s="62">
        <f ca="1">ROUND(表1_11[[#This Row],[税前应发总额]]*2%+3,2)</f>
        <v>72.819999999999993</v>
      </c>
      <c r="W383" s="62">
        <f ca="1">ROUND(表1_11[[#This Row],[税前应发总额]]*0.2%,2)</f>
        <v>6.98</v>
      </c>
      <c r="X383" s="62">
        <f ca="1">ROUND(表1_11[[#This Row],[税前应发总额]]*12%,2)</f>
        <v>418.92</v>
      </c>
      <c r="Y383" s="61">
        <f ca="1">ROUND(表1_11[[#This Row],[税前应发总额]]-SUM(表1_11[[#This Row],[养老保险]:[公积金]]),2)</f>
        <v>2713</v>
      </c>
      <c r="Z383" s="62">
        <f ca="1">ROUND(MAX((表1_11[[#This Row],[扣保险后工资金额]]-3500)*{3,10,20,25,30,35,45}%-{0,105,555,1005,2755,5505,13505},0),2)</f>
        <v>0</v>
      </c>
      <c r="AA383" s="63">
        <f ca="1">表1_11[[#This Row],[扣保险后工资金额]]-表1_11[[#This Row],[个人所得税]]</f>
        <v>2713</v>
      </c>
      <c r="AB383" s="53">
        <v>2261.08</v>
      </c>
      <c r="AC383" s="64">
        <f ca="1">(表1_11[[#This Row],[实发工资]]-表1_11[[#This Row],[上月对比]])/表1_11[[#This Row],[上月对比]]</f>
        <v>0.19986908910786</v>
      </c>
      <c r="AD383" s="65" t="s">
        <v>1587</v>
      </c>
    </row>
    <row r="384" spans="1:30">
      <c r="A384" s="42" t="s">
        <v>577</v>
      </c>
      <c r="B384" s="42" t="s">
        <v>772</v>
      </c>
      <c r="C384" s="40" t="s">
        <v>711</v>
      </c>
      <c r="D384" s="40" t="s">
        <v>712</v>
      </c>
      <c r="E384" s="41" t="s">
        <v>1394</v>
      </c>
      <c r="F384" s="5" t="s">
        <v>380</v>
      </c>
      <c r="G384" s="25">
        <v>39195</v>
      </c>
      <c r="H384" s="5" t="s">
        <v>624</v>
      </c>
      <c r="I384" s="5">
        <f>VLOOKUP(MID(表1_11[[#This Row],[工资等级]],1,1),表12[],MATCH(MID(表1_11[[#This Row],[工资等级]],2,2),表12[[#Headers],[1]:[10]],0)+1,0)</f>
        <v>2800</v>
      </c>
      <c r="J384" s="5">
        <v>26.5</v>
      </c>
      <c r="K384" s="27">
        <v>1.1041666666666667</v>
      </c>
      <c r="L384" s="37">
        <f>IF(表1_11[[#This Row],[出勤率]]&gt;1,1,表1_11[[#This Row],[出勤率]])*表1_11[[#This Row],[岗位工资]]</f>
        <v>2800</v>
      </c>
      <c r="M384" s="5">
        <f>LOOKUP(表1_11[[#This Row],[岗位工资]],表13[lookup],表13[奖金比率])*表1_11[[#This Row],[岗位工资]]</f>
        <v>280</v>
      </c>
      <c r="N384" s="5">
        <v>89</v>
      </c>
      <c r="O384" s="38">
        <f>表1_11[[#This Row],[奖金等级]]*表1_11[[#This Row],[绩效得分]]/100</f>
        <v>249.2</v>
      </c>
      <c r="P384" s="5">
        <f>IF(表1_11[[#This Row],[出勤率]]&gt;=1,200,0)</f>
        <v>200</v>
      </c>
      <c r="Q384" s="23">
        <f t="shared" ca="1" si="5"/>
        <v>500</v>
      </c>
      <c r="R384" s="23">
        <f>IF(表1_11[[#This Row],[中心]]="营销中心",VLOOKUP(表1_11[[#This Row],[职位]],表2[[话费补贴]:[营销中心]],2,0),VLOOKUP(表1_11[[#This Row],[职位]],表2[],3,0))</f>
        <v>0</v>
      </c>
      <c r="S384" s="23">
        <v>200</v>
      </c>
      <c r="T384" s="61">
        <f ca="1">ROUND(SUM(表1_11[[#This Row],[基本工资]],表1_11[[#This Row],[奖金]],表1_11[[#This Row],[全勤奖]:[防暑降温补贴]]),2)</f>
        <v>3949.2</v>
      </c>
      <c r="U384" s="62">
        <f ca="1">ROUND(表1_11[[#This Row],[税前应发总额]]*8%,2)</f>
        <v>315.94</v>
      </c>
      <c r="V384" s="62">
        <f ca="1">ROUND(表1_11[[#This Row],[税前应发总额]]*2%+3,2)</f>
        <v>81.98</v>
      </c>
      <c r="W384" s="62">
        <f ca="1">ROUND(表1_11[[#This Row],[税前应发总额]]*0.2%,2)</f>
        <v>7.9</v>
      </c>
      <c r="X384" s="62">
        <f ca="1">ROUND(表1_11[[#This Row],[税前应发总额]]*12%,2)</f>
        <v>473.9</v>
      </c>
      <c r="Y384" s="61">
        <f ca="1">ROUND(表1_11[[#This Row],[税前应发总额]]-SUM(表1_11[[#This Row],[养老保险]:[公积金]]),2)</f>
        <v>3069.48</v>
      </c>
      <c r="Z384" s="62">
        <f ca="1">ROUND(MAX((表1_11[[#This Row],[扣保险后工资金额]]-3500)*{3,10,20,25,30,35,45}%-{0,105,555,1005,2755,5505,13505},0),2)</f>
        <v>0</v>
      </c>
      <c r="AA384" s="63">
        <f ca="1">表1_11[[#This Row],[扣保险后工资金额]]-表1_11[[#This Row],[个人所得税]]</f>
        <v>3069.48</v>
      </c>
      <c r="AB384" s="53">
        <v>2632.81</v>
      </c>
      <c r="AC384" s="64">
        <f ca="1">(表1_11[[#This Row],[实发工资]]-表1_11[[#This Row],[上月对比]])/表1_11[[#This Row],[上月对比]]</f>
        <v>0.16585701208974446</v>
      </c>
      <c r="AD384" s="65" t="s">
        <v>1587</v>
      </c>
    </row>
    <row r="385" spans="1:30">
      <c r="A385" s="42" t="s">
        <v>577</v>
      </c>
      <c r="B385" s="42" t="s">
        <v>772</v>
      </c>
      <c r="C385" s="40" t="s">
        <v>711</v>
      </c>
      <c r="D385" s="40" t="s">
        <v>712</v>
      </c>
      <c r="E385" s="41" t="s">
        <v>1395</v>
      </c>
      <c r="F385" s="5" t="s">
        <v>381</v>
      </c>
      <c r="G385" s="25">
        <v>38571</v>
      </c>
      <c r="H385" s="5" t="s">
        <v>624</v>
      </c>
      <c r="I385" s="5">
        <f>VLOOKUP(MID(表1_11[[#This Row],[工资等级]],1,1),表12[],MATCH(MID(表1_11[[#This Row],[工资等级]],2,2),表12[[#Headers],[1]:[10]],0)+1,0)</f>
        <v>2800</v>
      </c>
      <c r="J385" s="5">
        <v>23</v>
      </c>
      <c r="K385" s="27">
        <v>0.95833333333333337</v>
      </c>
      <c r="L385" s="37">
        <f>IF(表1_11[[#This Row],[出勤率]]&gt;1,1,表1_11[[#This Row],[出勤率]])*表1_11[[#This Row],[岗位工资]]</f>
        <v>2683.3333333333335</v>
      </c>
      <c r="M385" s="5">
        <f>LOOKUP(表1_11[[#This Row],[岗位工资]],表13[lookup],表13[奖金比率])*表1_11[[#This Row],[岗位工资]]</f>
        <v>280</v>
      </c>
      <c r="N385" s="5">
        <v>83</v>
      </c>
      <c r="O385" s="38">
        <f>表1_11[[#This Row],[奖金等级]]*表1_11[[#This Row],[绩效得分]]/100</f>
        <v>232.4</v>
      </c>
      <c r="P385" s="5">
        <f>IF(表1_11[[#This Row],[出勤率]]&gt;=1,200,0)</f>
        <v>0</v>
      </c>
      <c r="Q385" s="23">
        <f t="shared" ca="1" si="5"/>
        <v>500</v>
      </c>
      <c r="R385" s="23">
        <f>IF(表1_11[[#This Row],[中心]]="营销中心",VLOOKUP(表1_11[[#This Row],[职位]],表2[[话费补贴]:[营销中心]],2,0),VLOOKUP(表1_11[[#This Row],[职位]],表2[],3,0))</f>
        <v>0</v>
      </c>
      <c r="S385" s="23">
        <v>200</v>
      </c>
      <c r="T385" s="61">
        <f ca="1">ROUND(SUM(表1_11[[#This Row],[基本工资]],表1_11[[#This Row],[奖金]],表1_11[[#This Row],[全勤奖]:[防暑降温补贴]]),2)</f>
        <v>3615.73</v>
      </c>
      <c r="U385" s="62">
        <f ca="1">ROUND(表1_11[[#This Row],[税前应发总额]]*8%,2)</f>
        <v>289.26</v>
      </c>
      <c r="V385" s="62">
        <f ca="1">ROUND(表1_11[[#This Row],[税前应发总额]]*2%+3,2)</f>
        <v>75.31</v>
      </c>
      <c r="W385" s="62">
        <f ca="1">ROUND(表1_11[[#This Row],[税前应发总额]]*0.2%,2)</f>
        <v>7.23</v>
      </c>
      <c r="X385" s="62">
        <f ca="1">ROUND(表1_11[[#This Row],[税前应发总额]]*12%,2)</f>
        <v>433.89</v>
      </c>
      <c r="Y385" s="61">
        <f ca="1">ROUND(表1_11[[#This Row],[税前应发总额]]-SUM(表1_11[[#This Row],[养老保险]:[公积金]]),2)</f>
        <v>2810.04</v>
      </c>
      <c r="Z385" s="62">
        <f ca="1">ROUND(MAX((表1_11[[#This Row],[扣保险后工资金额]]-3500)*{3,10,20,25,30,35,45}%-{0,105,555,1005,2755,5505,13505},0),2)</f>
        <v>0</v>
      </c>
      <c r="AA385" s="63">
        <f ca="1">表1_11[[#This Row],[扣保险后工资金额]]-表1_11[[#This Row],[个人所得税]]</f>
        <v>2810.04</v>
      </c>
      <c r="AB385" s="53">
        <v>3349.12</v>
      </c>
      <c r="AC385" s="64">
        <f ca="1">(表1_11[[#This Row],[实发工资]]-表1_11[[#This Row],[上月对比]])/表1_11[[#This Row],[上月对比]]</f>
        <v>-0.16096168545767245</v>
      </c>
      <c r="AD385" s="65" t="s">
        <v>1587</v>
      </c>
    </row>
    <row r="386" spans="1:30">
      <c r="A386" s="42" t="s">
        <v>577</v>
      </c>
      <c r="B386" s="42" t="s">
        <v>772</v>
      </c>
      <c r="C386" s="40" t="s">
        <v>711</v>
      </c>
      <c r="D386" s="40" t="s">
        <v>712</v>
      </c>
      <c r="E386" s="41" t="s">
        <v>1396</v>
      </c>
      <c r="F386" s="5" t="s">
        <v>382</v>
      </c>
      <c r="G386" s="25">
        <v>39002</v>
      </c>
      <c r="H386" s="5" t="s">
        <v>618</v>
      </c>
      <c r="I386" s="5">
        <f>VLOOKUP(MID(表1_11[[#This Row],[工资等级]],1,1),表12[],MATCH(MID(表1_11[[#This Row],[工资等级]],2,2),表12[[#Headers],[1]:[10]],0)+1,0)</f>
        <v>3000</v>
      </c>
      <c r="J386" s="5">
        <v>24.5</v>
      </c>
      <c r="K386" s="27">
        <v>1.0208333333333333</v>
      </c>
      <c r="L386" s="37">
        <f>IF(表1_11[[#This Row],[出勤率]]&gt;1,1,表1_11[[#This Row],[出勤率]])*表1_11[[#This Row],[岗位工资]]</f>
        <v>3000</v>
      </c>
      <c r="M386" s="5">
        <f>LOOKUP(表1_11[[#This Row],[岗位工资]],表13[lookup],表13[奖金比率])*表1_11[[#This Row],[岗位工资]]</f>
        <v>300</v>
      </c>
      <c r="N386" s="5">
        <v>88</v>
      </c>
      <c r="O386" s="38">
        <f>表1_11[[#This Row],[奖金等级]]*表1_11[[#This Row],[绩效得分]]/100</f>
        <v>264</v>
      </c>
      <c r="P386" s="5">
        <f>IF(表1_11[[#This Row],[出勤率]]&gt;=1,200,0)</f>
        <v>200</v>
      </c>
      <c r="Q386" s="23">
        <f t="shared" ref="Q386:Q449" ca="1" si="6">IF(工龄&gt;=10,500,工龄*50)</f>
        <v>500</v>
      </c>
      <c r="R386" s="23">
        <f>IF(表1_11[[#This Row],[中心]]="营销中心",VLOOKUP(表1_11[[#This Row],[职位]],表2[[话费补贴]:[营销中心]],2,0),VLOOKUP(表1_11[[#This Row],[职位]],表2[],3,0))</f>
        <v>0</v>
      </c>
      <c r="S386" s="23">
        <v>200</v>
      </c>
      <c r="T386" s="61">
        <f ca="1">ROUND(SUM(表1_11[[#This Row],[基本工资]],表1_11[[#This Row],[奖金]],表1_11[[#This Row],[全勤奖]:[防暑降温补贴]]),2)</f>
        <v>4164</v>
      </c>
      <c r="U386" s="62">
        <f ca="1">ROUND(表1_11[[#This Row],[税前应发总额]]*8%,2)</f>
        <v>333.12</v>
      </c>
      <c r="V386" s="62">
        <f ca="1">ROUND(表1_11[[#This Row],[税前应发总额]]*2%+3,2)</f>
        <v>86.28</v>
      </c>
      <c r="W386" s="62">
        <f ca="1">ROUND(表1_11[[#This Row],[税前应发总额]]*0.2%,2)</f>
        <v>8.33</v>
      </c>
      <c r="X386" s="62">
        <f ca="1">ROUND(表1_11[[#This Row],[税前应发总额]]*12%,2)</f>
        <v>499.68</v>
      </c>
      <c r="Y386" s="61">
        <f ca="1">ROUND(表1_11[[#This Row],[税前应发总额]]-SUM(表1_11[[#This Row],[养老保险]:[公积金]]),2)</f>
        <v>3236.59</v>
      </c>
      <c r="Z386" s="62">
        <f ca="1">ROUND(MAX((表1_11[[#This Row],[扣保险后工资金额]]-3500)*{3,10,20,25,30,35,45}%-{0,105,555,1005,2755,5505,13505},0),2)</f>
        <v>0</v>
      </c>
      <c r="AA386" s="63">
        <f ca="1">表1_11[[#This Row],[扣保险后工资金额]]-表1_11[[#This Row],[个人所得税]]</f>
        <v>3236.59</v>
      </c>
      <c r="AB386" s="53">
        <v>3630.21</v>
      </c>
      <c r="AC386" s="64">
        <f ca="1">(表1_11[[#This Row],[实发工资]]-表1_11[[#This Row],[上月对比]])/表1_11[[#This Row],[上月对比]]</f>
        <v>-0.10842898895656171</v>
      </c>
      <c r="AD386" s="65" t="s">
        <v>1587</v>
      </c>
    </row>
    <row r="387" spans="1:30">
      <c r="A387" s="42" t="s">
        <v>577</v>
      </c>
      <c r="B387" s="42" t="s">
        <v>772</v>
      </c>
      <c r="C387" s="40" t="s">
        <v>711</v>
      </c>
      <c r="D387" s="40" t="s">
        <v>712</v>
      </c>
      <c r="E387" s="41" t="s">
        <v>1397</v>
      </c>
      <c r="F387" s="5" t="s">
        <v>383</v>
      </c>
      <c r="G387" s="25">
        <v>41832</v>
      </c>
      <c r="H387" s="5" t="s">
        <v>623</v>
      </c>
      <c r="I387" s="5">
        <f>VLOOKUP(MID(表1_11[[#This Row],[工资等级]],1,1),表12[],MATCH(MID(表1_11[[#This Row],[工资等级]],2,2),表12[[#Headers],[1]:[10]],0)+1,0)</f>
        <v>3800</v>
      </c>
      <c r="J387" s="5">
        <v>23.5</v>
      </c>
      <c r="K387" s="27">
        <v>0.97916666666666663</v>
      </c>
      <c r="L387" s="37">
        <f>IF(表1_11[[#This Row],[出勤率]]&gt;1,1,表1_11[[#This Row],[出勤率]])*表1_11[[#This Row],[岗位工资]]</f>
        <v>3720.833333333333</v>
      </c>
      <c r="M387" s="5">
        <f>LOOKUP(表1_11[[#This Row],[岗位工资]],表13[lookup],表13[奖金比率])*表1_11[[#This Row],[岗位工资]]</f>
        <v>380</v>
      </c>
      <c r="N387" s="5">
        <v>82</v>
      </c>
      <c r="O387" s="38">
        <f>表1_11[[#This Row],[奖金等级]]*表1_11[[#This Row],[绩效得分]]/100</f>
        <v>311.60000000000002</v>
      </c>
      <c r="P387" s="5">
        <f>IF(表1_11[[#This Row],[出勤率]]&gt;=1,200,0)</f>
        <v>0</v>
      </c>
      <c r="Q387" s="23">
        <f t="shared" ca="1" si="6"/>
        <v>150</v>
      </c>
      <c r="R387" s="23">
        <f>IF(表1_11[[#This Row],[中心]]="营销中心",VLOOKUP(表1_11[[#This Row],[职位]],表2[[话费补贴]:[营销中心]],2,0),VLOOKUP(表1_11[[#This Row],[职位]],表2[],3,0))</f>
        <v>0</v>
      </c>
      <c r="S387" s="23">
        <v>200</v>
      </c>
      <c r="T387" s="61">
        <f ca="1">ROUND(SUM(表1_11[[#This Row],[基本工资]],表1_11[[#This Row],[奖金]],表1_11[[#This Row],[全勤奖]:[防暑降温补贴]]),2)</f>
        <v>4382.43</v>
      </c>
      <c r="U387" s="62">
        <f ca="1">ROUND(表1_11[[#This Row],[税前应发总额]]*8%,2)</f>
        <v>350.59</v>
      </c>
      <c r="V387" s="62">
        <f ca="1">ROUND(表1_11[[#This Row],[税前应发总额]]*2%+3,2)</f>
        <v>90.65</v>
      </c>
      <c r="W387" s="62">
        <f ca="1">ROUND(表1_11[[#This Row],[税前应发总额]]*0.2%,2)</f>
        <v>8.76</v>
      </c>
      <c r="X387" s="62">
        <f ca="1">ROUND(表1_11[[#This Row],[税前应发总额]]*12%,2)</f>
        <v>525.89</v>
      </c>
      <c r="Y387" s="61">
        <f ca="1">ROUND(表1_11[[#This Row],[税前应发总额]]-SUM(表1_11[[#This Row],[养老保险]:[公积金]]),2)</f>
        <v>3406.54</v>
      </c>
      <c r="Z387" s="62">
        <f ca="1">ROUND(MAX((表1_11[[#This Row],[扣保险后工资金额]]-3500)*{3,10,20,25,30,35,45}%-{0,105,555,1005,2755,5505,13505},0),2)</f>
        <v>0</v>
      </c>
      <c r="AA387" s="63">
        <f ca="1">表1_11[[#This Row],[扣保险后工资金额]]-表1_11[[#This Row],[个人所得税]]</f>
        <v>3406.54</v>
      </c>
      <c r="AB387" s="53">
        <v>3690.05</v>
      </c>
      <c r="AC387" s="64">
        <f ca="1">(表1_11[[#This Row],[实发工资]]-表1_11[[#This Row],[上月对比]])/表1_11[[#This Row],[上月对比]]</f>
        <v>-7.6830937250172815E-2</v>
      </c>
      <c r="AD387" s="65" t="s">
        <v>1587</v>
      </c>
    </row>
    <row r="388" spans="1:30">
      <c r="A388" s="42" t="s">
        <v>577</v>
      </c>
      <c r="B388" s="42" t="s">
        <v>772</v>
      </c>
      <c r="C388" s="40" t="s">
        <v>711</v>
      </c>
      <c r="D388" s="40" t="s">
        <v>712</v>
      </c>
      <c r="E388" s="41" t="s">
        <v>1398</v>
      </c>
      <c r="F388" s="5" t="s">
        <v>384</v>
      </c>
      <c r="G388" s="25">
        <v>41314</v>
      </c>
      <c r="H388" s="5" t="s">
        <v>618</v>
      </c>
      <c r="I388" s="5">
        <f>VLOOKUP(MID(表1_11[[#This Row],[工资等级]],1,1),表12[],MATCH(MID(表1_11[[#This Row],[工资等级]],2,2),表12[[#Headers],[1]:[10]],0)+1,0)</f>
        <v>3000</v>
      </c>
      <c r="J388" s="5">
        <v>24</v>
      </c>
      <c r="K388" s="27">
        <v>1</v>
      </c>
      <c r="L388" s="37">
        <f>IF(表1_11[[#This Row],[出勤率]]&gt;1,1,表1_11[[#This Row],[出勤率]])*表1_11[[#This Row],[岗位工资]]</f>
        <v>3000</v>
      </c>
      <c r="M388" s="5">
        <f>LOOKUP(表1_11[[#This Row],[岗位工资]],表13[lookup],表13[奖金比率])*表1_11[[#This Row],[岗位工资]]</f>
        <v>300</v>
      </c>
      <c r="N388" s="5">
        <v>99</v>
      </c>
      <c r="O388" s="38">
        <f>表1_11[[#This Row],[奖金等级]]*表1_11[[#This Row],[绩效得分]]/100</f>
        <v>297</v>
      </c>
      <c r="P388" s="5">
        <f>IF(表1_11[[#This Row],[出勤率]]&gt;=1,200,0)</f>
        <v>200</v>
      </c>
      <c r="Q388" s="23">
        <f t="shared" ca="1" si="6"/>
        <v>250</v>
      </c>
      <c r="R388" s="23">
        <f>IF(表1_11[[#This Row],[中心]]="营销中心",VLOOKUP(表1_11[[#This Row],[职位]],表2[[话费补贴]:[营销中心]],2,0),VLOOKUP(表1_11[[#This Row],[职位]],表2[],3,0))</f>
        <v>0</v>
      </c>
      <c r="S388" s="23">
        <v>200</v>
      </c>
      <c r="T388" s="61">
        <f ca="1">ROUND(SUM(表1_11[[#This Row],[基本工资]],表1_11[[#This Row],[奖金]],表1_11[[#This Row],[全勤奖]:[防暑降温补贴]]),2)</f>
        <v>3947</v>
      </c>
      <c r="U388" s="62">
        <f ca="1">ROUND(表1_11[[#This Row],[税前应发总额]]*8%,2)</f>
        <v>315.76</v>
      </c>
      <c r="V388" s="62">
        <f ca="1">ROUND(表1_11[[#This Row],[税前应发总额]]*2%+3,2)</f>
        <v>81.94</v>
      </c>
      <c r="W388" s="62">
        <f ca="1">ROUND(表1_11[[#This Row],[税前应发总额]]*0.2%,2)</f>
        <v>7.89</v>
      </c>
      <c r="X388" s="62">
        <f ca="1">ROUND(表1_11[[#This Row],[税前应发总额]]*12%,2)</f>
        <v>473.64</v>
      </c>
      <c r="Y388" s="61">
        <f ca="1">ROUND(表1_11[[#This Row],[税前应发总额]]-SUM(表1_11[[#This Row],[养老保险]:[公积金]]),2)</f>
        <v>3067.77</v>
      </c>
      <c r="Z388" s="62">
        <f ca="1">ROUND(MAX((表1_11[[#This Row],[扣保险后工资金额]]-3500)*{3,10,20,25,30,35,45}%-{0,105,555,1005,2755,5505,13505},0),2)</f>
        <v>0</v>
      </c>
      <c r="AA388" s="63">
        <f ca="1">表1_11[[#This Row],[扣保险后工资金额]]-表1_11[[#This Row],[个人所得税]]</f>
        <v>3067.77</v>
      </c>
      <c r="AB388" s="53">
        <v>3455.57</v>
      </c>
      <c r="AC388" s="64">
        <f ca="1">(表1_11[[#This Row],[实发工资]]-表1_11[[#This Row],[上月对比]])/表1_11[[#This Row],[上月对比]]</f>
        <v>-0.11222461127975997</v>
      </c>
      <c r="AD388" s="65" t="s">
        <v>1587</v>
      </c>
    </row>
    <row r="389" spans="1:30">
      <c r="A389" s="42" t="s">
        <v>577</v>
      </c>
      <c r="B389" s="42" t="s">
        <v>786</v>
      </c>
      <c r="C389" s="40" t="s">
        <v>787</v>
      </c>
      <c r="D389" s="40" t="s">
        <v>788</v>
      </c>
      <c r="E389" s="41" t="s">
        <v>1399</v>
      </c>
      <c r="F389" s="5" t="s">
        <v>385</v>
      </c>
      <c r="G389" s="25">
        <v>40329</v>
      </c>
      <c r="H389" s="5" t="s">
        <v>615</v>
      </c>
      <c r="I389" s="5">
        <f>VLOOKUP(MID(表1_11[[#This Row],[工资等级]],1,1),表12[],MATCH(MID(表1_11[[#This Row],[工资等级]],2,2),表12[[#Headers],[1]:[10]],0)+1,0)</f>
        <v>3200</v>
      </c>
      <c r="J389" s="5">
        <v>24.5</v>
      </c>
      <c r="K389" s="27">
        <v>1.0208333333333333</v>
      </c>
      <c r="L389" s="37">
        <f>IF(表1_11[[#This Row],[出勤率]]&gt;1,1,表1_11[[#This Row],[出勤率]])*表1_11[[#This Row],[岗位工资]]</f>
        <v>3200</v>
      </c>
      <c r="M389" s="5">
        <f>LOOKUP(表1_11[[#This Row],[岗位工资]],表13[lookup],表13[奖金比率])*表1_11[[#This Row],[岗位工资]]</f>
        <v>320</v>
      </c>
      <c r="N389" s="5">
        <v>89</v>
      </c>
      <c r="O389" s="38">
        <f>表1_11[[#This Row],[奖金等级]]*表1_11[[#This Row],[绩效得分]]/100</f>
        <v>284.8</v>
      </c>
      <c r="P389" s="5">
        <f>IF(表1_11[[#This Row],[出勤率]]&gt;=1,200,0)</f>
        <v>200</v>
      </c>
      <c r="Q389" s="23">
        <f t="shared" ca="1" si="6"/>
        <v>350</v>
      </c>
      <c r="R389" s="23">
        <f>IF(表1_11[[#This Row],[中心]]="营销中心",VLOOKUP(表1_11[[#This Row],[职位]],表2[[话费补贴]:[营销中心]],2,0),VLOOKUP(表1_11[[#This Row],[职位]],表2[],3,0))</f>
        <v>0</v>
      </c>
      <c r="S389" s="23">
        <v>200</v>
      </c>
      <c r="T389" s="61">
        <f ca="1">ROUND(SUM(表1_11[[#This Row],[基本工资]],表1_11[[#This Row],[奖金]],表1_11[[#This Row],[全勤奖]:[防暑降温补贴]]),2)</f>
        <v>4234.8</v>
      </c>
      <c r="U389" s="62">
        <f ca="1">ROUND(表1_11[[#This Row],[税前应发总额]]*8%,2)</f>
        <v>338.78</v>
      </c>
      <c r="V389" s="62">
        <f ca="1">ROUND(表1_11[[#This Row],[税前应发总额]]*2%+3,2)</f>
        <v>87.7</v>
      </c>
      <c r="W389" s="62">
        <f ca="1">ROUND(表1_11[[#This Row],[税前应发总额]]*0.2%,2)</f>
        <v>8.4700000000000006</v>
      </c>
      <c r="X389" s="62">
        <f ca="1">ROUND(表1_11[[#This Row],[税前应发总额]]*12%,2)</f>
        <v>508.18</v>
      </c>
      <c r="Y389" s="61">
        <f ca="1">ROUND(表1_11[[#This Row],[税前应发总额]]-SUM(表1_11[[#This Row],[养老保险]:[公积金]]),2)</f>
        <v>3291.67</v>
      </c>
      <c r="Z389" s="62">
        <f ca="1">ROUND(MAX((表1_11[[#This Row],[扣保险后工资金额]]-3500)*{3,10,20,25,30,35,45}%-{0,105,555,1005,2755,5505,13505},0),2)</f>
        <v>0</v>
      </c>
      <c r="AA389" s="63">
        <f ca="1">表1_11[[#This Row],[扣保险后工资金额]]-表1_11[[#This Row],[个人所得税]]</f>
        <v>3291.67</v>
      </c>
      <c r="AB389" s="53">
        <v>3542.57</v>
      </c>
      <c r="AC389" s="64">
        <f ca="1">(表1_11[[#This Row],[实发工资]]-表1_11[[#This Row],[上月对比]])/表1_11[[#This Row],[上月对比]]</f>
        <v>-7.0824288581453607E-2</v>
      </c>
      <c r="AD389" s="65" t="s">
        <v>1587</v>
      </c>
    </row>
    <row r="390" spans="1:30">
      <c r="A390" s="42" t="s">
        <v>577</v>
      </c>
      <c r="B390" s="42" t="s">
        <v>786</v>
      </c>
      <c r="C390" s="40" t="s">
        <v>787</v>
      </c>
      <c r="D390" s="40" t="s">
        <v>788</v>
      </c>
      <c r="E390" s="41" t="s">
        <v>1400</v>
      </c>
      <c r="F390" s="5" t="s">
        <v>386</v>
      </c>
      <c r="G390" s="25">
        <v>40630</v>
      </c>
      <c r="H390" s="5" t="s">
        <v>622</v>
      </c>
      <c r="I390" s="5">
        <f>VLOOKUP(MID(表1_11[[#This Row],[工资等级]],1,1),表12[],MATCH(MID(表1_11[[#This Row],[工资等级]],2,2),表12[[#Headers],[1]:[10]],0)+1,0)</f>
        <v>3600</v>
      </c>
      <c r="J390" s="5">
        <v>22</v>
      </c>
      <c r="K390" s="27">
        <v>0.91666666666666663</v>
      </c>
      <c r="L390" s="37">
        <f>IF(表1_11[[#This Row],[出勤率]]&gt;1,1,表1_11[[#This Row],[出勤率]])*表1_11[[#This Row],[岗位工资]]</f>
        <v>3300</v>
      </c>
      <c r="M390" s="5">
        <f>LOOKUP(表1_11[[#This Row],[岗位工资]],表13[lookup],表13[奖金比率])*表1_11[[#This Row],[岗位工资]]</f>
        <v>360</v>
      </c>
      <c r="N390" s="5">
        <v>87</v>
      </c>
      <c r="O390" s="38">
        <f>表1_11[[#This Row],[奖金等级]]*表1_11[[#This Row],[绩效得分]]/100</f>
        <v>313.2</v>
      </c>
      <c r="P390" s="5">
        <f>IF(表1_11[[#This Row],[出勤率]]&gt;=1,200,0)</f>
        <v>0</v>
      </c>
      <c r="Q390" s="23">
        <f t="shared" ca="1" si="6"/>
        <v>300</v>
      </c>
      <c r="R390" s="23">
        <f>IF(表1_11[[#This Row],[中心]]="营销中心",VLOOKUP(表1_11[[#This Row],[职位]],表2[[话费补贴]:[营销中心]],2,0),VLOOKUP(表1_11[[#This Row],[职位]],表2[],3,0))</f>
        <v>0</v>
      </c>
      <c r="S390" s="23">
        <v>200</v>
      </c>
      <c r="T390" s="61">
        <f ca="1">ROUND(SUM(表1_11[[#This Row],[基本工资]],表1_11[[#This Row],[奖金]],表1_11[[#This Row],[全勤奖]:[防暑降温补贴]]),2)</f>
        <v>4113.2</v>
      </c>
      <c r="U390" s="62">
        <f ca="1">ROUND(表1_11[[#This Row],[税前应发总额]]*8%,2)</f>
        <v>329.06</v>
      </c>
      <c r="V390" s="62">
        <f ca="1">ROUND(表1_11[[#This Row],[税前应发总额]]*2%+3,2)</f>
        <v>85.26</v>
      </c>
      <c r="W390" s="62">
        <f ca="1">ROUND(表1_11[[#This Row],[税前应发总额]]*0.2%,2)</f>
        <v>8.23</v>
      </c>
      <c r="X390" s="62">
        <f ca="1">ROUND(表1_11[[#This Row],[税前应发总额]]*12%,2)</f>
        <v>493.58</v>
      </c>
      <c r="Y390" s="61">
        <f ca="1">ROUND(表1_11[[#This Row],[税前应发总额]]-SUM(表1_11[[#This Row],[养老保险]:[公积金]]),2)</f>
        <v>3197.07</v>
      </c>
      <c r="Z390" s="62">
        <f ca="1">ROUND(MAX((表1_11[[#This Row],[扣保险后工资金额]]-3500)*{3,10,20,25,30,35,45}%-{0,105,555,1005,2755,5505,13505},0),2)</f>
        <v>0</v>
      </c>
      <c r="AA390" s="63">
        <f ca="1">表1_11[[#This Row],[扣保险后工资金额]]-表1_11[[#This Row],[个人所得税]]</f>
        <v>3197.07</v>
      </c>
      <c r="AB390" s="53">
        <v>3176.19</v>
      </c>
      <c r="AC390" s="64">
        <f ca="1">(表1_11[[#This Row],[实发工资]]-表1_11[[#This Row],[上月对比]])/表1_11[[#This Row],[上月对比]]</f>
        <v>6.5739140290726021E-3</v>
      </c>
      <c r="AD390" s="65" t="s">
        <v>1587</v>
      </c>
    </row>
    <row r="391" spans="1:30">
      <c r="A391" s="42" t="s">
        <v>577</v>
      </c>
      <c r="B391" s="42" t="s">
        <v>772</v>
      </c>
      <c r="C391" s="40" t="s">
        <v>711</v>
      </c>
      <c r="D391" s="40" t="s">
        <v>712</v>
      </c>
      <c r="E391" s="41" t="s">
        <v>1401</v>
      </c>
      <c r="F391" s="5" t="s">
        <v>387</v>
      </c>
      <c r="G391" s="25">
        <v>40166</v>
      </c>
      <c r="H391" s="5" t="s">
        <v>618</v>
      </c>
      <c r="I391" s="5">
        <f>VLOOKUP(MID(表1_11[[#This Row],[工资等级]],1,1),表12[],MATCH(MID(表1_11[[#This Row],[工资等级]],2,2),表12[[#Headers],[1]:[10]],0)+1,0)</f>
        <v>3000</v>
      </c>
      <c r="J391" s="5">
        <v>22.5</v>
      </c>
      <c r="K391" s="27">
        <v>0.9375</v>
      </c>
      <c r="L391" s="37">
        <f>IF(表1_11[[#This Row],[出勤率]]&gt;1,1,表1_11[[#This Row],[出勤率]])*表1_11[[#This Row],[岗位工资]]</f>
        <v>2812.5</v>
      </c>
      <c r="M391" s="5">
        <f>LOOKUP(表1_11[[#This Row],[岗位工资]],表13[lookup],表13[奖金比率])*表1_11[[#This Row],[岗位工资]]</f>
        <v>300</v>
      </c>
      <c r="N391" s="5">
        <v>91</v>
      </c>
      <c r="O391" s="38">
        <f>表1_11[[#This Row],[奖金等级]]*表1_11[[#This Row],[绩效得分]]/100</f>
        <v>273</v>
      </c>
      <c r="P391" s="5">
        <f>IF(表1_11[[#This Row],[出勤率]]&gt;=1,200,0)</f>
        <v>0</v>
      </c>
      <c r="Q391" s="23">
        <f t="shared" ca="1" si="6"/>
        <v>400</v>
      </c>
      <c r="R391" s="23">
        <f>IF(表1_11[[#This Row],[中心]]="营销中心",VLOOKUP(表1_11[[#This Row],[职位]],表2[[话费补贴]:[营销中心]],2,0),VLOOKUP(表1_11[[#This Row],[职位]],表2[],3,0))</f>
        <v>0</v>
      </c>
      <c r="S391" s="23">
        <v>200</v>
      </c>
      <c r="T391" s="61">
        <f ca="1">ROUND(SUM(表1_11[[#This Row],[基本工资]],表1_11[[#This Row],[奖金]],表1_11[[#This Row],[全勤奖]:[防暑降温补贴]]),2)</f>
        <v>3685.5</v>
      </c>
      <c r="U391" s="62">
        <f ca="1">ROUND(表1_11[[#This Row],[税前应发总额]]*8%,2)</f>
        <v>294.83999999999997</v>
      </c>
      <c r="V391" s="62">
        <f ca="1">ROUND(表1_11[[#This Row],[税前应发总额]]*2%+3,2)</f>
        <v>76.709999999999994</v>
      </c>
      <c r="W391" s="62">
        <f ca="1">ROUND(表1_11[[#This Row],[税前应发总额]]*0.2%,2)</f>
        <v>7.37</v>
      </c>
      <c r="X391" s="62">
        <f ca="1">ROUND(表1_11[[#This Row],[税前应发总额]]*12%,2)</f>
        <v>442.26</v>
      </c>
      <c r="Y391" s="61">
        <f ca="1">ROUND(表1_11[[#This Row],[税前应发总额]]-SUM(表1_11[[#This Row],[养老保险]:[公积金]]),2)</f>
        <v>2864.32</v>
      </c>
      <c r="Z391" s="62">
        <f ca="1">ROUND(MAX((表1_11[[#This Row],[扣保险后工资金额]]-3500)*{3,10,20,25,30,35,45}%-{0,105,555,1005,2755,5505,13505},0),2)</f>
        <v>0</v>
      </c>
      <c r="AA391" s="63">
        <f ca="1">表1_11[[#This Row],[扣保险后工资金额]]-表1_11[[#This Row],[个人所得税]]</f>
        <v>2864.32</v>
      </c>
      <c r="AB391" s="53">
        <v>2808.72</v>
      </c>
      <c r="AC391" s="64">
        <f ca="1">(表1_11[[#This Row],[实发工资]]-表1_11[[#This Row],[上月对比]])/表1_11[[#This Row],[上月对比]]</f>
        <v>1.9795494032869197E-2</v>
      </c>
      <c r="AD391" s="65" t="s">
        <v>1587</v>
      </c>
    </row>
    <row r="392" spans="1:30">
      <c r="A392" s="42" t="s">
        <v>577</v>
      </c>
      <c r="B392" s="42" t="s">
        <v>772</v>
      </c>
      <c r="C392" s="40" t="s">
        <v>711</v>
      </c>
      <c r="D392" s="40" t="s">
        <v>712</v>
      </c>
      <c r="E392" s="41" t="s">
        <v>1402</v>
      </c>
      <c r="F392" s="5" t="s">
        <v>388</v>
      </c>
      <c r="G392" s="25">
        <v>40289</v>
      </c>
      <c r="H392" s="5" t="s">
        <v>610</v>
      </c>
      <c r="I392" s="5">
        <f>VLOOKUP(MID(表1_11[[#This Row],[工资等级]],1,1),表12[],MATCH(MID(表1_11[[#This Row],[工资等级]],2,2),表12[[#Headers],[1]:[10]],0)+1,0)</f>
        <v>3400</v>
      </c>
      <c r="J392" s="5">
        <v>27</v>
      </c>
      <c r="K392" s="27">
        <v>1.125</v>
      </c>
      <c r="L392" s="37">
        <f>IF(表1_11[[#This Row],[出勤率]]&gt;1,1,表1_11[[#This Row],[出勤率]])*表1_11[[#This Row],[岗位工资]]</f>
        <v>3400</v>
      </c>
      <c r="M392" s="5">
        <f>LOOKUP(表1_11[[#This Row],[岗位工资]],表13[lookup],表13[奖金比率])*表1_11[[#This Row],[岗位工资]]</f>
        <v>340</v>
      </c>
      <c r="N392" s="5">
        <v>88</v>
      </c>
      <c r="O392" s="38">
        <f>表1_11[[#This Row],[奖金等级]]*表1_11[[#This Row],[绩效得分]]/100</f>
        <v>299.2</v>
      </c>
      <c r="P392" s="5">
        <f>IF(表1_11[[#This Row],[出勤率]]&gt;=1,200,0)</f>
        <v>200</v>
      </c>
      <c r="Q392" s="23">
        <f t="shared" ca="1" si="6"/>
        <v>350</v>
      </c>
      <c r="R392" s="23">
        <f>IF(表1_11[[#This Row],[中心]]="营销中心",VLOOKUP(表1_11[[#This Row],[职位]],表2[[话费补贴]:[营销中心]],2,0),VLOOKUP(表1_11[[#This Row],[职位]],表2[],3,0))</f>
        <v>0</v>
      </c>
      <c r="S392" s="23">
        <v>200</v>
      </c>
      <c r="T392" s="61">
        <f ca="1">ROUND(SUM(表1_11[[#This Row],[基本工资]],表1_11[[#This Row],[奖金]],表1_11[[#This Row],[全勤奖]:[防暑降温补贴]]),2)</f>
        <v>4449.2</v>
      </c>
      <c r="U392" s="62">
        <f ca="1">ROUND(表1_11[[#This Row],[税前应发总额]]*8%,2)</f>
        <v>355.94</v>
      </c>
      <c r="V392" s="62">
        <f ca="1">ROUND(表1_11[[#This Row],[税前应发总额]]*2%+3,2)</f>
        <v>91.98</v>
      </c>
      <c r="W392" s="62">
        <f ca="1">ROUND(表1_11[[#This Row],[税前应发总额]]*0.2%,2)</f>
        <v>8.9</v>
      </c>
      <c r="X392" s="62">
        <f ca="1">ROUND(表1_11[[#This Row],[税前应发总额]]*12%,2)</f>
        <v>533.9</v>
      </c>
      <c r="Y392" s="61">
        <f ca="1">ROUND(表1_11[[#This Row],[税前应发总额]]-SUM(表1_11[[#This Row],[养老保险]:[公积金]]),2)</f>
        <v>3458.48</v>
      </c>
      <c r="Z392" s="62">
        <f ca="1">ROUND(MAX((表1_11[[#This Row],[扣保险后工资金额]]-3500)*{3,10,20,25,30,35,45}%-{0,105,555,1005,2755,5505,13505},0),2)</f>
        <v>0</v>
      </c>
      <c r="AA392" s="63">
        <f ca="1">表1_11[[#This Row],[扣保险后工资金额]]-表1_11[[#This Row],[个人所得税]]</f>
        <v>3458.48</v>
      </c>
      <c r="AB392" s="53">
        <v>3196.4</v>
      </c>
      <c r="AC392" s="64">
        <f ca="1">(表1_11[[#This Row],[实发工资]]-表1_11[[#This Row],[上月对比]])/表1_11[[#This Row],[上月对比]]</f>
        <v>8.199224127143033E-2</v>
      </c>
      <c r="AD392" s="65" t="s">
        <v>1587</v>
      </c>
    </row>
    <row r="393" spans="1:30">
      <c r="A393" s="42" t="s">
        <v>577</v>
      </c>
      <c r="B393" s="42" t="s">
        <v>792</v>
      </c>
      <c r="C393" s="40" t="s">
        <v>793</v>
      </c>
      <c r="D393" s="40" t="s">
        <v>794</v>
      </c>
      <c r="E393" s="41" t="s">
        <v>1403</v>
      </c>
      <c r="F393" s="5" t="s">
        <v>389</v>
      </c>
      <c r="G393" s="25">
        <v>39617</v>
      </c>
      <c r="H393" s="5" t="s">
        <v>630</v>
      </c>
      <c r="I393" s="5">
        <f>VLOOKUP(MID(表1_11[[#This Row],[工资等级]],1,1),表12[],MATCH(MID(表1_11[[#This Row],[工资等级]],2,2),表12[[#Headers],[1]:[10]],0)+1,0)</f>
        <v>2600</v>
      </c>
      <c r="J393" s="5">
        <v>26.5</v>
      </c>
      <c r="K393" s="27">
        <v>1.1041666666666667</v>
      </c>
      <c r="L393" s="37">
        <f>IF(表1_11[[#This Row],[出勤率]]&gt;1,1,表1_11[[#This Row],[出勤率]])*表1_11[[#This Row],[岗位工资]]</f>
        <v>2600</v>
      </c>
      <c r="M393" s="5">
        <f>LOOKUP(表1_11[[#This Row],[岗位工资]],表13[lookup],表13[奖金比率])*表1_11[[#This Row],[岗位工资]]</f>
        <v>260</v>
      </c>
      <c r="N393" s="5">
        <v>98</v>
      </c>
      <c r="O393" s="38">
        <f>表1_11[[#This Row],[奖金等级]]*表1_11[[#This Row],[绩效得分]]/100</f>
        <v>254.8</v>
      </c>
      <c r="P393" s="5">
        <f>IF(表1_11[[#This Row],[出勤率]]&gt;=1,200,0)</f>
        <v>200</v>
      </c>
      <c r="Q393" s="23">
        <f t="shared" ca="1" si="6"/>
        <v>450</v>
      </c>
      <c r="R393" s="23">
        <f>IF(表1_11[[#This Row],[中心]]="营销中心",VLOOKUP(表1_11[[#This Row],[职位]],表2[[话费补贴]:[营销中心]],2,0),VLOOKUP(表1_11[[#This Row],[职位]],表2[],3,0))</f>
        <v>0</v>
      </c>
      <c r="S393" s="23">
        <v>200</v>
      </c>
      <c r="T393" s="61">
        <f ca="1">ROUND(SUM(表1_11[[#This Row],[基本工资]],表1_11[[#This Row],[奖金]],表1_11[[#This Row],[全勤奖]:[防暑降温补贴]]),2)</f>
        <v>3704.8</v>
      </c>
      <c r="U393" s="62">
        <f ca="1">ROUND(表1_11[[#This Row],[税前应发总额]]*8%,2)</f>
        <v>296.38</v>
      </c>
      <c r="V393" s="62">
        <f ca="1">ROUND(表1_11[[#This Row],[税前应发总额]]*2%+3,2)</f>
        <v>77.099999999999994</v>
      </c>
      <c r="W393" s="62">
        <f ca="1">ROUND(表1_11[[#This Row],[税前应发总额]]*0.2%,2)</f>
        <v>7.41</v>
      </c>
      <c r="X393" s="62">
        <f ca="1">ROUND(表1_11[[#This Row],[税前应发总额]]*12%,2)</f>
        <v>444.58</v>
      </c>
      <c r="Y393" s="61">
        <f ca="1">ROUND(表1_11[[#This Row],[税前应发总额]]-SUM(表1_11[[#This Row],[养老保险]:[公积金]]),2)</f>
        <v>2879.33</v>
      </c>
      <c r="Z393" s="62">
        <f ca="1">ROUND(MAX((表1_11[[#This Row],[扣保险后工资金额]]-3500)*{3,10,20,25,30,35,45}%-{0,105,555,1005,2755,5505,13505},0),2)</f>
        <v>0</v>
      </c>
      <c r="AA393" s="63">
        <f ca="1">表1_11[[#This Row],[扣保险后工资金额]]-表1_11[[#This Row],[个人所得税]]</f>
        <v>2879.33</v>
      </c>
      <c r="AB393" s="53">
        <v>3163.16</v>
      </c>
      <c r="AC393" s="64">
        <f ca="1">(表1_11[[#This Row],[实发工资]]-表1_11[[#This Row],[上月对比]])/表1_11[[#This Row],[上月对比]]</f>
        <v>-8.972989036280174E-2</v>
      </c>
      <c r="AD393" s="65" t="s">
        <v>1587</v>
      </c>
    </row>
    <row r="394" spans="1:30">
      <c r="A394" s="42" t="s">
        <v>577</v>
      </c>
      <c r="B394" s="42" t="s">
        <v>795</v>
      </c>
      <c r="C394" s="40" t="s">
        <v>687</v>
      </c>
      <c r="D394" s="40" t="s">
        <v>688</v>
      </c>
      <c r="E394" s="41" t="s">
        <v>1404</v>
      </c>
      <c r="F394" s="5" t="s">
        <v>390</v>
      </c>
      <c r="G394" s="25">
        <v>40103</v>
      </c>
      <c r="H394" s="5" t="s">
        <v>612</v>
      </c>
      <c r="I394" s="5">
        <f>VLOOKUP(MID(表1_11[[#This Row],[工资等级]],1,1),表12[],MATCH(MID(表1_11[[#This Row],[工资等级]],2,2),表12[[#Headers],[1]:[10]],0)+1,0)</f>
        <v>2700</v>
      </c>
      <c r="J394" s="5">
        <v>21.5</v>
      </c>
      <c r="K394" s="27">
        <v>0.89583333333333337</v>
      </c>
      <c r="L394" s="37">
        <f>IF(表1_11[[#This Row],[出勤率]]&gt;1,1,表1_11[[#This Row],[出勤率]])*表1_11[[#This Row],[岗位工资]]</f>
        <v>2418.75</v>
      </c>
      <c r="M394" s="5">
        <f>LOOKUP(表1_11[[#This Row],[岗位工资]],表13[lookup],表13[奖金比率])*表1_11[[#This Row],[岗位工资]]</f>
        <v>270</v>
      </c>
      <c r="N394" s="5">
        <v>79</v>
      </c>
      <c r="O394" s="38">
        <f>表1_11[[#This Row],[奖金等级]]*表1_11[[#This Row],[绩效得分]]/100</f>
        <v>213.3</v>
      </c>
      <c r="P394" s="5">
        <f>IF(表1_11[[#This Row],[出勤率]]&gt;=1,200,0)</f>
        <v>0</v>
      </c>
      <c r="Q394" s="23">
        <f t="shared" ca="1" si="6"/>
        <v>400</v>
      </c>
      <c r="R394" s="23">
        <f>IF(表1_11[[#This Row],[中心]]="营销中心",VLOOKUP(表1_11[[#This Row],[职位]],表2[[话费补贴]:[营销中心]],2,0),VLOOKUP(表1_11[[#This Row],[职位]],表2[],3,0))</f>
        <v>0</v>
      </c>
      <c r="S394" s="23">
        <v>200</v>
      </c>
      <c r="T394" s="61">
        <f ca="1">ROUND(SUM(表1_11[[#This Row],[基本工资]],表1_11[[#This Row],[奖金]],表1_11[[#This Row],[全勤奖]:[防暑降温补贴]]),2)</f>
        <v>3232.05</v>
      </c>
      <c r="U394" s="62">
        <f ca="1">ROUND(表1_11[[#This Row],[税前应发总额]]*8%,2)</f>
        <v>258.56</v>
      </c>
      <c r="V394" s="62">
        <f ca="1">ROUND(表1_11[[#This Row],[税前应发总额]]*2%+3,2)</f>
        <v>67.64</v>
      </c>
      <c r="W394" s="62">
        <f ca="1">ROUND(表1_11[[#This Row],[税前应发总额]]*0.2%,2)</f>
        <v>6.46</v>
      </c>
      <c r="X394" s="62">
        <f ca="1">ROUND(表1_11[[#This Row],[税前应发总额]]*12%,2)</f>
        <v>387.85</v>
      </c>
      <c r="Y394" s="61">
        <f ca="1">ROUND(表1_11[[#This Row],[税前应发总额]]-SUM(表1_11[[#This Row],[养老保险]:[公积金]]),2)</f>
        <v>2511.54</v>
      </c>
      <c r="Z394" s="62">
        <f ca="1">ROUND(MAX((表1_11[[#This Row],[扣保险后工资金额]]-3500)*{3,10,20,25,30,35,45}%-{0,105,555,1005,2755,5505,13505},0),2)</f>
        <v>0</v>
      </c>
      <c r="AA394" s="63">
        <f ca="1">表1_11[[#This Row],[扣保险后工资金额]]-表1_11[[#This Row],[个人所得税]]</f>
        <v>2511.54</v>
      </c>
      <c r="AB394" s="53">
        <v>2927.39</v>
      </c>
      <c r="AC394" s="64">
        <f ca="1">(表1_11[[#This Row],[实发工资]]-表1_11[[#This Row],[上月对比]])/表1_11[[#This Row],[上月对比]]</f>
        <v>-0.14205486798820791</v>
      </c>
      <c r="AD394" s="65" t="s">
        <v>1587</v>
      </c>
    </row>
    <row r="395" spans="1:30">
      <c r="A395" s="42" t="s">
        <v>577</v>
      </c>
      <c r="B395" s="42" t="s">
        <v>776</v>
      </c>
      <c r="C395" s="40" t="s">
        <v>655</v>
      </c>
      <c r="D395" s="40" t="s">
        <v>656</v>
      </c>
      <c r="E395" s="41" t="s">
        <v>1405</v>
      </c>
      <c r="F395" s="5" t="s">
        <v>391</v>
      </c>
      <c r="G395" s="25">
        <v>41365</v>
      </c>
      <c r="H395" s="5" t="s">
        <v>624</v>
      </c>
      <c r="I395" s="5">
        <f>VLOOKUP(MID(表1_11[[#This Row],[工资等级]],1,1),表12[],MATCH(MID(表1_11[[#This Row],[工资等级]],2,2),表12[[#Headers],[1]:[10]],0)+1,0)</f>
        <v>2800</v>
      </c>
      <c r="J395" s="5">
        <v>24.5</v>
      </c>
      <c r="K395" s="27">
        <v>1.0208333333333333</v>
      </c>
      <c r="L395" s="37">
        <f>IF(表1_11[[#This Row],[出勤率]]&gt;1,1,表1_11[[#This Row],[出勤率]])*表1_11[[#This Row],[岗位工资]]</f>
        <v>2800</v>
      </c>
      <c r="M395" s="5">
        <f>LOOKUP(表1_11[[#This Row],[岗位工资]],表13[lookup],表13[奖金比率])*表1_11[[#This Row],[岗位工资]]</f>
        <v>280</v>
      </c>
      <c r="N395" s="5">
        <v>80</v>
      </c>
      <c r="O395" s="38">
        <f>表1_11[[#This Row],[奖金等级]]*表1_11[[#This Row],[绩效得分]]/100</f>
        <v>224</v>
      </c>
      <c r="P395" s="5">
        <f>IF(表1_11[[#This Row],[出勤率]]&gt;=1,200,0)</f>
        <v>200</v>
      </c>
      <c r="Q395" s="23">
        <f t="shared" ca="1" si="6"/>
        <v>200</v>
      </c>
      <c r="R395" s="23">
        <f>IF(表1_11[[#This Row],[中心]]="营销中心",VLOOKUP(表1_11[[#This Row],[职位]],表2[[话费补贴]:[营销中心]],2,0),VLOOKUP(表1_11[[#This Row],[职位]],表2[],3,0))</f>
        <v>0</v>
      </c>
      <c r="S395" s="23">
        <v>200</v>
      </c>
      <c r="T395" s="61">
        <f ca="1">ROUND(SUM(表1_11[[#This Row],[基本工资]],表1_11[[#This Row],[奖金]],表1_11[[#This Row],[全勤奖]:[防暑降温补贴]]),2)</f>
        <v>3624</v>
      </c>
      <c r="U395" s="62">
        <f ca="1">ROUND(表1_11[[#This Row],[税前应发总额]]*8%,2)</f>
        <v>289.92</v>
      </c>
      <c r="V395" s="62">
        <f ca="1">ROUND(表1_11[[#This Row],[税前应发总额]]*2%+3,2)</f>
        <v>75.48</v>
      </c>
      <c r="W395" s="62">
        <f ca="1">ROUND(表1_11[[#This Row],[税前应发总额]]*0.2%,2)</f>
        <v>7.25</v>
      </c>
      <c r="X395" s="62">
        <f ca="1">ROUND(表1_11[[#This Row],[税前应发总额]]*12%,2)</f>
        <v>434.88</v>
      </c>
      <c r="Y395" s="61">
        <f ca="1">ROUND(表1_11[[#This Row],[税前应发总额]]-SUM(表1_11[[#This Row],[养老保险]:[公积金]]),2)</f>
        <v>2816.47</v>
      </c>
      <c r="Z395" s="62">
        <f ca="1">ROUND(MAX((表1_11[[#This Row],[扣保险后工资金额]]-3500)*{3,10,20,25,30,35,45}%-{0,105,555,1005,2755,5505,13505},0),2)</f>
        <v>0</v>
      </c>
      <c r="AA395" s="63">
        <f ca="1">表1_11[[#This Row],[扣保险后工资金额]]-表1_11[[#This Row],[个人所得税]]</f>
        <v>2816.47</v>
      </c>
      <c r="AB395" s="53">
        <v>2493.83</v>
      </c>
      <c r="AC395" s="64">
        <f ca="1">(表1_11[[#This Row],[实发工资]]-表1_11[[#This Row],[上月对比]])/表1_11[[#This Row],[上月对比]]</f>
        <v>0.12937529823604652</v>
      </c>
      <c r="AD395" s="65" t="s">
        <v>1587</v>
      </c>
    </row>
    <row r="396" spans="1:30">
      <c r="A396" s="42" t="s">
        <v>577</v>
      </c>
      <c r="B396" s="42" t="s">
        <v>796</v>
      </c>
      <c r="C396" s="40" t="s">
        <v>677</v>
      </c>
      <c r="D396" s="40" t="s">
        <v>678</v>
      </c>
      <c r="E396" s="41" t="s">
        <v>1406</v>
      </c>
      <c r="F396" s="5" t="s">
        <v>392</v>
      </c>
      <c r="G396" s="25">
        <v>42664</v>
      </c>
      <c r="H396" s="5" t="s">
        <v>615</v>
      </c>
      <c r="I396" s="5">
        <f>VLOOKUP(MID(表1_11[[#This Row],[工资等级]],1,1),表12[],MATCH(MID(表1_11[[#This Row],[工资等级]],2,2),表12[[#Headers],[1]:[10]],0)+1,0)</f>
        <v>3200</v>
      </c>
      <c r="J396" s="5">
        <v>21.5</v>
      </c>
      <c r="K396" s="27">
        <v>0.89583333333333337</v>
      </c>
      <c r="L396" s="37">
        <f>IF(表1_11[[#This Row],[出勤率]]&gt;1,1,表1_11[[#This Row],[出勤率]])*表1_11[[#This Row],[岗位工资]]</f>
        <v>2866.666666666667</v>
      </c>
      <c r="M396" s="5">
        <f>LOOKUP(表1_11[[#This Row],[岗位工资]],表13[lookup],表13[奖金比率])*表1_11[[#This Row],[岗位工资]]</f>
        <v>320</v>
      </c>
      <c r="N396" s="5">
        <v>83</v>
      </c>
      <c r="O396" s="38">
        <f>表1_11[[#This Row],[奖金等级]]*表1_11[[#This Row],[绩效得分]]/100</f>
        <v>265.60000000000002</v>
      </c>
      <c r="P396" s="5">
        <f>IF(表1_11[[#This Row],[出勤率]]&gt;=1,200,0)</f>
        <v>0</v>
      </c>
      <c r="Q396" s="23">
        <f t="shared" ca="1" si="6"/>
        <v>50</v>
      </c>
      <c r="R396" s="23">
        <f>IF(表1_11[[#This Row],[中心]]="营销中心",VLOOKUP(表1_11[[#This Row],[职位]],表2[[话费补贴]:[营销中心]],2,0),VLOOKUP(表1_11[[#This Row],[职位]],表2[],3,0))</f>
        <v>0</v>
      </c>
      <c r="S396" s="23">
        <v>200</v>
      </c>
      <c r="T396" s="61">
        <f ca="1">ROUND(SUM(表1_11[[#This Row],[基本工资]],表1_11[[#This Row],[奖金]],表1_11[[#This Row],[全勤奖]:[防暑降温补贴]]),2)</f>
        <v>3382.27</v>
      </c>
      <c r="U396" s="62">
        <f ca="1">ROUND(表1_11[[#This Row],[税前应发总额]]*8%,2)</f>
        <v>270.58</v>
      </c>
      <c r="V396" s="62">
        <f ca="1">ROUND(表1_11[[#This Row],[税前应发总额]]*2%+3,2)</f>
        <v>70.650000000000006</v>
      </c>
      <c r="W396" s="62">
        <f ca="1">ROUND(表1_11[[#This Row],[税前应发总额]]*0.2%,2)</f>
        <v>6.76</v>
      </c>
      <c r="X396" s="62">
        <f ca="1">ROUND(表1_11[[#This Row],[税前应发总额]]*12%,2)</f>
        <v>405.87</v>
      </c>
      <c r="Y396" s="61">
        <f ca="1">ROUND(表1_11[[#This Row],[税前应发总额]]-SUM(表1_11[[#This Row],[养老保险]:[公积金]]),2)</f>
        <v>2628.41</v>
      </c>
      <c r="Z396" s="62">
        <f ca="1">ROUND(MAX((表1_11[[#This Row],[扣保险后工资金额]]-3500)*{3,10,20,25,30,35,45}%-{0,105,555,1005,2755,5505,13505},0),2)</f>
        <v>0</v>
      </c>
      <c r="AA396" s="63">
        <f ca="1">表1_11[[#This Row],[扣保险后工资金额]]-表1_11[[#This Row],[个人所得税]]</f>
        <v>2628.41</v>
      </c>
      <c r="AB396" s="53">
        <v>3038.49</v>
      </c>
      <c r="AC396" s="64">
        <f ca="1">(表1_11[[#This Row],[实发工资]]-表1_11[[#This Row],[上月对比]])/表1_11[[#This Row],[上月对比]]</f>
        <v>-0.13496177377578994</v>
      </c>
      <c r="AD396" s="65" t="s">
        <v>1587</v>
      </c>
    </row>
    <row r="397" spans="1:30">
      <c r="A397" s="42" t="s">
        <v>577</v>
      </c>
      <c r="B397" s="42" t="s">
        <v>776</v>
      </c>
      <c r="C397" s="40" t="s">
        <v>655</v>
      </c>
      <c r="D397" s="40" t="s">
        <v>656</v>
      </c>
      <c r="E397" s="41" t="s">
        <v>1407</v>
      </c>
      <c r="F397" s="5" t="s">
        <v>393</v>
      </c>
      <c r="G397" s="25">
        <v>39226</v>
      </c>
      <c r="H397" s="5" t="s">
        <v>618</v>
      </c>
      <c r="I397" s="5">
        <f>VLOOKUP(MID(表1_11[[#This Row],[工资等级]],1,1),表12[],MATCH(MID(表1_11[[#This Row],[工资等级]],2,2),表12[[#Headers],[1]:[10]],0)+1,0)</f>
        <v>3000</v>
      </c>
      <c r="J397" s="5">
        <v>27.5</v>
      </c>
      <c r="K397" s="27">
        <v>1.1458333333333333</v>
      </c>
      <c r="L397" s="37">
        <f>IF(表1_11[[#This Row],[出勤率]]&gt;1,1,表1_11[[#This Row],[出勤率]])*表1_11[[#This Row],[岗位工资]]</f>
        <v>3000</v>
      </c>
      <c r="M397" s="5">
        <f>LOOKUP(表1_11[[#This Row],[岗位工资]],表13[lookup],表13[奖金比率])*表1_11[[#This Row],[岗位工资]]</f>
        <v>300</v>
      </c>
      <c r="N397" s="5">
        <v>94</v>
      </c>
      <c r="O397" s="38">
        <f>表1_11[[#This Row],[奖金等级]]*表1_11[[#This Row],[绩效得分]]/100</f>
        <v>282</v>
      </c>
      <c r="P397" s="5">
        <f>IF(表1_11[[#This Row],[出勤率]]&gt;=1,200,0)</f>
        <v>200</v>
      </c>
      <c r="Q397" s="23">
        <f t="shared" ca="1" si="6"/>
        <v>500</v>
      </c>
      <c r="R397" s="23">
        <f>IF(表1_11[[#This Row],[中心]]="营销中心",VLOOKUP(表1_11[[#This Row],[职位]],表2[[话费补贴]:[营销中心]],2,0),VLOOKUP(表1_11[[#This Row],[职位]],表2[],3,0))</f>
        <v>0</v>
      </c>
      <c r="S397" s="23">
        <v>200</v>
      </c>
      <c r="T397" s="61">
        <f ca="1">ROUND(SUM(表1_11[[#This Row],[基本工资]],表1_11[[#This Row],[奖金]],表1_11[[#This Row],[全勤奖]:[防暑降温补贴]]),2)</f>
        <v>4182</v>
      </c>
      <c r="U397" s="62">
        <f ca="1">ROUND(表1_11[[#This Row],[税前应发总额]]*8%,2)</f>
        <v>334.56</v>
      </c>
      <c r="V397" s="62">
        <f ca="1">ROUND(表1_11[[#This Row],[税前应发总额]]*2%+3,2)</f>
        <v>86.64</v>
      </c>
      <c r="W397" s="62">
        <f ca="1">ROUND(表1_11[[#This Row],[税前应发总额]]*0.2%,2)</f>
        <v>8.36</v>
      </c>
      <c r="X397" s="62">
        <f ca="1">ROUND(表1_11[[#This Row],[税前应发总额]]*12%,2)</f>
        <v>501.84</v>
      </c>
      <c r="Y397" s="61">
        <f ca="1">ROUND(表1_11[[#This Row],[税前应发总额]]-SUM(表1_11[[#This Row],[养老保险]:[公积金]]),2)</f>
        <v>3250.6</v>
      </c>
      <c r="Z397" s="62">
        <f ca="1">ROUND(MAX((表1_11[[#This Row],[扣保险后工资金额]]-3500)*{3,10,20,25,30,35,45}%-{0,105,555,1005,2755,5505,13505},0),2)</f>
        <v>0</v>
      </c>
      <c r="AA397" s="63">
        <f ca="1">表1_11[[#This Row],[扣保险后工资金额]]-表1_11[[#This Row],[个人所得税]]</f>
        <v>3250.6</v>
      </c>
      <c r="AB397" s="53">
        <v>3724.92</v>
      </c>
      <c r="AC397" s="64">
        <f ca="1">(表1_11[[#This Row],[实发工资]]-表1_11[[#This Row],[上月对比]])/表1_11[[#This Row],[上月对比]]</f>
        <v>-0.12733696294148603</v>
      </c>
      <c r="AD397" s="65" t="s">
        <v>1587</v>
      </c>
    </row>
    <row r="398" spans="1:30">
      <c r="A398" s="42" t="s">
        <v>577</v>
      </c>
      <c r="B398" s="42" t="s">
        <v>797</v>
      </c>
      <c r="C398" s="40" t="s">
        <v>798</v>
      </c>
      <c r="D398" s="40" t="s">
        <v>799</v>
      </c>
      <c r="E398" s="41" t="s">
        <v>1408</v>
      </c>
      <c r="F398" s="5" t="s">
        <v>394</v>
      </c>
      <c r="G398" s="25">
        <v>39728</v>
      </c>
      <c r="H398" s="5" t="s">
        <v>615</v>
      </c>
      <c r="I398" s="5">
        <f>VLOOKUP(MID(表1_11[[#This Row],[工资等级]],1,1),表12[],MATCH(MID(表1_11[[#This Row],[工资等级]],2,2),表12[[#Headers],[1]:[10]],0)+1,0)</f>
        <v>3200</v>
      </c>
      <c r="J398" s="5">
        <v>27</v>
      </c>
      <c r="K398" s="27">
        <v>1.125</v>
      </c>
      <c r="L398" s="37">
        <f>IF(表1_11[[#This Row],[出勤率]]&gt;1,1,表1_11[[#This Row],[出勤率]])*表1_11[[#This Row],[岗位工资]]</f>
        <v>3200</v>
      </c>
      <c r="M398" s="5">
        <f>LOOKUP(表1_11[[#This Row],[岗位工资]],表13[lookup],表13[奖金比率])*表1_11[[#This Row],[岗位工资]]</f>
        <v>320</v>
      </c>
      <c r="N398" s="5">
        <v>87</v>
      </c>
      <c r="O398" s="38">
        <f>表1_11[[#This Row],[奖金等级]]*表1_11[[#This Row],[绩效得分]]/100</f>
        <v>278.39999999999998</v>
      </c>
      <c r="P398" s="5">
        <f>IF(表1_11[[#This Row],[出勤率]]&gt;=1,200,0)</f>
        <v>200</v>
      </c>
      <c r="Q398" s="23">
        <f t="shared" ca="1" si="6"/>
        <v>450</v>
      </c>
      <c r="R398" s="23">
        <f>IF(表1_11[[#This Row],[中心]]="营销中心",VLOOKUP(表1_11[[#This Row],[职位]],表2[[话费补贴]:[营销中心]],2,0),VLOOKUP(表1_11[[#This Row],[职位]],表2[],3,0))</f>
        <v>0</v>
      </c>
      <c r="S398" s="23">
        <v>200</v>
      </c>
      <c r="T398" s="61">
        <f ca="1">ROUND(SUM(表1_11[[#This Row],[基本工资]],表1_11[[#This Row],[奖金]],表1_11[[#This Row],[全勤奖]:[防暑降温补贴]]),2)</f>
        <v>4328.3999999999996</v>
      </c>
      <c r="U398" s="62">
        <f ca="1">ROUND(表1_11[[#This Row],[税前应发总额]]*8%,2)</f>
        <v>346.27</v>
      </c>
      <c r="V398" s="62">
        <f ca="1">ROUND(表1_11[[#This Row],[税前应发总额]]*2%+3,2)</f>
        <v>89.57</v>
      </c>
      <c r="W398" s="62">
        <f ca="1">ROUND(表1_11[[#This Row],[税前应发总额]]*0.2%,2)</f>
        <v>8.66</v>
      </c>
      <c r="X398" s="62">
        <f ca="1">ROUND(表1_11[[#This Row],[税前应发总额]]*12%,2)</f>
        <v>519.41</v>
      </c>
      <c r="Y398" s="61">
        <f ca="1">ROUND(表1_11[[#This Row],[税前应发总额]]-SUM(表1_11[[#This Row],[养老保险]:[公积金]]),2)</f>
        <v>3364.49</v>
      </c>
      <c r="Z398" s="62">
        <f ca="1">ROUND(MAX((表1_11[[#This Row],[扣保险后工资金额]]-3500)*{3,10,20,25,30,35,45}%-{0,105,555,1005,2755,5505,13505},0),2)</f>
        <v>0</v>
      </c>
      <c r="AA398" s="63">
        <f ca="1">表1_11[[#This Row],[扣保险后工资金额]]-表1_11[[#This Row],[个人所得税]]</f>
        <v>3364.49</v>
      </c>
      <c r="AB398" s="53">
        <v>3782.66</v>
      </c>
      <c r="AC398" s="64">
        <f ca="1">(表1_11[[#This Row],[实发工资]]-表1_11[[#This Row],[上月对比]])/表1_11[[#This Row],[上月对比]]</f>
        <v>-0.11054919025236212</v>
      </c>
      <c r="AD398" s="65" t="s">
        <v>1587</v>
      </c>
    </row>
    <row r="399" spans="1:30">
      <c r="A399" s="42" t="s">
        <v>577</v>
      </c>
      <c r="B399" s="42" t="s">
        <v>776</v>
      </c>
      <c r="C399" s="40" t="s">
        <v>655</v>
      </c>
      <c r="D399" s="40" t="s">
        <v>656</v>
      </c>
      <c r="E399" s="41" t="s">
        <v>1409</v>
      </c>
      <c r="F399" s="5" t="s">
        <v>395</v>
      </c>
      <c r="G399" s="25">
        <v>41108</v>
      </c>
      <c r="H399" s="5" t="s">
        <v>624</v>
      </c>
      <c r="I399" s="5">
        <f>VLOOKUP(MID(表1_11[[#This Row],[工资等级]],1,1),表12[],MATCH(MID(表1_11[[#This Row],[工资等级]],2,2),表12[[#Headers],[1]:[10]],0)+1,0)</f>
        <v>2800</v>
      </c>
      <c r="J399" s="5">
        <v>24</v>
      </c>
      <c r="K399" s="27">
        <v>1</v>
      </c>
      <c r="L399" s="37">
        <f>IF(表1_11[[#This Row],[出勤率]]&gt;1,1,表1_11[[#This Row],[出勤率]])*表1_11[[#This Row],[岗位工资]]</f>
        <v>2800</v>
      </c>
      <c r="M399" s="5">
        <f>LOOKUP(表1_11[[#This Row],[岗位工资]],表13[lookup],表13[奖金比率])*表1_11[[#This Row],[岗位工资]]</f>
        <v>280</v>
      </c>
      <c r="N399" s="5">
        <v>95</v>
      </c>
      <c r="O399" s="38">
        <f>表1_11[[#This Row],[奖金等级]]*表1_11[[#This Row],[绩效得分]]/100</f>
        <v>266</v>
      </c>
      <c r="P399" s="5">
        <f>IF(表1_11[[#This Row],[出勤率]]&gt;=1,200,0)</f>
        <v>200</v>
      </c>
      <c r="Q399" s="23">
        <f t="shared" ca="1" si="6"/>
        <v>250</v>
      </c>
      <c r="R399" s="23">
        <f>IF(表1_11[[#This Row],[中心]]="营销中心",VLOOKUP(表1_11[[#This Row],[职位]],表2[[话费补贴]:[营销中心]],2,0),VLOOKUP(表1_11[[#This Row],[职位]],表2[],3,0))</f>
        <v>0</v>
      </c>
      <c r="S399" s="23">
        <v>200</v>
      </c>
      <c r="T399" s="61">
        <f ca="1">ROUND(SUM(表1_11[[#This Row],[基本工资]],表1_11[[#This Row],[奖金]],表1_11[[#This Row],[全勤奖]:[防暑降温补贴]]),2)</f>
        <v>3716</v>
      </c>
      <c r="U399" s="62">
        <f ca="1">ROUND(表1_11[[#This Row],[税前应发总额]]*8%,2)</f>
        <v>297.27999999999997</v>
      </c>
      <c r="V399" s="62">
        <f ca="1">ROUND(表1_11[[#This Row],[税前应发总额]]*2%+3,2)</f>
        <v>77.319999999999993</v>
      </c>
      <c r="W399" s="62">
        <f ca="1">ROUND(表1_11[[#This Row],[税前应发总额]]*0.2%,2)</f>
        <v>7.43</v>
      </c>
      <c r="X399" s="62">
        <f ca="1">ROUND(表1_11[[#This Row],[税前应发总额]]*12%,2)</f>
        <v>445.92</v>
      </c>
      <c r="Y399" s="61">
        <f ca="1">ROUND(表1_11[[#This Row],[税前应发总额]]-SUM(表1_11[[#This Row],[养老保险]:[公积金]]),2)</f>
        <v>2888.05</v>
      </c>
      <c r="Z399" s="62">
        <f ca="1">ROUND(MAX((表1_11[[#This Row],[扣保险后工资金额]]-3500)*{3,10,20,25,30,35,45}%-{0,105,555,1005,2755,5505,13505},0),2)</f>
        <v>0</v>
      </c>
      <c r="AA399" s="63">
        <f ca="1">表1_11[[#This Row],[扣保险后工资金额]]-表1_11[[#This Row],[个人所得税]]</f>
        <v>2888.05</v>
      </c>
      <c r="AB399" s="53">
        <v>2486.35</v>
      </c>
      <c r="AC399" s="64">
        <f ca="1">(表1_11[[#This Row],[实发工资]]-表1_11[[#This Row],[上月对比]])/表1_11[[#This Row],[上月对比]]</f>
        <v>0.16156212922557173</v>
      </c>
      <c r="AD399" s="65" t="s">
        <v>1587</v>
      </c>
    </row>
    <row r="400" spans="1:30">
      <c r="A400" s="42" t="s">
        <v>577</v>
      </c>
      <c r="B400" s="42" t="s">
        <v>800</v>
      </c>
      <c r="C400" s="40" t="s">
        <v>801</v>
      </c>
      <c r="D400" s="40" t="s">
        <v>802</v>
      </c>
      <c r="E400" s="41" t="s">
        <v>1410</v>
      </c>
      <c r="F400" s="5" t="s">
        <v>396</v>
      </c>
      <c r="G400" s="25">
        <v>42249</v>
      </c>
      <c r="H400" s="5" t="s">
        <v>630</v>
      </c>
      <c r="I400" s="5">
        <f>VLOOKUP(MID(表1_11[[#This Row],[工资等级]],1,1),表12[],MATCH(MID(表1_11[[#This Row],[工资等级]],2,2),表12[[#Headers],[1]:[10]],0)+1,0)</f>
        <v>2600</v>
      </c>
      <c r="J400" s="5">
        <v>23</v>
      </c>
      <c r="K400" s="27">
        <v>0.95833333333333337</v>
      </c>
      <c r="L400" s="37">
        <f>IF(表1_11[[#This Row],[出勤率]]&gt;1,1,表1_11[[#This Row],[出勤率]])*表1_11[[#This Row],[岗位工资]]</f>
        <v>2491.666666666667</v>
      </c>
      <c r="M400" s="5">
        <f>LOOKUP(表1_11[[#This Row],[岗位工资]],表13[lookup],表13[奖金比率])*表1_11[[#This Row],[岗位工资]]</f>
        <v>260</v>
      </c>
      <c r="N400" s="5">
        <v>89</v>
      </c>
      <c r="O400" s="38">
        <f>表1_11[[#This Row],[奖金等级]]*表1_11[[#This Row],[绩效得分]]/100</f>
        <v>231.4</v>
      </c>
      <c r="P400" s="5">
        <f>IF(表1_11[[#This Row],[出勤率]]&gt;=1,200,0)</f>
        <v>0</v>
      </c>
      <c r="Q400" s="23">
        <f t="shared" ca="1" si="6"/>
        <v>100</v>
      </c>
      <c r="R400" s="23">
        <f>IF(表1_11[[#This Row],[中心]]="营销中心",VLOOKUP(表1_11[[#This Row],[职位]],表2[[话费补贴]:[营销中心]],2,0),VLOOKUP(表1_11[[#This Row],[职位]],表2[],3,0))</f>
        <v>0</v>
      </c>
      <c r="S400" s="23">
        <v>200</v>
      </c>
      <c r="T400" s="61">
        <f ca="1">ROUND(SUM(表1_11[[#This Row],[基本工资]],表1_11[[#This Row],[奖金]],表1_11[[#This Row],[全勤奖]:[防暑降温补贴]]),2)</f>
        <v>3023.07</v>
      </c>
      <c r="U400" s="62">
        <f ca="1">ROUND(表1_11[[#This Row],[税前应发总额]]*8%,2)</f>
        <v>241.85</v>
      </c>
      <c r="V400" s="62">
        <f ca="1">ROUND(表1_11[[#This Row],[税前应发总额]]*2%+3,2)</f>
        <v>63.46</v>
      </c>
      <c r="W400" s="62">
        <f ca="1">ROUND(表1_11[[#This Row],[税前应发总额]]*0.2%,2)</f>
        <v>6.05</v>
      </c>
      <c r="X400" s="62">
        <f ca="1">ROUND(表1_11[[#This Row],[税前应发总额]]*12%,2)</f>
        <v>362.77</v>
      </c>
      <c r="Y400" s="61">
        <f ca="1">ROUND(表1_11[[#This Row],[税前应发总额]]-SUM(表1_11[[#This Row],[养老保险]:[公积金]]),2)</f>
        <v>2348.94</v>
      </c>
      <c r="Z400" s="62">
        <f ca="1">ROUND(MAX((表1_11[[#This Row],[扣保险后工资金额]]-3500)*{3,10,20,25,30,35,45}%-{0,105,555,1005,2755,5505,13505},0),2)</f>
        <v>0</v>
      </c>
      <c r="AA400" s="63">
        <f ca="1">表1_11[[#This Row],[扣保险后工资金额]]-表1_11[[#This Row],[个人所得税]]</f>
        <v>2348.94</v>
      </c>
      <c r="AB400" s="53">
        <v>2350.06</v>
      </c>
      <c r="AC400" s="64">
        <f ca="1">(表1_11[[#This Row],[实发工资]]-表1_11[[#This Row],[上月对比]])/表1_11[[#This Row],[上月对比]]</f>
        <v>-4.7658357658948746E-4</v>
      </c>
      <c r="AD400" s="65" t="s">
        <v>1587</v>
      </c>
    </row>
    <row r="401" spans="1:30">
      <c r="A401" s="42" t="s">
        <v>577</v>
      </c>
      <c r="B401" s="42" t="s">
        <v>803</v>
      </c>
      <c r="C401" s="40" t="s">
        <v>804</v>
      </c>
      <c r="D401" s="40" t="s">
        <v>805</v>
      </c>
      <c r="E401" s="41" t="s">
        <v>1411</v>
      </c>
      <c r="F401" s="5" t="s">
        <v>397</v>
      </c>
      <c r="G401" s="25">
        <v>42287</v>
      </c>
      <c r="H401" s="5" t="s">
        <v>657</v>
      </c>
      <c r="I401" s="5">
        <f>VLOOKUP(MID(表1_11[[#This Row],[工资等级]],1,1),表12[],MATCH(MID(表1_11[[#This Row],[工资等级]],2,2),表12[[#Headers],[1]:[10]],0)+1,0)</f>
        <v>4000</v>
      </c>
      <c r="J401" s="5">
        <v>24</v>
      </c>
      <c r="K401" s="27">
        <v>1</v>
      </c>
      <c r="L401" s="37">
        <f>IF(表1_11[[#This Row],[出勤率]]&gt;1,1,表1_11[[#This Row],[出勤率]])*表1_11[[#This Row],[岗位工资]]</f>
        <v>4000</v>
      </c>
      <c r="M401" s="5">
        <f>LOOKUP(表1_11[[#This Row],[岗位工资]],表13[lookup],表13[奖金比率])*表1_11[[#This Row],[岗位工资]]</f>
        <v>600</v>
      </c>
      <c r="N401" s="5">
        <v>96</v>
      </c>
      <c r="O401" s="38">
        <f>表1_11[[#This Row],[奖金等级]]*表1_11[[#This Row],[绩效得分]]/100</f>
        <v>576</v>
      </c>
      <c r="P401" s="5">
        <f>IF(表1_11[[#This Row],[出勤率]]&gt;=1,200,0)</f>
        <v>200</v>
      </c>
      <c r="Q401" s="23">
        <f t="shared" ca="1" si="6"/>
        <v>100</v>
      </c>
      <c r="R401" s="23">
        <f>IF(表1_11[[#This Row],[中心]]="营销中心",VLOOKUP(表1_11[[#This Row],[职位]],表2[[话费补贴]:[营销中心]],2,0),VLOOKUP(表1_11[[#This Row],[职位]],表2[],3,0))</f>
        <v>0</v>
      </c>
      <c r="S401" s="23">
        <v>200</v>
      </c>
      <c r="T401" s="61">
        <f ca="1">ROUND(SUM(表1_11[[#This Row],[基本工资]],表1_11[[#This Row],[奖金]],表1_11[[#This Row],[全勤奖]:[防暑降温补贴]]),2)</f>
        <v>5076</v>
      </c>
      <c r="U401" s="62">
        <f ca="1">ROUND(表1_11[[#This Row],[税前应发总额]]*8%,2)</f>
        <v>406.08</v>
      </c>
      <c r="V401" s="62">
        <f ca="1">ROUND(表1_11[[#This Row],[税前应发总额]]*2%+3,2)</f>
        <v>104.52</v>
      </c>
      <c r="W401" s="62">
        <f ca="1">ROUND(表1_11[[#This Row],[税前应发总额]]*0.2%,2)</f>
        <v>10.15</v>
      </c>
      <c r="X401" s="62">
        <f ca="1">ROUND(表1_11[[#This Row],[税前应发总额]]*12%,2)</f>
        <v>609.12</v>
      </c>
      <c r="Y401" s="61">
        <f ca="1">ROUND(表1_11[[#This Row],[税前应发总额]]-SUM(表1_11[[#This Row],[养老保险]:[公积金]]),2)</f>
        <v>3946.13</v>
      </c>
      <c r="Z401" s="62">
        <f ca="1">ROUND(MAX((表1_11[[#This Row],[扣保险后工资金额]]-3500)*{3,10,20,25,30,35,45}%-{0,105,555,1005,2755,5505,13505},0),2)</f>
        <v>13.38</v>
      </c>
      <c r="AA401" s="63">
        <f ca="1">表1_11[[#This Row],[扣保险后工资金额]]-表1_11[[#This Row],[个人所得税]]</f>
        <v>3932.75</v>
      </c>
      <c r="AB401" s="53">
        <v>4254.62</v>
      </c>
      <c r="AC401" s="64">
        <f ca="1">(表1_11[[#This Row],[实发工资]]-表1_11[[#This Row],[上月对比]])/表1_11[[#This Row],[上月对比]]</f>
        <v>-7.5651879603818889E-2</v>
      </c>
      <c r="AD401" s="65" t="s">
        <v>1587</v>
      </c>
    </row>
    <row r="402" spans="1:30">
      <c r="A402" s="42" t="s">
        <v>577</v>
      </c>
      <c r="B402" s="42" t="s">
        <v>776</v>
      </c>
      <c r="C402" s="40" t="s">
        <v>655</v>
      </c>
      <c r="D402" s="40" t="s">
        <v>656</v>
      </c>
      <c r="E402" s="41" t="s">
        <v>1412</v>
      </c>
      <c r="F402" s="5" t="s">
        <v>398</v>
      </c>
      <c r="G402" s="25">
        <v>42186</v>
      </c>
      <c r="H402" s="5" t="s">
        <v>624</v>
      </c>
      <c r="I402" s="5">
        <f>VLOOKUP(MID(表1_11[[#This Row],[工资等级]],1,1),表12[],MATCH(MID(表1_11[[#This Row],[工资等级]],2,2),表12[[#Headers],[1]:[10]],0)+1,0)</f>
        <v>2800</v>
      </c>
      <c r="J402" s="5">
        <v>21</v>
      </c>
      <c r="K402" s="27">
        <v>0.875</v>
      </c>
      <c r="L402" s="37">
        <f>IF(表1_11[[#This Row],[出勤率]]&gt;1,1,表1_11[[#This Row],[出勤率]])*表1_11[[#This Row],[岗位工资]]</f>
        <v>2450</v>
      </c>
      <c r="M402" s="5">
        <f>LOOKUP(表1_11[[#This Row],[岗位工资]],表13[lookup],表13[奖金比率])*表1_11[[#This Row],[岗位工资]]</f>
        <v>280</v>
      </c>
      <c r="N402" s="5">
        <v>94</v>
      </c>
      <c r="O402" s="38">
        <f>表1_11[[#This Row],[奖金等级]]*表1_11[[#This Row],[绩效得分]]/100</f>
        <v>263.2</v>
      </c>
      <c r="P402" s="5">
        <f>IF(表1_11[[#This Row],[出勤率]]&gt;=1,200,0)</f>
        <v>0</v>
      </c>
      <c r="Q402" s="23">
        <f t="shared" ca="1" si="6"/>
        <v>100</v>
      </c>
      <c r="R402" s="23">
        <f>IF(表1_11[[#This Row],[中心]]="营销中心",VLOOKUP(表1_11[[#This Row],[职位]],表2[[话费补贴]:[营销中心]],2,0),VLOOKUP(表1_11[[#This Row],[职位]],表2[],3,0))</f>
        <v>0</v>
      </c>
      <c r="S402" s="23">
        <v>200</v>
      </c>
      <c r="T402" s="61">
        <f ca="1">ROUND(SUM(表1_11[[#This Row],[基本工资]],表1_11[[#This Row],[奖金]],表1_11[[#This Row],[全勤奖]:[防暑降温补贴]]),2)</f>
        <v>3013.2</v>
      </c>
      <c r="U402" s="62">
        <f ca="1">ROUND(表1_11[[#This Row],[税前应发总额]]*8%,2)</f>
        <v>241.06</v>
      </c>
      <c r="V402" s="62">
        <f ca="1">ROUND(表1_11[[#This Row],[税前应发总额]]*2%+3,2)</f>
        <v>63.26</v>
      </c>
      <c r="W402" s="62">
        <f ca="1">ROUND(表1_11[[#This Row],[税前应发总额]]*0.2%,2)</f>
        <v>6.03</v>
      </c>
      <c r="X402" s="62">
        <f ca="1">ROUND(表1_11[[#This Row],[税前应发总额]]*12%,2)</f>
        <v>361.58</v>
      </c>
      <c r="Y402" s="61">
        <f ca="1">ROUND(表1_11[[#This Row],[税前应发总额]]-SUM(表1_11[[#This Row],[养老保险]:[公积金]]),2)</f>
        <v>2341.27</v>
      </c>
      <c r="Z402" s="62">
        <f ca="1">ROUND(MAX((表1_11[[#This Row],[扣保险后工资金额]]-3500)*{3,10,20,25,30,35,45}%-{0,105,555,1005,2755,5505,13505},0),2)</f>
        <v>0</v>
      </c>
      <c r="AA402" s="63">
        <f ca="1">表1_11[[#This Row],[扣保险后工资金额]]-表1_11[[#This Row],[个人所得税]]</f>
        <v>2341.27</v>
      </c>
      <c r="AB402" s="53">
        <v>2311.08</v>
      </c>
      <c r="AC402" s="64">
        <f ca="1">(表1_11[[#This Row],[实发工资]]-表1_11[[#This Row],[上月对比]])/表1_11[[#This Row],[上月对比]]</f>
        <v>1.3063156619416054E-2</v>
      </c>
      <c r="AD402" s="65" t="s">
        <v>1587</v>
      </c>
    </row>
    <row r="403" spans="1:30">
      <c r="A403" s="42" t="s">
        <v>577</v>
      </c>
      <c r="B403" s="42" t="s">
        <v>806</v>
      </c>
      <c r="C403" s="40" t="s">
        <v>807</v>
      </c>
      <c r="D403" s="40" t="s">
        <v>808</v>
      </c>
      <c r="E403" s="41" t="s">
        <v>1413</v>
      </c>
      <c r="F403" s="5" t="s">
        <v>399</v>
      </c>
      <c r="G403" s="25">
        <v>41379</v>
      </c>
      <c r="H403" s="5" t="s">
        <v>624</v>
      </c>
      <c r="I403" s="5">
        <f>VLOOKUP(MID(表1_11[[#This Row],[工资等级]],1,1),表12[],MATCH(MID(表1_11[[#This Row],[工资等级]],2,2),表12[[#Headers],[1]:[10]],0)+1,0)</f>
        <v>2800</v>
      </c>
      <c r="J403" s="5">
        <v>24.5</v>
      </c>
      <c r="K403" s="27">
        <v>1.0208333333333333</v>
      </c>
      <c r="L403" s="37">
        <f>IF(表1_11[[#This Row],[出勤率]]&gt;1,1,表1_11[[#This Row],[出勤率]])*表1_11[[#This Row],[岗位工资]]</f>
        <v>2800</v>
      </c>
      <c r="M403" s="5">
        <f>LOOKUP(表1_11[[#This Row],[岗位工资]],表13[lookup],表13[奖金比率])*表1_11[[#This Row],[岗位工资]]</f>
        <v>280</v>
      </c>
      <c r="N403" s="5">
        <v>92</v>
      </c>
      <c r="O403" s="38">
        <f>表1_11[[#This Row],[奖金等级]]*表1_11[[#This Row],[绩效得分]]/100</f>
        <v>257.60000000000002</v>
      </c>
      <c r="P403" s="5">
        <f>IF(表1_11[[#This Row],[出勤率]]&gt;=1,200,0)</f>
        <v>200</v>
      </c>
      <c r="Q403" s="23">
        <f t="shared" ca="1" si="6"/>
        <v>200</v>
      </c>
      <c r="R403" s="23">
        <f>IF(表1_11[[#This Row],[中心]]="营销中心",VLOOKUP(表1_11[[#This Row],[职位]],表2[[话费补贴]:[营销中心]],2,0),VLOOKUP(表1_11[[#This Row],[职位]],表2[],3,0))</f>
        <v>0</v>
      </c>
      <c r="S403" s="23">
        <v>200</v>
      </c>
      <c r="T403" s="61">
        <f ca="1">ROUND(SUM(表1_11[[#This Row],[基本工资]],表1_11[[#This Row],[奖金]],表1_11[[#This Row],[全勤奖]:[防暑降温补贴]]),2)</f>
        <v>3657.6</v>
      </c>
      <c r="U403" s="62">
        <f ca="1">ROUND(表1_11[[#This Row],[税前应发总额]]*8%,2)</f>
        <v>292.61</v>
      </c>
      <c r="V403" s="62">
        <f ca="1">ROUND(表1_11[[#This Row],[税前应发总额]]*2%+3,2)</f>
        <v>76.150000000000006</v>
      </c>
      <c r="W403" s="62">
        <f ca="1">ROUND(表1_11[[#This Row],[税前应发总额]]*0.2%,2)</f>
        <v>7.32</v>
      </c>
      <c r="X403" s="62">
        <f ca="1">ROUND(表1_11[[#This Row],[税前应发总额]]*12%,2)</f>
        <v>438.91</v>
      </c>
      <c r="Y403" s="61">
        <f ca="1">ROUND(表1_11[[#This Row],[税前应发总额]]-SUM(表1_11[[#This Row],[养老保险]:[公积金]]),2)</f>
        <v>2842.61</v>
      </c>
      <c r="Z403" s="62">
        <f ca="1">ROUND(MAX((表1_11[[#This Row],[扣保险后工资金额]]-3500)*{3,10,20,25,30,35,45}%-{0,105,555,1005,2755,5505,13505},0),2)</f>
        <v>0</v>
      </c>
      <c r="AA403" s="63">
        <f ca="1">表1_11[[#This Row],[扣保险后工资金额]]-表1_11[[#This Row],[个人所得税]]</f>
        <v>2842.61</v>
      </c>
      <c r="AB403" s="53">
        <v>3338.61</v>
      </c>
      <c r="AC403" s="64">
        <f ca="1">(表1_11[[#This Row],[实发工资]]-表1_11[[#This Row],[上月对比]])/表1_11[[#This Row],[上月对比]]</f>
        <v>-0.14856482188695294</v>
      </c>
      <c r="AD403" s="65" t="s">
        <v>1587</v>
      </c>
    </row>
    <row r="404" spans="1:30">
      <c r="A404" s="42" t="s">
        <v>577</v>
      </c>
      <c r="B404" s="42" t="s">
        <v>803</v>
      </c>
      <c r="C404" s="40" t="s">
        <v>804</v>
      </c>
      <c r="D404" s="40" t="s">
        <v>805</v>
      </c>
      <c r="E404" s="41" t="s">
        <v>1414</v>
      </c>
      <c r="F404" s="5" t="s">
        <v>400</v>
      </c>
      <c r="G404" s="25">
        <v>39490</v>
      </c>
      <c r="H404" s="5" t="s">
        <v>615</v>
      </c>
      <c r="I404" s="5">
        <f>VLOOKUP(MID(表1_11[[#This Row],[工资等级]],1,1),表12[],MATCH(MID(表1_11[[#This Row],[工资等级]],2,2),表12[[#Headers],[1]:[10]],0)+1,0)</f>
        <v>3200</v>
      </c>
      <c r="J404" s="5">
        <v>23.5</v>
      </c>
      <c r="K404" s="27">
        <v>0.97916666666666663</v>
      </c>
      <c r="L404" s="37">
        <f>IF(表1_11[[#This Row],[出勤率]]&gt;1,1,表1_11[[#This Row],[出勤率]])*表1_11[[#This Row],[岗位工资]]</f>
        <v>3133.333333333333</v>
      </c>
      <c r="M404" s="5">
        <f>LOOKUP(表1_11[[#This Row],[岗位工资]],表13[lookup],表13[奖金比率])*表1_11[[#This Row],[岗位工资]]</f>
        <v>320</v>
      </c>
      <c r="N404" s="5">
        <v>95</v>
      </c>
      <c r="O404" s="38">
        <f>表1_11[[#This Row],[奖金等级]]*表1_11[[#This Row],[绩效得分]]/100</f>
        <v>304</v>
      </c>
      <c r="P404" s="5">
        <f>IF(表1_11[[#This Row],[出勤率]]&gt;=1,200,0)</f>
        <v>0</v>
      </c>
      <c r="Q404" s="23">
        <f t="shared" ca="1" si="6"/>
        <v>500</v>
      </c>
      <c r="R404" s="23">
        <f>IF(表1_11[[#This Row],[中心]]="营销中心",VLOOKUP(表1_11[[#This Row],[职位]],表2[[话费补贴]:[营销中心]],2,0),VLOOKUP(表1_11[[#This Row],[职位]],表2[],3,0))</f>
        <v>0</v>
      </c>
      <c r="S404" s="23">
        <v>200</v>
      </c>
      <c r="T404" s="61">
        <f ca="1">ROUND(SUM(表1_11[[#This Row],[基本工资]],表1_11[[#This Row],[奖金]],表1_11[[#This Row],[全勤奖]:[防暑降温补贴]]),2)</f>
        <v>4137.33</v>
      </c>
      <c r="U404" s="62">
        <f ca="1">ROUND(表1_11[[#This Row],[税前应发总额]]*8%,2)</f>
        <v>330.99</v>
      </c>
      <c r="V404" s="62">
        <f ca="1">ROUND(表1_11[[#This Row],[税前应发总额]]*2%+3,2)</f>
        <v>85.75</v>
      </c>
      <c r="W404" s="62">
        <f ca="1">ROUND(表1_11[[#This Row],[税前应发总额]]*0.2%,2)</f>
        <v>8.27</v>
      </c>
      <c r="X404" s="62">
        <f ca="1">ROUND(表1_11[[#This Row],[税前应发总额]]*12%,2)</f>
        <v>496.48</v>
      </c>
      <c r="Y404" s="61">
        <f ca="1">ROUND(表1_11[[#This Row],[税前应发总额]]-SUM(表1_11[[#This Row],[养老保险]:[公积金]]),2)</f>
        <v>3215.84</v>
      </c>
      <c r="Z404" s="62">
        <f ca="1">ROUND(MAX((表1_11[[#This Row],[扣保险后工资金额]]-3500)*{3,10,20,25,30,35,45}%-{0,105,555,1005,2755,5505,13505},0),2)</f>
        <v>0</v>
      </c>
      <c r="AA404" s="63">
        <f ca="1">表1_11[[#This Row],[扣保险后工资金额]]-表1_11[[#This Row],[个人所得税]]</f>
        <v>3215.84</v>
      </c>
      <c r="AB404" s="53">
        <v>3304.02</v>
      </c>
      <c r="AC404" s="64">
        <f ca="1">(表1_11[[#This Row],[实发工资]]-表1_11[[#This Row],[上月对比]])/表1_11[[#This Row],[上月对比]]</f>
        <v>-2.6688700431595401E-2</v>
      </c>
      <c r="AD404" s="65" t="s">
        <v>1587</v>
      </c>
    </row>
    <row r="405" spans="1:30">
      <c r="A405" s="42" t="s">
        <v>577</v>
      </c>
      <c r="B405" s="42" t="s">
        <v>809</v>
      </c>
      <c r="C405" s="40" t="s">
        <v>810</v>
      </c>
      <c r="D405" s="40" t="s">
        <v>810</v>
      </c>
      <c r="E405" s="41" t="s">
        <v>1415</v>
      </c>
      <c r="F405" s="5" t="s">
        <v>401</v>
      </c>
      <c r="G405" s="25">
        <v>42659</v>
      </c>
      <c r="H405" s="5" t="s">
        <v>811</v>
      </c>
      <c r="I405" s="5">
        <f>VLOOKUP(MID(表1_11[[#This Row],[工资等级]],1,1),表12[],MATCH(MID(表1_11[[#This Row],[工资等级]],2,2),表12[[#Headers],[1]:[10]],0)+1,0)</f>
        <v>7500</v>
      </c>
      <c r="J405" s="5">
        <v>22</v>
      </c>
      <c r="K405" s="27">
        <v>0.91666666666666663</v>
      </c>
      <c r="L405" s="37">
        <f>IF(表1_11[[#This Row],[出勤率]]&gt;1,1,表1_11[[#This Row],[出勤率]])*表1_11[[#This Row],[岗位工资]]</f>
        <v>6875</v>
      </c>
      <c r="M405" s="5">
        <f>LOOKUP(表1_11[[#This Row],[岗位工资]],表13[lookup],表13[奖金比率])*表1_11[[#This Row],[岗位工资]]</f>
        <v>1500</v>
      </c>
      <c r="N405" s="5">
        <v>88</v>
      </c>
      <c r="O405" s="38">
        <f>表1_11[[#This Row],[奖金等级]]*表1_11[[#This Row],[绩效得分]]/100</f>
        <v>1320</v>
      </c>
      <c r="P405" s="5">
        <f>IF(表1_11[[#This Row],[出勤率]]&gt;=1,200,0)</f>
        <v>0</v>
      </c>
      <c r="Q405" s="23">
        <f t="shared" ca="1" si="6"/>
        <v>50</v>
      </c>
      <c r="R405" s="23">
        <f>IF(表1_11[[#This Row],[中心]]="营销中心",VLOOKUP(表1_11[[#This Row],[职位]],表2[[话费补贴]:[营销中心]],2,0),VLOOKUP(表1_11[[#This Row],[职位]],表2[],3,0))</f>
        <v>500</v>
      </c>
      <c r="S405" s="23">
        <v>200</v>
      </c>
      <c r="T405" s="61">
        <f ca="1">ROUND(SUM(表1_11[[#This Row],[基本工资]],表1_11[[#This Row],[奖金]],表1_11[[#This Row],[全勤奖]:[防暑降温补贴]]),2)</f>
        <v>8945</v>
      </c>
      <c r="U405" s="62">
        <f ca="1">ROUND(表1_11[[#This Row],[税前应发总额]]*8%,2)</f>
        <v>715.6</v>
      </c>
      <c r="V405" s="62">
        <f ca="1">ROUND(表1_11[[#This Row],[税前应发总额]]*2%+3,2)</f>
        <v>181.9</v>
      </c>
      <c r="W405" s="62">
        <f ca="1">ROUND(表1_11[[#This Row],[税前应发总额]]*0.2%,2)</f>
        <v>17.89</v>
      </c>
      <c r="X405" s="62">
        <f ca="1">ROUND(表1_11[[#This Row],[税前应发总额]]*12%,2)</f>
        <v>1073.4000000000001</v>
      </c>
      <c r="Y405" s="61">
        <f ca="1">ROUND(表1_11[[#This Row],[税前应发总额]]-SUM(表1_11[[#This Row],[养老保险]:[公积金]]),2)</f>
        <v>6956.21</v>
      </c>
      <c r="Z405" s="62">
        <f ca="1">ROUND(MAX((表1_11[[#This Row],[扣保险后工资金额]]-3500)*{3,10,20,25,30,35,45}%-{0,105,555,1005,2755,5505,13505},0),2)</f>
        <v>240.62</v>
      </c>
      <c r="AA405" s="63">
        <f ca="1">表1_11[[#This Row],[扣保险后工资金额]]-表1_11[[#This Row],[个人所得税]]</f>
        <v>6715.59</v>
      </c>
      <c r="AB405" s="53">
        <v>7024.26</v>
      </c>
      <c r="AC405" s="64">
        <f ca="1">(表1_11[[#This Row],[实发工资]]-表1_11[[#This Row],[上月对比]])/表1_11[[#This Row],[上月对比]]</f>
        <v>-4.3943418950893057E-2</v>
      </c>
      <c r="AD405" s="65" t="s">
        <v>1587</v>
      </c>
    </row>
    <row r="406" spans="1:30">
      <c r="A406" s="42" t="s">
        <v>577</v>
      </c>
      <c r="B406" s="42" t="s">
        <v>809</v>
      </c>
      <c r="C406" s="40" t="s">
        <v>668</v>
      </c>
      <c r="D406" s="40" t="s">
        <v>812</v>
      </c>
      <c r="E406" s="41" t="s">
        <v>1416</v>
      </c>
      <c r="F406" s="5" t="s">
        <v>402</v>
      </c>
      <c r="G406" s="25">
        <v>41538</v>
      </c>
      <c r="H406" s="5" t="s">
        <v>738</v>
      </c>
      <c r="I406" s="5">
        <f>VLOOKUP(MID(表1_11[[#This Row],[工资等级]],1,1),表12[],MATCH(MID(表1_11[[#This Row],[工资等级]],2,2),表12[[#Headers],[1]:[10]],0)+1,0)</f>
        <v>4300</v>
      </c>
      <c r="J406" s="5">
        <v>25.5</v>
      </c>
      <c r="K406" s="27">
        <v>1.0625</v>
      </c>
      <c r="L406" s="37">
        <f>IF(表1_11[[#This Row],[出勤率]]&gt;1,1,表1_11[[#This Row],[出勤率]])*表1_11[[#This Row],[岗位工资]]</f>
        <v>4300</v>
      </c>
      <c r="M406" s="5">
        <f>LOOKUP(表1_11[[#This Row],[岗位工资]],表13[lookup],表13[奖金比率])*表1_11[[#This Row],[岗位工资]]</f>
        <v>645</v>
      </c>
      <c r="N406" s="5">
        <v>89</v>
      </c>
      <c r="O406" s="38">
        <f>表1_11[[#This Row],[奖金等级]]*表1_11[[#This Row],[绩效得分]]/100</f>
        <v>574.04999999999995</v>
      </c>
      <c r="P406" s="5">
        <f>IF(表1_11[[#This Row],[出勤率]]&gt;=1,200,0)</f>
        <v>200</v>
      </c>
      <c r="Q406" s="23">
        <f t="shared" ca="1" si="6"/>
        <v>200</v>
      </c>
      <c r="R406" s="23">
        <f>IF(表1_11[[#This Row],[中心]]="营销中心",VLOOKUP(表1_11[[#This Row],[职位]],表2[[话费补贴]:[营销中心]],2,0),VLOOKUP(表1_11[[#This Row],[职位]],表2[],3,0))</f>
        <v>300</v>
      </c>
      <c r="S406" s="23">
        <v>200</v>
      </c>
      <c r="T406" s="61">
        <f ca="1">ROUND(SUM(表1_11[[#This Row],[基本工资]],表1_11[[#This Row],[奖金]],表1_11[[#This Row],[全勤奖]:[防暑降温补贴]]),2)</f>
        <v>5774.05</v>
      </c>
      <c r="U406" s="62">
        <f ca="1">ROUND(表1_11[[#This Row],[税前应发总额]]*8%,2)</f>
        <v>461.92</v>
      </c>
      <c r="V406" s="62">
        <f ca="1">ROUND(表1_11[[#This Row],[税前应发总额]]*2%+3,2)</f>
        <v>118.48</v>
      </c>
      <c r="W406" s="62">
        <f ca="1">ROUND(表1_11[[#This Row],[税前应发总额]]*0.2%,2)</f>
        <v>11.55</v>
      </c>
      <c r="X406" s="62">
        <f ca="1">ROUND(表1_11[[#This Row],[税前应发总额]]*12%,2)</f>
        <v>692.89</v>
      </c>
      <c r="Y406" s="61">
        <f ca="1">ROUND(表1_11[[#This Row],[税前应发总额]]-SUM(表1_11[[#This Row],[养老保险]:[公积金]]),2)</f>
        <v>4489.21</v>
      </c>
      <c r="Z406" s="62">
        <f ca="1">ROUND(MAX((表1_11[[#This Row],[扣保险后工资金额]]-3500)*{3,10,20,25,30,35,45}%-{0,105,555,1005,2755,5505,13505},0),2)</f>
        <v>29.68</v>
      </c>
      <c r="AA406" s="63">
        <f ca="1">表1_11[[#This Row],[扣保险后工资金额]]-表1_11[[#This Row],[个人所得税]]</f>
        <v>4459.53</v>
      </c>
      <c r="AB406" s="53">
        <v>4644.24</v>
      </c>
      <c r="AC406" s="64">
        <f ca="1">(表1_11[[#This Row],[实发工资]]-表1_11[[#This Row],[上月对比]])/表1_11[[#This Row],[上月对比]]</f>
        <v>-3.9771846416205889E-2</v>
      </c>
      <c r="AD406" s="65" t="s">
        <v>1587</v>
      </c>
    </row>
    <row r="407" spans="1:30">
      <c r="A407" s="42" t="s">
        <v>577</v>
      </c>
      <c r="B407" s="42" t="s">
        <v>809</v>
      </c>
      <c r="C407" s="40" t="s">
        <v>668</v>
      </c>
      <c r="D407" s="40" t="s">
        <v>813</v>
      </c>
      <c r="E407" s="41" t="s">
        <v>1417</v>
      </c>
      <c r="F407" s="5" t="s">
        <v>403</v>
      </c>
      <c r="G407" s="25">
        <v>41340</v>
      </c>
      <c r="H407" s="5" t="s">
        <v>625</v>
      </c>
      <c r="I407" s="5">
        <f>VLOOKUP(MID(表1_11[[#This Row],[工资等级]],1,1),表12[],MATCH(MID(表1_11[[#This Row],[工资等级]],2,2),表12[[#Headers],[1]:[10]],0)+1,0)</f>
        <v>6000</v>
      </c>
      <c r="J407" s="5">
        <v>27</v>
      </c>
      <c r="K407" s="27">
        <v>1.125</v>
      </c>
      <c r="L407" s="37">
        <f>IF(表1_11[[#This Row],[出勤率]]&gt;1,1,表1_11[[#This Row],[出勤率]])*表1_11[[#This Row],[岗位工资]]</f>
        <v>6000</v>
      </c>
      <c r="M407" s="5">
        <f>LOOKUP(表1_11[[#This Row],[岗位工资]],表13[lookup],表13[奖金比率])*表1_11[[#This Row],[岗位工资]]</f>
        <v>900</v>
      </c>
      <c r="N407" s="5">
        <v>88</v>
      </c>
      <c r="O407" s="38">
        <f>表1_11[[#This Row],[奖金等级]]*表1_11[[#This Row],[绩效得分]]/100</f>
        <v>792</v>
      </c>
      <c r="P407" s="5">
        <f>IF(表1_11[[#This Row],[出勤率]]&gt;=1,200,0)</f>
        <v>200</v>
      </c>
      <c r="Q407" s="23">
        <f t="shared" ca="1" si="6"/>
        <v>200</v>
      </c>
      <c r="R407" s="23">
        <f>IF(表1_11[[#This Row],[中心]]="营销中心",VLOOKUP(表1_11[[#This Row],[职位]],表2[[话费补贴]:[营销中心]],2,0),VLOOKUP(表1_11[[#This Row],[职位]],表2[],3,0))</f>
        <v>300</v>
      </c>
      <c r="S407" s="23">
        <v>200</v>
      </c>
      <c r="T407" s="61">
        <f ca="1">ROUND(SUM(表1_11[[#This Row],[基本工资]],表1_11[[#This Row],[奖金]],表1_11[[#This Row],[全勤奖]:[防暑降温补贴]]),2)</f>
        <v>7692</v>
      </c>
      <c r="U407" s="62">
        <f ca="1">ROUND(表1_11[[#This Row],[税前应发总额]]*8%,2)</f>
        <v>615.36</v>
      </c>
      <c r="V407" s="62">
        <f ca="1">ROUND(表1_11[[#This Row],[税前应发总额]]*2%+3,2)</f>
        <v>156.84</v>
      </c>
      <c r="W407" s="62">
        <f ca="1">ROUND(表1_11[[#This Row],[税前应发总额]]*0.2%,2)</f>
        <v>15.38</v>
      </c>
      <c r="X407" s="62">
        <f ca="1">ROUND(表1_11[[#This Row],[税前应发总额]]*12%,2)</f>
        <v>923.04</v>
      </c>
      <c r="Y407" s="61">
        <f ca="1">ROUND(表1_11[[#This Row],[税前应发总额]]-SUM(表1_11[[#This Row],[养老保险]:[公积金]]),2)</f>
        <v>5981.38</v>
      </c>
      <c r="Z407" s="62">
        <f ca="1">ROUND(MAX((表1_11[[#This Row],[扣保险后工资金额]]-3500)*{3,10,20,25,30,35,45}%-{0,105,555,1005,2755,5505,13505},0),2)</f>
        <v>143.13999999999999</v>
      </c>
      <c r="AA407" s="63">
        <f ca="1">表1_11[[#This Row],[扣保险后工资金额]]-表1_11[[#This Row],[个人所得税]]</f>
        <v>5838.24</v>
      </c>
      <c r="AB407" s="53">
        <v>5729.94</v>
      </c>
      <c r="AC407" s="64">
        <f ca="1">(表1_11[[#This Row],[实发工资]]-表1_11[[#This Row],[上月对比]])/表1_11[[#This Row],[上月对比]]</f>
        <v>1.8900721473523317E-2</v>
      </c>
      <c r="AD407" s="65" t="s">
        <v>1587</v>
      </c>
    </row>
    <row r="408" spans="1:30">
      <c r="A408" s="42" t="s">
        <v>577</v>
      </c>
      <c r="B408" s="42" t="s">
        <v>809</v>
      </c>
      <c r="C408" s="40" t="s">
        <v>668</v>
      </c>
      <c r="D408" s="40" t="s">
        <v>814</v>
      </c>
      <c r="E408" s="41" t="s">
        <v>1418</v>
      </c>
      <c r="F408" s="5" t="s">
        <v>404</v>
      </c>
      <c r="G408" s="25">
        <v>38958</v>
      </c>
      <c r="H408" s="5" t="s">
        <v>815</v>
      </c>
      <c r="I408" s="5">
        <f>VLOOKUP(MID(表1_11[[#This Row],[工资等级]],1,1),表12[],MATCH(MID(表1_11[[#This Row],[工资等级]],2,2),表12[[#Headers],[1]:[10]],0)+1,0)</f>
        <v>4500</v>
      </c>
      <c r="J408" s="5">
        <v>27.5</v>
      </c>
      <c r="K408" s="27">
        <v>1.1458333333333333</v>
      </c>
      <c r="L408" s="37">
        <f>IF(表1_11[[#This Row],[出勤率]]&gt;1,1,表1_11[[#This Row],[出勤率]])*表1_11[[#This Row],[岗位工资]]</f>
        <v>4500</v>
      </c>
      <c r="M408" s="5">
        <f>LOOKUP(表1_11[[#This Row],[岗位工资]],表13[lookup],表13[奖金比率])*表1_11[[#This Row],[岗位工资]]</f>
        <v>675</v>
      </c>
      <c r="N408" s="5">
        <v>98</v>
      </c>
      <c r="O408" s="38">
        <f>表1_11[[#This Row],[奖金等级]]*表1_11[[#This Row],[绩效得分]]/100</f>
        <v>661.5</v>
      </c>
      <c r="P408" s="5">
        <f>IF(表1_11[[#This Row],[出勤率]]&gt;=1,200,0)</f>
        <v>200</v>
      </c>
      <c r="Q408" s="23">
        <f t="shared" ca="1" si="6"/>
        <v>500</v>
      </c>
      <c r="R408" s="23">
        <f>IF(表1_11[[#This Row],[中心]]="营销中心",VLOOKUP(表1_11[[#This Row],[职位]],表2[[话费补贴]:[营销中心]],2,0),VLOOKUP(表1_11[[#This Row],[职位]],表2[],3,0))</f>
        <v>300</v>
      </c>
      <c r="S408" s="23">
        <v>200</v>
      </c>
      <c r="T408" s="61">
        <f ca="1">ROUND(SUM(表1_11[[#This Row],[基本工资]],表1_11[[#This Row],[奖金]],表1_11[[#This Row],[全勤奖]:[防暑降温补贴]]),2)</f>
        <v>6361.5</v>
      </c>
      <c r="U408" s="62">
        <f ca="1">ROUND(表1_11[[#This Row],[税前应发总额]]*8%,2)</f>
        <v>508.92</v>
      </c>
      <c r="V408" s="62">
        <f ca="1">ROUND(表1_11[[#This Row],[税前应发总额]]*2%+3,2)</f>
        <v>130.22999999999999</v>
      </c>
      <c r="W408" s="62">
        <f ca="1">ROUND(表1_11[[#This Row],[税前应发总额]]*0.2%,2)</f>
        <v>12.72</v>
      </c>
      <c r="X408" s="62">
        <f ca="1">ROUND(表1_11[[#This Row],[税前应发总额]]*12%,2)</f>
        <v>763.38</v>
      </c>
      <c r="Y408" s="61">
        <f ca="1">ROUND(表1_11[[#This Row],[税前应发总额]]-SUM(表1_11[[#This Row],[养老保险]:[公积金]]),2)</f>
        <v>4946.25</v>
      </c>
      <c r="Z408" s="62">
        <f ca="1">ROUND(MAX((表1_11[[#This Row],[扣保险后工资金额]]-3500)*{3,10,20,25,30,35,45}%-{0,105,555,1005,2755,5505,13505},0),2)</f>
        <v>43.39</v>
      </c>
      <c r="AA408" s="63">
        <f ca="1">表1_11[[#This Row],[扣保险后工资金额]]-表1_11[[#This Row],[个人所得税]]</f>
        <v>4902.8599999999997</v>
      </c>
      <c r="AB408" s="53">
        <v>5246.06</v>
      </c>
      <c r="AC408" s="64">
        <f ca="1">(表1_11[[#This Row],[实发工资]]-表1_11[[#This Row],[上月对比]])/表1_11[[#This Row],[上月对比]]</f>
        <v>-6.5420525117898143E-2</v>
      </c>
      <c r="AD408" s="65" t="s">
        <v>1587</v>
      </c>
    </row>
    <row r="409" spans="1:30">
      <c r="A409" s="42" t="s">
        <v>577</v>
      </c>
      <c r="B409" s="42" t="s">
        <v>809</v>
      </c>
      <c r="C409" s="40" t="s">
        <v>804</v>
      </c>
      <c r="D409" s="40" t="s">
        <v>805</v>
      </c>
      <c r="E409" s="41" t="s">
        <v>1419</v>
      </c>
      <c r="F409" s="5" t="s">
        <v>405</v>
      </c>
      <c r="G409" s="25">
        <v>41251</v>
      </c>
      <c r="H409" s="5" t="s">
        <v>618</v>
      </c>
      <c r="I409" s="5">
        <f>VLOOKUP(MID(表1_11[[#This Row],[工资等级]],1,1),表12[],MATCH(MID(表1_11[[#This Row],[工资等级]],2,2),表12[[#Headers],[1]:[10]],0)+1,0)</f>
        <v>3000</v>
      </c>
      <c r="J409" s="5">
        <v>27</v>
      </c>
      <c r="K409" s="27">
        <v>1.125</v>
      </c>
      <c r="L409" s="37">
        <f>IF(表1_11[[#This Row],[出勤率]]&gt;1,1,表1_11[[#This Row],[出勤率]])*表1_11[[#This Row],[岗位工资]]</f>
        <v>3000</v>
      </c>
      <c r="M409" s="5">
        <f>LOOKUP(表1_11[[#This Row],[岗位工资]],表13[lookup],表13[奖金比率])*表1_11[[#This Row],[岗位工资]]</f>
        <v>300</v>
      </c>
      <c r="N409" s="5">
        <v>80</v>
      </c>
      <c r="O409" s="38">
        <f>表1_11[[#This Row],[奖金等级]]*表1_11[[#This Row],[绩效得分]]/100</f>
        <v>240</v>
      </c>
      <c r="P409" s="5">
        <f>IF(表1_11[[#This Row],[出勤率]]&gt;=1,200,0)</f>
        <v>200</v>
      </c>
      <c r="Q409" s="23">
        <f t="shared" ca="1" si="6"/>
        <v>250</v>
      </c>
      <c r="R409" s="23">
        <f>IF(表1_11[[#This Row],[中心]]="营销中心",VLOOKUP(表1_11[[#This Row],[职位]],表2[[话费补贴]:[营销中心]],2,0),VLOOKUP(表1_11[[#This Row],[职位]],表2[],3,0))</f>
        <v>0</v>
      </c>
      <c r="S409" s="23">
        <v>200</v>
      </c>
      <c r="T409" s="61">
        <f ca="1">ROUND(SUM(表1_11[[#This Row],[基本工资]],表1_11[[#This Row],[奖金]],表1_11[[#This Row],[全勤奖]:[防暑降温补贴]]),2)</f>
        <v>3890</v>
      </c>
      <c r="U409" s="62">
        <f ca="1">ROUND(表1_11[[#This Row],[税前应发总额]]*8%,2)</f>
        <v>311.2</v>
      </c>
      <c r="V409" s="62">
        <f ca="1">ROUND(表1_11[[#This Row],[税前应发总额]]*2%+3,2)</f>
        <v>80.8</v>
      </c>
      <c r="W409" s="62">
        <f ca="1">ROUND(表1_11[[#This Row],[税前应发总额]]*0.2%,2)</f>
        <v>7.78</v>
      </c>
      <c r="X409" s="62">
        <f ca="1">ROUND(表1_11[[#This Row],[税前应发总额]]*12%,2)</f>
        <v>466.8</v>
      </c>
      <c r="Y409" s="61">
        <f ca="1">ROUND(表1_11[[#This Row],[税前应发总额]]-SUM(表1_11[[#This Row],[养老保险]:[公积金]]),2)</f>
        <v>3023.42</v>
      </c>
      <c r="Z409" s="62">
        <f ca="1">ROUND(MAX((表1_11[[#This Row],[扣保险后工资金额]]-3500)*{3,10,20,25,30,35,45}%-{0,105,555,1005,2755,5505,13505},0),2)</f>
        <v>0</v>
      </c>
      <c r="AA409" s="63">
        <f ca="1">表1_11[[#This Row],[扣保险后工资金额]]-表1_11[[#This Row],[个人所得税]]</f>
        <v>3023.42</v>
      </c>
      <c r="AB409" s="53">
        <v>3423.64</v>
      </c>
      <c r="AC409" s="64">
        <f ca="1">(表1_11[[#This Row],[实发工资]]-表1_11[[#This Row],[上月对比]])/表1_11[[#This Row],[上月对比]]</f>
        <v>-0.11689897302286451</v>
      </c>
      <c r="AD409" s="65" t="s">
        <v>1587</v>
      </c>
    </row>
    <row r="410" spans="1:30">
      <c r="A410" s="42" t="s">
        <v>577</v>
      </c>
      <c r="B410" s="42" t="s">
        <v>809</v>
      </c>
      <c r="C410" s="40" t="s">
        <v>655</v>
      </c>
      <c r="D410" s="40" t="s">
        <v>656</v>
      </c>
      <c r="E410" s="41" t="s">
        <v>1420</v>
      </c>
      <c r="F410" s="5" t="s">
        <v>406</v>
      </c>
      <c r="G410" s="25">
        <v>42219</v>
      </c>
      <c r="H410" s="5" t="s">
        <v>657</v>
      </c>
      <c r="I410" s="5">
        <f>VLOOKUP(MID(表1_11[[#This Row],[工资等级]],1,1),表12[],MATCH(MID(表1_11[[#This Row],[工资等级]],2,2),表12[[#Headers],[1]:[10]],0)+1,0)</f>
        <v>4000</v>
      </c>
      <c r="J410" s="5">
        <v>23.5</v>
      </c>
      <c r="K410" s="27">
        <v>0.97916666666666663</v>
      </c>
      <c r="L410" s="37">
        <f>IF(表1_11[[#This Row],[出勤率]]&gt;1,1,表1_11[[#This Row],[出勤率]])*表1_11[[#This Row],[岗位工资]]</f>
        <v>3916.6666666666665</v>
      </c>
      <c r="M410" s="5">
        <f>LOOKUP(表1_11[[#This Row],[岗位工资]],表13[lookup],表13[奖金比率])*表1_11[[#This Row],[岗位工资]]</f>
        <v>600</v>
      </c>
      <c r="N410" s="5">
        <v>86</v>
      </c>
      <c r="O410" s="38">
        <f>表1_11[[#This Row],[奖金等级]]*表1_11[[#This Row],[绩效得分]]/100</f>
        <v>516</v>
      </c>
      <c r="P410" s="5">
        <f>IF(表1_11[[#This Row],[出勤率]]&gt;=1,200,0)</f>
        <v>0</v>
      </c>
      <c r="Q410" s="23">
        <f t="shared" ca="1" si="6"/>
        <v>100</v>
      </c>
      <c r="R410" s="23">
        <f>IF(表1_11[[#This Row],[中心]]="营销中心",VLOOKUP(表1_11[[#This Row],[职位]],表2[[话费补贴]:[营销中心]],2,0),VLOOKUP(表1_11[[#This Row],[职位]],表2[],3,0))</f>
        <v>0</v>
      </c>
      <c r="S410" s="23">
        <v>200</v>
      </c>
      <c r="T410" s="61">
        <f ca="1">ROUND(SUM(表1_11[[#This Row],[基本工资]],表1_11[[#This Row],[奖金]],表1_11[[#This Row],[全勤奖]:[防暑降温补贴]]),2)</f>
        <v>4732.67</v>
      </c>
      <c r="U410" s="62">
        <f ca="1">ROUND(表1_11[[#This Row],[税前应发总额]]*8%,2)</f>
        <v>378.61</v>
      </c>
      <c r="V410" s="62">
        <f ca="1">ROUND(表1_11[[#This Row],[税前应发总额]]*2%+3,2)</f>
        <v>97.65</v>
      </c>
      <c r="W410" s="62">
        <f ca="1">ROUND(表1_11[[#This Row],[税前应发总额]]*0.2%,2)</f>
        <v>9.4700000000000006</v>
      </c>
      <c r="X410" s="62">
        <f ca="1">ROUND(表1_11[[#This Row],[税前应发总额]]*12%,2)</f>
        <v>567.91999999999996</v>
      </c>
      <c r="Y410" s="61">
        <f ca="1">ROUND(表1_11[[#This Row],[税前应发总额]]-SUM(表1_11[[#This Row],[养老保险]:[公积金]]),2)</f>
        <v>3679.02</v>
      </c>
      <c r="Z410" s="62">
        <f ca="1">ROUND(MAX((表1_11[[#This Row],[扣保险后工资金额]]-3500)*{3,10,20,25,30,35,45}%-{0,105,555,1005,2755,5505,13505},0),2)</f>
        <v>5.37</v>
      </c>
      <c r="AA410" s="63">
        <f ca="1">表1_11[[#This Row],[扣保险后工资金额]]-表1_11[[#This Row],[个人所得税]]</f>
        <v>3673.65</v>
      </c>
      <c r="AB410" s="53">
        <v>3566.38</v>
      </c>
      <c r="AC410" s="64">
        <f ca="1">(表1_11[[#This Row],[实发工资]]-表1_11[[#This Row],[上月对比]])/表1_11[[#This Row],[上月对比]]</f>
        <v>3.0078118428210111E-2</v>
      </c>
      <c r="AD410" s="65" t="s">
        <v>1587</v>
      </c>
    </row>
    <row r="411" spans="1:30">
      <c r="A411" s="42" t="s">
        <v>577</v>
      </c>
      <c r="B411" s="42" t="s">
        <v>809</v>
      </c>
      <c r="C411" s="40" t="s">
        <v>677</v>
      </c>
      <c r="D411" s="40" t="s">
        <v>678</v>
      </c>
      <c r="E411" s="41" t="s">
        <v>1421</v>
      </c>
      <c r="F411" s="5" t="s">
        <v>407</v>
      </c>
      <c r="G411" s="25">
        <v>42302</v>
      </c>
      <c r="H411" s="5" t="s">
        <v>622</v>
      </c>
      <c r="I411" s="5">
        <f>VLOOKUP(MID(表1_11[[#This Row],[工资等级]],1,1),表12[],MATCH(MID(表1_11[[#This Row],[工资等级]],2,2),表12[[#Headers],[1]:[10]],0)+1,0)</f>
        <v>3600</v>
      </c>
      <c r="J411" s="5">
        <v>25</v>
      </c>
      <c r="K411" s="27">
        <v>1.0416666666666667</v>
      </c>
      <c r="L411" s="37">
        <f>IF(表1_11[[#This Row],[出勤率]]&gt;1,1,表1_11[[#This Row],[出勤率]])*表1_11[[#This Row],[岗位工资]]</f>
        <v>3600</v>
      </c>
      <c r="M411" s="5">
        <f>LOOKUP(表1_11[[#This Row],[岗位工资]],表13[lookup],表13[奖金比率])*表1_11[[#This Row],[岗位工资]]</f>
        <v>360</v>
      </c>
      <c r="N411" s="5">
        <v>80</v>
      </c>
      <c r="O411" s="38">
        <f>表1_11[[#This Row],[奖金等级]]*表1_11[[#This Row],[绩效得分]]/100</f>
        <v>288</v>
      </c>
      <c r="P411" s="5">
        <f>IF(表1_11[[#This Row],[出勤率]]&gt;=1,200,0)</f>
        <v>200</v>
      </c>
      <c r="Q411" s="23">
        <f t="shared" ca="1" si="6"/>
        <v>100</v>
      </c>
      <c r="R411" s="23">
        <f>IF(表1_11[[#This Row],[中心]]="营销中心",VLOOKUP(表1_11[[#This Row],[职位]],表2[[话费补贴]:[营销中心]],2,0),VLOOKUP(表1_11[[#This Row],[职位]],表2[],3,0))</f>
        <v>0</v>
      </c>
      <c r="S411" s="23">
        <v>200</v>
      </c>
      <c r="T411" s="61">
        <f ca="1">ROUND(SUM(表1_11[[#This Row],[基本工资]],表1_11[[#This Row],[奖金]],表1_11[[#This Row],[全勤奖]:[防暑降温补贴]]),2)</f>
        <v>4388</v>
      </c>
      <c r="U411" s="62">
        <f ca="1">ROUND(表1_11[[#This Row],[税前应发总额]]*8%,2)</f>
        <v>351.04</v>
      </c>
      <c r="V411" s="62">
        <f ca="1">ROUND(表1_11[[#This Row],[税前应发总额]]*2%+3,2)</f>
        <v>90.76</v>
      </c>
      <c r="W411" s="62">
        <f ca="1">ROUND(表1_11[[#This Row],[税前应发总额]]*0.2%,2)</f>
        <v>8.7799999999999994</v>
      </c>
      <c r="X411" s="62">
        <f ca="1">ROUND(表1_11[[#This Row],[税前应发总额]]*12%,2)</f>
        <v>526.55999999999995</v>
      </c>
      <c r="Y411" s="61">
        <f ca="1">ROUND(表1_11[[#This Row],[税前应发总额]]-SUM(表1_11[[#This Row],[养老保险]:[公积金]]),2)</f>
        <v>3410.86</v>
      </c>
      <c r="Z411" s="62">
        <f ca="1">ROUND(MAX((表1_11[[#This Row],[扣保险后工资金额]]-3500)*{3,10,20,25,30,35,45}%-{0,105,555,1005,2755,5505,13505},0),2)</f>
        <v>0</v>
      </c>
      <c r="AA411" s="63">
        <f ca="1">表1_11[[#This Row],[扣保险后工资金额]]-表1_11[[#This Row],[个人所得税]]</f>
        <v>3410.86</v>
      </c>
      <c r="AB411" s="53">
        <v>3926.08</v>
      </c>
      <c r="AC411" s="64">
        <f ca="1">(表1_11[[#This Row],[实发工资]]-表1_11[[#This Row],[上月对比]])/表1_11[[#This Row],[上月对比]]</f>
        <v>-0.13123013285516338</v>
      </c>
      <c r="AD411" s="65" t="s">
        <v>1587</v>
      </c>
    </row>
    <row r="412" spans="1:30">
      <c r="A412" s="42" t="s">
        <v>577</v>
      </c>
      <c r="B412" s="42" t="s">
        <v>809</v>
      </c>
      <c r="C412" s="40" t="s">
        <v>599</v>
      </c>
      <c r="D412" s="40" t="s">
        <v>626</v>
      </c>
      <c r="E412" s="41" t="s">
        <v>1422</v>
      </c>
      <c r="F412" s="5" t="s">
        <v>408</v>
      </c>
      <c r="G412" s="25">
        <v>38378</v>
      </c>
      <c r="H412" s="5" t="s">
        <v>610</v>
      </c>
      <c r="I412" s="5">
        <f>VLOOKUP(MID(表1_11[[#This Row],[工资等级]],1,1),表12[],MATCH(MID(表1_11[[#This Row],[工资等级]],2,2),表12[[#Headers],[1]:[10]],0)+1,0)</f>
        <v>3400</v>
      </c>
      <c r="J412" s="5">
        <v>22.5</v>
      </c>
      <c r="K412" s="27">
        <v>0.9375</v>
      </c>
      <c r="L412" s="37">
        <f>IF(表1_11[[#This Row],[出勤率]]&gt;1,1,表1_11[[#This Row],[出勤率]])*表1_11[[#This Row],[岗位工资]]</f>
        <v>3187.5</v>
      </c>
      <c r="M412" s="5">
        <f>LOOKUP(表1_11[[#This Row],[岗位工资]],表13[lookup],表13[奖金比率])*表1_11[[#This Row],[岗位工资]]</f>
        <v>340</v>
      </c>
      <c r="N412" s="5">
        <v>79</v>
      </c>
      <c r="O412" s="38">
        <f>表1_11[[#This Row],[奖金等级]]*表1_11[[#This Row],[绩效得分]]/100</f>
        <v>268.60000000000002</v>
      </c>
      <c r="P412" s="5">
        <f>IF(表1_11[[#This Row],[出勤率]]&gt;=1,200,0)</f>
        <v>0</v>
      </c>
      <c r="Q412" s="23">
        <f t="shared" ca="1" si="6"/>
        <v>500</v>
      </c>
      <c r="R412" s="23">
        <f>IF(表1_11[[#This Row],[中心]]="营销中心",VLOOKUP(表1_11[[#This Row],[职位]],表2[[话费补贴]:[营销中心]],2,0),VLOOKUP(表1_11[[#This Row],[职位]],表2[],3,0))</f>
        <v>0</v>
      </c>
      <c r="S412" s="23">
        <v>200</v>
      </c>
      <c r="T412" s="61">
        <f ca="1">ROUND(SUM(表1_11[[#This Row],[基本工资]],表1_11[[#This Row],[奖金]],表1_11[[#This Row],[全勤奖]:[防暑降温补贴]]),2)</f>
        <v>4156.1000000000004</v>
      </c>
      <c r="U412" s="62">
        <f ca="1">ROUND(表1_11[[#This Row],[税前应发总额]]*8%,2)</f>
        <v>332.49</v>
      </c>
      <c r="V412" s="62">
        <f ca="1">ROUND(表1_11[[#This Row],[税前应发总额]]*2%+3,2)</f>
        <v>86.12</v>
      </c>
      <c r="W412" s="62">
        <f ca="1">ROUND(表1_11[[#This Row],[税前应发总额]]*0.2%,2)</f>
        <v>8.31</v>
      </c>
      <c r="X412" s="62">
        <f ca="1">ROUND(表1_11[[#This Row],[税前应发总额]]*12%,2)</f>
        <v>498.73</v>
      </c>
      <c r="Y412" s="61">
        <f ca="1">ROUND(表1_11[[#This Row],[税前应发总额]]-SUM(表1_11[[#This Row],[养老保险]:[公积金]]),2)</f>
        <v>3230.45</v>
      </c>
      <c r="Z412" s="62">
        <f ca="1">ROUND(MAX((表1_11[[#This Row],[扣保险后工资金额]]-3500)*{3,10,20,25,30,35,45}%-{0,105,555,1005,2755,5505,13505},0),2)</f>
        <v>0</v>
      </c>
      <c r="AA412" s="63">
        <f ca="1">表1_11[[#This Row],[扣保险后工资金额]]-表1_11[[#This Row],[个人所得税]]</f>
        <v>3230.45</v>
      </c>
      <c r="AB412" s="53">
        <v>3268.09</v>
      </c>
      <c r="AC412" s="64">
        <f ca="1">(表1_11[[#This Row],[实发工资]]-表1_11[[#This Row],[上月对比]])/表1_11[[#This Row],[上月对比]]</f>
        <v>-1.151743067051407E-2</v>
      </c>
      <c r="AD412" s="65" t="s">
        <v>1587</v>
      </c>
    </row>
    <row r="413" spans="1:30">
      <c r="A413" s="42" t="s">
        <v>577</v>
      </c>
      <c r="B413" s="42" t="s">
        <v>809</v>
      </c>
      <c r="C413" s="40" t="s">
        <v>711</v>
      </c>
      <c r="D413" s="40" t="s">
        <v>712</v>
      </c>
      <c r="E413" s="41" t="s">
        <v>1423</v>
      </c>
      <c r="F413" s="5" t="s">
        <v>409</v>
      </c>
      <c r="G413" s="25">
        <v>40869</v>
      </c>
      <c r="H413" s="5" t="s">
        <v>615</v>
      </c>
      <c r="I413" s="5">
        <f>VLOOKUP(MID(表1_11[[#This Row],[工资等级]],1,1),表12[],MATCH(MID(表1_11[[#This Row],[工资等级]],2,2),表12[[#Headers],[1]:[10]],0)+1,0)</f>
        <v>3200</v>
      </c>
      <c r="J413" s="5">
        <v>22</v>
      </c>
      <c r="K413" s="27">
        <v>0.91666666666666663</v>
      </c>
      <c r="L413" s="37">
        <f>IF(表1_11[[#This Row],[出勤率]]&gt;1,1,表1_11[[#This Row],[出勤率]])*表1_11[[#This Row],[岗位工资]]</f>
        <v>2933.333333333333</v>
      </c>
      <c r="M413" s="5">
        <f>LOOKUP(表1_11[[#This Row],[岗位工资]],表13[lookup],表13[奖金比率])*表1_11[[#This Row],[岗位工资]]</f>
        <v>320</v>
      </c>
      <c r="N413" s="5">
        <v>84</v>
      </c>
      <c r="O413" s="38">
        <f>表1_11[[#This Row],[奖金等级]]*表1_11[[#This Row],[绩效得分]]/100</f>
        <v>268.8</v>
      </c>
      <c r="P413" s="5">
        <f>IF(表1_11[[#This Row],[出勤率]]&gt;=1,200,0)</f>
        <v>0</v>
      </c>
      <c r="Q413" s="23">
        <f t="shared" ca="1" si="6"/>
        <v>300</v>
      </c>
      <c r="R413" s="23">
        <f>IF(表1_11[[#This Row],[中心]]="营销中心",VLOOKUP(表1_11[[#This Row],[职位]],表2[[话费补贴]:[营销中心]],2,0),VLOOKUP(表1_11[[#This Row],[职位]],表2[],3,0))</f>
        <v>0</v>
      </c>
      <c r="S413" s="23">
        <v>200</v>
      </c>
      <c r="T413" s="61">
        <f ca="1">ROUND(SUM(表1_11[[#This Row],[基本工资]],表1_11[[#This Row],[奖金]],表1_11[[#This Row],[全勤奖]:[防暑降温补贴]]),2)</f>
        <v>3702.13</v>
      </c>
      <c r="U413" s="62">
        <f ca="1">ROUND(表1_11[[#This Row],[税前应发总额]]*8%,2)</f>
        <v>296.17</v>
      </c>
      <c r="V413" s="62">
        <f ca="1">ROUND(表1_11[[#This Row],[税前应发总额]]*2%+3,2)</f>
        <v>77.040000000000006</v>
      </c>
      <c r="W413" s="62">
        <f ca="1">ROUND(表1_11[[#This Row],[税前应发总额]]*0.2%,2)</f>
        <v>7.4</v>
      </c>
      <c r="X413" s="62">
        <f ca="1">ROUND(表1_11[[#This Row],[税前应发总额]]*12%,2)</f>
        <v>444.26</v>
      </c>
      <c r="Y413" s="61">
        <f ca="1">ROUND(表1_11[[#This Row],[税前应发总额]]-SUM(表1_11[[#This Row],[养老保险]:[公积金]]),2)</f>
        <v>2877.26</v>
      </c>
      <c r="Z413" s="62">
        <f ca="1">ROUND(MAX((表1_11[[#This Row],[扣保险后工资金额]]-3500)*{3,10,20,25,30,35,45}%-{0,105,555,1005,2755,5505,13505},0),2)</f>
        <v>0</v>
      </c>
      <c r="AA413" s="63">
        <f ca="1">表1_11[[#This Row],[扣保险后工资金额]]-表1_11[[#This Row],[个人所得税]]</f>
        <v>2877.26</v>
      </c>
      <c r="AB413" s="53">
        <v>3344.18</v>
      </c>
      <c r="AC413" s="64">
        <f ca="1">(表1_11[[#This Row],[实发工资]]-表1_11[[#This Row],[上月对比]])/表1_11[[#This Row],[上月对比]]</f>
        <v>-0.13962167108229809</v>
      </c>
      <c r="AD413" s="65" t="s">
        <v>1587</v>
      </c>
    </row>
    <row r="414" spans="1:30">
      <c r="A414" s="42" t="s">
        <v>577</v>
      </c>
      <c r="B414" s="42" t="s">
        <v>809</v>
      </c>
      <c r="C414" s="40" t="s">
        <v>711</v>
      </c>
      <c r="D414" s="40" t="s">
        <v>712</v>
      </c>
      <c r="E414" s="41" t="s">
        <v>1424</v>
      </c>
      <c r="F414" s="5" t="s">
        <v>410</v>
      </c>
      <c r="G414" s="25">
        <v>41753</v>
      </c>
      <c r="H414" s="5" t="s">
        <v>623</v>
      </c>
      <c r="I414" s="5">
        <f>VLOOKUP(MID(表1_11[[#This Row],[工资等级]],1,1),表12[],MATCH(MID(表1_11[[#This Row],[工资等级]],2,2),表12[[#Headers],[1]:[10]],0)+1,0)</f>
        <v>3800</v>
      </c>
      <c r="J414" s="5">
        <v>23</v>
      </c>
      <c r="K414" s="27">
        <v>0.95833333333333337</v>
      </c>
      <c r="L414" s="37">
        <f>IF(表1_11[[#This Row],[出勤率]]&gt;1,1,表1_11[[#This Row],[出勤率]])*表1_11[[#This Row],[岗位工资]]</f>
        <v>3641.666666666667</v>
      </c>
      <c r="M414" s="5">
        <f>LOOKUP(表1_11[[#This Row],[岗位工资]],表13[lookup],表13[奖金比率])*表1_11[[#This Row],[岗位工资]]</f>
        <v>380</v>
      </c>
      <c r="N414" s="5">
        <v>95</v>
      </c>
      <c r="O414" s="38">
        <f>表1_11[[#This Row],[奖金等级]]*表1_11[[#This Row],[绩效得分]]/100</f>
        <v>361</v>
      </c>
      <c r="P414" s="5">
        <f>IF(表1_11[[#This Row],[出勤率]]&gt;=1,200,0)</f>
        <v>0</v>
      </c>
      <c r="Q414" s="23">
        <f t="shared" ca="1" si="6"/>
        <v>150</v>
      </c>
      <c r="R414" s="23">
        <f>IF(表1_11[[#This Row],[中心]]="营销中心",VLOOKUP(表1_11[[#This Row],[职位]],表2[[话费补贴]:[营销中心]],2,0),VLOOKUP(表1_11[[#This Row],[职位]],表2[],3,0))</f>
        <v>0</v>
      </c>
      <c r="S414" s="23">
        <v>200</v>
      </c>
      <c r="T414" s="61">
        <f ca="1">ROUND(SUM(表1_11[[#This Row],[基本工资]],表1_11[[#This Row],[奖金]],表1_11[[#This Row],[全勤奖]:[防暑降温补贴]]),2)</f>
        <v>4352.67</v>
      </c>
      <c r="U414" s="62">
        <f ca="1">ROUND(表1_11[[#This Row],[税前应发总额]]*8%,2)</f>
        <v>348.21</v>
      </c>
      <c r="V414" s="62">
        <f ca="1">ROUND(表1_11[[#This Row],[税前应发总额]]*2%+3,2)</f>
        <v>90.05</v>
      </c>
      <c r="W414" s="62">
        <f ca="1">ROUND(表1_11[[#This Row],[税前应发总额]]*0.2%,2)</f>
        <v>8.7100000000000009</v>
      </c>
      <c r="X414" s="62">
        <f ca="1">ROUND(表1_11[[#This Row],[税前应发总额]]*12%,2)</f>
        <v>522.32000000000005</v>
      </c>
      <c r="Y414" s="61">
        <f ca="1">ROUND(表1_11[[#This Row],[税前应发总额]]-SUM(表1_11[[#This Row],[养老保险]:[公积金]]),2)</f>
        <v>3383.38</v>
      </c>
      <c r="Z414" s="62">
        <f ca="1">ROUND(MAX((表1_11[[#This Row],[扣保险后工资金额]]-3500)*{3,10,20,25,30,35,45}%-{0,105,555,1005,2755,5505,13505},0),2)</f>
        <v>0</v>
      </c>
      <c r="AA414" s="63">
        <f ca="1">表1_11[[#This Row],[扣保险后工资金额]]-表1_11[[#This Row],[个人所得税]]</f>
        <v>3383.38</v>
      </c>
      <c r="AB414" s="53">
        <v>3936.02</v>
      </c>
      <c r="AC414" s="64">
        <f ca="1">(表1_11[[#This Row],[实发工资]]-表1_11[[#This Row],[上月对比]])/表1_11[[#This Row],[上月对比]]</f>
        <v>-0.14040579062098257</v>
      </c>
      <c r="AD414" s="65" t="s">
        <v>1587</v>
      </c>
    </row>
    <row r="415" spans="1:30">
      <c r="A415" s="42" t="s">
        <v>577</v>
      </c>
      <c r="B415" s="42" t="s">
        <v>809</v>
      </c>
      <c r="C415" s="40" t="s">
        <v>711</v>
      </c>
      <c r="D415" s="40" t="s">
        <v>712</v>
      </c>
      <c r="E415" s="41" t="s">
        <v>1425</v>
      </c>
      <c r="F415" s="5" t="s">
        <v>411</v>
      </c>
      <c r="G415" s="25">
        <v>40447</v>
      </c>
      <c r="H415" s="5" t="s">
        <v>617</v>
      </c>
      <c r="I415" s="5">
        <f>VLOOKUP(MID(表1_11[[#This Row],[工资等级]],1,1),表12[],MATCH(MID(表1_11[[#This Row],[工资等级]],2,2),表12[[#Headers],[1]:[10]],0)+1,0)</f>
        <v>2500</v>
      </c>
      <c r="J415" s="5">
        <v>21</v>
      </c>
      <c r="K415" s="27">
        <v>0.875</v>
      </c>
      <c r="L415" s="37">
        <f>IF(表1_11[[#This Row],[出勤率]]&gt;1,1,表1_11[[#This Row],[出勤率]])*表1_11[[#This Row],[岗位工资]]</f>
        <v>2187.5</v>
      </c>
      <c r="M415" s="5">
        <f>LOOKUP(表1_11[[#This Row],[岗位工资]],表13[lookup],表13[奖金比率])*表1_11[[#This Row],[岗位工资]]</f>
        <v>250</v>
      </c>
      <c r="N415" s="5">
        <v>85</v>
      </c>
      <c r="O415" s="38">
        <f>表1_11[[#This Row],[奖金等级]]*表1_11[[#This Row],[绩效得分]]/100</f>
        <v>212.5</v>
      </c>
      <c r="P415" s="5">
        <f>IF(表1_11[[#This Row],[出勤率]]&gt;=1,200,0)</f>
        <v>0</v>
      </c>
      <c r="Q415" s="23">
        <f t="shared" ca="1" si="6"/>
        <v>350</v>
      </c>
      <c r="R415" s="23">
        <f>IF(表1_11[[#This Row],[中心]]="营销中心",VLOOKUP(表1_11[[#This Row],[职位]],表2[[话费补贴]:[营销中心]],2,0),VLOOKUP(表1_11[[#This Row],[职位]],表2[],3,0))</f>
        <v>0</v>
      </c>
      <c r="S415" s="23">
        <v>200</v>
      </c>
      <c r="T415" s="61">
        <f ca="1">ROUND(SUM(表1_11[[#This Row],[基本工资]],表1_11[[#This Row],[奖金]],表1_11[[#This Row],[全勤奖]:[防暑降温补贴]]),2)</f>
        <v>2950</v>
      </c>
      <c r="U415" s="62">
        <f ca="1">ROUND(表1_11[[#This Row],[税前应发总额]]*8%,2)</f>
        <v>236</v>
      </c>
      <c r="V415" s="62">
        <f ca="1">ROUND(表1_11[[#This Row],[税前应发总额]]*2%+3,2)</f>
        <v>62</v>
      </c>
      <c r="W415" s="62">
        <f ca="1">ROUND(表1_11[[#This Row],[税前应发总额]]*0.2%,2)</f>
        <v>5.9</v>
      </c>
      <c r="X415" s="62">
        <f ca="1">ROUND(表1_11[[#This Row],[税前应发总额]]*12%,2)</f>
        <v>354</v>
      </c>
      <c r="Y415" s="61">
        <f ca="1">ROUND(表1_11[[#This Row],[税前应发总额]]-SUM(表1_11[[#This Row],[养老保险]:[公积金]]),2)</f>
        <v>2292.1</v>
      </c>
      <c r="Z415" s="62">
        <f ca="1">ROUND(MAX((表1_11[[#This Row],[扣保险后工资金额]]-3500)*{3,10,20,25,30,35,45}%-{0,105,555,1005,2755,5505,13505},0),2)</f>
        <v>0</v>
      </c>
      <c r="AA415" s="63">
        <f ca="1">表1_11[[#This Row],[扣保险后工资金额]]-表1_11[[#This Row],[个人所得税]]</f>
        <v>2292.1</v>
      </c>
      <c r="AB415" s="53">
        <v>1947.79</v>
      </c>
      <c r="AC415" s="64">
        <f ca="1">(表1_11[[#This Row],[实发工资]]-表1_11[[#This Row],[上月对比]])/表1_11[[#This Row],[上月对比]]</f>
        <v>0.17676956961479418</v>
      </c>
      <c r="AD415" s="65" t="s">
        <v>1587</v>
      </c>
    </row>
    <row r="416" spans="1:30">
      <c r="A416" s="42" t="s">
        <v>577</v>
      </c>
      <c r="B416" s="42" t="s">
        <v>809</v>
      </c>
      <c r="C416" s="40" t="s">
        <v>655</v>
      </c>
      <c r="D416" s="40" t="s">
        <v>656</v>
      </c>
      <c r="E416" s="41" t="s">
        <v>1426</v>
      </c>
      <c r="F416" s="5" t="s">
        <v>412</v>
      </c>
      <c r="G416" s="25">
        <v>41683</v>
      </c>
      <c r="H416" s="5" t="s">
        <v>623</v>
      </c>
      <c r="I416" s="5">
        <f>VLOOKUP(MID(表1_11[[#This Row],[工资等级]],1,1),表12[],MATCH(MID(表1_11[[#This Row],[工资等级]],2,2),表12[[#Headers],[1]:[10]],0)+1,0)</f>
        <v>3800</v>
      </c>
      <c r="J416" s="5">
        <v>23.5</v>
      </c>
      <c r="K416" s="27">
        <v>0.97916666666666663</v>
      </c>
      <c r="L416" s="37">
        <f>IF(表1_11[[#This Row],[出勤率]]&gt;1,1,表1_11[[#This Row],[出勤率]])*表1_11[[#This Row],[岗位工资]]</f>
        <v>3720.833333333333</v>
      </c>
      <c r="M416" s="5">
        <f>LOOKUP(表1_11[[#This Row],[岗位工资]],表13[lookup],表13[奖金比率])*表1_11[[#This Row],[岗位工资]]</f>
        <v>380</v>
      </c>
      <c r="N416" s="5">
        <v>81</v>
      </c>
      <c r="O416" s="38">
        <f>表1_11[[#This Row],[奖金等级]]*表1_11[[#This Row],[绩效得分]]/100</f>
        <v>307.8</v>
      </c>
      <c r="P416" s="5">
        <f>IF(表1_11[[#This Row],[出勤率]]&gt;=1,200,0)</f>
        <v>0</v>
      </c>
      <c r="Q416" s="23">
        <f t="shared" ca="1" si="6"/>
        <v>200</v>
      </c>
      <c r="R416" s="23">
        <f>IF(表1_11[[#This Row],[中心]]="营销中心",VLOOKUP(表1_11[[#This Row],[职位]],表2[[话费补贴]:[营销中心]],2,0),VLOOKUP(表1_11[[#This Row],[职位]],表2[],3,0))</f>
        <v>0</v>
      </c>
      <c r="S416" s="23">
        <v>200</v>
      </c>
      <c r="T416" s="61">
        <f ca="1">ROUND(SUM(表1_11[[#This Row],[基本工资]],表1_11[[#This Row],[奖金]],表1_11[[#This Row],[全勤奖]:[防暑降温补贴]]),2)</f>
        <v>4428.63</v>
      </c>
      <c r="U416" s="62">
        <f ca="1">ROUND(表1_11[[#This Row],[税前应发总额]]*8%,2)</f>
        <v>354.29</v>
      </c>
      <c r="V416" s="62">
        <f ca="1">ROUND(表1_11[[#This Row],[税前应发总额]]*2%+3,2)</f>
        <v>91.57</v>
      </c>
      <c r="W416" s="62">
        <f ca="1">ROUND(表1_11[[#This Row],[税前应发总额]]*0.2%,2)</f>
        <v>8.86</v>
      </c>
      <c r="X416" s="62">
        <f ca="1">ROUND(表1_11[[#This Row],[税前应发总额]]*12%,2)</f>
        <v>531.44000000000005</v>
      </c>
      <c r="Y416" s="61">
        <f ca="1">ROUND(表1_11[[#This Row],[税前应发总额]]-SUM(表1_11[[#This Row],[养老保险]:[公积金]]),2)</f>
        <v>3442.47</v>
      </c>
      <c r="Z416" s="62">
        <f ca="1">ROUND(MAX((表1_11[[#This Row],[扣保险后工资金额]]-3500)*{3,10,20,25,30,35,45}%-{0,105,555,1005,2755,5505,13505},0),2)</f>
        <v>0</v>
      </c>
      <c r="AA416" s="63">
        <f ca="1">表1_11[[#This Row],[扣保险后工资金额]]-表1_11[[#This Row],[个人所得税]]</f>
        <v>3442.47</v>
      </c>
      <c r="AB416" s="53">
        <v>3163.93</v>
      </c>
      <c r="AC416" s="64">
        <f ca="1">(表1_11[[#This Row],[实发工资]]-表1_11[[#This Row],[上月对比]])/表1_11[[#This Row],[上月对比]]</f>
        <v>8.8036081708508088E-2</v>
      </c>
      <c r="AD416" s="65" t="s">
        <v>1587</v>
      </c>
    </row>
    <row r="417" spans="1:30">
      <c r="A417" s="42" t="s">
        <v>577</v>
      </c>
      <c r="B417" s="42" t="s">
        <v>809</v>
      </c>
      <c r="C417" s="40" t="s">
        <v>816</v>
      </c>
      <c r="D417" s="40" t="s">
        <v>817</v>
      </c>
      <c r="E417" s="41" t="s">
        <v>1427</v>
      </c>
      <c r="F417" s="5" t="s">
        <v>413</v>
      </c>
      <c r="G417" s="25">
        <v>40430</v>
      </c>
      <c r="H417" s="5" t="s">
        <v>610</v>
      </c>
      <c r="I417" s="5">
        <f>VLOOKUP(MID(表1_11[[#This Row],[工资等级]],1,1),表12[],MATCH(MID(表1_11[[#This Row],[工资等级]],2,2),表12[[#Headers],[1]:[10]],0)+1,0)</f>
        <v>3400</v>
      </c>
      <c r="J417" s="5">
        <v>26.5</v>
      </c>
      <c r="K417" s="27">
        <v>1.1041666666666667</v>
      </c>
      <c r="L417" s="37">
        <f>IF(表1_11[[#This Row],[出勤率]]&gt;1,1,表1_11[[#This Row],[出勤率]])*表1_11[[#This Row],[岗位工资]]</f>
        <v>3400</v>
      </c>
      <c r="M417" s="5">
        <f>LOOKUP(表1_11[[#This Row],[岗位工资]],表13[lookup],表13[奖金比率])*表1_11[[#This Row],[岗位工资]]</f>
        <v>340</v>
      </c>
      <c r="N417" s="5">
        <v>88</v>
      </c>
      <c r="O417" s="38">
        <f>表1_11[[#This Row],[奖金等级]]*表1_11[[#This Row],[绩效得分]]/100</f>
        <v>299.2</v>
      </c>
      <c r="P417" s="5">
        <f>IF(表1_11[[#This Row],[出勤率]]&gt;=1,200,0)</f>
        <v>200</v>
      </c>
      <c r="Q417" s="23">
        <f t="shared" ca="1" si="6"/>
        <v>350</v>
      </c>
      <c r="R417" s="23">
        <f>IF(表1_11[[#This Row],[中心]]="营销中心",VLOOKUP(表1_11[[#This Row],[职位]],表2[[话费补贴]:[营销中心]],2,0),VLOOKUP(表1_11[[#This Row],[职位]],表2[],3,0))</f>
        <v>0</v>
      </c>
      <c r="S417" s="23">
        <v>200</v>
      </c>
      <c r="T417" s="61">
        <f ca="1">ROUND(SUM(表1_11[[#This Row],[基本工资]],表1_11[[#This Row],[奖金]],表1_11[[#This Row],[全勤奖]:[防暑降温补贴]]),2)</f>
        <v>4449.2</v>
      </c>
      <c r="U417" s="62">
        <f ca="1">ROUND(表1_11[[#This Row],[税前应发总额]]*8%,2)</f>
        <v>355.94</v>
      </c>
      <c r="V417" s="62">
        <f ca="1">ROUND(表1_11[[#This Row],[税前应发总额]]*2%+3,2)</f>
        <v>91.98</v>
      </c>
      <c r="W417" s="62">
        <f ca="1">ROUND(表1_11[[#This Row],[税前应发总额]]*0.2%,2)</f>
        <v>8.9</v>
      </c>
      <c r="X417" s="62">
        <f ca="1">ROUND(表1_11[[#This Row],[税前应发总额]]*12%,2)</f>
        <v>533.9</v>
      </c>
      <c r="Y417" s="61">
        <f ca="1">ROUND(表1_11[[#This Row],[税前应发总额]]-SUM(表1_11[[#This Row],[养老保险]:[公积金]]),2)</f>
        <v>3458.48</v>
      </c>
      <c r="Z417" s="62">
        <f ca="1">ROUND(MAX((表1_11[[#This Row],[扣保险后工资金额]]-3500)*{3,10,20,25,30,35,45}%-{0,105,555,1005,2755,5505,13505},0),2)</f>
        <v>0</v>
      </c>
      <c r="AA417" s="63">
        <f ca="1">表1_11[[#This Row],[扣保险后工资金额]]-表1_11[[#This Row],[个人所得税]]</f>
        <v>3458.48</v>
      </c>
      <c r="AB417" s="53">
        <v>2991.14</v>
      </c>
      <c r="AC417" s="64">
        <f ca="1">(表1_11[[#This Row],[实发工资]]-表1_11[[#This Row],[上月对比]])/表1_11[[#This Row],[上月对比]]</f>
        <v>0.15624143303222188</v>
      </c>
      <c r="AD417" s="65" t="s">
        <v>1587</v>
      </c>
    </row>
    <row r="418" spans="1:30">
      <c r="A418" s="42" t="s">
        <v>577</v>
      </c>
      <c r="B418" s="42" t="s">
        <v>809</v>
      </c>
      <c r="C418" s="40" t="s">
        <v>711</v>
      </c>
      <c r="D418" s="40" t="s">
        <v>712</v>
      </c>
      <c r="E418" s="41" t="s">
        <v>1428</v>
      </c>
      <c r="F418" s="5" t="s">
        <v>414</v>
      </c>
      <c r="G418" s="25">
        <v>41052</v>
      </c>
      <c r="H418" s="5" t="s">
        <v>630</v>
      </c>
      <c r="I418" s="5">
        <f>VLOOKUP(MID(表1_11[[#This Row],[工资等级]],1,1),表12[],MATCH(MID(表1_11[[#This Row],[工资等级]],2,2),表12[[#Headers],[1]:[10]],0)+1,0)</f>
        <v>2600</v>
      </c>
      <c r="J418" s="5">
        <v>27</v>
      </c>
      <c r="K418" s="27">
        <v>1.125</v>
      </c>
      <c r="L418" s="37">
        <f>IF(表1_11[[#This Row],[出勤率]]&gt;1,1,表1_11[[#This Row],[出勤率]])*表1_11[[#This Row],[岗位工资]]</f>
        <v>2600</v>
      </c>
      <c r="M418" s="5">
        <f>LOOKUP(表1_11[[#This Row],[岗位工资]],表13[lookup],表13[奖金比率])*表1_11[[#This Row],[岗位工资]]</f>
        <v>260</v>
      </c>
      <c r="N418" s="5">
        <v>97</v>
      </c>
      <c r="O418" s="38">
        <f>表1_11[[#This Row],[奖金等级]]*表1_11[[#This Row],[绩效得分]]/100</f>
        <v>252.2</v>
      </c>
      <c r="P418" s="5">
        <f>IF(表1_11[[#This Row],[出勤率]]&gt;=1,200,0)</f>
        <v>200</v>
      </c>
      <c r="Q418" s="23">
        <f t="shared" ca="1" si="6"/>
        <v>250</v>
      </c>
      <c r="R418" s="23">
        <f>IF(表1_11[[#This Row],[中心]]="营销中心",VLOOKUP(表1_11[[#This Row],[职位]],表2[[话费补贴]:[营销中心]],2,0),VLOOKUP(表1_11[[#This Row],[职位]],表2[],3,0))</f>
        <v>0</v>
      </c>
      <c r="S418" s="23">
        <v>200</v>
      </c>
      <c r="T418" s="61">
        <f ca="1">ROUND(SUM(表1_11[[#This Row],[基本工资]],表1_11[[#This Row],[奖金]],表1_11[[#This Row],[全勤奖]:[防暑降温补贴]]),2)</f>
        <v>3502.2</v>
      </c>
      <c r="U418" s="62">
        <f ca="1">ROUND(表1_11[[#This Row],[税前应发总额]]*8%,2)</f>
        <v>280.18</v>
      </c>
      <c r="V418" s="62">
        <f ca="1">ROUND(表1_11[[#This Row],[税前应发总额]]*2%+3,2)</f>
        <v>73.040000000000006</v>
      </c>
      <c r="W418" s="62">
        <f ca="1">ROUND(表1_11[[#This Row],[税前应发总额]]*0.2%,2)</f>
        <v>7</v>
      </c>
      <c r="X418" s="62">
        <f ca="1">ROUND(表1_11[[#This Row],[税前应发总额]]*12%,2)</f>
        <v>420.26</v>
      </c>
      <c r="Y418" s="61">
        <f ca="1">ROUND(表1_11[[#This Row],[税前应发总额]]-SUM(表1_11[[#This Row],[养老保险]:[公积金]]),2)</f>
        <v>2721.72</v>
      </c>
      <c r="Z418" s="62">
        <f ca="1">ROUND(MAX((表1_11[[#This Row],[扣保险后工资金额]]-3500)*{3,10,20,25,30,35,45}%-{0,105,555,1005,2755,5505,13505},0),2)</f>
        <v>0</v>
      </c>
      <c r="AA418" s="63">
        <f ca="1">表1_11[[#This Row],[扣保险后工资金额]]-表1_11[[#This Row],[个人所得税]]</f>
        <v>2721.72</v>
      </c>
      <c r="AB418" s="53">
        <v>2385.41</v>
      </c>
      <c r="AC418" s="64">
        <f ca="1">(表1_11[[#This Row],[实发工资]]-表1_11[[#This Row],[上月对比]])/表1_11[[#This Row],[上月对比]]</f>
        <v>0.14098624555107925</v>
      </c>
      <c r="AD418" s="65" t="s">
        <v>1587</v>
      </c>
    </row>
    <row r="419" spans="1:30">
      <c r="A419" s="42" t="s">
        <v>577</v>
      </c>
      <c r="B419" s="42" t="s">
        <v>809</v>
      </c>
      <c r="C419" s="40" t="s">
        <v>781</v>
      </c>
      <c r="D419" s="40" t="s">
        <v>782</v>
      </c>
      <c r="E419" s="41" t="s">
        <v>1429</v>
      </c>
      <c r="F419" s="5" t="s">
        <v>415</v>
      </c>
      <c r="G419" s="25">
        <v>40199</v>
      </c>
      <c r="H419" s="5" t="s">
        <v>615</v>
      </c>
      <c r="I419" s="5">
        <f>VLOOKUP(MID(表1_11[[#This Row],[工资等级]],1,1),表12[],MATCH(MID(表1_11[[#This Row],[工资等级]],2,2),表12[[#Headers],[1]:[10]],0)+1,0)</f>
        <v>3200</v>
      </c>
      <c r="J419" s="5">
        <v>20.5</v>
      </c>
      <c r="K419" s="27">
        <v>0.85416666666666663</v>
      </c>
      <c r="L419" s="37">
        <f>IF(表1_11[[#This Row],[出勤率]]&gt;1,1,表1_11[[#This Row],[出勤率]])*表1_11[[#This Row],[岗位工资]]</f>
        <v>2733.333333333333</v>
      </c>
      <c r="M419" s="5">
        <f>LOOKUP(表1_11[[#This Row],[岗位工资]],表13[lookup],表13[奖金比率])*表1_11[[#This Row],[岗位工资]]</f>
        <v>320</v>
      </c>
      <c r="N419" s="5">
        <v>94</v>
      </c>
      <c r="O419" s="38">
        <f>表1_11[[#This Row],[奖金等级]]*表1_11[[#This Row],[绩效得分]]/100</f>
        <v>300.8</v>
      </c>
      <c r="P419" s="5">
        <f>IF(表1_11[[#This Row],[出勤率]]&gt;=1,200,0)</f>
        <v>0</v>
      </c>
      <c r="Q419" s="23">
        <f t="shared" ca="1" si="6"/>
        <v>400</v>
      </c>
      <c r="R419" s="23">
        <f>IF(表1_11[[#This Row],[中心]]="营销中心",VLOOKUP(表1_11[[#This Row],[职位]],表2[[话费补贴]:[营销中心]],2,0),VLOOKUP(表1_11[[#This Row],[职位]],表2[],3,0))</f>
        <v>0</v>
      </c>
      <c r="S419" s="23">
        <v>200</v>
      </c>
      <c r="T419" s="61">
        <f ca="1">ROUND(SUM(表1_11[[#This Row],[基本工资]],表1_11[[#This Row],[奖金]],表1_11[[#This Row],[全勤奖]:[防暑降温补贴]]),2)</f>
        <v>3634.13</v>
      </c>
      <c r="U419" s="62">
        <f ca="1">ROUND(表1_11[[#This Row],[税前应发总额]]*8%,2)</f>
        <v>290.73</v>
      </c>
      <c r="V419" s="62">
        <f ca="1">ROUND(表1_11[[#This Row],[税前应发总额]]*2%+3,2)</f>
        <v>75.680000000000007</v>
      </c>
      <c r="W419" s="62">
        <f ca="1">ROUND(表1_11[[#This Row],[税前应发总额]]*0.2%,2)</f>
        <v>7.27</v>
      </c>
      <c r="X419" s="62">
        <f ca="1">ROUND(表1_11[[#This Row],[税前应发总额]]*12%,2)</f>
        <v>436.1</v>
      </c>
      <c r="Y419" s="61">
        <f ca="1">ROUND(表1_11[[#This Row],[税前应发总额]]-SUM(表1_11[[#This Row],[养老保险]:[公积金]]),2)</f>
        <v>2824.35</v>
      </c>
      <c r="Z419" s="62">
        <f ca="1">ROUND(MAX((表1_11[[#This Row],[扣保险后工资金额]]-3500)*{3,10,20,25,30,35,45}%-{0,105,555,1005,2755,5505,13505},0),2)</f>
        <v>0</v>
      </c>
      <c r="AA419" s="63">
        <f ca="1">表1_11[[#This Row],[扣保险后工资金额]]-表1_11[[#This Row],[个人所得税]]</f>
        <v>2824.35</v>
      </c>
      <c r="AB419" s="53">
        <v>2820.85</v>
      </c>
      <c r="AC419" s="64">
        <f ca="1">(表1_11[[#This Row],[实发工资]]-表1_11[[#This Row],[上月对比]])/表1_11[[#This Row],[上月对比]]</f>
        <v>1.2407607635996243E-3</v>
      </c>
      <c r="AD419" s="65" t="s">
        <v>1587</v>
      </c>
    </row>
    <row r="420" spans="1:30">
      <c r="A420" s="42" t="s">
        <v>577</v>
      </c>
      <c r="B420" s="42" t="s">
        <v>809</v>
      </c>
      <c r="C420" s="40" t="s">
        <v>711</v>
      </c>
      <c r="D420" s="40" t="s">
        <v>712</v>
      </c>
      <c r="E420" s="41" t="s">
        <v>1430</v>
      </c>
      <c r="F420" s="5" t="s">
        <v>416</v>
      </c>
      <c r="G420" s="25">
        <v>38296</v>
      </c>
      <c r="H420" s="5" t="s">
        <v>657</v>
      </c>
      <c r="I420" s="5">
        <f>VLOOKUP(MID(表1_11[[#This Row],[工资等级]],1,1),表12[],MATCH(MID(表1_11[[#This Row],[工资等级]],2,2),表12[[#Headers],[1]:[10]],0)+1,0)</f>
        <v>4000</v>
      </c>
      <c r="J420" s="5">
        <v>21</v>
      </c>
      <c r="K420" s="27">
        <v>0.875</v>
      </c>
      <c r="L420" s="37">
        <f>IF(表1_11[[#This Row],[出勤率]]&gt;1,1,表1_11[[#This Row],[出勤率]])*表1_11[[#This Row],[岗位工资]]</f>
        <v>3500</v>
      </c>
      <c r="M420" s="5">
        <f>LOOKUP(表1_11[[#This Row],[岗位工资]],表13[lookup],表13[奖金比率])*表1_11[[#This Row],[岗位工资]]</f>
        <v>600</v>
      </c>
      <c r="N420" s="5">
        <v>79</v>
      </c>
      <c r="O420" s="38">
        <f>表1_11[[#This Row],[奖金等级]]*表1_11[[#This Row],[绩效得分]]/100</f>
        <v>474</v>
      </c>
      <c r="P420" s="5">
        <f>IF(表1_11[[#This Row],[出勤率]]&gt;=1,200,0)</f>
        <v>0</v>
      </c>
      <c r="Q420" s="23">
        <f t="shared" ca="1" si="6"/>
        <v>500</v>
      </c>
      <c r="R420" s="23">
        <f>IF(表1_11[[#This Row],[中心]]="营销中心",VLOOKUP(表1_11[[#This Row],[职位]],表2[[话费补贴]:[营销中心]],2,0),VLOOKUP(表1_11[[#This Row],[职位]],表2[],3,0))</f>
        <v>0</v>
      </c>
      <c r="S420" s="23">
        <v>200</v>
      </c>
      <c r="T420" s="61">
        <f ca="1">ROUND(SUM(表1_11[[#This Row],[基本工资]],表1_11[[#This Row],[奖金]],表1_11[[#This Row],[全勤奖]:[防暑降温补贴]]),2)</f>
        <v>4674</v>
      </c>
      <c r="U420" s="62">
        <f ca="1">ROUND(表1_11[[#This Row],[税前应发总额]]*8%,2)</f>
        <v>373.92</v>
      </c>
      <c r="V420" s="62">
        <f ca="1">ROUND(表1_11[[#This Row],[税前应发总额]]*2%+3,2)</f>
        <v>96.48</v>
      </c>
      <c r="W420" s="62">
        <f ca="1">ROUND(表1_11[[#This Row],[税前应发总额]]*0.2%,2)</f>
        <v>9.35</v>
      </c>
      <c r="X420" s="62">
        <f ca="1">ROUND(表1_11[[#This Row],[税前应发总额]]*12%,2)</f>
        <v>560.88</v>
      </c>
      <c r="Y420" s="61">
        <f ca="1">ROUND(表1_11[[#This Row],[税前应发总额]]-SUM(表1_11[[#This Row],[养老保险]:[公积金]]),2)</f>
        <v>3633.37</v>
      </c>
      <c r="Z420" s="62">
        <f ca="1">ROUND(MAX((表1_11[[#This Row],[扣保险后工资金额]]-3500)*{3,10,20,25,30,35,45}%-{0,105,555,1005,2755,5505,13505},0),2)</f>
        <v>4</v>
      </c>
      <c r="AA420" s="63">
        <f ca="1">表1_11[[#This Row],[扣保险后工资金额]]-表1_11[[#This Row],[个人所得税]]</f>
        <v>3629.37</v>
      </c>
      <c r="AB420" s="53">
        <v>3864.02</v>
      </c>
      <c r="AC420" s="64">
        <f ca="1">(表1_11[[#This Row],[实发工资]]-表1_11[[#This Row],[上月对比]])/表1_11[[#This Row],[上月对比]]</f>
        <v>-6.0726911351390543E-2</v>
      </c>
      <c r="AD420" s="65" t="s">
        <v>1587</v>
      </c>
    </row>
    <row r="421" spans="1:30">
      <c r="A421" s="42" t="s">
        <v>577</v>
      </c>
      <c r="B421" s="42" t="s">
        <v>809</v>
      </c>
      <c r="C421" s="40" t="s">
        <v>816</v>
      </c>
      <c r="D421" s="40" t="s">
        <v>817</v>
      </c>
      <c r="E421" s="41" t="s">
        <v>1431</v>
      </c>
      <c r="F421" s="5" t="s">
        <v>417</v>
      </c>
      <c r="G421" s="25">
        <v>41787</v>
      </c>
      <c r="H421" s="5" t="s">
        <v>622</v>
      </c>
      <c r="I421" s="5">
        <f>VLOOKUP(MID(表1_11[[#This Row],[工资等级]],1,1),表12[],MATCH(MID(表1_11[[#This Row],[工资等级]],2,2),表12[[#Headers],[1]:[10]],0)+1,0)</f>
        <v>3600</v>
      </c>
      <c r="J421" s="5">
        <v>26.5</v>
      </c>
      <c r="K421" s="27">
        <v>1.1041666666666667</v>
      </c>
      <c r="L421" s="37">
        <f>IF(表1_11[[#This Row],[出勤率]]&gt;1,1,表1_11[[#This Row],[出勤率]])*表1_11[[#This Row],[岗位工资]]</f>
        <v>3600</v>
      </c>
      <c r="M421" s="5">
        <f>LOOKUP(表1_11[[#This Row],[岗位工资]],表13[lookup],表13[奖金比率])*表1_11[[#This Row],[岗位工资]]</f>
        <v>360</v>
      </c>
      <c r="N421" s="5">
        <v>94</v>
      </c>
      <c r="O421" s="38">
        <f>表1_11[[#This Row],[奖金等级]]*表1_11[[#This Row],[绩效得分]]/100</f>
        <v>338.4</v>
      </c>
      <c r="P421" s="5">
        <f>IF(表1_11[[#This Row],[出勤率]]&gt;=1,200,0)</f>
        <v>200</v>
      </c>
      <c r="Q421" s="23">
        <f t="shared" ca="1" si="6"/>
        <v>150</v>
      </c>
      <c r="R421" s="23">
        <f>IF(表1_11[[#This Row],[中心]]="营销中心",VLOOKUP(表1_11[[#This Row],[职位]],表2[[话费补贴]:[营销中心]],2,0),VLOOKUP(表1_11[[#This Row],[职位]],表2[],3,0))</f>
        <v>0</v>
      </c>
      <c r="S421" s="23">
        <v>200</v>
      </c>
      <c r="T421" s="61">
        <f ca="1">ROUND(SUM(表1_11[[#This Row],[基本工资]],表1_11[[#This Row],[奖金]],表1_11[[#This Row],[全勤奖]:[防暑降温补贴]]),2)</f>
        <v>4488.3999999999996</v>
      </c>
      <c r="U421" s="62">
        <f ca="1">ROUND(表1_11[[#This Row],[税前应发总额]]*8%,2)</f>
        <v>359.07</v>
      </c>
      <c r="V421" s="62">
        <f ca="1">ROUND(表1_11[[#This Row],[税前应发总额]]*2%+3,2)</f>
        <v>92.77</v>
      </c>
      <c r="W421" s="62">
        <f ca="1">ROUND(表1_11[[#This Row],[税前应发总额]]*0.2%,2)</f>
        <v>8.98</v>
      </c>
      <c r="X421" s="62">
        <f ca="1">ROUND(表1_11[[#This Row],[税前应发总额]]*12%,2)</f>
        <v>538.61</v>
      </c>
      <c r="Y421" s="61">
        <f ca="1">ROUND(表1_11[[#This Row],[税前应发总额]]-SUM(表1_11[[#This Row],[养老保险]:[公积金]]),2)</f>
        <v>3488.97</v>
      </c>
      <c r="Z421" s="62">
        <f ca="1">ROUND(MAX((表1_11[[#This Row],[扣保险后工资金额]]-3500)*{3,10,20,25,30,35,45}%-{0,105,555,1005,2755,5505,13505},0),2)</f>
        <v>0</v>
      </c>
      <c r="AA421" s="63">
        <f ca="1">表1_11[[#This Row],[扣保险后工资金额]]-表1_11[[#This Row],[个人所得税]]</f>
        <v>3488.97</v>
      </c>
      <c r="AB421" s="53">
        <v>3335.7</v>
      </c>
      <c r="AC421" s="64">
        <f ca="1">(表1_11[[#This Row],[实发工资]]-表1_11[[#This Row],[上月对比]])/表1_11[[#This Row],[上月对比]]</f>
        <v>4.5948376652576665E-2</v>
      </c>
      <c r="AD421" s="65" t="s">
        <v>1587</v>
      </c>
    </row>
    <row r="422" spans="1:30">
      <c r="A422" s="42" t="s">
        <v>577</v>
      </c>
      <c r="B422" s="42" t="s">
        <v>809</v>
      </c>
      <c r="C422" s="40" t="s">
        <v>787</v>
      </c>
      <c r="D422" s="40" t="s">
        <v>788</v>
      </c>
      <c r="E422" s="41" t="s">
        <v>1432</v>
      </c>
      <c r="F422" s="5" t="s">
        <v>418</v>
      </c>
      <c r="G422" s="25">
        <v>39552</v>
      </c>
      <c r="H422" s="5" t="s">
        <v>624</v>
      </c>
      <c r="I422" s="5">
        <f>VLOOKUP(MID(表1_11[[#This Row],[工资等级]],1,1),表12[],MATCH(MID(表1_11[[#This Row],[工资等级]],2,2),表12[[#Headers],[1]:[10]],0)+1,0)</f>
        <v>2800</v>
      </c>
      <c r="J422" s="5">
        <v>22</v>
      </c>
      <c r="K422" s="27">
        <v>0.91666666666666663</v>
      </c>
      <c r="L422" s="37">
        <f>IF(表1_11[[#This Row],[出勤率]]&gt;1,1,表1_11[[#This Row],[出勤率]])*表1_11[[#This Row],[岗位工资]]</f>
        <v>2566.6666666666665</v>
      </c>
      <c r="M422" s="5">
        <f>LOOKUP(表1_11[[#This Row],[岗位工资]],表13[lookup],表13[奖金比率])*表1_11[[#This Row],[岗位工资]]</f>
        <v>280</v>
      </c>
      <c r="N422" s="5">
        <v>92</v>
      </c>
      <c r="O422" s="38">
        <f>表1_11[[#This Row],[奖金等级]]*表1_11[[#This Row],[绩效得分]]/100</f>
        <v>257.60000000000002</v>
      </c>
      <c r="P422" s="5">
        <f>IF(表1_11[[#This Row],[出勤率]]&gt;=1,200,0)</f>
        <v>0</v>
      </c>
      <c r="Q422" s="23">
        <f t="shared" ca="1" si="6"/>
        <v>450</v>
      </c>
      <c r="R422" s="23">
        <f>IF(表1_11[[#This Row],[中心]]="营销中心",VLOOKUP(表1_11[[#This Row],[职位]],表2[[话费补贴]:[营销中心]],2,0),VLOOKUP(表1_11[[#This Row],[职位]],表2[],3,0))</f>
        <v>0</v>
      </c>
      <c r="S422" s="23">
        <v>200</v>
      </c>
      <c r="T422" s="61">
        <f ca="1">ROUND(SUM(表1_11[[#This Row],[基本工资]],表1_11[[#This Row],[奖金]],表1_11[[#This Row],[全勤奖]:[防暑降温补贴]]),2)</f>
        <v>3474.27</v>
      </c>
      <c r="U422" s="62">
        <f ca="1">ROUND(表1_11[[#This Row],[税前应发总额]]*8%,2)</f>
        <v>277.94</v>
      </c>
      <c r="V422" s="62">
        <f ca="1">ROUND(表1_11[[#This Row],[税前应发总额]]*2%+3,2)</f>
        <v>72.489999999999995</v>
      </c>
      <c r="W422" s="62">
        <f ca="1">ROUND(表1_11[[#This Row],[税前应发总额]]*0.2%,2)</f>
        <v>6.95</v>
      </c>
      <c r="X422" s="62">
        <f ca="1">ROUND(表1_11[[#This Row],[税前应发总额]]*12%,2)</f>
        <v>416.91</v>
      </c>
      <c r="Y422" s="61">
        <f ca="1">ROUND(表1_11[[#This Row],[税前应发总额]]-SUM(表1_11[[#This Row],[养老保险]:[公积金]]),2)</f>
        <v>2699.98</v>
      </c>
      <c r="Z422" s="62">
        <f ca="1">ROUND(MAX((表1_11[[#This Row],[扣保险后工资金额]]-3500)*{3,10,20,25,30,35,45}%-{0,105,555,1005,2755,5505,13505},0),2)</f>
        <v>0</v>
      </c>
      <c r="AA422" s="63">
        <f ca="1">表1_11[[#This Row],[扣保险后工资金额]]-表1_11[[#This Row],[个人所得税]]</f>
        <v>2699.98</v>
      </c>
      <c r="AB422" s="53">
        <v>3109.99</v>
      </c>
      <c r="AC422" s="64">
        <f ca="1">(表1_11[[#This Row],[实发工资]]-表1_11[[#This Row],[上月对比]])/表1_11[[#This Row],[上月对比]]</f>
        <v>-0.13183643677310852</v>
      </c>
      <c r="AD422" s="65" t="s">
        <v>1587</v>
      </c>
    </row>
    <row r="423" spans="1:30">
      <c r="A423" s="42" t="s">
        <v>577</v>
      </c>
      <c r="B423" s="42" t="s">
        <v>809</v>
      </c>
      <c r="C423" s="40" t="s">
        <v>818</v>
      </c>
      <c r="D423" s="40" t="s">
        <v>819</v>
      </c>
      <c r="E423" s="41" t="s">
        <v>1433</v>
      </c>
      <c r="F423" s="5" t="s">
        <v>419</v>
      </c>
      <c r="G423" s="25">
        <v>41183</v>
      </c>
      <c r="H423" s="5" t="s">
        <v>610</v>
      </c>
      <c r="I423" s="5">
        <f>VLOOKUP(MID(表1_11[[#This Row],[工资等级]],1,1),表12[],MATCH(MID(表1_11[[#This Row],[工资等级]],2,2),表12[[#Headers],[1]:[10]],0)+1,0)</f>
        <v>3400</v>
      </c>
      <c r="J423" s="5">
        <v>24</v>
      </c>
      <c r="K423" s="27">
        <v>1</v>
      </c>
      <c r="L423" s="37">
        <f>IF(表1_11[[#This Row],[出勤率]]&gt;1,1,表1_11[[#This Row],[出勤率]])*表1_11[[#This Row],[岗位工资]]</f>
        <v>3400</v>
      </c>
      <c r="M423" s="5">
        <f>LOOKUP(表1_11[[#This Row],[岗位工资]],表13[lookup],表13[奖金比率])*表1_11[[#This Row],[岗位工资]]</f>
        <v>340</v>
      </c>
      <c r="N423" s="5">
        <v>96</v>
      </c>
      <c r="O423" s="38">
        <f>表1_11[[#This Row],[奖金等级]]*表1_11[[#This Row],[绩效得分]]/100</f>
        <v>326.39999999999998</v>
      </c>
      <c r="P423" s="5">
        <f>IF(表1_11[[#This Row],[出勤率]]&gt;=1,200,0)</f>
        <v>200</v>
      </c>
      <c r="Q423" s="23">
        <f t="shared" ca="1" si="6"/>
        <v>250</v>
      </c>
      <c r="R423" s="23">
        <f>IF(表1_11[[#This Row],[中心]]="营销中心",VLOOKUP(表1_11[[#This Row],[职位]],表2[[话费补贴]:[营销中心]],2,0),VLOOKUP(表1_11[[#This Row],[职位]],表2[],3,0))</f>
        <v>0</v>
      </c>
      <c r="S423" s="23">
        <v>200</v>
      </c>
      <c r="T423" s="61">
        <f ca="1">ROUND(SUM(表1_11[[#This Row],[基本工资]],表1_11[[#This Row],[奖金]],表1_11[[#This Row],[全勤奖]:[防暑降温补贴]]),2)</f>
        <v>4376.3999999999996</v>
      </c>
      <c r="U423" s="62">
        <f ca="1">ROUND(表1_11[[#This Row],[税前应发总额]]*8%,2)</f>
        <v>350.11</v>
      </c>
      <c r="V423" s="62">
        <f ca="1">ROUND(表1_11[[#This Row],[税前应发总额]]*2%+3,2)</f>
        <v>90.53</v>
      </c>
      <c r="W423" s="62">
        <f ca="1">ROUND(表1_11[[#This Row],[税前应发总额]]*0.2%,2)</f>
        <v>8.75</v>
      </c>
      <c r="X423" s="62">
        <f ca="1">ROUND(表1_11[[#This Row],[税前应发总额]]*12%,2)</f>
        <v>525.16999999999996</v>
      </c>
      <c r="Y423" s="61">
        <f ca="1">ROUND(表1_11[[#This Row],[税前应发总额]]-SUM(表1_11[[#This Row],[养老保险]:[公积金]]),2)</f>
        <v>3401.84</v>
      </c>
      <c r="Z423" s="62">
        <f ca="1">ROUND(MAX((表1_11[[#This Row],[扣保险后工资金额]]-3500)*{3,10,20,25,30,35,45}%-{0,105,555,1005,2755,5505,13505},0),2)</f>
        <v>0</v>
      </c>
      <c r="AA423" s="63">
        <f ca="1">表1_11[[#This Row],[扣保险后工资金额]]-表1_11[[#This Row],[个人所得税]]</f>
        <v>3401.84</v>
      </c>
      <c r="AB423" s="53">
        <v>3424.8</v>
      </c>
      <c r="AC423" s="64">
        <f ca="1">(表1_11[[#This Row],[实发工资]]-表1_11[[#This Row],[上月对比]])/表1_11[[#This Row],[上月对比]]</f>
        <v>-6.7040411118897553E-3</v>
      </c>
      <c r="AD423" s="65" t="s">
        <v>1587</v>
      </c>
    </row>
    <row r="424" spans="1:30">
      <c r="A424" s="42" t="s">
        <v>577</v>
      </c>
      <c r="B424" s="42" t="s">
        <v>809</v>
      </c>
      <c r="C424" s="40" t="s">
        <v>793</v>
      </c>
      <c r="D424" s="40" t="s">
        <v>794</v>
      </c>
      <c r="E424" s="41" t="s">
        <v>1434</v>
      </c>
      <c r="F424" s="5" t="s">
        <v>420</v>
      </c>
      <c r="G424" s="25">
        <v>40604</v>
      </c>
      <c r="H424" s="5" t="s">
        <v>657</v>
      </c>
      <c r="I424" s="5">
        <f>VLOOKUP(MID(表1_11[[#This Row],[工资等级]],1,1),表12[],MATCH(MID(表1_11[[#This Row],[工资等级]],2,2),表12[[#Headers],[1]:[10]],0)+1,0)</f>
        <v>4000</v>
      </c>
      <c r="J424" s="5">
        <v>25</v>
      </c>
      <c r="K424" s="27">
        <v>1.0416666666666667</v>
      </c>
      <c r="L424" s="37">
        <f>IF(表1_11[[#This Row],[出勤率]]&gt;1,1,表1_11[[#This Row],[出勤率]])*表1_11[[#This Row],[岗位工资]]</f>
        <v>4000</v>
      </c>
      <c r="M424" s="5">
        <f>LOOKUP(表1_11[[#This Row],[岗位工资]],表13[lookup],表13[奖金比率])*表1_11[[#This Row],[岗位工资]]</f>
        <v>600</v>
      </c>
      <c r="N424" s="5">
        <v>79</v>
      </c>
      <c r="O424" s="38">
        <f>表1_11[[#This Row],[奖金等级]]*表1_11[[#This Row],[绩效得分]]/100</f>
        <v>474</v>
      </c>
      <c r="P424" s="5">
        <f>IF(表1_11[[#This Row],[出勤率]]&gt;=1,200,0)</f>
        <v>200</v>
      </c>
      <c r="Q424" s="23">
        <f t="shared" ca="1" si="6"/>
        <v>350</v>
      </c>
      <c r="R424" s="23">
        <f>IF(表1_11[[#This Row],[中心]]="营销中心",VLOOKUP(表1_11[[#This Row],[职位]],表2[[话费补贴]:[营销中心]],2,0),VLOOKUP(表1_11[[#This Row],[职位]],表2[],3,0))</f>
        <v>0</v>
      </c>
      <c r="S424" s="23">
        <v>200</v>
      </c>
      <c r="T424" s="61">
        <f ca="1">ROUND(SUM(表1_11[[#This Row],[基本工资]],表1_11[[#This Row],[奖金]],表1_11[[#This Row],[全勤奖]:[防暑降温补贴]]),2)</f>
        <v>5224</v>
      </c>
      <c r="U424" s="62">
        <f ca="1">ROUND(表1_11[[#This Row],[税前应发总额]]*8%,2)</f>
        <v>417.92</v>
      </c>
      <c r="V424" s="62">
        <f ca="1">ROUND(表1_11[[#This Row],[税前应发总额]]*2%+3,2)</f>
        <v>107.48</v>
      </c>
      <c r="W424" s="62">
        <f ca="1">ROUND(表1_11[[#This Row],[税前应发总额]]*0.2%,2)</f>
        <v>10.45</v>
      </c>
      <c r="X424" s="62">
        <f ca="1">ROUND(表1_11[[#This Row],[税前应发总额]]*12%,2)</f>
        <v>626.88</v>
      </c>
      <c r="Y424" s="61">
        <f ca="1">ROUND(表1_11[[#This Row],[税前应发总额]]-SUM(表1_11[[#This Row],[养老保险]:[公积金]]),2)</f>
        <v>4061.27</v>
      </c>
      <c r="Z424" s="62">
        <f ca="1">ROUND(MAX((表1_11[[#This Row],[扣保险后工资金额]]-3500)*{3,10,20,25,30,35,45}%-{0,105,555,1005,2755,5505,13505},0),2)</f>
        <v>16.84</v>
      </c>
      <c r="AA424" s="63">
        <f ca="1">表1_11[[#This Row],[扣保险后工资金额]]-表1_11[[#This Row],[个人所得税]]</f>
        <v>4044.43</v>
      </c>
      <c r="AB424" s="53">
        <v>4209.3500000000004</v>
      </c>
      <c r="AC424" s="64">
        <f ca="1">(表1_11[[#This Row],[实发工资]]-表1_11[[#This Row],[上月对比]])/表1_11[[#This Row],[上月对比]]</f>
        <v>-3.9179445757658665E-2</v>
      </c>
      <c r="AD424" s="65" t="s">
        <v>1587</v>
      </c>
    </row>
    <row r="425" spans="1:30">
      <c r="A425" s="42" t="s">
        <v>577</v>
      </c>
      <c r="B425" s="42" t="s">
        <v>809</v>
      </c>
      <c r="C425" s="40" t="s">
        <v>655</v>
      </c>
      <c r="D425" s="40" t="s">
        <v>656</v>
      </c>
      <c r="E425" s="41" t="s">
        <v>1435</v>
      </c>
      <c r="F425" s="5" t="s">
        <v>421</v>
      </c>
      <c r="G425" s="25">
        <v>41799</v>
      </c>
      <c r="H425" s="5" t="s">
        <v>618</v>
      </c>
      <c r="I425" s="5">
        <f>VLOOKUP(MID(表1_11[[#This Row],[工资等级]],1,1),表12[],MATCH(MID(表1_11[[#This Row],[工资等级]],2,2),表12[[#Headers],[1]:[10]],0)+1,0)</f>
        <v>3000</v>
      </c>
      <c r="J425" s="5">
        <v>22.5</v>
      </c>
      <c r="K425" s="27">
        <v>0.9375</v>
      </c>
      <c r="L425" s="37">
        <f>IF(表1_11[[#This Row],[出勤率]]&gt;1,1,表1_11[[#This Row],[出勤率]])*表1_11[[#This Row],[岗位工资]]</f>
        <v>2812.5</v>
      </c>
      <c r="M425" s="5">
        <f>LOOKUP(表1_11[[#This Row],[岗位工资]],表13[lookup],表13[奖金比率])*表1_11[[#This Row],[岗位工资]]</f>
        <v>300</v>
      </c>
      <c r="N425" s="5">
        <v>81</v>
      </c>
      <c r="O425" s="38">
        <f>表1_11[[#This Row],[奖金等级]]*表1_11[[#This Row],[绩效得分]]/100</f>
        <v>243</v>
      </c>
      <c r="P425" s="5">
        <f>IF(表1_11[[#This Row],[出勤率]]&gt;=1,200,0)</f>
        <v>0</v>
      </c>
      <c r="Q425" s="23">
        <f t="shared" ca="1" si="6"/>
        <v>150</v>
      </c>
      <c r="R425" s="23">
        <f>IF(表1_11[[#This Row],[中心]]="营销中心",VLOOKUP(表1_11[[#This Row],[职位]],表2[[话费补贴]:[营销中心]],2,0),VLOOKUP(表1_11[[#This Row],[职位]],表2[],3,0))</f>
        <v>0</v>
      </c>
      <c r="S425" s="23">
        <v>200</v>
      </c>
      <c r="T425" s="61">
        <f ca="1">ROUND(SUM(表1_11[[#This Row],[基本工资]],表1_11[[#This Row],[奖金]],表1_11[[#This Row],[全勤奖]:[防暑降温补贴]]),2)</f>
        <v>3405.5</v>
      </c>
      <c r="U425" s="62">
        <f ca="1">ROUND(表1_11[[#This Row],[税前应发总额]]*8%,2)</f>
        <v>272.44</v>
      </c>
      <c r="V425" s="62">
        <f ca="1">ROUND(表1_11[[#This Row],[税前应发总额]]*2%+3,2)</f>
        <v>71.11</v>
      </c>
      <c r="W425" s="62">
        <f ca="1">ROUND(表1_11[[#This Row],[税前应发总额]]*0.2%,2)</f>
        <v>6.81</v>
      </c>
      <c r="X425" s="62">
        <f ca="1">ROUND(表1_11[[#This Row],[税前应发总额]]*12%,2)</f>
        <v>408.66</v>
      </c>
      <c r="Y425" s="61">
        <f ca="1">ROUND(表1_11[[#This Row],[税前应发总额]]-SUM(表1_11[[#This Row],[养老保险]:[公积金]]),2)</f>
        <v>2646.48</v>
      </c>
      <c r="Z425" s="62">
        <f ca="1">ROUND(MAX((表1_11[[#This Row],[扣保险后工资金额]]-3500)*{3,10,20,25,30,35,45}%-{0,105,555,1005,2755,5505,13505},0),2)</f>
        <v>0</v>
      </c>
      <c r="AA425" s="63">
        <f ca="1">表1_11[[#This Row],[扣保险后工资金额]]-表1_11[[#This Row],[个人所得税]]</f>
        <v>2646.48</v>
      </c>
      <c r="AB425" s="53">
        <v>2616.16</v>
      </c>
      <c r="AC425" s="64">
        <f ca="1">(表1_11[[#This Row],[实发工资]]-表1_11[[#This Row],[上月对比]])/表1_11[[#This Row],[上月对比]]</f>
        <v>1.1589505229038042E-2</v>
      </c>
      <c r="AD425" s="65" t="s">
        <v>1587</v>
      </c>
    </row>
    <row r="426" spans="1:30">
      <c r="A426" s="42" t="s">
        <v>577</v>
      </c>
      <c r="B426" s="42" t="s">
        <v>809</v>
      </c>
      <c r="C426" s="40" t="s">
        <v>642</v>
      </c>
      <c r="D426" s="40" t="s">
        <v>643</v>
      </c>
      <c r="E426" s="41" t="s">
        <v>1436</v>
      </c>
      <c r="F426" s="5" t="s">
        <v>422</v>
      </c>
      <c r="G426" s="25">
        <v>40077</v>
      </c>
      <c r="H426" s="5" t="s">
        <v>630</v>
      </c>
      <c r="I426" s="5">
        <f>VLOOKUP(MID(表1_11[[#This Row],[工资等级]],1,1),表12[],MATCH(MID(表1_11[[#This Row],[工资等级]],2,2),表12[[#Headers],[1]:[10]],0)+1,0)</f>
        <v>2600</v>
      </c>
      <c r="J426" s="5">
        <v>21.5</v>
      </c>
      <c r="K426" s="27">
        <v>0.89583333333333337</v>
      </c>
      <c r="L426" s="37">
        <f>IF(表1_11[[#This Row],[出勤率]]&gt;1,1,表1_11[[#This Row],[出勤率]])*表1_11[[#This Row],[岗位工资]]</f>
        <v>2329.166666666667</v>
      </c>
      <c r="M426" s="5">
        <f>LOOKUP(表1_11[[#This Row],[岗位工资]],表13[lookup],表13[奖金比率])*表1_11[[#This Row],[岗位工资]]</f>
        <v>260</v>
      </c>
      <c r="N426" s="5">
        <v>91</v>
      </c>
      <c r="O426" s="38">
        <f>表1_11[[#This Row],[奖金等级]]*表1_11[[#This Row],[绩效得分]]/100</f>
        <v>236.6</v>
      </c>
      <c r="P426" s="5">
        <f>IF(表1_11[[#This Row],[出勤率]]&gt;=1,200,0)</f>
        <v>0</v>
      </c>
      <c r="Q426" s="23">
        <f t="shared" ca="1" si="6"/>
        <v>400</v>
      </c>
      <c r="R426" s="23">
        <f>IF(表1_11[[#This Row],[中心]]="营销中心",VLOOKUP(表1_11[[#This Row],[职位]],表2[[话费补贴]:[营销中心]],2,0),VLOOKUP(表1_11[[#This Row],[职位]],表2[],3,0))</f>
        <v>0</v>
      </c>
      <c r="S426" s="23">
        <v>200</v>
      </c>
      <c r="T426" s="61">
        <f ca="1">ROUND(SUM(表1_11[[#This Row],[基本工资]],表1_11[[#This Row],[奖金]],表1_11[[#This Row],[全勤奖]:[防暑降温补贴]]),2)</f>
        <v>3165.77</v>
      </c>
      <c r="U426" s="62">
        <f ca="1">ROUND(表1_11[[#This Row],[税前应发总额]]*8%,2)</f>
        <v>253.26</v>
      </c>
      <c r="V426" s="62">
        <f ca="1">ROUND(表1_11[[#This Row],[税前应发总额]]*2%+3,2)</f>
        <v>66.319999999999993</v>
      </c>
      <c r="W426" s="62">
        <f ca="1">ROUND(表1_11[[#This Row],[税前应发总额]]*0.2%,2)</f>
        <v>6.33</v>
      </c>
      <c r="X426" s="62">
        <f ca="1">ROUND(表1_11[[#This Row],[税前应发总额]]*12%,2)</f>
        <v>379.89</v>
      </c>
      <c r="Y426" s="61">
        <f ca="1">ROUND(表1_11[[#This Row],[税前应发总额]]-SUM(表1_11[[#This Row],[养老保险]:[公积金]]),2)</f>
        <v>2459.9699999999998</v>
      </c>
      <c r="Z426" s="62">
        <f ca="1">ROUND(MAX((表1_11[[#This Row],[扣保险后工资金额]]-3500)*{3,10,20,25,30,35,45}%-{0,105,555,1005,2755,5505,13505},0),2)</f>
        <v>0</v>
      </c>
      <c r="AA426" s="63">
        <f ca="1">表1_11[[#This Row],[扣保险后工资金额]]-表1_11[[#This Row],[个人所得税]]</f>
        <v>2459.9699999999998</v>
      </c>
      <c r="AB426" s="53">
        <v>2410.87</v>
      </c>
      <c r="AC426" s="64">
        <f ca="1">(表1_11[[#This Row],[实发工资]]-表1_11[[#This Row],[上月对比]])/表1_11[[#This Row],[上月对比]]</f>
        <v>2.0366091908730007E-2</v>
      </c>
      <c r="AD426" s="65" t="s">
        <v>1587</v>
      </c>
    </row>
    <row r="427" spans="1:30">
      <c r="A427" s="42" t="s">
        <v>577</v>
      </c>
      <c r="B427" s="42" t="s">
        <v>809</v>
      </c>
      <c r="C427" s="40" t="s">
        <v>787</v>
      </c>
      <c r="D427" s="40" t="s">
        <v>788</v>
      </c>
      <c r="E427" s="41" t="s">
        <v>1437</v>
      </c>
      <c r="F427" s="5" t="s">
        <v>423</v>
      </c>
      <c r="G427" s="25">
        <v>41984</v>
      </c>
      <c r="H427" s="5" t="s">
        <v>623</v>
      </c>
      <c r="I427" s="5">
        <f>VLOOKUP(MID(表1_11[[#This Row],[工资等级]],1,1),表12[],MATCH(MID(表1_11[[#This Row],[工资等级]],2,2),表12[[#Headers],[1]:[10]],0)+1,0)</f>
        <v>3800</v>
      </c>
      <c r="J427" s="5">
        <v>24</v>
      </c>
      <c r="K427" s="27">
        <v>1</v>
      </c>
      <c r="L427" s="37">
        <f>IF(表1_11[[#This Row],[出勤率]]&gt;1,1,表1_11[[#This Row],[出勤率]])*表1_11[[#This Row],[岗位工资]]</f>
        <v>3800</v>
      </c>
      <c r="M427" s="5">
        <f>LOOKUP(表1_11[[#This Row],[岗位工资]],表13[lookup],表13[奖金比率])*表1_11[[#This Row],[岗位工资]]</f>
        <v>380</v>
      </c>
      <c r="N427" s="5">
        <v>94</v>
      </c>
      <c r="O427" s="38">
        <f>表1_11[[#This Row],[奖金等级]]*表1_11[[#This Row],[绩效得分]]/100</f>
        <v>357.2</v>
      </c>
      <c r="P427" s="5">
        <f>IF(表1_11[[#This Row],[出勤率]]&gt;=1,200,0)</f>
        <v>200</v>
      </c>
      <c r="Q427" s="23">
        <f t="shared" ca="1" si="6"/>
        <v>150</v>
      </c>
      <c r="R427" s="23">
        <f>IF(表1_11[[#This Row],[中心]]="营销中心",VLOOKUP(表1_11[[#This Row],[职位]],表2[[话费补贴]:[营销中心]],2,0),VLOOKUP(表1_11[[#This Row],[职位]],表2[],3,0))</f>
        <v>0</v>
      </c>
      <c r="S427" s="23">
        <v>200</v>
      </c>
      <c r="T427" s="61">
        <f ca="1">ROUND(SUM(表1_11[[#This Row],[基本工资]],表1_11[[#This Row],[奖金]],表1_11[[#This Row],[全勤奖]:[防暑降温补贴]]),2)</f>
        <v>4707.2</v>
      </c>
      <c r="U427" s="62">
        <f ca="1">ROUND(表1_11[[#This Row],[税前应发总额]]*8%,2)</f>
        <v>376.58</v>
      </c>
      <c r="V427" s="62">
        <f ca="1">ROUND(表1_11[[#This Row],[税前应发总额]]*2%+3,2)</f>
        <v>97.14</v>
      </c>
      <c r="W427" s="62">
        <f ca="1">ROUND(表1_11[[#This Row],[税前应发总额]]*0.2%,2)</f>
        <v>9.41</v>
      </c>
      <c r="X427" s="62">
        <f ca="1">ROUND(表1_11[[#This Row],[税前应发总额]]*12%,2)</f>
        <v>564.86</v>
      </c>
      <c r="Y427" s="61">
        <f ca="1">ROUND(表1_11[[#This Row],[税前应发总额]]-SUM(表1_11[[#This Row],[养老保险]:[公积金]]),2)</f>
        <v>3659.21</v>
      </c>
      <c r="Z427" s="62">
        <f ca="1">ROUND(MAX((表1_11[[#This Row],[扣保险后工资金额]]-3500)*{3,10,20,25,30,35,45}%-{0,105,555,1005,2755,5505,13505},0),2)</f>
        <v>4.78</v>
      </c>
      <c r="AA427" s="63">
        <f ca="1">表1_11[[#This Row],[扣保险后工资金额]]-表1_11[[#This Row],[个人所得税]]</f>
        <v>3654.43</v>
      </c>
      <c r="AB427" s="53">
        <v>3680.25</v>
      </c>
      <c r="AC427" s="64">
        <f ca="1">(表1_11[[#This Row],[实发工资]]-表1_11[[#This Row],[上月对比]])/表1_11[[#This Row],[上月对比]]</f>
        <v>-7.0158277290945353E-3</v>
      </c>
      <c r="AD427" s="65" t="s">
        <v>1587</v>
      </c>
    </row>
    <row r="428" spans="1:30">
      <c r="A428" s="42" t="s">
        <v>577</v>
      </c>
      <c r="B428" s="42" t="s">
        <v>809</v>
      </c>
      <c r="C428" s="40" t="s">
        <v>711</v>
      </c>
      <c r="D428" s="40" t="s">
        <v>712</v>
      </c>
      <c r="E428" s="41" t="s">
        <v>1438</v>
      </c>
      <c r="F428" s="5" t="s">
        <v>424</v>
      </c>
      <c r="G428" s="25">
        <v>41788</v>
      </c>
      <c r="H428" s="5" t="s">
        <v>612</v>
      </c>
      <c r="I428" s="5">
        <f>VLOOKUP(MID(表1_11[[#This Row],[工资等级]],1,1),表12[],MATCH(MID(表1_11[[#This Row],[工资等级]],2,2),表12[[#Headers],[1]:[10]],0)+1,0)</f>
        <v>2700</v>
      </c>
      <c r="J428" s="5">
        <v>25</v>
      </c>
      <c r="K428" s="27">
        <v>1.0416666666666667</v>
      </c>
      <c r="L428" s="37">
        <f>IF(表1_11[[#This Row],[出勤率]]&gt;1,1,表1_11[[#This Row],[出勤率]])*表1_11[[#This Row],[岗位工资]]</f>
        <v>2700</v>
      </c>
      <c r="M428" s="5">
        <f>LOOKUP(表1_11[[#This Row],[岗位工资]],表13[lookup],表13[奖金比率])*表1_11[[#This Row],[岗位工资]]</f>
        <v>270</v>
      </c>
      <c r="N428" s="5">
        <v>96</v>
      </c>
      <c r="O428" s="38">
        <f>表1_11[[#This Row],[奖金等级]]*表1_11[[#This Row],[绩效得分]]/100</f>
        <v>259.2</v>
      </c>
      <c r="P428" s="5">
        <f>IF(表1_11[[#This Row],[出勤率]]&gt;=1,200,0)</f>
        <v>200</v>
      </c>
      <c r="Q428" s="23">
        <f t="shared" ca="1" si="6"/>
        <v>150</v>
      </c>
      <c r="R428" s="23">
        <f>IF(表1_11[[#This Row],[中心]]="营销中心",VLOOKUP(表1_11[[#This Row],[职位]],表2[[话费补贴]:[营销中心]],2,0),VLOOKUP(表1_11[[#This Row],[职位]],表2[],3,0))</f>
        <v>0</v>
      </c>
      <c r="S428" s="23">
        <v>200</v>
      </c>
      <c r="T428" s="61">
        <f ca="1">ROUND(SUM(表1_11[[#This Row],[基本工资]],表1_11[[#This Row],[奖金]],表1_11[[#This Row],[全勤奖]:[防暑降温补贴]]),2)</f>
        <v>3509.2</v>
      </c>
      <c r="U428" s="62">
        <f ca="1">ROUND(表1_11[[#This Row],[税前应发总额]]*8%,2)</f>
        <v>280.74</v>
      </c>
      <c r="V428" s="62">
        <f ca="1">ROUND(表1_11[[#This Row],[税前应发总额]]*2%+3,2)</f>
        <v>73.180000000000007</v>
      </c>
      <c r="W428" s="62">
        <f ca="1">ROUND(表1_11[[#This Row],[税前应发总额]]*0.2%,2)</f>
        <v>7.02</v>
      </c>
      <c r="X428" s="62">
        <f ca="1">ROUND(表1_11[[#This Row],[税前应发总额]]*12%,2)</f>
        <v>421.1</v>
      </c>
      <c r="Y428" s="61">
        <f ca="1">ROUND(表1_11[[#This Row],[税前应发总额]]-SUM(表1_11[[#This Row],[养老保险]:[公积金]]),2)</f>
        <v>2727.16</v>
      </c>
      <c r="Z428" s="62">
        <f ca="1">ROUND(MAX((表1_11[[#This Row],[扣保险后工资金额]]-3500)*{3,10,20,25,30,35,45}%-{0,105,555,1005,2755,5505,13505},0),2)</f>
        <v>0</v>
      </c>
      <c r="AA428" s="63">
        <f ca="1">表1_11[[#This Row],[扣保险后工资金额]]-表1_11[[#This Row],[个人所得税]]</f>
        <v>2727.16</v>
      </c>
      <c r="AB428" s="53">
        <v>3233.47</v>
      </c>
      <c r="AC428" s="64">
        <f ca="1">(表1_11[[#This Row],[实发工资]]-表1_11[[#This Row],[上月对比]])/表1_11[[#This Row],[上月对比]]</f>
        <v>-0.15658410314615567</v>
      </c>
      <c r="AD428" s="65" t="s">
        <v>1587</v>
      </c>
    </row>
    <row r="429" spans="1:30">
      <c r="A429" s="42" t="s">
        <v>577</v>
      </c>
      <c r="B429" s="42" t="s">
        <v>809</v>
      </c>
      <c r="C429" s="40" t="s">
        <v>787</v>
      </c>
      <c r="D429" s="40" t="s">
        <v>788</v>
      </c>
      <c r="E429" s="41" t="s">
        <v>1439</v>
      </c>
      <c r="F429" s="5" t="s">
        <v>425</v>
      </c>
      <c r="G429" s="25">
        <v>40659</v>
      </c>
      <c r="H429" s="5" t="s">
        <v>617</v>
      </c>
      <c r="I429" s="5">
        <f>VLOOKUP(MID(表1_11[[#This Row],[工资等级]],1,1),表12[],MATCH(MID(表1_11[[#This Row],[工资等级]],2,2),表12[[#Headers],[1]:[10]],0)+1,0)</f>
        <v>2500</v>
      </c>
      <c r="J429" s="5">
        <v>27.5</v>
      </c>
      <c r="K429" s="27">
        <v>1.1458333333333333</v>
      </c>
      <c r="L429" s="37">
        <f>IF(表1_11[[#This Row],[出勤率]]&gt;1,1,表1_11[[#This Row],[出勤率]])*表1_11[[#This Row],[岗位工资]]</f>
        <v>2500</v>
      </c>
      <c r="M429" s="5">
        <f>LOOKUP(表1_11[[#This Row],[岗位工资]],表13[lookup],表13[奖金比率])*表1_11[[#This Row],[岗位工资]]</f>
        <v>250</v>
      </c>
      <c r="N429" s="5">
        <v>99</v>
      </c>
      <c r="O429" s="38">
        <f>表1_11[[#This Row],[奖金等级]]*表1_11[[#This Row],[绩效得分]]/100</f>
        <v>247.5</v>
      </c>
      <c r="P429" s="5">
        <f>IF(表1_11[[#This Row],[出勤率]]&gt;=1,200,0)</f>
        <v>200</v>
      </c>
      <c r="Q429" s="23">
        <f t="shared" ca="1" si="6"/>
        <v>300</v>
      </c>
      <c r="R429" s="23">
        <f>IF(表1_11[[#This Row],[中心]]="营销中心",VLOOKUP(表1_11[[#This Row],[职位]],表2[[话费补贴]:[营销中心]],2,0),VLOOKUP(表1_11[[#This Row],[职位]],表2[],3,0))</f>
        <v>0</v>
      </c>
      <c r="S429" s="23">
        <v>200</v>
      </c>
      <c r="T429" s="61">
        <f ca="1">ROUND(SUM(表1_11[[#This Row],[基本工资]],表1_11[[#This Row],[奖金]],表1_11[[#This Row],[全勤奖]:[防暑降温补贴]]),2)</f>
        <v>3447.5</v>
      </c>
      <c r="U429" s="62">
        <f ca="1">ROUND(表1_11[[#This Row],[税前应发总额]]*8%,2)</f>
        <v>275.8</v>
      </c>
      <c r="V429" s="62">
        <f ca="1">ROUND(表1_11[[#This Row],[税前应发总额]]*2%+3,2)</f>
        <v>71.95</v>
      </c>
      <c r="W429" s="62">
        <f ca="1">ROUND(表1_11[[#This Row],[税前应发总额]]*0.2%,2)</f>
        <v>6.9</v>
      </c>
      <c r="X429" s="62">
        <f ca="1">ROUND(表1_11[[#This Row],[税前应发总额]]*12%,2)</f>
        <v>413.7</v>
      </c>
      <c r="Y429" s="61">
        <f ca="1">ROUND(表1_11[[#This Row],[税前应发总额]]-SUM(表1_11[[#This Row],[养老保险]:[公积金]]),2)</f>
        <v>2679.15</v>
      </c>
      <c r="Z429" s="62">
        <f ca="1">ROUND(MAX((表1_11[[#This Row],[扣保险后工资金额]]-3500)*{3,10,20,25,30,35,45}%-{0,105,555,1005,2755,5505,13505},0),2)</f>
        <v>0</v>
      </c>
      <c r="AA429" s="63">
        <f ca="1">表1_11[[#This Row],[扣保险后工资金额]]-表1_11[[#This Row],[个人所得税]]</f>
        <v>2679.15</v>
      </c>
      <c r="AB429" s="53">
        <v>2683.14</v>
      </c>
      <c r="AC429" s="64">
        <f ca="1">(表1_11[[#This Row],[实发工资]]-表1_11[[#This Row],[上月对比]])/表1_11[[#This Row],[上月对比]]</f>
        <v>-1.4870636642142349E-3</v>
      </c>
      <c r="AD429" s="65" t="s">
        <v>1587</v>
      </c>
    </row>
    <row r="430" spans="1:30">
      <c r="A430" s="42" t="s">
        <v>577</v>
      </c>
      <c r="B430" s="42" t="s">
        <v>809</v>
      </c>
      <c r="C430" s="40" t="s">
        <v>820</v>
      </c>
      <c r="D430" s="40" t="s">
        <v>821</v>
      </c>
      <c r="E430" s="41" t="s">
        <v>1440</v>
      </c>
      <c r="F430" s="5" t="s">
        <v>426</v>
      </c>
      <c r="G430" s="25">
        <v>39324</v>
      </c>
      <c r="H430" s="5" t="s">
        <v>618</v>
      </c>
      <c r="I430" s="5">
        <f>VLOOKUP(MID(表1_11[[#This Row],[工资等级]],1,1),表12[],MATCH(MID(表1_11[[#This Row],[工资等级]],2,2),表12[[#Headers],[1]:[10]],0)+1,0)</f>
        <v>3000</v>
      </c>
      <c r="J430" s="5">
        <v>27.5</v>
      </c>
      <c r="K430" s="27">
        <v>1.1458333333333333</v>
      </c>
      <c r="L430" s="37">
        <f>IF(表1_11[[#This Row],[出勤率]]&gt;1,1,表1_11[[#This Row],[出勤率]])*表1_11[[#This Row],[岗位工资]]</f>
        <v>3000</v>
      </c>
      <c r="M430" s="5">
        <f>LOOKUP(表1_11[[#This Row],[岗位工资]],表13[lookup],表13[奖金比率])*表1_11[[#This Row],[岗位工资]]</f>
        <v>300</v>
      </c>
      <c r="N430" s="5">
        <v>87</v>
      </c>
      <c r="O430" s="38">
        <f>表1_11[[#This Row],[奖金等级]]*表1_11[[#This Row],[绩效得分]]/100</f>
        <v>261</v>
      </c>
      <c r="P430" s="5">
        <f>IF(表1_11[[#This Row],[出勤率]]&gt;=1,200,0)</f>
        <v>200</v>
      </c>
      <c r="Q430" s="23">
        <f t="shared" ca="1" si="6"/>
        <v>500</v>
      </c>
      <c r="R430" s="23">
        <f>IF(表1_11[[#This Row],[中心]]="营销中心",VLOOKUP(表1_11[[#This Row],[职位]],表2[[话费补贴]:[营销中心]],2,0),VLOOKUP(表1_11[[#This Row],[职位]],表2[],3,0))</f>
        <v>0</v>
      </c>
      <c r="S430" s="23">
        <v>200</v>
      </c>
      <c r="T430" s="61">
        <f ca="1">ROUND(SUM(表1_11[[#This Row],[基本工资]],表1_11[[#This Row],[奖金]],表1_11[[#This Row],[全勤奖]:[防暑降温补贴]]),2)</f>
        <v>4161</v>
      </c>
      <c r="U430" s="62">
        <f ca="1">ROUND(表1_11[[#This Row],[税前应发总额]]*8%,2)</f>
        <v>332.88</v>
      </c>
      <c r="V430" s="62">
        <f ca="1">ROUND(表1_11[[#This Row],[税前应发总额]]*2%+3,2)</f>
        <v>86.22</v>
      </c>
      <c r="W430" s="62">
        <f ca="1">ROUND(表1_11[[#This Row],[税前应发总额]]*0.2%,2)</f>
        <v>8.32</v>
      </c>
      <c r="X430" s="62">
        <f ca="1">ROUND(表1_11[[#This Row],[税前应发总额]]*12%,2)</f>
        <v>499.32</v>
      </c>
      <c r="Y430" s="61">
        <f ca="1">ROUND(表1_11[[#This Row],[税前应发总额]]-SUM(表1_11[[#This Row],[养老保险]:[公积金]]),2)</f>
        <v>3234.26</v>
      </c>
      <c r="Z430" s="62">
        <f ca="1">ROUND(MAX((表1_11[[#This Row],[扣保险后工资金额]]-3500)*{3,10,20,25,30,35,45}%-{0,105,555,1005,2755,5505,13505},0),2)</f>
        <v>0</v>
      </c>
      <c r="AA430" s="63">
        <f ca="1">表1_11[[#This Row],[扣保险后工资金额]]-表1_11[[#This Row],[个人所得税]]</f>
        <v>3234.26</v>
      </c>
      <c r="AB430" s="53">
        <v>2702.17</v>
      </c>
      <c r="AC430" s="64">
        <f ca="1">(表1_11[[#This Row],[实发工资]]-表1_11[[#This Row],[上月对比]])/表1_11[[#This Row],[上月对比]]</f>
        <v>0.19691211137715248</v>
      </c>
      <c r="AD430" s="65" t="s">
        <v>1587</v>
      </c>
    </row>
    <row r="431" spans="1:30">
      <c r="A431" s="42" t="s">
        <v>577</v>
      </c>
      <c r="B431" s="42" t="s">
        <v>809</v>
      </c>
      <c r="C431" s="40" t="s">
        <v>793</v>
      </c>
      <c r="D431" s="40" t="s">
        <v>794</v>
      </c>
      <c r="E431" s="41" t="s">
        <v>1441</v>
      </c>
      <c r="F431" s="5" t="s">
        <v>427</v>
      </c>
      <c r="G431" s="25">
        <v>41438</v>
      </c>
      <c r="H431" s="5" t="s">
        <v>622</v>
      </c>
      <c r="I431" s="5">
        <f>VLOOKUP(MID(表1_11[[#This Row],[工资等级]],1,1),表12[],MATCH(MID(表1_11[[#This Row],[工资等级]],2,2),表12[[#Headers],[1]:[10]],0)+1,0)</f>
        <v>3600</v>
      </c>
      <c r="J431" s="5">
        <v>22.5</v>
      </c>
      <c r="K431" s="27">
        <v>0.9375</v>
      </c>
      <c r="L431" s="37">
        <f>IF(表1_11[[#This Row],[出勤率]]&gt;1,1,表1_11[[#This Row],[出勤率]])*表1_11[[#This Row],[岗位工资]]</f>
        <v>3375</v>
      </c>
      <c r="M431" s="5">
        <f>LOOKUP(表1_11[[#This Row],[岗位工资]],表13[lookup],表13[奖金比率])*表1_11[[#This Row],[岗位工资]]</f>
        <v>360</v>
      </c>
      <c r="N431" s="5">
        <v>83</v>
      </c>
      <c r="O431" s="38">
        <f>表1_11[[#This Row],[奖金等级]]*表1_11[[#This Row],[绩效得分]]/100</f>
        <v>298.8</v>
      </c>
      <c r="P431" s="5">
        <f>IF(表1_11[[#This Row],[出勤率]]&gt;=1,200,0)</f>
        <v>0</v>
      </c>
      <c r="Q431" s="23">
        <f t="shared" ca="1" si="6"/>
        <v>200</v>
      </c>
      <c r="R431" s="23">
        <f>IF(表1_11[[#This Row],[中心]]="营销中心",VLOOKUP(表1_11[[#This Row],[职位]],表2[[话费补贴]:[营销中心]],2,0),VLOOKUP(表1_11[[#This Row],[职位]],表2[],3,0))</f>
        <v>0</v>
      </c>
      <c r="S431" s="23">
        <v>200</v>
      </c>
      <c r="T431" s="61">
        <f ca="1">ROUND(SUM(表1_11[[#This Row],[基本工资]],表1_11[[#This Row],[奖金]],表1_11[[#This Row],[全勤奖]:[防暑降温补贴]]),2)</f>
        <v>4073.8</v>
      </c>
      <c r="U431" s="62">
        <f ca="1">ROUND(表1_11[[#This Row],[税前应发总额]]*8%,2)</f>
        <v>325.89999999999998</v>
      </c>
      <c r="V431" s="62">
        <f ca="1">ROUND(表1_11[[#This Row],[税前应发总额]]*2%+3,2)</f>
        <v>84.48</v>
      </c>
      <c r="W431" s="62">
        <f ca="1">ROUND(表1_11[[#This Row],[税前应发总额]]*0.2%,2)</f>
        <v>8.15</v>
      </c>
      <c r="X431" s="62">
        <f ca="1">ROUND(表1_11[[#This Row],[税前应发总额]]*12%,2)</f>
        <v>488.86</v>
      </c>
      <c r="Y431" s="61">
        <f ca="1">ROUND(表1_11[[#This Row],[税前应发总额]]-SUM(表1_11[[#This Row],[养老保险]:[公积金]]),2)</f>
        <v>3166.41</v>
      </c>
      <c r="Z431" s="62">
        <f ca="1">ROUND(MAX((表1_11[[#This Row],[扣保险后工资金额]]-3500)*{3,10,20,25,30,35,45}%-{0,105,555,1005,2755,5505,13505},0),2)</f>
        <v>0</v>
      </c>
      <c r="AA431" s="63">
        <f ca="1">表1_11[[#This Row],[扣保险后工资金额]]-表1_11[[#This Row],[个人所得税]]</f>
        <v>3166.41</v>
      </c>
      <c r="AB431" s="53">
        <v>3218.63</v>
      </c>
      <c r="AC431" s="64">
        <f ca="1">(表1_11[[#This Row],[实发工资]]-表1_11[[#This Row],[上月对比]])/表1_11[[#This Row],[上月对比]]</f>
        <v>-1.6224294187278516E-2</v>
      </c>
      <c r="AD431" s="65" t="s">
        <v>1587</v>
      </c>
    </row>
    <row r="432" spans="1:30">
      <c r="A432" s="42" t="s">
        <v>577</v>
      </c>
      <c r="B432" s="42" t="s">
        <v>809</v>
      </c>
      <c r="C432" s="40" t="s">
        <v>655</v>
      </c>
      <c r="D432" s="40" t="s">
        <v>656</v>
      </c>
      <c r="E432" s="41" t="s">
        <v>1442</v>
      </c>
      <c r="F432" s="5" t="s">
        <v>428</v>
      </c>
      <c r="G432" s="25">
        <v>42210</v>
      </c>
      <c r="H432" s="5" t="s">
        <v>612</v>
      </c>
      <c r="I432" s="5">
        <f>VLOOKUP(MID(表1_11[[#This Row],[工资等级]],1,1),表12[],MATCH(MID(表1_11[[#This Row],[工资等级]],2,2),表12[[#Headers],[1]:[10]],0)+1,0)</f>
        <v>2700</v>
      </c>
      <c r="J432" s="5">
        <v>25.5</v>
      </c>
      <c r="K432" s="27">
        <v>1.0625</v>
      </c>
      <c r="L432" s="37">
        <f>IF(表1_11[[#This Row],[出勤率]]&gt;1,1,表1_11[[#This Row],[出勤率]])*表1_11[[#This Row],[岗位工资]]</f>
        <v>2700</v>
      </c>
      <c r="M432" s="5">
        <f>LOOKUP(表1_11[[#This Row],[岗位工资]],表13[lookup],表13[奖金比率])*表1_11[[#This Row],[岗位工资]]</f>
        <v>270</v>
      </c>
      <c r="N432" s="5">
        <v>92</v>
      </c>
      <c r="O432" s="38">
        <f>表1_11[[#This Row],[奖金等级]]*表1_11[[#This Row],[绩效得分]]/100</f>
        <v>248.4</v>
      </c>
      <c r="P432" s="5">
        <f>IF(表1_11[[#This Row],[出勤率]]&gt;=1,200,0)</f>
        <v>200</v>
      </c>
      <c r="Q432" s="23">
        <f t="shared" ca="1" si="6"/>
        <v>100</v>
      </c>
      <c r="R432" s="23">
        <f>IF(表1_11[[#This Row],[中心]]="营销中心",VLOOKUP(表1_11[[#This Row],[职位]],表2[[话费补贴]:[营销中心]],2,0),VLOOKUP(表1_11[[#This Row],[职位]],表2[],3,0))</f>
        <v>0</v>
      </c>
      <c r="S432" s="23">
        <v>200</v>
      </c>
      <c r="T432" s="61">
        <f ca="1">ROUND(SUM(表1_11[[#This Row],[基本工资]],表1_11[[#This Row],[奖金]],表1_11[[#This Row],[全勤奖]:[防暑降温补贴]]),2)</f>
        <v>3448.4</v>
      </c>
      <c r="U432" s="62">
        <f ca="1">ROUND(表1_11[[#This Row],[税前应发总额]]*8%,2)</f>
        <v>275.87</v>
      </c>
      <c r="V432" s="62">
        <f ca="1">ROUND(表1_11[[#This Row],[税前应发总额]]*2%+3,2)</f>
        <v>71.97</v>
      </c>
      <c r="W432" s="62">
        <f ca="1">ROUND(表1_11[[#This Row],[税前应发总额]]*0.2%,2)</f>
        <v>6.9</v>
      </c>
      <c r="X432" s="62">
        <f ca="1">ROUND(表1_11[[#This Row],[税前应发总额]]*12%,2)</f>
        <v>413.81</v>
      </c>
      <c r="Y432" s="61">
        <f ca="1">ROUND(表1_11[[#This Row],[税前应发总额]]-SUM(表1_11[[#This Row],[养老保险]:[公积金]]),2)</f>
        <v>2679.85</v>
      </c>
      <c r="Z432" s="62">
        <f ca="1">ROUND(MAX((表1_11[[#This Row],[扣保险后工资金额]]-3500)*{3,10,20,25,30,35,45}%-{0,105,555,1005,2755,5505,13505},0),2)</f>
        <v>0</v>
      </c>
      <c r="AA432" s="63">
        <f ca="1">表1_11[[#This Row],[扣保险后工资金额]]-表1_11[[#This Row],[个人所得税]]</f>
        <v>2679.85</v>
      </c>
      <c r="AB432" s="53">
        <v>2478.5500000000002</v>
      </c>
      <c r="AC432" s="64">
        <f ca="1">(表1_11[[#This Row],[实发工资]]-表1_11[[#This Row],[上月对比]])/表1_11[[#This Row],[上月对比]]</f>
        <v>8.121684049141624E-2</v>
      </c>
      <c r="AD432" s="65" t="s">
        <v>1587</v>
      </c>
    </row>
    <row r="433" spans="1:30">
      <c r="A433" s="42" t="s">
        <v>577</v>
      </c>
      <c r="B433" s="42" t="s">
        <v>809</v>
      </c>
      <c r="C433" s="40" t="s">
        <v>691</v>
      </c>
      <c r="D433" s="40" t="s">
        <v>692</v>
      </c>
      <c r="E433" s="41" t="s">
        <v>1443</v>
      </c>
      <c r="F433" s="5" t="s">
        <v>429</v>
      </c>
      <c r="G433" s="25">
        <v>40091</v>
      </c>
      <c r="H433" s="5" t="s">
        <v>623</v>
      </c>
      <c r="I433" s="5">
        <f>VLOOKUP(MID(表1_11[[#This Row],[工资等级]],1,1),表12[],MATCH(MID(表1_11[[#This Row],[工资等级]],2,2),表12[[#Headers],[1]:[10]],0)+1,0)</f>
        <v>3800</v>
      </c>
      <c r="J433" s="5">
        <v>22</v>
      </c>
      <c r="K433" s="27">
        <v>0.91666666666666663</v>
      </c>
      <c r="L433" s="37">
        <f>IF(表1_11[[#This Row],[出勤率]]&gt;1,1,表1_11[[#This Row],[出勤率]])*表1_11[[#This Row],[岗位工资]]</f>
        <v>3483.333333333333</v>
      </c>
      <c r="M433" s="5">
        <f>LOOKUP(表1_11[[#This Row],[岗位工资]],表13[lookup],表13[奖金比率])*表1_11[[#This Row],[岗位工资]]</f>
        <v>380</v>
      </c>
      <c r="N433" s="5">
        <v>93</v>
      </c>
      <c r="O433" s="38">
        <f>表1_11[[#This Row],[奖金等级]]*表1_11[[#This Row],[绩效得分]]/100</f>
        <v>353.4</v>
      </c>
      <c r="P433" s="5">
        <f>IF(表1_11[[#This Row],[出勤率]]&gt;=1,200,0)</f>
        <v>0</v>
      </c>
      <c r="Q433" s="23">
        <f t="shared" ca="1" si="6"/>
        <v>400</v>
      </c>
      <c r="R433" s="23">
        <f>IF(表1_11[[#This Row],[中心]]="营销中心",VLOOKUP(表1_11[[#This Row],[职位]],表2[[话费补贴]:[营销中心]],2,0),VLOOKUP(表1_11[[#This Row],[职位]],表2[],3,0))</f>
        <v>0</v>
      </c>
      <c r="S433" s="23">
        <v>200</v>
      </c>
      <c r="T433" s="61">
        <f ca="1">ROUND(SUM(表1_11[[#This Row],[基本工资]],表1_11[[#This Row],[奖金]],表1_11[[#This Row],[全勤奖]:[防暑降温补贴]]),2)</f>
        <v>4436.7299999999996</v>
      </c>
      <c r="U433" s="62">
        <f ca="1">ROUND(表1_11[[#This Row],[税前应发总额]]*8%,2)</f>
        <v>354.94</v>
      </c>
      <c r="V433" s="62">
        <f ca="1">ROUND(表1_11[[#This Row],[税前应发总额]]*2%+3,2)</f>
        <v>91.73</v>
      </c>
      <c r="W433" s="62">
        <f ca="1">ROUND(表1_11[[#This Row],[税前应发总额]]*0.2%,2)</f>
        <v>8.8699999999999992</v>
      </c>
      <c r="X433" s="62">
        <f ca="1">ROUND(表1_11[[#This Row],[税前应发总额]]*12%,2)</f>
        <v>532.41</v>
      </c>
      <c r="Y433" s="61">
        <f ca="1">ROUND(表1_11[[#This Row],[税前应发总额]]-SUM(表1_11[[#This Row],[养老保险]:[公积金]]),2)</f>
        <v>3448.78</v>
      </c>
      <c r="Z433" s="62">
        <f ca="1">ROUND(MAX((表1_11[[#This Row],[扣保险后工资金额]]-3500)*{3,10,20,25,30,35,45}%-{0,105,555,1005,2755,5505,13505},0),2)</f>
        <v>0</v>
      </c>
      <c r="AA433" s="63">
        <f ca="1">表1_11[[#This Row],[扣保险后工资金额]]-表1_11[[#This Row],[个人所得税]]</f>
        <v>3448.78</v>
      </c>
      <c r="AB433" s="53">
        <v>3055.58</v>
      </c>
      <c r="AC433" s="64">
        <f ca="1">(表1_11[[#This Row],[实发工资]]-表1_11[[#This Row],[上月对比]])/表1_11[[#This Row],[上月对比]]</f>
        <v>0.12868260690278124</v>
      </c>
      <c r="AD433" s="65" t="s">
        <v>1587</v>
      </c>
    </row>
    <row r="434" spans="1:30">
      <c r="A434" s="42" t="s">
        <v>577</v>
      </c>
      <c r="B434" s="42" t="s">
        <v>809</v>
      </c>
      <c r="C434" s="40" t="s">
        <v>787</v>
      </c>
      <c r="D434" s="40" t="s">
        <v>788</v>
      </c>
      <c r="E434" s="41" t="s">
        <v>1444</v>
      </c>
      <c r="F434" s="5" t="s">
        <v>430</v>
      </c>
      <c r="G434" s="25">
        <v>41429</v>
      </c>
      <c r="H434" s="5" t="s">
        <v>610</v>
      </c>
      <c r="I434" s="5">
        <f>VLOOKUP(MID(表1_11[[#This Row],[工资等级]],1,1),表12[],MATCH(MID(表1_11[[#This Row],[工资等级]],2,2),表12[[#Headers],[1]:[10]],0)+1,0)</f>
        <v>3400</v>
      </c>
      <c r="J434" s="5">
        <v>24.5</v>
      </c>
      <c r="K434" s="27">
        <v>1.0208333333333333</v>
      </c>
      <c r="L434" s="37">
        <f>IF(表1_11[[#This Row],[出勤率]]&gt;1,1,表1_11[[#This Row],[出勤率]])*表1_11[[#This Row],[岗位工资]]</f>
        <v>3400</v>
      </c>
      <c r="M434" s="5">
        <f>LOOKUP(表1_11[[#This Row],[岗位工资]],表13[lookup],表13[奖金比率])*表1_11[[#This Row],[岗位工资]]</f>
        <v>340</v>
      </c>
      <c r="N434" s="5">
        <v>86</v>
      </c>
      <c r="O434" s="38">
        <f>表1_11[[#This Row],[奖金等级]]*表1_11[[#This Row],[绩效得分]]/100</f>
        <v>292.39999999999998</v>
      </c>
      <c r="P434" s="5">
        <f>IF(表1_11[[#This Row],[出勤率]]&gt;=1,200,0)</f>
        <v>200</v>
      </c>
      <c r="Q434" s="23">
        <f t="shared" ca="1" si="6"/>
        <v>200</v>
      </c>
      <c r="R434" s="23">
        <f>IF(表1_11[[#This Row],[中心]]="营销中心",VLOOKUP(表1_11[[#This Row],[职位]],表2[[话费补贴]:[营销中心]],2,0),VLOOKUP(表1_11[[#This Row],[职位]],表2[],3,0))</f>
        <v>0</v>
      </c>
      <c r="S434" s="23">
        <v>200</v>
      </c>
      <c r="T434" s="61">
        <f ca="1">ROUND(SUM(表1_11[[#This Row],[基本工资]],表1_11[[#This Row],[奖金]],表1_11[[#This Row],[全勤奖]:[防暑降温补贴]]),2)</f>
        <v>4292.3999999999996</v>
      </c>
      <c r="U434" s="62">
        <f ca="1">ROUND(表1_11[[#This Row],[税前应发总额]]*8%,2)</f>
        <v>343.39</v>
      </c>
      <c r="V434" s="62">
        <f ca="1">ROUND(表1_11[[#This Row],[税前应发总额]]*2%+3,2)</f>
        <v>88.85</v>
      </c>
      <c r="W434" s="62">
        <f ca="1">ROUND(表1_11[[#This Row],[税前应发总额]]*0.2%,2)</f>
        <v>8.58</v>
      </c>
      <c r="X434" s="62">
        <f ca="1">ROUND(表1_11[[#This Row],[税前应发总额]]*12%,2)</f>
        <v>515.09</v>
      </c>
      <c r="Y434" s="61">
        <f ca="1">ROUND(表1_11[[#This Row],[税前应发总额]]-SUM(表1_11[[#This Row],[养老保险]:[公积金]]),2)</f>
        <v>3336.49</v>
      </c>
      <c r="Z434" s="62">
        <f ca="1">ROUND(MAX((表1_11[[#This Row],[扣保险后工资金额]]-3500)*{3,10,20,25,30,35,45}%-{0,105,555,1005,2755,5505,13505},0),2)</f>
        <v>0</v>
      </c>
      <c r="AA434" s="63">
        <f ca="1">表1_11[[#This Row],[扣保险后工资金额]]-表1_11[[#This Row],[个人所得税]]</f>
        <v>3336.49</v>
      </c>
      <c r="AB434" s="53">
        <v>3839.61</v>
      </c>
      <c r="AC434" s="64">
        <f ca="1">(表1_11[[#This Row],[实发工资]]-表1_11[[#This Row],[上月对比]])/表1_11[[#This Row],[上月对比]]</f>
        <v>-0.13103414148832832</v>
      </c>
      <c r="AD434" s="65" t="s">
        <v>1587</v>
      </c>
    </row>
    <row r="435" spans="1:30">
      <c r="A435" s="42" t="s">
        <v>577</v>
      </c>
      <c r="B435" s="42" t="s">
        <v>809</v>
      </c>
      <c r="C435" s="40" t="s">
        <v>711</v>
      </c>
      <c r="D435" s="40" t="s">
        <v>712</v>
      </c>
      <c r="E435" s="41" t="s">
        <v>1445</v>
      </c>
      <c r="F435" s="5" t="s">
        <v>431</v>
      </c>
      <c r="G435" s="25">
        <v>38925</v>
      </c>
      <c r="H435" s="5" t="s">
        <v>617</v>
      </c>
      <c r="I435" s="5">
        <f>VLOOKUP(MID(表1_11[[#This Row],[工资等级]],1,1),表12[],MATCH(MID(表1_11[[#This Row],[工资等级]],2,2),表12[[#Headers],[1]:[10]],0)+1,0)</f>
        <v>2500</v>
      </c>
      <c r="J435" s="5">
        <v>21.5</v>
      </c>
      <c r="K435" s="27">
        <v>0.89583333333333337</v>
      </c>
      <c r="L435" s="37">
        <f>IF(表1_11[[#This Row],[出勤率]]&gt;1,1,表1_11[[#This Row],[出勤率]])*表1_11[[#This Row],[岗位工资]]</f>
        <v>2239.5833333333335</v>
      </c>
      <c r="M435" s="5">
        <f>LOOKUP(表1_11[[#This Row],[岗位工资]],表13[lookup],表13[奖金比率])*表1_11[[#This Row],[岗位工资]]</f>
        <v>250</v>
      </c>
      <c r="N435" s="5">
        <v>86</v>
      </c>
      <c r="O435" s="38">
        <f>表1_11[[#This Row],[奖金等级]]*表1_11[[#This Row],[绩效得分]]/100</f>
        <v>215</v>
      </c>
      <c r="P435" s="5">
        <f>IF(表1_11[[#This Row],[出勤率]]&gt;=1,200,0)</f>
        <v>0</v>
      </c>
      <c r="Q435" s="23">
        <f t="shared" ca="1" si="6"/>
        <v>500</v>
      </c>
      <c r="R435" s="23">
        <f>IF(表1_11[[#This Row],[中心]]="营销中心",VLOOKUP(表1_11[[#This Row],[职位]],表2[[话费补贴]:[营销中心]],2,0),VLOOKUP(表1_11[[#This Row],[职位]],表2[],3,0))</f>
        <v>0</v>
      </c>
      <c r="S435" s="23">
        <v>200</v>
      </c>
      <c r="T435" s="61">
        <f ca="1">ROUND(SUM(表1_11[[#This Row],[基本工资]],表1_11[[#This Row],[奖金]],表1_11[[#This Row],[全勤奖]:[防暑降温补贴]]),2)</f>
        <v>3154.58</v>
      </c>
      <c r="U435" s="62">
        <f ca="1">ROUND(表1_11[[#This Row],[税前应发总额]]*8%,2)</f>
        <v>252.37</v>
      </c>
      <c r="V435" s="62">
        <f ca="1">ROUND(表1_11[[#This Row],[税前应发总额]]*2%+3,2)</f>
        <v>66.09</v>
      </c>
      <c r="W435" s="62">
        <f ca="1">ROUND(表1_11[[#This Row],[税前应发总额]]*0.2%,2)</f>
        <v>6.31</v>
      </c>
      <c r="X435" s="62">
        <f ca="1">ROUND(表1_11[[#This Row],[税前应发总额]]*12%,2)</f>
        <v>378.55</v>
      </c>
      <c r="Y435" s="61">
        <f ca="1">ROUND(表1_11[[#This Row],[税前应发总额]]-SUM(表1_11[[#This Row],[养老保险]:[公积金]]),2)</f>
        <v>2451.2600000000002</v>
      </c>
      <c r="Z435" s="62">
        <f ca="1">ROUND(MAX((表1_11[[#This Row],[扣保险后工资金额]]-3500)*{3,10,20,25,30,35,45}%-{0,105,555,1005,2755,5505,13505},0),2)</f>
        <v>0</v>
      </c>
      <c r="AA435" s="63">
        <f ca="1">表1_11[[#This Row],[扣保险后工资金额]]-表1_11[[#This Row],[个人所得税]]</f>
        <v>2451.2600000000002</v>
      </c>
      <c r="AB435" s="53">
        <v>2479.6999999999998</v>
      </c>
      <c r="AC435" s="64">
        <f ca="1">(表1_11[[#This Row],[实发工资]]-表1_11[[#This Row],[上月对比]])/表1_11[[#This Row],[上月对比]]</f>
        <v>-1.1469129330160746E-2</v>
      </c>
      <c r="AD435" s="65" t="s">
        <v>1587</v>
      </c>
    </row>
    <row r="436" spans="1:30">
      <c r="A436" s="42" t="s">
        <v>577</v>
      </c>
      <c r="B436" s="42" t="s">
        <v>809</v>
      </c>
      <c r="C436" s="40" t="s">
        <v>787</v>
      </c>
      <c r="D436" s="40" t="s">
        <v>788</v>
      </c>
      <c r="E436" s="41" t="s">
        <v>1446</v>
      </c>
      <c r="F436" s="5" t="s">
        <v>432</v>
      </c>
      <c r="G436" s="25">
        <v>38690</v>
      </c>
      <c r="H436" s="5" t="s">
        <v>610</v>
      </c>
      <c r="I436" s="5">
        <f>VLOOKUP(MID(表1_11[[#This Row],[工资等级]],1,1),表12[],MATCH(MID(表1_11[[#This Row],[工资等级]],2,2),表12[[#Headers],[1]:[10]],0)+1,0)</f>
        <v>3400</v>
      </c>
      <c r="J436" s="5">
        <v>25.5</v>
      </c>
      <c r="K436" s="27">
        <v>1.0625</v>
      </c>
      <c r="L436" s="37">
        <f>IF(表1_11[[#This Row],[出勤率]]&gt;1,1,表1_11[[#This Row],[出勤率]])*表1_11[[#This Row],[岗位工资]]</f>
        <v>3400</v>
      </c>
      <c r="M436" s="5">
        <f>LOOKUP(表1_11[[#This Row],[岗位工资]],表13[lookup],表13[奖金比率])*表1_11[[#This Row],[岗位工资]]</f>
        <v>340</v>
      </c>
      <c r="N436" s="5">
        <v>98</v>
      </c>
      <c r="O436" s="38">
        <f>表1_11[[#This Row],[奖金等级]]*表1_11[[#This Row],[绩效得分]]/100</f>
        <v>333.2</v>
      </c>
      <c r="P436" s="5">
        <f>IF(表1_11[[#This Row],[出勤率]]&gt;=1,200,0)</f>
        <v>200</v>
      </c>
      <c r="Q436" s="23">
        <f t="shared" ca="1" si="6"/>
        <v>500</v>
      </c>
      <c r="R436" s="23">
        <f>IF(表1_11[[#This Row],[中心]]="营销中心",VLOOKUP(表1_11[[#This Row],[职位]],表2[[话费补贴]:[营销中心]],2,0),VLOOKUP(表1_11[[#This Row],[职位]],表2[],3,0))</f>
        <v>0</v>
      </c>
      <c r="S436" s="23">
        <v>200</v>
      </c>
      <c r="T436" s="61">
        <f ca="1">ROUND(SUM(表1_11[[#This Row],[基本工资]],表1_11[[#This Row],[奖金]],表1_11[[#This Row],[全勤奖]:[防暑降温补贴]]),2)</f>
        <v>4633.2</v>
      </c>
      <c r="U436" s="62">
        <f ca="1">ROUND(表1_11[[#This Row],[税前应发总额]]*8%,2)</f>
        <v>370.66</v>
      </c>
      <c r="V436" s="62">
        <f ca="1">ROUND(表1_11[[#This Row],[税前应发总额]]*2%+3,2)</f>
        <v>95.66</v>
      </c>
      <c r="W436" s="62">
        <f ca="1">ROUND(表1_11[[#This Row],[税前应发总额]]*0.2%,2)</f>
        <v>9.27</v>
      </c>
      <c r="X436" s="62">
        <f ca="1">ROUND(表1_11[[#This Row],[税前应发总额]]*12%,2)</f>
        <v>555.98</v>
      </c>
      <c r="Y436" s="61">
        <f ca="1">ROUND(表1_11[[#This Row],[税前应发总额]]-SUM(表1_11[[#This Row],[养老保险]:[公积金]]),2)</f>
        <v>3601.63</v>
      </c>
      <c r="Z436" s="62">
        <f ca="1">ROUND(MAX((表1_11[[#This Row],[扣保险后工资金额]]-3500)*{3,10,20,25,30,35,45}%-{0,105,555,1005,2755,5505,13505},0),2)</f>
        <v>3.05</v>
      </c>
      <c r="AA436" s="63">
        <f ca="1">表1_11[[#This Row],[扣保险后工资金额]]-表1_11[[#This Row],[个人所得税]]</f>
        <v>3598.58</v>
      </c>
      <c r="AB436" s="53">
        <v>3914.06</v>
      </c>
      <c r="AC436" s="64">
        <f ca="1">(表1_11[[#This Row],[实发工资]]-表1_11[[#This Row],[上月对比]])/表1_11[[#This Row],[上月对比]]</f>
        <v>-8.0601728128848318E-2</v>
      </c>
      <c r="AD436" s="65" t="s">
        <v>1587</v>
      </c>
    </row>
    <row r="437" spans="1:30">
      <c r="A437" s="42" t="s">
        <v>577</v>
      </c>
      <c r="B437" s="42" t="s">
        <v>809</v>
      </c>
      <c r="C437" s="40" t="s">
        <v>820</v>
      </c>
      <c r="D437" s="40" t="s">
        <v>821</v>
      </c>
      <c r="E437" s="41" t="s">
        <v>1447</v>
      </c>
      <c r="F437" s="5" t="s">
        <v>433</v>
      </c>
      <c r="G437" s="25">
        <v>40530</v>
      </c>
      <c r="H437" s="5" t="s">
        <v>622</v>
      </c>
      <c r="I437" s="5">
        <f>VLOOKUP(MID(表1_11[[#This Row],[工资等级]],1,1),表12[],MATCH(MID(表1_11[[#This Row],[工资等级]],2,2),表12[[#Headers],[1]:[10]],0)+1,0)</f>
        <v>3600</v>
      </c>
      <c r="J437" s="5">
        <v>26.5</v>
      </c>
      <c r="K437" s="27">
        <v>1.1041666666666667</v>
      </c>
      <c r="L437" s="37">
        <f>IF(表1_11[[#This Row],[出勤率]]&gt;1,1,表1_11[[#This Row],[出勤率]])*表1_11[[#This Row],[岗位工资]]</f>
        <v>3600</v>
      </c>
      <c r="M437" s="5">
        <f>LOOKUP(表1_11[[#This Row],[岗位工资]],表13[lookup],表13[奖金比率])*表1_11[[#This Row],[岗位工资]]</f>
        <v>360</v>
      </c>
      <c r="N437" s="5">
        <v>93</v>
      </c>
      <c r="O437" s="38">
        <f>表1_11[[#This Row],[奖金等级]]*表1_11[[#This Row],[绩效得分]]/100</f>
        <v>334.8</v>
      </c>
      <c r="P437" s="5">
        <f>IF(表1_11[[#This Row],[出勤率]]&gt;=1,200,0)</f>
        <v>200</v>
      </c>
      <c r="Q437" s="23">
        <f t="shared" ca="1" si="6"/>
        <v>350</v>
      </c>
      <c r="R437" s="23">
        <f>IF(表1_11[[#This Row],[中心]]="营销中心",VLOOKUP(表1_11[[#This Row],[职位]],表2[[话费补贴]:[营销中心]],2,0),VLOOKUP(表1_11[[#This Row],[职位]],表2[],3,0))</f>
        <v>0</v>
      </c>
      <c r="S437" s="23">
        <v>200</v>
      </c>
      <c r="T437" s="61">
        <f ca="1">ROUND(SUM(表1_11[[#This Row],[基本工资]],表1_11[[#This Row],[奖金]],表1_11[[#This Row],[全勤奖]:[防暑降温补贴]]),2)</f>
        <v>4684.8</v>
      </c>
      <c r="U437" s="62">
        <f ca="1">ROUND(表1_11[[#This Row],[税前应发总额]]*8%,2)</f>
        <v>374.78</v>
      </c>
      <c r="V437" s="62">
        <f ca="1">ROUND(表1_11[[#This Row],[税前应发总额]]*2%+3,2)</f>
        <v>96.7</v>
      </c>
      <c r="W437" s="62">
        <f ca="1">ROUND(表1_11[[#This Row],[税前应发总额]]*0.2%,2)</f>
        <v>9.3699999999999992</v>
      </c>
      <c r="X437" s="62">
        <f ca="1">ROUND(表1_11[[#This Row],[税前应发总额]]*12%,2)</f>
        <v>562.17999999999995</v>
      </c>
      <c r="Y437" s="61">
        <f ca="1">ROUND(表1_11[[#This Row],[税前应发总额]]-SUM(表1_11[[#This Row],[养老保险]:[公积金]]),2)</f>
        <v>3641.77</v>
      </c>
      <c r="Z437" s="62">
        <f ca="1">ROUND(MAX((表1_11[[#This Row],[扣保险后工资金额]]-3500)*{3,10,20,25,30,35,45}%-{0,105,555,1005,2755,5505,13505},0),2)</f>
        <v>4.25</v>
      </c>
      <c r="AA437" s="63">
        <f ca="1">表1_11[[#This Row],[扣保险后工资金额]]-表1_11[[#This Row],[个人所得税]]</f>
        <v>3637.52</v>
      </c>
      <c r="AB437" s="53">
        <v>4287.13</v>
      </c>
      <c r="AC437" s="64">
        <f ca="1">(表1_11[[#This Row],[实发工资]]-表1_11[[#This Row],[上月对比]])/表1_11[[#This Row],[上月对比]]</f>
        <v>-0.15152561270593617</v>
      </c>
      <c r="AD437" s="65" t="s">
        <v>1587</v>
      </c>
    </row>
    <row r="438" spans="1:30">
      <c r="A438" s="42" t="s">
        <v>577</v>
      </c>
      <c r="B438" s="42" t="s">
        <v>809</v>
      </c>
      <c r="C438" s="40" t="s">
        <v>793</v>
      </c>
      <c r="D438" s="40" t="s">
        <v>794</v>
      </c>
      <c r="E438" s="41" t="s">
        <v>1448</v>
      </c>
      <c r="F438" s="5" t="s">
        <v>434</v>
      </c>
      <c r="G438" s="25">
        <v>39138</v>
      </c>
      <c r="H438" s="5" t="s">
        <v>617</v>
      </c>
      <c r="I438" s="5">
        <f>VLOOKUP(MID(表1_11[[#This Row],[工资等级]],1,1),表12[],MATCH(MID(表1_11[[#This Row],[工资等级]],2,2),表12[[#Headers],[1]:[10]],0)+1,0)</f>
        <v>2500</v>
      </c>
      <c r="J438" s="5">
        <v>26.5</v>
      </c>
      <c r="K438" s="27">
        <v>1.1041666666666667</v>
      </c>
      <c r="L438" s="37">
        <f>IF(表1_11[[#This Row],[出勤率]]&gt;1,1,表1_11[[#This Row],[出勤率]])*表1_11[[#This Row],[岗位工资]]</f>
        <v>2500</v>
      </c>
      <c r="M438" s="5">
        <f>LOOKUP(表1_11[[#This Row],[岗位工资]],表13[lookup],表13[奖金比率])*表1_11[[#This Row],[岗位工资]]</f>
        <v>250</v>
      </c>
      <c r="N438" s="5">
        <v>84</v>
      </c>
      <c r="O438" s="38">
        <f>表1_11[[#This Row],[奖金等级]]*表1_11[[#This Row],[绩效得分]]/100</f>
        <v>210</v>
      </c>
      <c r="P438" s="5">
        <f>IF(表1_11[[#This Row],[出勤率]]&gt;=1,200,0)</f>
        <v>200</v>
      </c>
      <c r="Q438" s="23">
        <f t="shared" ca="1" si="6"/>
        <v>500</v>
      </c>
      <c r="R438" s="23">
        <f>IF(表1_11[[#This Row],[中心]]="营销中心",VLOOKUP(表1_11[[#This Row],[职位]],表2[[话费补贴]:[营销中心]],2,0),VLOOKUP(表1_11[[#This Row],[职位]],表2[],3,0))</f>
        <v>0</v>
      </c>
      <c r="S438" s="23">
        <v>200</v>
      </c>
      <c r="T438" s="61">
        <f ca="1">ROUND(SUM(表1_11[[#This Row],[基本工资]],表1_11[[#This Row],[奖金]],表1_11[[#This Row],[全勤奖]:[防暑降温补贴]]),2)</f>
        <v>3610</v>
      </c>
      <c r="U438" s="62">
        <f ca="1">ROUND(表1_11[[#This Row],[税前应发总额]]*8%,2)</f>
        <v>288.8</v>
      </c>
      <c r="V438" s="62">
        <f ca="1">ROUND(表1_11[[#This Row],[税前应发总额]]*2%+3,2)</f>
        <v>75.2</v>
      </c>
      <c r="W438" s="62">
        <f ca="1">ROUND(表1_11[[#This Row],[税前应发总额]]*0.2%,2)</f>
        <v>7.22</v>
      </c>
      <c r="X438" s="62">
        <f ca="1">ROUND(表1_11[[#This Row],[税前应发总额]]*12%,2)</f>
        <v>433.2</v>
      </c>
      <c r="Y438" s="61">
        <f ca="1">ROUND(表1_11[[#This Row],[税前应发总额]]-SUM(表1_11[[#This Row],[养老保险]:[公积金]]),2)</f>
        <v>2805.58</v>
      </c>
      <c r="Z438" s="62">
        <f ca="1">ROUND(MAX((表1_11[[#This Row],[扣保险后工资金额]]-3500)*{3,10,20,25,30,35,45}%-{0,105,555,1005,2755,5505,13505},0),2)</f>
        <v>0</v>
      </c>
      <c r="AA438" s="63">
        <f ca="1">表1_11[[#This Row],[扣保险后工资金额]]-表1_11[[#This Row],[个人所得税]]</f>
        <v>2805.58</v>
      </c>
      <c r="AB438" s="53">
        <v>2579.62</v>
      </c>
      <c r="AC438" s="64">
        <f ca="1">(表1_11[[#This Row],[实发工资]]-表1_11[[#This Row],[上月对比]])/表1_11[[#This Row],[上月对比]]</f>
        <v>8.7594296834417495E-2</v>
      </c>
      <c r="AD438" s="65" t="s">
        <v>1587</v>
      </c>
    </row>
    <row r="439" spans="1:30">
      <c r="A439" s="42" t="s">
        <v>577</v>
      </c>
      <c r="B439" s="42" t="s">
        <v>809</v>
      </c>
      <c r="C439" s="40" t="s">
        <v>655</v>
      </c>
      <c r="D439" s="40" t="s">
        <v>656</v>
      </c>
      <c r="E439" s="41" t="s">
        <v>1449</v>
      </c>
      <c r="F439" s="5" t="s">
        <v>435</v>
      </c>
      <c r="G439" s="25">
        <v>42005</v>
      </c>
      <c r="H439" s="5" t="s">
        <v>612</v>
      </c>
      <c r="I439" s="5">
        <f>VLOOKUP(MID(表1_11[[#This Row],[工资等级]],1,1),表12[],MATCH(MID(表1_11[[#This Row],[工资等级]],2,2),表12[[#Headers],[1]:[10]],0)+1,0)</f>
        <v>2700</v>
      </c>
      <c r="J439" s="5">
        <v>22.5</v>
      </c>
      <c r="K439" s="27">
        <v>0.9375</v>
      </c>
      <c r="L439" s="37">
        <f>IF(表1_11[[#This Row],[出勤率]]&gt;1,1,表1_11[[#This Row],[出勤率]])*表1_11[[#This Row],[岗位工资]]</f>
        <v>2531.25</v>
      </c>
      <c r="M439" s="5">
        <f>LOOKUP(表1_11[[#This Row],[岗位工资]],表13[lookup],表13[奖金比率])*表1_11[[#This Row],[岗位工资]]</f>
        <v>270</v>
      </c>
      <c r="N439" s="5">
        <v>80</v>
      </c>
      <c r="O439" s="38">
        <f>表1_11[[#This Row],[奖金等级]]*表1_11[[#This Row],[绩效得分]]/100</f>
        <v>216</v>
      </c>
      <c r="P439" s="5">
        <f>IF(表1_11[[#This Row],[出勤率]]&gt;=1,200,0)</f>
        <v>0</v>
      </c>
      <c r="Q439" s="23">
        <f t="shared" ca="1" si="6"/>
        <v>150</v>
      </c>
      <c r="R439" s="23">
        <f>IF(表1_11[[#This Row],[中心]]="营销中心",VLOOKUP(表1_11[[#This Row],[职位]],表2[[话费补贴]:[营销中心]],2,0),VLOOKUP(表1_11[[#This Row],[职位]],表2[],3,0))</f>
        <v>0</v>
      </c>
      <c r="S439" s="23">
        <v>200</v>
      </c>
      <c r="T439" s="61">
        <f ca="1">ROUND(SUM(表1_11[[#This Row],[基本工资]],表1_11[[#This Row],[奖金]],表1_11[[#This Row],[全勤奖]:[防暑降温补贴]]),2)</f>
        <v>3097.25</v>
      </c>
      <c r="U439" s="62">
        <f ca="1">ROUND(表1_11[[#This Row],[税前应发总额]]*8%,2)</f>
        <v>247.78</v>
      </c>
      <c r="V439" s="62">
        <f ca="1">ROUND(表1_11[[#This Row],[税前应发总额]]*2%+3,2)</f>
        <v>64.95</v>
      </c>
      <c r="W439" s="62">
        <f ca="1">ROUND(表1_11[[#This Row],[税前应发总额]]*0.2%,2)</f>
        <v>6.19</v>
      </c>
      <c r="X439" s="62">
        <f ca="1">ROUND(表1_11[[#This Row],[税前应发总额]]*12%,2)</f>
        <v>371.67</v>
      </c>
      <c r="Y439" s="61">
        <f ca="1">ROUND(表1_11[[#This Row],[税前应发总额]]-SUM(表1_11[[#This Row],[养老保险]:[公积金]]),2)</f>
        <v>2406.66</v>
      </c>
      <c r="Z439" s="62">
        <f ca="1">ROUND(MAX((表1_11[[#This Row],[扣保险后工资金额]]-3500)*{3,10,20,25,30,35,45}%-{0,105,555,1005,2755,5505,13505},0),2)</f>
        <v>0</v>
      </c>
      <c r="AA439" s="63">
        <f ca="1">表1_11[[#This Row],[扣保险后工资金额]]-表1_11[[#This Row],[个人所得税]]</f>
        <v>2406.66</v>
      </c>
      <c r="AB439" s="53">
        <v>2848.87</v>
      </c>
      <c r="AC439" s="64">
        <f ca="1">(表1_11[[#This Row],[实发工资]]-表1_11[[#This Row],[上月对比]])/表1_11[[#This Row],[上月对比]]</f>
        <v>-0.1552229480460674</v>
      </c>
      <c r="AD439" s="65" t="s">
        <v>1587</v>
      </c>
    </row>
    <row r="440" spans="1:30">
      <c r="A440" s="42" t="s">
        <v>577</v>
      </c>
      <c r="B440" s="42" t="s">
        <v>578</v>
      </c>
      <c r="C440" s="40" t="s">
        <v>822</v>
      </c>
      <c r="D440" s="40" t="s">
        <v>822</v>
      </c>
      <c r="E440" s="41" t="s">
        <v>1450</v>
      </c>
      <c r="F440" s="5" t="s">
        <v>436</v>
      </c>
      <c r="G440" s="25">
        <v>38908</v>
      </c>
      <c r="H440" s="5" t="s">
        <v>647</v>
      </c>
      <c r="I440" s="5">
        <f>VLOOKUP(MID(表1_11[[#This Row],[工资等级]],1,1),表12[],MATCH(MID(表1_11[[#This Row],[工资等级]],2,2),表12[[#Headers],[1]:[10]],0)+1,0)</f>
        <v>5300</v>
      </c>
      <c r="J440" s="5">
        <v>24</v>
      </c>
      <c r="K440" s="27">
        <v>1</v>
      </c>
      <c r="L440" s="37">
        <f>IF(表1_11[[#This Row],[出勤率]]&gt;1,1,表1_11[[#This Row],[出勤率]])*表1_11[[#This Row],[岗位工资]]</f>
        <v>5300</v>
      </c>
      <c r="M440" s="5">
        <f>LOOKUP(表1_11[[#This Row],[岗位工资]],表13[lookup],表13[奖金比率])*表1_11[[#This Row],[岗位工资]]</f>
        <v>795</v>
      </c>
      <c r="N440" s="5">
        <v>95</v>
      </c>
      <c r="O440" s="38">
        <f>表1_11[[#This Row],[奖金等级]]*表1_11[[#This Row],[绩效得分]]/100</f>
        <v>755.25</v>
      </c>
      <c r="P440" s="5">
        <f>IF(表1_11[[#This Row],[出勤率]]&gt;=1,200,0)</f>
        <v>200</v>
      </c>
      <c r="Q440" s="23">
        <f t="shared" ca="1" si="6"/>
        <v>500</v>
      </c>
      <c r="R440" s="23">
        <f>IF(表1_11[[#This Row],[中心]]="营销中心",VLOOKUP(表1_11[[#This Row],[职位]],表2[[话费补贴]:[营销中心]],2,0),VLOOKUP(表1_11[[#This Row],[职位]],表2[],3,0))</f>
        <v>500</v>
      </c>
      <c r="S440" s="23">
        <v>200</v>
      </c>
      <c r="T440" s="61">
        <f ca="1">ROUND(SUM(表1_11[[#This Row],[基本工资]],表1_11[[#This Row],[奖金]],表1_11[[#This Row],[全勤奖]:[防暑降温补贴]]),2)</f>
        <v>7455.25</v>
      </c>
      <c r="U440" s="62">
        <f ca="1">ROUND(表1_11[[#This Row],[税前应发总额]]*8%,2)</f>
        <v>596.41999999999996</v>
      </c>
      <c r="V440" s="62">
        <f ca="1">ROUND(表1_11[[#This Row],[税前应发总额]]*2%+3,2)</f>
        <v>152.11000000000001</v>
      </c>
      <c r="W440" s="62">
        <f ca="1">ROUND(表1_11[[#This Row],[税前应发总额]]*0.2%,2)</f>
        <v>14.91</v>
      </c>
      <c r="X440" s="62">
        <f ca="1">ROUND(表1_11[[#This Row],[税前应发总额]]*12%,2)</f>
        <v>894.63</v>
      </c>
      <c r="Y440" s="61">
        <f ca="1">ROUND(表1_11[[#This Row],[税前应发总额]]-SUM(表1_11[[#This Row],[养老保险]:[公积金]]),2)</f>
        <v>5797.18</v>
      </c>
      <c r="Z440" s="62">
        <f ca="1">ROUND(MAX((表1_11[[#This Row],[扣保险后工资金额]]-3500)*{3,10,20,25,30,35,45}%-{0,105,555,1005,2755,5505,13505},0),2)</f>
        <v>124.72</v>
      </c>
      <c r="AA440" s="63">
        <f ca="1">表1_11[[#This Row],[扣保险后工资金额]]-表1_11[[#This Row],[个人所得税]]</f>
        <v>5672.46</v>
      </c>
      <c r="AB440" s="53">
        <v>5342.58</v>
      </c>
      <c r="AC440" s="64">
        <f ca="1">(表1_11[[#This Row],[实发工资]]-表1_11[[#This Row],[上月对比]])/表1_11[[#This Row],[上月对比]]</f>
        <v>6.174544882809431E-2</v>
      </c>
      <c r="AD440" s="65" t="s">
        <v>1587</v>
      </c>
    </row>
    <row r="441" spans="1:30">
      <c r="A441" s="42" t="s">
        <v>577</v>
      </c>
      <c r="B441" s="42" t="s">
        <v>578</v>
      </c>
      <c r="C441" s="40" t="s">
        <v>711</v>
      </c>
      <c r="D441" s="40" t="s">
        <v>712</v>
      </c>
      <c r="E441" s="41" t="s">
        <v>1451</v>
      </c>
      <c r="F441" s="5" t="s">
        <v>437</v>
      </c>
      <c r="G441" s="25">
        <v>40009</v>
      </c>
      <c r="H441" s="5" t="s">
        <v>622</v>
      </c>
      <c r="I441" s="5">
        <f>VLOOKUP(MID(表1_11[[#This Row],[工资等级]],1,1),表12[],MATCH(MID(表1_11[[#This Row],[工资等级]],2,2),表12[[#Headers],[1]:[10]],0)+1,0)</f>
        <v>3600</v>
      </c>
      <c r="J441" s="5">
        <v>22.5</v>
      </c>
      <c r="K441" s="27">
        <v>0.9375</v>
      </c>
      <c r="L441" s="37">
        <f>IF(表1_11[[#This Row],[出勤率]]&gt;1,1,表1_11[[#This Row],[出勤率]])*表1_11[[#This Row],[岗位工资]]</f>
        <v>3375</v>
      </c>
      <c r="M441" s="5">
        <f>LOOKUP(表1_11[[#This Row],[岗位工资]],表13[lookup],表13[奖金比率])*表1_11[[#This Row],[岗位工资]]</f>
        <v>360</v>
      </c>
      <c r="N441" s="5">
        <v>81</v>
      </c>
      <c r="O441" s="38">
        <f>表1_11[[#This Row],[奖金等级]]*表1_11[[#This Row],[绩效得分]]/100</f>
        <v>291.60000000000002</v>
      </c>
      <c r="P441" s="5">
        <f>IF(表1_11[[#This Row],[出勤率]]&gt;=1,200,0)</f>
        <v>0</v>
      </c>
      <c r="Q441" s="23">
        <f t="shared" ca="1" si="6"/>
        <v>400</v>
      </c>
      <c r="R441" s="23">
        <f>IF(表1_11[[#This Row],[中心]]="营销中心",VLOOKUP(表1_11[[#This Row],[职位]],表2[[话费补贴]:[营销中心]],2,0),VLOOKUP(表1_11[[#This Row],[职位]],表2[],3,0))</f>
        <v>0</v>
      </c>
      <c r="S441" s="23">
        <v>200</v>
      </c>
      <c r="T441" s="61">
        <f ca="1">ROUND(SUM(表1_11[[#This Row],[基本工资]],表1_11[[#This Row],[奖金]],表1_11[[#This Row],[全勤奖]:[防暑降温补贴]]),2)</f>
        <v>4266.6000000000004</v>
      </c>
      <c r="U441" s="62">
        <f ca="1">ROUND(表1_11[[#This Row],[税前应发总额]]*8%,2)</f>
        <v>341.33</v>
      </c>
      <c r="V441" s="62">
        <f ca="1">ROUND(表1_11[[#This Row],[税前应发总额]]*2%+3,2)</f>
        <v>88.33</v>
      </c>
      <c r="W441" s="62">
        <f ca="1">ROUND(表1_11[[#This Row],[税前应发总额]]*0.2%,2)</f>
        <v>8.5299999999999994</v>
      </c>
      <c r="X441" s="62">
        <f ca="1">ROUND(表1_11[[#This Row],[税前应发总额]]*12%,2)</f>
        <v>511.99</v>
      </c>
      <c r="Y441" s="61">
        <f ca="1">ROUND(表1_11[[#This Row],[税前应发总额]]-SUM(表1_11[[#This Row],[养老保险]:[公积金]]),2)</f>
        <v>3316.42</v>
      </c>
      <c r="Z441" s="62">
        <f ca="1">ROUND(MAX((表1_11[[#This Row],[扣保险后工资金额]]-3500)*{3,10,20,25,30,35,45}%-{0,105,555,1005,2755,5505,13505},0),2)</f>
        <v>0</v>
      </c>
      <c r="AA441" s="63">
        <f ca="1">表1_11[[#This Row],[扣保险后工资金额]]-表1_11[[#This Row],[个人所得税]]</f>
        <v>3316.42</v>
      </c>
      <c r="AB441" s="53">
        <v>2835.52</v>
      </c>
      <c r="AC441" s="64">
        <f ca="1">(表1_11[[#This Row],[实发工资]]-表1_11[[#This Row],[上月对比]])/表1_11[[#This Row],[上月对比]]</f>
        <v>0.16959852161155628</v>
      </c>
      <c r="AD441" s="65" t="s">
        <v>1587</v>
      </c>
    </row>
    <row r="442" spans="1:30">
      <c r="A442" s="42" t="s">
        <v>577</v>
      </c>
      <c r="B442" s="42" t="s">
        <v>578</v>
      </c>
      <c r="C442" s="40" t="s">
        <v>787</v>
      </c>
      <c r="D442" s="40" t="s">
        <v>788</v>
      </c>
      <c r="E442" s="41" t="s">
        <v>1452</v>
      </c>
      <c r="F442" s="5" t="s">
        <v>438</v>
      </c>
      <c r="G442" s="25">
        <v>39884</v>
      </c>
      <c r="H442" s="5" t="s">
        <v>615</v>
      </c>
      <c r="I442" s="5">
        <f>VLOOKUP(MID(表1_11[[#This Row],[工资等级]],1,1),表12[],MATCH(MID(表1_11[[#This Row],[工资等级]],2,2),表12[[#Headers],[1]:[10]],0)+1,0)</f>
        <v>3200</v>
      </c>
      <c r="J442" s="5">
        <v>24.5</v>
      </c>
      <c r="K442" s="27">
        <v>1.0208333333333333</v>
      </c>
      <c r="L442" s="37">
        <f>IF(表1_11[[#This Row],[出勤率]]&gt;1,1,表1_11[[#This Row],[出勤率]])*表1_11[[#This Row],[岗位工资]]</f>
        <v>3200</v>
      </c>
      <c r="M442" s="5">
        <f>LOOKUP(表1_11[[#This Row],[岗位工资]],表13[lookup],表13[奖金比率])*表1_11[[#This Row],[岗位工资]]</f>
        <v>320</v>
      </c>
      <c r="N442" s="5">
        <v>90</v>
      </c>
      <c r="O442" s="38">
        <f>表1_11[[#This Row],[奖金等级]]*表1_11[[#This Row],[绩效得分]]/100</f>
        <v>288</v>
      </c>
      <c r="P442" s="5">
        <f>IF(表1_11[[#This Row],[出勤率]]&gt;=1,200,0)</f>
        <v>200</v>
      </c>
      <c r="Q442" s="23">
        <f t="shared" ca="1" si="6"/>
        <v>400</v>
      </c>
      <c r="R442" s="23">
        <f>IF(表1_11[[#This Row],[中心]]="营销中心",VLOOKUP(表1_11[[#This Row],[职位]],表2[[话费补贴]:[营销中心]],2,0),VLOOKUP(表1_11[[#This Row],[职位]],表2[],3,0))</f>
        <v>0</v>
      </c>
      <c r="S442" s="23">
        <v>200</v>
      </c>
      <c r="T442" s="61">
        <f ca="1">ROUND(SUM(表1_11[[#This Row],[基本工资]],表1_11[[#This Row],[奖金]],表1_11[[#This Row],[全勤奖]:[防暑降温补贴]]),2)</f>
        <v>4288</v>
      </c>
      <c r="U442" s="62">
        <f ca="1">ROUND(表1_11[[#This Row],[税前应发总额]]*8%,2)</f>
        <v>343.04</v>
      </c>
      <c r="V442" s="62">
        <f ca="1">ROUND(表1_11[[#This Row],[税前应发总额]]*2%+3,2)</f>
        <v>88.76</v>
      </c>
      <c r="W442" s="62">
        <f ca="1">ROUND(表1_11[[#This Row],[税前应发总额]]*0.2%,2)</f>
        <v>8.58</v>
      </c>
      <c r="X442" s="62">
        <f ca="1">ROUND(表1_11[[#This Row],[税前应发总额]]*12%,2)</f>
        <v>514.55999999999995</v>
      </c>
      <c r="Y442" s="61">
        <f ca="1">ROUND(表1_11[[#This Row],[税前应发总额]]-SUM(表1_11[[#This Row],[养老保险]:[公积金]]),2)</f>
        <v>3333.06</v>
      </c>
      <c r="Z442" s="62">
        <f ca="1">ROUND(MAX((表1_11[[#This Row],[扣保险后工资金额]]-3500)*{3,10,20,25,30,35,45}%-{0,105,555,1005,2755,5505,13505},0),2)</f>
        <v>0</v>
      </c>
      <c r="AA442" s="63">
        <f ca="1">表1_11[[#This Row],[扣保险后工资金额]]-表1_11[[#This Row],[个人所得税]]</f>
        <v>3333.06</v>
      </c>
      <c r="AB442" s="53">
        <v>3277.55</v>
      </c>
      <c r="AC442" s="64">
        <f ca="1">(表1_11[[#This Row],[实发工资]]-表1_11[[#This Row],[上月对比]])/表1_11[[#This Row],[上月对比]]</f>
        <v>1.6936431175725696E-2</v>
      </c>
      <c r="AD442" s="65" t="s">
        <v>1587</v>
      </c>
    </row>
    <row r="443" spans="1:30">
      <c r="A443" s="42" t="s">
        <v>577</v>
      </c>
      <c r="B443" s="42" t="s">
        <v>578</v>
      </c>
      <c r="C443" s="40" t="s">
        <v>818</v>
      </c>
      <c r="D443" s="40" t="s">
        <v>819</v>
      </c>
      <c r="E443" s="41" t="s">
        <v>1453</v>
      </c>
      <c r="F443" s="5" t="s">
        <v>439</v>
      </c>
      <c r="G443" s="25">
        <v>38371</v>
      </c>
      <c r="H443" s="5" t="s">
        <v>610</v>
      </c>
      <c r="I443" s="5">
        <f>VLOOKUP(MID(表1_11[[#This Row],[工资等级]],1,1),表12[],MATCH(MID(表1_11[[#This Row],[工资等级]],2,2),表12[[#Headers],[1]:[10]],0)+1,0)</f>
        <v>3400</v>
      </c>
      <c r="J443" s="5">
        <v>25.5</v>
      </c>
      <c r="K443" s="27">
        <v>1.0625</v>
      </c>
      <c r="L443" s="37">
        <f>IF(表1_11[[#This Row],[出勤率]]&gt;1,1,表1_11[[#This Row],[出勤率]])*表1_11[[#This Row],[岗位工资]]</f>
        <v>3400</v>
      </c>
      <c r="M443" s="5">
        <f>LOOKUP(表1_11[[#This Row],[岗位工资]],表13[lookup],表13[奖金比率])*表1_11[[#This Row],[岗位工资]]</f>
        <v>340</v>
      </c>
      <c r="N443" s="5">
        <v>86</v>
      </c>
      <c r="O443" s="38">
        <f>表1_11[[#This Row],[奖金等级]]*表1_11[[#This Row],[绩效得分]]/100</f>
        <v>292.39999999999998</v>
      </c>
      <c r="P443" s="5">
        <f>IF(表1_11[[#This Row],[出勤率]]&gt;=1,200,0)</f>
        <v>200</v>
      </c>
      <c r="Q443" s="23">
        <f t="shared" ca="1" si="6"/>
        <v>500</v>
      </c>
      <c r="R443" s="23">
        <f>IF(表1_11[[#This Row],[中心]]="营销中心",VLOOKUP(表1_11[[#This Row],[职位]],表2[[话费补贴]:[营销中心]],2,0),VLOOKUP(表1_11[[#This Row],[职位]],表2[],3,0))</f>
        <v>0</v>
      </c>
      <c r="S443" s="23">
        <v>200</v>
      </c>
      <c r="T443" s="61">
        <f ca="1">ROUND(SUM(表1_11[[#This Row],[基本工资]],表1_11[[#This Row],[奖金]],表1_11[[#This Row],[全勤奖]:[防暑降温补贴]]),2)</f>
        <v>4592.3999999999996</v>
      </c>
      <c r="U443" s="62">
        <f ca="1">ROUND(表1_11[[#This Row],[税前应发总额]]*8%,2)</f>
        <v>367.39</v>
      </c>
      <c r="V443" s="62">
        <f ca="1">ROUND(表1_11[[#This Row],[税前应发总额]]*2%+3,2)</f>
        <v>94.85</v>
      </c>
      <c r="W443" s="62">
        <f ca="1">ROUND(表1_11[[#This Row],[税前应发总额]]*0.2%,2)</f>
        <v>9.18</v>
      </c>
      <c r="X443" s="62">
        <f ca="1">ROUND(表1_11[[#This Row],[税前应发总额]]*12%,2)</f>
        <v>551.09</v>
      </c>
      <c r="Y443" s="61">
        <f ca="1">ROUND(表1_11[[#This Row],[税前应发总额]]-SUM(表1_11[[#This Row],[养老保险]:[公积金]]),2)</f>
        <v>3569.89</v>
      </c>
      <c r="Z443" s="62">
        <f ca="1">ROUND(MAX((表1_11[[#This Row],[扣保险后工资金额]]-3500)*{3,10,20,25,30,35,45}%-{0,105,555,1005,2755,5505,13505},0),2)</f>
        <v>2.1</v>
      </c>
      <c r="AA443" s="63">
        <f ca="1">表1_11[[#This Row],[扣保险后工资金额]]-表1_11[[#This Row],[个人所得税]]</f>
        <v>3567.79</v>
      </c>
      <c r="AB443" s="53">
        <v>3308.49</v>
      </c>
      <c r="AC443" s="64">
        <f ca="1">(表1_11[[#This Row],[实发工资]]-表1_11[[#This Row],[上月对比]])/表1_11[[#This Row],[上月对比]]</f>
        <v>7.8374122333753529E-2</v>
      </c>
      <c r="AD443" s="65" t="s">
        <v>1587</v>
      </c>
    </row>
    <row r="444" spans="1:30">
      <c r="A444" s="42" t="s">
        <v>577</v>
      </c>
      <c r="B444" s="42" t="s">
        <v>578</v>
      </c>
      <c r="C444" s="40" t="s">
        <v>793</v>
      </c>
      <c r="D444" s="40" t="s">
        <v>794</v>
      </c>
      <c r="E444" s="41" t="s">
        <v>1454</v>
      </c>
      <c r="F444" s="5" t="s">
        <v>440</v>
      </c>
      <c r="G444" s="25">
        <v>41723</v>
      </c>
      <c r="H444" s="5" t="s">
        <v>624</v>
      </c>
      <c r="I444" s="5">
        <f>VLOOKUP(MID(表1_11[[#This Row],[工资等级]],1,1),表12[],MATCH(MID(表1_11[[#This Row],[工资等级]],2,2),表12[[#Headers],[1]:[10]],0)+1,0)</f>
        <v>2800</v>
      </c>
      <c r="J444" s="5">
        <v>23</v>
      </c>
      <c r="K444" s="27">
        <v>0.95833333333333337</v>
      </c>
      <c r="L444" s="37">
        <f>IF(表1_11[[#This Row],[出勤率]]&gt;1,1,表1_11[[#This Row],[出勤率]])*表1_11[[#This Row],[岗位工资]]</f>
        <v>2683.3333333333335</v>
      </c>
      <c r="M444" s="5">
        <f>LOOKUP(表1_11[[#This Row],[岗位工资]],表13[lookup],表13[奖金比率])*表1_11[[#This Row],[岗位工资]]</f>
        <v>280</v>
      </c>
      <c r="N444" s="5">
        <v>83</v>
      </c>
      <c r="O444" s="38">
        <f>表1_11[[#This Row],[奖金等级]]*表1_11[[#This Row],[绩效得分]]/100</f>
        <v>232.4</v>
      </c>
      <c r="P444" s="5">
        <f>IF(表1_11[[#This Row],[出勤率]]&gt;=1,200,0)</f>
        <v>0</v>
      </c>
      <c r="Q444" s="23">
        <f t="shared" ca="1" si="6"/>
        <v>150</v>
      </c>
      <c r="R444" s="23">
        <f>IF(表1_11[[#This Row],[中心]]="营销中心",VLOOKUP(表1_11[[#This Row],[职位]],表2[[话费补贴]:[营销中心]],2,0),VLOOKUP(表1_11[[#This Row],[职位]],表2[],3,0))</f>
        <v>0</v>
      </c>
      <c r="S444" s="23">
        <v>200</v>
      </c>
      <c r="T444" s="61">
        <f ca="1">ROUND(SUM(表1_11[[#This Row],[基本工资]],表1_11[[#This Row],[奖金]],表1_11[[#This Row],[全勤奖]:[防暑降温补贴]]),2)</f>
        <v>3265.73</v>
      </c>
      <c r="U444" s="62">
        <f ca="1">ROUND(表1_11[[#This Row],[税前应发总额]]*8%,2)</f>
        <v>261.26</v>
      </c>
      <c r="V444" s="62">
        <f ca="1">ROUND(表1_11[[#This Row],[税前应发总额]]*2%+3,2)</f>
        <v>68.31</v>
      </c>
      <c r="W444" s="62">
        <f ca="1">ROUND(表1_11[[#This Row],[税前应发总额]]*0.2%,2)</f>
        <v>6.53</v>
      </c>
      <c r="X444" s="62">
        <f ca="1">ROUND(表1_11[[#This Row],[税前应发总额]]*12%,2)</f>
        <v>391.89</v>
      </c>
      <c r="Y444" s="61">
        <f ca="1">ROUND(表1_11[[#This Row],[税前应发总额]]-SUM(表1_11[[#This Row],[养老保险]:[公积金]]),2)</f>
        <v>2537.7399999999998</v>
      </c>
      <c r="Z444" s="62">
        <f ca="1">ROUND(MAX((表1_11[[#This Row],[扣保险后工资金额]]-3500)*{3,10,20,25,30,35,45}%-{0,105,555,1005,2755,5505,13505},0),2)</f>
        <v>0</v>
      </c>
      <c r="AA444" s="63">
        <f ca="1">表1_11[[#This Row],[扣保险后工资金额]]-表1_11[[#This Row],[个人所得税]]</f>
        <v>2537.7399999999998</v>
      </c>
      <c r="AB444" s="53">
        <v>2195.56</v>
      </c>
      <c r="AC444" s="64">
        <f ca="1">(表1_11[[#This Row],[实发工资]]-表1_11[[#This Row],[上月对比]])/表1_11[[#This Row],[上月对比]]</f>
        <v>0.15585089908724875</v>
      </c>
      <c r="AD444" s="65" t="s">
        <v>1587</v>
      </c>
    </row>
    <row r="445" spans="1:30">
      <c r="A445" s="42" t="s">
        <v>577</v>
      </c>
      <c r="B445" s="42" t="s">
        <v>578</v>
      </c>
      <c r="C445" s="40" t="s">
        <v>655</v>
      </c>
      <c r="D445" s="40" t="s">
        <v>656</v>
      </c>
      <c r="E445" s="41" t="s">
        <v>1455</v>
      </c>
      <c r="F445" s="5" t="s">
        <v>441</v>
      </c>
      <c r="G445" s="25">
        <v>42533</v>
      </c>
      <c r="H445" s="5" t="s">
        <v>617</v>
      </c>
      <c r="I445" s="5">
        <f>VLOOKUP(MID(表1_11[[#This Row],[工资等级]],1,1),表12[],MATCH(MID(表1_11[[#This Row],[工资等级]],2,2),表12[[#Headers],[1]:[10]],0)+1,0)</f>
        <v>2500</v>
      </c>
      <c r="J445" s="5">
        <v>21</v>
      </c>
      <c r="K445" s="27">
        <v>0.875</v>
      </c>
      <c r="L445" s="37">
        <f>IF(表1_11[[#This Row],[出勤率]]&gt;1,1,表1_11[[#This Row],[出勤率]])*表1_11[[#This Row],[岗位工资]]</f>
        <v>2187.5</v>
      </c>
      <c r="M445" s="5">
        <f>LOOKUP(表1_11[[#This Row],[岗位工资]],表13[lookup],表13[奖金比率])*表1_11[[#This Row],[岗位工资]]</f>
        <v>250</v>
      </c>
      <c r="N445" s="5">
        <v>84</v>
      </c>
      <c r="O445" s="38">
        <f>表1_11[[#This Row],[奖金等级]]*表1_11[[#This Row],[绩效得分]]/100</f>
        <v>210</v>
      </c>
      <c r="P445" s="5">
        <f>IF(表1_11[[#This Row],[出勤率]]&gt;=1,200,0)</f>
        <v>0</v>
      </c>
      <c r="Q445" s="23">
        <f t="shared" ca="1" si="6"/>
        <v>50</v>
      </c>
      <c r="R445" s="23">
        <f>IF(表1_11[[#This Row],[中心]]="营销中心",VLOOKUP(表1_11[[#This Row],[职位]],表2[[话费补贴]:[营销中心]],2,0),VLOOKUP(表1_11[[#This Row],[职位]],表2[],3,0))</f>
        <v>0</v>
      </c>
      <c r="S445" s="23">
        <v>200</v>
      </c>
      <c r="T445" s="61">
        <f ca="1">ROUND(SUM(表1_11[[#This Row],[基本工资]],表1_11[[#This Row],[奖金]],表1_11[[#This Row],[全勤奖]:[防暑降温补贴]]),2)</f>
        <v>2647.5</v>
      </c>
      <c r="U445" s="62">
        <f ca="1">ROUND(表1_11[[#This Row],[税前应发总额]]*8%,2)</f>
        <v>211.8</v>
      </c>
      <c r="V445" s="62">
        <f ca="1">ROUND(表1_11[[#This Row],[税前应发总额]]*2%+3,2)</f>
        <v>55.95</v>
      </c>
      <c r="W445" s="62">
        <f ca="1">ROUND(表1_11[[#This Row],[税前应发总额]]*0.2%,2)</f>
        <v>5.3</v>
      </c>
      <c r="X445" s="62">
        <f ca="1">ROUND(表1_11[[#This Row],[税前应发总额]]*12%,2)</f>
        <v>317.7</v>
      </c>
      <c r="Y445" s="61">
        <f ca="1">ROUND(表1_11[[#This Row],[税前应发总额]]-SUM(表1_11[[#This Row],[养老保险]:[公积金]]),2)</f>
        <v>2056.75</v>
      </c>
      <c r="Z445" s="62">
        <f ca="1">ROUND(MAX((表1_11[[#This Row],[扣保险后工资金额]]-3500)*{3,10,20,25,30,35,45}%-{0,105,555,1005,2755,5505,13505},0),2)</f>
        <v>0</v>
      </c>
      <c r="AA445" s="63">
        <f ca="1">表1_11[[#This Row],[扣保险后工资金额]]-表1_11[[#This Row],[个人所得税]]</f>
        <v>2056.75</v>
      </c>
      <c r="AB445" s="53">
        <v>2286.77</v>
      </c>
      <c r="AC445" s="64">
        <f ca="1">(表1_11[[#This Row],[实发工资]]-表1_11[[#This Row],[上月对比]])/表1_11[[#This Row],[上月对比]]</f>
        <v>-0.10058729124485627</v>
      </c>
      <c r="AD445" s="65" t="s">
        <v>1587</v>
      </c>
    </row>
    <row r="446" spans="1:30">
      <c r="A446" s="42" t="s">
        <v>577</v>
      </c>
      <c r="B446" s="42" t="s">
        <v>578</v>
      </c>
      <c r="C446" s="40" t="s">
        <v>642</v>
      </c>
      <c r="D446" s="40" t="s">
        <v>643</v>
      </c>
      <c r="E446" s="41" t="s">
        <v>1456</v>
      </c>
      <c r="F446" s="5" t="s">
        <v>442</v>
      </c>
      <c r="G446" s="25">
        <v>40628</v>
      </c>
      <c r="H446" s="5" t="s">
        <v>618</v>
      </c>
      <c r="I446" s="5">
        <f>VLOOKUP(MID(表1_11[[#This Row],[工资等级]],1,1),表12[],MATCH(MID(表1_11[[#This Row],[工资等级]],2,2),表12[[#Headers],[1]:[10]],0)+1,0)</f>
        <v>3000</v>
      </c>
      <c r="J446" s="5">
        <v>25</v>
      </c>
      <c r="K446" s="27">
        <v>1.0416666666666667</v>
      </c>
      <c r="L446" s="37">
        <f>IF(表1_11[[#This Row],[出勤率]]&gt;1,1,表1_11[[#This Row],[出勤率]])*表1_11[[#This Row],[岗位工资]]</f>
        <v>3000</v>
      </c>
      <c r="M446" s="5">
        <f>LOOKUP(表1_11[[#This Row],[岗位工资]],表13[lookup],表13[奖金比率])*表1_11[[#This Row],[岗位工资]]</f>
        <v>300</v>
      </c>
      <c r="N446" s="5">
        <v>93</v>
      </c>
      <c r="O446" s="38">
        <f>表1_11[[#This Row],[奖金等级]]*表1_11[[#This Row],[绩效得分]]/100</f>
        <v>279</v>
      </c>
      <c r="P446" s="5">
        <f>IF(表1_11[[#This Row],[出勤率]]&gt;=1,200,0)</f>
        <v>200</v>
      </c>
      <c r="Q446" s="23">
        <f t="shared" ca="1" si="6"/>
        <v>300</v>
      </c>
      <c r="R446" s="23">
        <f>IF(表1_11[[#This Row],[中心]]="营销中心",VLOOKUP(表1_11[[#This Row],[职位]],表2[[话费补贴]:[营销中心]],2,0),VLOOKUP(表1_11[[#This Row],[职位]],表2[],3,0))</f>
        <v>0</v>
      </c>
      <c r="S446" s="23">
        <v>200</v>
      </c>
      <c r="T446" s="61">
        <f ca="1">ROUND(SUM(表1_11[[#This Row],[基本工资]],表1_11[[#This Row],[奖金]],表1_11[[#This Row],[全勤奖]:[防暑降温补贴]]),2)</f>
        <v>3979</v>
      </c>
      <c r="U446" s="62">
        <f ca="1">ROUND(表1_11[[#This Row],[税前应发总额]]*8%,2)</f>
        <v>318.32</v>
      </c>
      <c r="V446" s="62">
        <f ca="1">ROUND(表1_11[[#This Row],[税前应发总额]]*2%+3,2)</f>
        <v>82.58</v>
      </c>
      <c r="W446" s="62">
        <f ca="1">ROUND(表1_11[[#This Row],[税前应发总额]]*0.2%,2)</f>
        <v>7.96</v>
      </c>
      <c r="X446" s="62">
        <f ca="1">ROUND(表1_11[[#This Row],[税前应发总额]]*12%,2)</f>
        <v>477.48</v>
      </c>
      <c r="Y446" s="61">
        <f ca="1">ROUND(表1_11[[#This Row],[税前应发总额]]-SUM(表1_11[[#This Row],[养老保险]:[公积金]]),2)</f>
        <v>3092.66</v>
      </c>
      <c r="Z446" s="62">
        <f ca="1">ROUND(MAX((表1_11[[#This Row],[扣保险后工资金额]]-3500)*{3,10,20,25,30,35,45}%-{0,105,555,1005,2755,5505,13505},0),2)</f>
        <v>0</v>
      </c>
      <c r="AA446" s="63">
        <f ca="1">表1_11[[#This Row],[扣保险后工资金额]]-表1_11[[#This Row],[个人所得税]]</f>
        <v>3092.66</v>
      </c>
      <c r="AB446" s="53">
        <v>3719.59</v>
      </c>
      <c r="AC446" s="64">
        <f ca="1">(表1_11[[#This Row],[实发工资]]-表1_11[[#This Row],[上月对比]])/表1_11[[#This Row],[上月对比]]</f>
        <v>-0.16854814643549432</v>
      </c>
      <c r="AD446" s="65" t="s">
        <v>1587</v>
      </c>
    </row>
    <row r="447" spans="1:30">
      <c r="A447" s="42" t="s">
        <v>823</v>
      </c>
      <c r="B447" s="42" t="s">
        <v>824</v>
      </c>
      <c r="C447" s="40" t="s">
        <v>825</v>
      </c>
      <c r="D447" s="40" t="s">
        <v>825</v>
      </c>
      <c r="E447" s="41" t="s">
        <v>1457</v>
      </c>
      <c r="F447" s="5" t="s">
        <v>443</v>
      </c>
      <c r="G447" s="25">
        <v>41713</v>
      </c>
      <c r="H447" s="5" t="s">
        <v>591</v>
      </c>
      <c r="I447" s="5">
        <f>VLOOKUP(MID(表1_11[[#This Row],[工资等级]],1,1),表12[],MATCH(MID(表1_11[[#This Row],[工资等级]],2,2),表12[[#Headers],[1]:[10]],0)+1,0)</f>
        <v>10000</v>
      </c>
      <c r="J447" s="5">
        <v>23</v>
      </c>
      <c r="K447" s="27">
        <v>0.95833333333333337</v>
      </c>
      <c r="L447" s="37">
        <f>IF(表1_11[[#This Row],[出勤率]]&gt;1,1,表1_11[[#This Row],[出勤率]])*表1_11[[#This Row],[岗位工资]]</f>
        <v>9583.3333333333339</v>
      </c>
      <c r="M447" s="5">
        <f>LOOKUP(表1_11[[#This Row],[岗位工资]],表13[lookup],表13[奖金比率])*表1_11[[#This Row],[岗位工资]]</f>
        <v>2500</v>
      </c>
      <c r="N447" s="5">
        <v>81</v>
      </c>
      <c r="O447" s="38">
        <f>表1_11[[#This Row],[奖金等级]]*表1_11[[#This Row],[绩效得分]]/100</f>
        <v>2025</v>
      </c>
      <c r="P447" s="5">
        <f>IF(表1_11[[#This Row],[出勤率]]&gt;=1,200,0)</f>
        <v>0</v>
      </c>
      <c r="Q447" s="23">
        <f t="shared" ca="1" si="6"/>
        <v>150</v>
      </c>
      <c r="R447" s="23">
        <f>IF(表1_11[[#This Row],[中心]]="营销中心",VLOOKUP(表1_11[[#This Row],[职位]],表2[[话费补贴]:[营销中心]],2,0),VLOOKUP(表1_11[[#This Row],[职位]],表2[],3,0))</f>
        <v>800</v>
      </c>
      <c r="S447" s="23">
        <v>200</v>
      </c>
      <c r="T447" s="61">
        <f ca="1">ROUND(SUM(表1_11[[#This Row],[基本工资]],表1_11[[#This Row],[奖金]],表1_11[[#This Row],[全勤奖]:[防暑降温补贴]]),2)</f>
        <v>12758.33</v>
      </c>
      <c r="U447" s="62">
        <f ca="1">ROUND(表1_11[[#This Row],[税前应发总额]]*8%,2)</f>
        <v>1020.67</v>
      </c>
      <c r="V447" s="62">
        <f ca="1">ROUND(表1_11[[#This Row],[税前应发总额]]*2%+3,2)</f>
        <v>258.17</v>
      </c>
      <c r="W447" s="62">
        <f ca="1">ROUND(表1_11[[#This Row],[税前应发总额]]*0.2%,2)</f>
        <v>25.52</v>
      </c>
      <c r="X447" s="62">
        <f ca="1">ROUND(表1_11[[#This Row],[税前应发总额]]*12%,2)</f>
        <v>1531</v>
      </c>
      <c r="Y447" s="61">
        <f ca="1">ROUND(表1_11[[#This Row],[税前应发总额]]-SUM(表1_11[[#This Row],[养老保险]:[公积金]]),2)</f>
        <v>9922.9699999999993</v>
      </c>
      <c r="Z447" s="62">
        <f ca="1">ROUND(MAX((表1_11[[#This Row],[扣保险后工资金额]]-3500)*{3,10,20,25,30,35,45}%-{0,105,555,1005,2755,5505,13505},0),2)</f>
        <v>729.59</v>
      </c>
      <c r="AA447" s="63">
        <f ca="1">表1_11[[#This Row],[扣保险后工资金额]]-表1_11[[#This Row],[个人所得税]]</f>
        <v>9193.3799999999992</v>
      </c>
      <c r="AB447" s="53">
        <v>9094.52</v>
      </c>
      <c r="AC447" s="64">
        <f ca="1">(表1_11[[#This Row],[实发工资]]-表1_11[[#This Row],[上月对比]])/表1_11[[#This Row],[上月对比]]</f>
        <v>1.0870282323860826E-2</v>
      </c>
      <c r="AD447" s="65" t="s">
        <v>1587</v>
      </c>
    </row>
    <row r="448" spans="1:30">
      <c r="A448" s="42" t="s">
        <v>823</v>
      </c>
      <c r="B448" s="42" t="s">
        <v>824</v>
      </c>
      <c r="C448" s="40" t="s">
        <v>826</v>
      </c>
      <c r="D448" s="40" t="s">
        <v>826</v>
      </c>
      <c r="E448" s="41" t="s">
        <v>1458</v>
      </c>
      <c r="F448" s="5" t="s">
        <v>444</v>
      </c>
      <c r="G448" s="25">
        <v>40936</v>
      </c>
      <c r="H448" s="5" t="s">
        <v>736</v>
      </c>
      <c r="I448" s="5">
        <f>VLOOKUP(MID(表1_11[[#This Row],[工资等级]],1,1),表12[],MATCH(MID(表1_11[[#This Row],[工资等级]],2,2),表12[[#Headers],[1]:[10]],0)+1,0)</f>
        <v>5000</v>
      </c>
      <c r="J448" s="5">
        <v>21</v>
      </c>
      <c r="K448" s="27">
        <v>0.875</v>
      </c>
      <c r="L448" s="37">
        <f>IF(表1_11[[#This Row],[出勤率]]&gt;1,1,表1_11[[#This Row],[出勤率]])*表1_11[[#This Row],[岗位工资]]</f>
        <v>4375</v>
      </c>
      <c r="M448" s="5">
        <f>LOOKUP(表1_11[[#This Row],[岗位工资]],表13[lookup],表13[奖金比率])*表1_11[[#This Row],[岗位工资]]</f>
        <v>750</v>
      </c>
      <c r="N448" s="5">
        <v>91</v>
      </c>
      <c r="O448" s="38">
        <f>表1_11[[#This Row],[奖金等级]]*表1_11[[#This Row],[绩效得分]]/100</f>
        <v>682.5</v>
      </c>
      <c r="P448" s="5">
        <f>IF(表1_11[[#This Row],[出勤率]]&gt;=1,200,0)</f>
        <v>0</v>
      </c>
      <c r="Q448" s="23">
        <f t="shared" ca="1" si="6"/>
        <v>300</v>
      </c>
      <c r="R448" s="23">
        <f>IF(表1_11[[#This Row],[中心]]="营销中心",VLOOKUP(表1_11[[#This Row],[职位]],表2[[话费补贴]:[营销中心]],2,0),VLOOKUP(表1_11[[#This Row],[职位]],表2[],3,0))</f>
        <v>300</v>
      </c>
      <c r="S448" s="23">
        <v>200</v>
      </c>
      <c r="T448" s="61">
        <f ca="1">ROUND(SUM(表1_11[[#This Row],[基本工资]],表1_11[[#This Row],[奖金]],表1_11[[#This Row],[全勤奖]:[防暑降温补贴]]),2)</f>
        <v>5857.5</v>
      </c>
      <c r="U448" s="62">
        <f ca="1">ROUND(表1_11[[#This Row],[税前应发总额]]*8%,2)</f>
        <v>468.6</v>
      </c>
      <c r="V448" s="62">
        <f ca="1">ROUND(表1_11[[#This Row],[税前应发总额]]*2%+3,2)</f>
        <v>120.15</v>
      </c>
      <c r="W448" s="62">
        <f ca="1">ROUND(表1_11[[#This Row],[税前应发总额]]*0.2%,2)</f>
        <v>11.72</v>
      </c>
      <c r="X448" s="62">
        <f ca="1">ROUND(表1_11[[#This Row],[税前应发总额]]*12%,2)</f>
        <v>702.9</v>
      </c>
      <c r="Y448" s="61">
        <f ca="1">ROUND(表1_11[[#This Row],[税前应发总额]]-SUM(表1_11[[#This Row],[养老保险]:[公积金]]),2)</f>
        <v>4554.13</v>
      </c>
      <c r="Z448" s="62">
        <f ca="1">ROUND(MAX((表1_11[[#This Row],[扣保险后工资金额]]-3500)*{3,10,20,25,30,35,45}%-{0,105,555,1005,2755,5505,13505},0),2)</f>
        <v>31.62</v>
      </c>
      <c r="AA448" s="63">
        <f ca="1">表1_11[[#This Row],[扣保险后工资金额]]-表1_11[[#This Row],[个人所得税]]</f>
        <v>4522.51</v>
      </c>
      <c r="AB448" s="53">
        <v>5151.3500000000004</v>
      </c>
      <c r="AC448" s="64">
        <f ca="1">(表1_11[[#This Row],[实发工资]]-表1_11[[#This Row],[上月对比]])/表1_11[[#This Row],[上月对比]]</f>
        <v>-0.1220728546885768</v>
      </c>
      <c r="AD448" s="65" t="s">
        <v>1587</v>
      </c>
    </row>
    <row r="449" spans="1:30">
      <c r="A449" s="42" t="s">
        <v>823</v>
      </c>
      <c r="B449" s="42" t="s">
        <v>824</v>
      </c>
      <c r="C449" s="40" t="s">
        <v>827</v>
      </c>
      <c r="D449" s="40" t="s">
        <v>827</v>
      </c>
      <c r="E449" s="41" t="s">
        <v>1459</v>
      </c>
      <c r="F449" s="5" t="s">
        <v>445</v>
      </c>
      <c r="G449" s="25">
        <v>41277</v>
      </c>
      <c r="H449" s="5" t="s">
        <v>625</v>
      </c>
      <c r="I449" s="5">
        <f>VLOOKUP(MID(表1_11[[#This Row],[工资等级]],1,1),表12[],MATCH(MID(表1_11[[#This Row],[工资等级]],2,2),表12[[#Headers],[1]:[10]],0)+1,0)</f>
        <v>6000</v>
      </c>
      <c r="J449" s="5">
        <v>26.5</v>
      </c>
      <c r="K449" s="27">
        <v>1.1041666666666667</v>
      </c>
      <c r="L449" s="37">
        <f>IF(表1_11[[#This Row],[出勤率]]&gt;1,1,表1_11[[#This Row],[出勤率]])*表1_11[[#This Row],[岗位工资]]</f>
        <v>6000</v>
      </c>
      <c r="M449" s="5">
        <f>LOOKUP(表1_11[[#This Row],[岗位工资]],表13[lookup],表13[奖金比率])*表1_11[[#This Row],[岗位工资]]</f>
        <v>900</v>
      </c>
      <c r="N449" s="5">
        <v>82</v>
      </c>
      <c r="O449" s="38">
        <f>表1_11[[#This Row],[奖金等级]]*表1_11[[#This Row],[绩效得分]]/100</f>
        <v>738</v>
      </c>
      <c r="P449" s="5">
        <f>IF(表1_11[[#This Row],[出勤率]]&gt;=1,200,0)</f>
        <v>200</v>
      </c>
      <c r="Q449" s="23">
        <f t="shared" ca="1" si="6"/>
        <v>250</v>
      </c>
      <c r="R449" s="23">
        <f>IF(表1_11[[#This Row],[中心]]="营销中心",VLOOKUP(表1_11[[#This Row],[职位]],表2[[话费补贴]:[营销中心]],2,0),VLOOKUP(表1_11[[#This Row],[职位]],表2[],3,0))</f>
        <v>300</v>
      </c>
      <c r="S449" s="23">
        <v>200</v>
      </c>
      <c r="T449" s="61">
        <f ca="1">ROUND(SUM(表1_11[[#This Row],[基本工资]],表1_11[[#This Row],[奖金]],表1_11[[#This Row],[全勤奖]:[防暑降温补贴]]),2)</f>
        <v>7688</v>
      </c>
      <c r="U449" s="62">
        <f ca="1">ROUND(表1_11[[#This Row],[税前应发总额]]*8%,2)</f>
        <v>615.04</v>
      </c>
      <c r="V449" s="62">
        <f ca="1">ROUND(表1_11[[#This Row],[税前应发总额]]*2%+3,2)</f>
        <v>156.76</v>
      </c>
      <c r="W449" s="62">
        <f ca="1">ROUND(表1_11[[#This Row],[税前应发总额]]*0.2%,2)</f>
        <v>15.38</v>
      </c>
      <c r="X449" s="62">
        <f ca="1">ROUND(表1_11[[#This Row],[税前应发总额]]*12%,2)</f>
        <v>922.56</v>
      </c>
      <c r="Y449" s="61">
        <f ca="1">ROUND(表1_11[[#This Row],[税前应发总额]]-SUM(表1_11[[#This Row],[养老保险]:[公积金]]),2)</f>
        <v>5978.26</v>
      </c>
      <c r="Z449" s="62">
        <f ca="1">ROUND(MAX((表1_11[[#This Row],[扣保险后工资金额]]-3500)*{3,10,20,25,30,35,45}%-{0,105,555,1005,2755,5505,13505},0),2)</f>
        <v>142.83000000000001</v>
      </c>
      <c r="AA449" s="63">
        <f ca="1">表1_11[[#This Row],[扣保险后工资金额]]-表1_11[[#This Row],[个人所得税]]</f>
        <v>5835.43</v>
      </c>
      <c r="AB449" s="53">
        <v>6359.67</v>
      </c>
      <c r="AC449" s="64">
        <f ca="1">(表1_11[[#This Row],[实发工资]]-表1_11[[#This Row],[上月对比]])/表1_11[[#This Row],[上月对比]]</f>
        <v>-8.2431950085460379E-2</v>
      </c>
      <c r="AD449" s="65" t="s">
        <v>1587</v>
      </c>
    </row>
    <row r="450" spans="1:30">
      <c r="A450" s="42" t="s">
        <v>823</v>
      </c>
      <c r="B450" s="42" t="s">
        <v>824</v>
      </c>
      <c r="C450" s="40" t="s">
        <v>793</v>
      </c>
      <c r="D450" s="40" t="s">
        <v>794</v>
      </c>
      <c r="E450" s="41" t="s">
        <v>1460</v>
      </c>
      <c r="F450" s="5" t="s">
        <v>446</v>
      </c>
      <c r="G450" s="25">
        <v>40680</v>
      </c>
      <c r="H450" s="5" t="s">
        <v>615</v>
      </c>
      <c r="I450" s="5">
        <f>VLOOKUP(MID(表1_11[[#This Row],[工资等级]],1,1),表12[],MATCH(MID(表1_11[[#This Row],[工资等级]],2,2),表12[[#Headers],[1]:[10]],0)+1,0)</f>
        <v>3200</v>
      </c>
      <c r="J450" s="5">
        <v>20.5</v>
      </c>
      <c r="K450" s="27">
        <v>0.85416666666666663</v>
      </c>
      <c r="L450" s="37">
        <f>IF(表1_11[[#This Row],[出勤率]]&gt;1,1,表1_11[[#This Row],[出勤率]])*表1_11[[#This Row],[岗位工资]]</f>
        <v>2733.333333333333</v>
      </c>
      <c r="M450" s="5">
        <f>LOOKUP(表1_11[[#This Row],[岗位工资]],表13[lookup],表13[奖金比率])*表1_11[[#This Row],[岗位工资]]</f>
        <v>320</v>
      </c>
      <c r="N450" s="5">
        <v>85</v>
      </c>
      <c r="O450" s="38">
        <f>表1_11[[#This Row],[奖金等级]]*表1_11[[#This Row],[绩效得分]]/100</f>
        <v>272</v>
      </c>
      <c r="P450" s="5">
        <f>IF(表1_11[[#This Row],[出勤率]]&gt;=1,200,0)</f>
        <v>0</v>
      </c>
      <c r="Q450" s="23">
        <f t="shared" ref="Q450:Q513" ca="1" si="7">IF(工龄&gt;=10,500,工龄*50)</f>
        <v>300</v>
      </c>
      <c r="R450" s="23">
        <f>IF(表1_11[[#This Row],[中心]]="营销中心",VLOOKUP(表1_11[[#This Row],[职位]],表2[[话费补贴]:[营销中心]],2,0),VLOOKUP(表1_11[[#This Row],[职位]],表2[],3,0))</f>
        <v>0</v>
      </c>
      <c r="S450" s="23">
        <v>200</v>
      </c>
      <c r="T450" s="61">
        <f ca="1">ROUND(SUM(表1_11[[#This Row],[基本工资]],表1_11[[#This Row],[奖金]],表1_11[[#This Row],[全勤奖]:[防暑降温补贴]]),2)</f>
        <v>3505.33</v>
      </c>
      <c r="U450" s="62">
        <f ca="1">ROUND(表1_11[[#This Row],[税前应发总额]]*8%,2)</f>
        <v>280.43</v>
      </c>
      <c r="V450" s="62">
        <f ca="1">ROUND(表1_11[[#This Row],[税前应发总额]]*2%+3,2)</f>
        <v>73.11</v>
      </c>
      <c r="W450" s="62">
        <f ca="1">ROUND(表1_11[[#This Row],[税前应发总额]]*0.2%,2)</f>
        <v>7.01</v>
      </c>
      <c r="X450" s="62">
        <f ca="1">ROUND(表1_11[[#This Row],[税前应发总额]]*12%,2)</f>
        <v>420.64</v>
      </c>
      <c r="Y450" s="61">
        <f ca="1">ROUND(表1_11[[#This Row],[税前应发总额]]-SUM(表1_11[[#This Row],[养老保险]:[公积金]]),2)</f>
        <v>2724.14</v>
      </c>
      <c r="Z450" s="62">
        <f ca="1">ROUND(MAX((表1_11[[#This Row],[扣保险后工资金额]]-3500)*{3,10,20,25,30,35,45}%-{0,105,555,1005,2755,5505,13505},0),2)</f>
        <v>0</v>
      </c>
      <c r="AA450" s="63">
        <f ca="1">表1_11[[#This Row],[扣保险后工资金额]]-表1_11[[#This Row],[个人所得税]]</f>
        <v>2724.14</v>
      </c>
      <c r="AB450" s="53">
        <v>2964.04</v>
      </c>
      <c r="AC450" s="64">
        <f ca="1">(表1_11[[#This Row],[实发工资]]-表1_11[[#This Row],[上月对比]])/表1_11[[#This Row],[上月对比]]</f>
        <v>-8.0936829462490423E-2</v>
      </c>
      <c r="AD450" s="65" t="s">
        <v>1587</v>
      </c>
    </row>
    <row r="451" spans="1:30">
      <c r="A451" s="42" t="s">
        <v>823</v>
      </c>
      <c r="B451" s="42" t="s">
        <v>824</v>
      </c>
      <c r="C451" s="40" t="s">
        <v>655</v>
      </c>
      <c r="D451" s="40" t="s">
        <v>656</v>
      </c>
      <c r="E451" s="41" t="s">
        <v>1461</v>
      </c>
      <c r="F451" s="5" t="s">
        <v>447</v>
      </c>
      <c r="G451" s="25">
        <v>42037</v>
      </c>
      <c r="H451" s="5" t="s">
        <v>612</v>
      </c>
      <c r="I451" s="5">
        <f>VLOOKUP(MID(表1_11[[#This Row],[工资等级]],1,1),表12[],MATCH(MID(表1_11[[#This Row],[工资等级]],2,2),表12[[#Headers],[1]:[10]],0)+1,0)</f>
        <v>2700</v>
      </c>
      <c r="J451" s="5">
        <v>25</v>
      </c>
      <c r="K451" s="27">
        <v>1.0416666666666667</v>
      </c>
      <c r="L451" s="37">
        <f>IF(表1_11[[#This Row],[出勤率]]&gt;1,1,表1_11[[#This Row],[出勤率]])*表1_11[[#This Row],[岗位工资]]</f>
        <v>2700</v>
      </c>
      <c r="M451" s="5">
        <f>LOOKUP(表1_11[[#This Row],[岗位工资]],表13[lookup],表13[奖金比率])*表1_11[[#This Row],[岗位工资]]</f>
        <v>270</v>
      </c>
      <c r="N451" s="5">
        <v>93</v>
      </c>
      <c r="O451" s="38">
        <f>表1_11[[#This Row],[奖金等级]]*表1_11[[#This Row],[绩效得分]]/100</f>
        <v>251.1</v>
      </c>
      <c r="P451" s="5">
        <f>IF(表1_11[[#This Row],[出勤率]]&gt;=1,200,0)</f>
        <v>200</v>
      </c>
      <c r="Q451" s="23">
        <f t="shared" ca="1" si="7"/>
        <v>150</v>
      </c>
      <c r="R451" s="23">
        <f>IF(表1_11[[#This Row],[中心]]="营销中心",VLOOKUP(表1_11[[#This Row],[职位]],表2[[话费补贴]:[营销中心]],2,0),VLOOKUP(表1_11[[#This Row],[职位]],表2[],3,0))</f>
        <v>0</v>
      </c>
      <c r="S451" s="23">
        <v>200</v>
      </c>
      <c r="T451" s="61">
        <f ca="1">ROUND(SUM(表1_11[[#This Row],[基本工资]],表1_11[[#This Row],[奖金]],表1_11[[#This Row],[全勤奖]:[防暑降温补贴]]),2)</f>
        <v>3501.1</v>
      </c>
      <c r="U451" s="62">
        <f ca="1">ROUND(表1_11[[#This Row],[税前应发总额]]*8%,2)</f>
        <v>280.08999999999997</v>
      </c>
      <c r="V451" s="62">
        <f ca="1">ROUND(表1_11[[#This Row],[税前应发总额]]*2%+3,2)</f>
        <v>73.02</v>
      </c>
      <c r="W451" s="62">
        <f ca="1">ROUND(表1_11[[#This Row],[税前应发总额]]*0.2%,2)</f>
        <v>7</v>
      </c>
      <c r="X451" s="62">
        <f ca="1">ROUND(表1_11[[#This Row],[税前应发总额]]*12%,2)</f>
        <v>420.13</v>
      </c>
      <c r="Y451" s="61">
        <f ca="1">ROUND(表1_11[[#This Row],[税前应发总额]]-SUM(表1_11[[#This Row],[养老保险]:[公积金]]),2)</f>
        <v>2720.86</v>
      </c>
      <c r="Z451" s="62">
        <f ca="1">ROUND(MAX((表1_11[[#This Row],[扣保险后工资金额]]-3500)*{3,10,20,25,30,35,45}%-{0,105,555,1005,2755,5505,13505},0),2)</f>
        <v>0</v>
      </c>
      <c r="AA451" s="63">
        <f ca="1">表1_11[[#This Row],[扣保险后工资金额]]-表1_11[[#This Row],[个人所得税]]</f>
        <v>2720.86</v>
      </c>
      <c r="AB451" s="53">
        <v>2673.55</v>
      </c>
      <c r="AC451" s="64">
        <f ca="1">(表1_11[[#This Row],[实发工资]]-表1_11[[#This Row],[上月对比]])/表1_11[[#This Row],[上月对比]]</f>
        <v>1.7695573301415701E-2</v>
      </c>
      <c r="AD451" s="65" t="s">
        <v>1587</v>
      </c>
    </row>
    <row r="452" spans="1:30">
      <c r="A452" s="42" t="s">
        <v>823</v>
      </c>
      <c r="B452" s="42" t="s">
        <v>824</v>
      </c>
      <c r="C452" s="40" t="s">
        <v>642</v>
      </c>
      <c r="D452" s="40" t="s">
        <v>643</v>
      </c>
      <c r="E452" s="41" t="s">
        <v>1462</v>
      </c>
      <c r="F452" s="5" t="s">
        <v>448</v>
      </c>
      <c r="G452" s="25">
        <v>39427</v>
      </c>
      <c r="H452" s="5" t="s">
        <v>612</v>
      </c>
      <c r="I452" s="5">
        <f>VLOOKUP(MID(表1_11[[#This Row],[工资等级]],1,1),表12[],MATCH(MID(表1_11[[#This Row],[工资等级]],2,2),表12[[#Headers],[1]:[10]],0)+1,0)</f>
        <v>2700</v>
      </c>
      <c r="J452" s="5">
        <v>21.5</v>
      </c>
      <c r="K452" s="27">
        <v>0.89583333333333337</v>
      </c>
      <c r="L452" s="37">
        <f>IF(表1_11[[#This Row],[出勤率]]&gt;1,1,表1_11[[#This Row],[出勤率]])*表1_11[[#This Row],[岗位工资]]</f>
        <v>2418.75</v>
      </c>
      <c r="M452" s="5">
        <f>LOOKUP(表1_11[[#This Row],[岗位工资]],表13[lookup],表13[奖金比率])*表1_11[[#This Row],[岗位工资]]</f>
        <v>270</v>
      </c>
      <c r="N452" s="5">
        <v>81</v>
      </c>
      <c r="O452" s="38">
        <f>表1_11[[#This Row],[奖金等级]]*表1_11[[#This Row],[绩效得分]]/100</f>
        <v>218.7</v>
      </c>
      <c r="P452" s="5">
        <f>IF(表1_11[[#This Row],[出勤率]]&gt;=1,200,0)</f>
        <v>0</v>
      </c>
      <c r="Q452" s="23">
        <f t="shared" ca="1" si="7"/>
        <v>500</v>
      </c>
      <c r="R452" s="23">
        <f>IF(表1_11[[#This Row],[中心]]="营销中心",VLOOKUP(表1_11[[#This Row],[职位]],表2[[话费补贴]:[营销中心]],2,0),VLOOKUP(表1_11[[#This Row],[职位]],表2[],3,0))</f>
        <v>0</v>
      </c>
      <c r="S452" s="23">
        <v>200</v>
      </c>
      <c r="T452" s="61">
        <f ca="1">ROUND(SUM(表1_11[[#This Row],[基本工资]],表1_11[[#This Row],[奖金]],表1_11[[#This Row],[全勤奖]:[防暑降温补贴]]),2)</f>
        <v>3337.45</v>
      </c>
      <c r="U452" s="62">
        <f ca="1">ROUND(表1_11[[#This Row],[税前应发总额]]*8%,2)</f>
        <v>267</v>
      </c>
      <c r="V452" s="62">
        <f ca="1">ROUND(表1_11[[#This Row],[税前应发总额]]*2%+3,2)</f>
        <v>69.75</v>
      </c>
      <c r="W452" s="62">
        <f ca="1">ROUND(表1_11[[#This Row],[税前应发总额]]*0.2%,2)</f>
        <v>6.67</v>
      </c>
      <c r="X452" s="62">
        <f ca="1">ROUND(表1_11[[#This Row],[税前应发总额]]*12%,2)</f>
        <v>400.49</v>
      </c>
      <c r="Y452" s="61">
        <f ca="1">ROUND(表1_11[[#This Row],[税前应发总额]]-SUM(表1_11[[#This Row],[养老保险]:[公积金]]),2)</f>
        <v>2593.54</v>
      </c>
      <c r="Z452" s="62">
        <f ca="1">ROUND(MAX((表1_11[[#This Row],[扣保险后工资金额]]-3500)*{3,10,20,25,30,35,45}%-{0,105,555,1005,2755,5505,13505},0),2)</f>
        <v>0</v>
      </c>
      <c r="AA452" s="63">
        <f ca="1">表1_11[[#This Row],[扣保险后工资金额]]-表1_11[[#This Row],[个人所得税]]</f>
        <v>2593.54</v>
      </c>
      <c r="AB452" s="53">
        <v>2385.0500000000002</v>
      </c>
      <c r="AC452" s="64">
        <f ca="1">(表1_11[[#This Row],[实发工资]]-表1_11[[#This Row],[上月对比]])/表1_11[[#This Row],[上月对比]]</f>
        <v>8.741535816859175E-2</v>
      </c>
      <c r="AD452" s="65" t="s">
        <v>1587</v>
      </c>
    </row>
    <row r="453" spans="1:30">
      <c r="A453" s="42" t="s">
        <v>823</v>
      </c>
      <c r="B453" s="42" t="s">
        <v>824</v>
      </c>
      <c r="C453" s="40" t="s">
        <v>711</v>
      </c>
      <c r="D453" s="40" t="s">
        <v>712</v>
      </c>
      <c r="E453" s="41" t="s">
        <v>1463</v>
      </c>
      <c r="F453" s="5" t="s">
        <v>449</v>
      </c>
      <c r="G453" s="25">
        <v>42475</v>
      </c>
      <c r="H453" s="5" t="s">
        <v>618</v>
      </c>
      <c r="I453" s="5">
        <f>VLOOKUP(MID(表1_11[[#This Row],[工资等级]],1,1),表12[],MATCH(MID(表1_11[[#This Row],[工资等级]],2,2),表12[[#Headers],[1]:[10]],0)+1,0)</f>
        <v>3000</v>
      </c>
      <c r="J453" s="5">
        <v>24</v>
      </c>
      <c r="K453" s="27">
        <v>1</v>
      </c>
      <c r="L453" s="37">
        <f>IF(表1_11[[#This Row],[出勤率]]&gt;1,1,表1_11[[#This Row],[出勤率]])*表1_11[[#This Row],[岗位工资]]</f>
        <v>3000</v>
      </c>
      <c r="M453" s="5">
        <f>LOOKUP(表1_11[[#This Row],[岗位工资]],表13[lookup],表13[奖金比率])*表1_11[[#This Row],[岗位工资]]</f>
        <v>300</v>
      </c>
      <c r="N453" s="5">
        <v>89</v>
      </c>
      <c r="O453" s="38">
        <f>表1_11[[#This Row],[奖金等级]]*表1_11[[#This Row],[绩效得分]]/100</f>
        <v>267</v>
      </c>
      <c r="P453" s="5">
        <f>IF(表1_11[[#This Row],[出勤率]]&gt;=1,200,0)</f>
        <v>200</v>
      </c>
      <c r="Q453" s="23">
        <f t="shared" ca="1" si="7"/>
        <v>50</v>
      </c>
      <c r="R453" s="23">
        <f>IF(表1_11[[#This Row],[中心]]="营销中心",VLOOKUP(表1_11[[#This Row],[职位]],表2[[话费补贴]:[营销中心]],2,0),VLOOKUP(表1_11[[#This Row],[职位]],表2[],3,0))</f>
        <v>0</v>
      </c>
      <c r="S453" s="23">
        <v>200</v>
      </c>
      <c r="T453" s="61">
        <f ca="1">ROUND(SUM(表1_11[[#This Row],[基本工资]],表1_11[[#This Row],[奖金]],表1_11[[#This Row],[全勤奖]:[防暑降温补贴]]),2)</f>
        <v>3717</v>
      </c>
      <c r="U453" s="62">
        <f ca="1">ROUND(表1_11[[#This Row],[税前应发总额]]*8%,2)</f>
        <v>297.36</v>
      </c>
      <c r="V453" s="62">
        <f ca="1">ROUND(表1_11[[#This Row],[税前应发总额]]*2%+3,2)</f>
        <v>77.34</v>
      </c>
      <c r="W453" s="62">
        <f ca="1">ROUND(表1_11[[#This Row],[税前应发总额]]*0.2%,2)</f>
        <v>7.43</v>
      </c>
      <c r="X453" s="62">
        <f ca="1">ROUND(表1_11[[#This Row],[税前应发总额]]*12%,2)</f>
        <v>446.04</v>
      </c>
      <c r="Y453" s="61">
        <f ca="1">ROUND(表1_11[[#This Row],[税前应发总额]]-SUM(表1_11[[#This Row],[养老保险]:[公积金]]),2)</f>
        <v>2888.83</v>
      </c>
      <c r="Z453" s="62">
        <f ca="1">ROUND(MAX((表1_11[[#This Row],[扣保险后工资金额]]-3500)*{3,10,20,25,30,35,45}%-{0,105,555,1005,2755,5505,13505},0),2)</f>
        <v>0</v>
      </c>
      <c r="AA453" s="63">
        <f ca="1">表1_11[[#This Row],[扣保险后工资金额]]-表1_11[[#This Row],[个人所得税]]</f>
        <v>2888.83</v>
      </c>
      <c r="AB453" s="53">
        <v>2494.4299999999998</v>
      </c>
      <c r="AC453" s="64">
        <f ca="1">(表1_11[[#This Row],[实发工资]]-表1_11[[#This Row],[上月对比]])/表1_11[[#This Row],[上月对比]]</f>
        <v>0.15811227414679913</v>
      </c>
      <c r="AD453" s="65" t="s">
        <v>1587</v>
      </c>
    </row>
    <row r="454" spans="1:30">
      <c r="A454" s="42" t="s">
        <v>823</v>
      </c>
      <c r="B454" s="42" t="s">
        <v>824</v>
      </c>
      <c r="C454" s="40" t="s">
        <v>787</v>
      </c>
      <c r="D454" s="40" t="s">
        <v>788</v>
      </c>
      <c r="E454" s="41" t="s">
        <v>1464</v>
      </c>
      <c r="F454" s="5" t="s">
        <v>450</v>
      </c>
      <c r="G454" s="25">
        <v>40798</v>
      </c>
      <c r="H454" s="5" t="s">
        <v>623</v>
      </c>
      <c r="I454" s="5">
        <f>VLOOKUP(MID(表1_11[[#This Row],[工资等级]],1,1),表12[],MATCH(MID(表1_11[[#This Row],[工资等级]],2,2),表12[[#Headers],[1]:[10]],0)+1,0)</f>
        <v>3800</v>
      </c>
      <c r="J454" s="5">
        <v>25.5</v>
      </c>
      <c r="K454" s="27">
        <v>1.0625</v>
      </c>
      <c r="L454" s="37">
        <f>IF(表1_11[[#This Row],[出勤率]]&gt;1,1,表1_11[[#This Row],[出勤率]])*表1_11[[#This Row],[岗位工资]]</f>
        <v>3800</v>
      </c>
      <c r="M454" s="5">
        <f>LOOKUP(表1_11[[#This Row],[岗位工资]],表13[lookup],表13[奖金比率])*表1_11[[#This Row],[岗位工资]]</f>
        <v>380</v>
      </c>
      <c r="N454" s="5">
        <v>93</v>
      </c>
      <c r="O454" s="38">
        <f>表1_11[[#This Row],[奖金等级]]*表1_11[[#This Row],[绩效得分]]/100</f>
        <v>353.4</v>
      </c>
      <c r="P454" s="5">
        <f>IF(表1_11[[#This Row],[出勤率]]&gt;=1,200,0)</f>
        <v>200</v>
      </c>
      <c r="Q454" s="23">
        <f t="shared" ca="1" si="7"/>
        <v>300</v>
      </c>
      <c r="R454" s="23">
        <f>IF(表1_11[[#This Row],[中心]]="营销中心",VLOOKUP(表1_11[[#This Row],[职位]],表2[[话费补贴]:[营销中心]],2,0),VLOOKUP(表1_11[[#This Row],[职位]],表2[],3,0))</f>
        <v>0</v>
      </c>
      <c r="S454" s="23">
        <v>200</v>
      </c>
      <c r="T454" s="61">
        <f ca="1">ROUND(SUM(表1_11[[#This Row],[基本工资]],表1_11[[#This Row],[奖金]],表1_11[[#This Row],[全勤奖]:[防暑降温补贴]]),2)</f>
        <v>4853.3999999999996</v>
      </c>
      <c r="U454" s="62">
        <f ca="1">ROUND(表1_11[[#This Row],[税前应发总额]]*8%,2)</f>
        <v>388.27</v>
      </c>
      <c r="V454" s="62">
        <f ca="1">ROUND(表1_11[[#This Row],[税前应发总额]]*2%+3,2)</f>
        <v>100.07</v>
      </c>
      <c r="W454" s="62">
        <f ca="1">ROUND(表1_11[[#This Row],[税前应发总额]]*0.2%,2)</f>
        <v>9.7100000000000009</v>
      </c>
      <c r="X454" s="62">
        <f ca="1">ROUND(表1_11[[#This Row],[税前应发总额]]*12%,2)</f>
        <v>582.41</v>
      </c>
      <c r="Y454" s="61">
        <f ca="1">ROUND(表1_11[[#This Row],[税前应发总额]]-SUM(表1_11[[#This Row],[养老保险]:[公积金]]),2)</f>
        <v>3772.94</v>
      </c>
      <c r="Z454" s="62">
        <f ca="1">ROUND(MAX((表1_11[[#This Row],[扣保险后工资金额]]-3500)*{3,10,20,25,30,35,45}%-{0,105,555,1005,2755,5505,13505},0),2)</f>
        <v>8.19</v>
      </c>
      <c r="AA454" s="63">
        <f ca="1">表1_11[[#This Row],[扣保险后工资金额]]-表1_11[[#This Row],[个人所得税]]</f>
        <v>3764.75</v>
      </c>
      <c r="AB454" s="53">
        <v>4077.65</v>
      </c>
      <c r="AC454" s="64">
        <f ca="1">(表1_11[[#This Row],[实发工资]]-表1_11[[#This Row],[上月对比]])/表1_11[[#This Row],[上月对比]]</f>
        <v>-7.6735374541709089E-2</v>
      </c>
      <c r="AD454" s="65" t="s">
        <v>1587</v>
      </c>
    </row>
    <row r="455" spans="1:30">
      <c r="A455" s="42" t="s">
        <v>823</v>
      </c>
      <c r="B455" s="42" t="s">
        <v>824</v>
      </c>
      <c r="C455" s="40" t="s">
        <v>818</v>
      </c>
      <c r="D455" s="40" t="s">
        <v>819</v>
      </c>
      <c r="E455" s="41" t="s">
        <v>1465</v>
      </c>
      <c r="F455" s="5" t="s">
        <v>451</v>
      </c>
      <c r="G455" s="25">
        <v>39024</v>
      </c>
      <c r="H455" s="5" t="s">
        <v>630</v>
      </c>
      <c r="I455" s="5">
        <f>VLOOKUP(MID(表1_11[[#This Row],[工资等级]],1,1),表12[],MATCH(MID(表1_11[[#This Row],[工资等级]],2,2),表12[[#Headers],[1]:[10]],0)+1,0)</f>
        <v>2600</v>
      </c>
      <c r="J455" s="5">
        <v>22</v>
      </c>
      <c r="K455" s="27">
        <v>0.91666666666666663</v>
      </c>
      <c r="L455" s="37">
        <f>IF(表1_11[[#This Row],[出勤率]]&gt;1,1,表1_11[[#This Row],[出勤率]])*表1_11[[#This Row],[岗位工资]]</f>
        <v>2383.333333333333</v>
      </c>
      <c r="M455" s="5">
        <f>LOOKUP(表1_11[[#This Row],[岗位工资]],表13[lookup],表13[奖金比率])*表1_11[[#This Row],[岗位工资]]</f>
        <v>260</v>
      </c>
      <c r="N455" s="5">
        <v>83</v>
      </c>
      <c r="O455" s="38">
        <f>表1_11[[#This Row],[奖金等级]]*表1_11[[#This Row],[绩效得分]]/100</f>
        <v>215.8</v>
      </c>
      <c r="P455" s="5">
        <f>IF(表1_11[[#This Row],[出勤率]]&gt;=1,200,0)</f>
        <v>0</v>
      </c>
      <c r="Q455" s="23">
        <f t="shared" ca="1" si="7"/>
        <v>500</v>
      </c>
      <c r="R455" s="23">
        <f>IF(表1_11[[#This Row],[中心]]="营销中心",VLOOKUP(表1_11[[#This Row],[职位]],表2[[话费补贴]:[营销中心]],2,0),VLOOKUP(表1_11[[#This Row],[职位]],表2[],3,0))</f>
        <v>0</v>
      </c>
      <c r="S455" s="23">
        <v>200</v>
      </c>
      <c r="T455" s="61">
        <f ca="1">ROUND(SUM(表1_11[[#This Row],[基本工资]],表1_11[[#This Row],[奖金]],表1_11[[#This Row],[全勤奖]:[防暑降温补贴]]),2)</f>
        <v>3299.13</v>
      </c>
      <c r="U455" s="62">
        <f ca="1">ROUND(表1_11[[#This Row],[税前应发总额]]*8%,2)</f>
        <v>263.93</v>
      </c>
      <c r="V455" s="62">
        <f ca="1">ROUND(表1_11[[#This Row],[税前应发总额]]*2%+3,2)</f>
        <v>68.98</v>
      </c>
      <c r="W455" s="62">
        <f ca="1">ROUND(表1_11[[#This Row],[税前应发总额]]*0.2%,2)</f>
        <v>6.6</v>
      </c>
      <c r="X455" s="62">
        <f ca="1">ROUND(表1_11[[#This Row],[税前应发总额]]*12%,2)</f>
        <v>395.9</v>
      </c>
      <c r="Y455" s="61">
        <f ca="1">ROUND(表1_11[[#This Row],[税前应发总额]]-SUM(表1_11[[#This Row],[养老保险]:[公积金]]),2)</f>
        <v>2563.7199999999998</v>
      </c>
      <c r="Z455" s="62">
        <f ca="1">ROUND(MAX((表1_11[[#This Row],[扣保险后工资金额]]-3500)*{3,10,20,25,30,35,45}%-{0,105,555,1005,2755,5505,13505},0),2)</f>
        <v>0</v>
      </c>
      <c r="AA455" s="63">
        <f ca="1">表1_11[[#This Row],[扣保险后工资金额]]-表1_11[[#This Row],[个人所得税]]</f>
        <v>2563.7199999999998</v>
      </c>
      <c r="AB455" s="53">
        <v>2175.73</v>
      </c>
      <c r="AC455" s="64">
        <f ca="1">(表1_11[[#This Row],[实发工资]]-表1_11[[#This Row],[上月对比]])/表1_11[[#This Row],[上月对比]]</f>
        <v>0.17832635483263079</v>
      </c>
      <c r="AD455" s="65" t="s">
        <v>1587</v>
      </c>
    </row>
    <row r="456" spans="1:30">
      <c r="A456" s="42" t="s">
        <v>823</v>
      </c>
      <c r="B456" s="42" t="s">
        <v>824</v>
      </c>
      <c r="C456" s="40" t="s">
        <v>793</v>
      </c>
      <c r="D456" s="40" t="s">
        <v>794</v>
      </c>
      <c r="E456" s="41" t="s">
        <v>1466</v>
      </c>
      <c r="F456" s="5" t="s">
        <v>452</v>
      </c>
      <c r="G456" s="25">
        <v>42146</v>
      </c>
      <c r="H456" s="5" t="s">
        <v>615</v>
      </c>
      <c r="I456" s="5">
        <f>VLOOKUP(MID(表1_11[[#This Row],[工资等级]],1,1),表12[],MATCH(MID(表1_11[[#This Row],[工资等级]],2,2),表12[[#Headers],[1]:[10]],0)+1,0)</f>
        <v>3200</v>
      </c>
      <c r="J456" s="5">
        <v>24.5</v>
      </c>
      <c r="K456" s="27">
        <v>1.0208333333333333</v>
      </c>
      <c r="L456" s="37">
        <f>IF(表1_11[[#This Row],[出勤率]]&gt;1,1,表1_11[[#This Row],[出勤率]])*表1_11[[#This Row],[岗位工资]]</f>
        <v>3200</v>
      </c>
      <c r="M456" s="5">
        <f>LOOKUP(表1_11[[#This Row],[岗位工资]],表13[lookup],表13[奖金比率])*表1_11[[#This Row],[岗位工资]]</f>
        <v>320</v>
      </c>
      <c r="N456" s="5">
        <v>90</v>
      </c>
      <c r="O456" s="38">
        <f>表1_11[[#This Row],[奖金等级]]*表1_11[[#This Row],[绩效得分]]/100</f>
        <v>288</v>
      </c>
      <c r="P456" s="5">
        <f>IF(表1_11[[#This Row],[出勤率]]&gt;=1,200,0)</f>
        <v>200</v>
      </c>
      <c r="Q456" s="23">
        <f t="shared" ca="1" si="7"/>
        <v>100</v>
      </c>
      <c r="R456" s="23">
        <f>IF(表1_11[[#This Row],[中心]]="营销中心",VLOOKUP(表1_11[[#This Row],[职位]],表2[[话费补贴]:[营销中心]],2,0),VLOOKUP(表1_11[[#This Row],[职位]],表2[],3,0))</f>
        <v>0</v>
      </c>
      <c r="S456" s="23">
        <v>200</v>
      </c>
      <c r="T456" s="61">
        <f ca="1">ROUND(SUM(表1_11[[#This Row],[基本工资]],表1_11[[#This Row],[奖金]],表1_11[[#This Row],[全勤奖]:[防暑降温补贴]]),2)</f>
        <v>3988</v>
      </c>
      <c r="U456" s="62">
        <f ca="1">ROUND(表1_11[[#This Row],[税前应发总额]]*8%,2)</f>
        <v>319.04000000000002</v>
      </c>
      <c r="V456" s="62">
        <f ca="1">ROUND(表1_11[[#This Row],[税前应发总额]]*2%+3,2)</f>
        <v>82.76</v>
      </c>
      <c r="W456" s="62">
        <f ca="1">ROUND(表1_11[[#This Row],[税前应发总额]]*0.2%,2)</f>
        <v>7.98</v>
      </c>
      <c r="X456" s="62">
        <f ca="1">ROUND(表1_11[[#This Row],[税前应发总额]]*12%,2)</f>
        <v>478.56</v>
      </c>
      <c r="Y456" s="61">
        <f ca="1">ROUND(表1_11[[#This Row],[税前应发总额]]-SUM(表1_11[[#This Row],[养老保险]:[公积金]]),2)</f>
        <v>3099.66</v>
      </c>
      <c r="Z456" s="62">
        <f ca="1">ROUND(MAX((表1_11[[#This Row],[扣保险后工资金额]]-3500)*{3,10,20,25,30,35,45}%-{0,105,555,1005,2755,5505,13505},0),2)</f>
        <v>0</v>
      </c>
      <c r="AA456" s="63">
        <f ca="1">表1_11[[#This Row],[扣保险后工资金额]]-表1_11[[#This Row],[个人所得税]]</f>
        <v>3099.66</v>
      </c>
      <c r="AB456" s="53">
        <v>3478.35</v>
      </c>
      <c r="AC456" s="64">
        <f ca="1">(表1_11[[#This Row],[实发工资]]-表1_11[[#This Row],[上月对比]])/表1_11[[#This Row],[上月对比]]</f>
        <v>-0.10887058519125449</v>
      </c>
      <c r="AD456" s="65" t="s">
        <v>1587</v>
      </c>
    </row>
    <row r="457" spans="1:30">
      <c r="A457" s="42" t="s">
        <v>823</v>
      </c>
      <c r="B457" s="42" t="s">
        <v>824</v>
      </c>
      <c r="C457" s="40" t="s">
        <v>655</v>
      </c>
      <c r="D457" s="40" t="s">
        <v>656</v>
      </c>
      <c r="E457" s="41" t="s">
        <v>1467</v>
      </c>
      <c r="F457" s="5" t="s">
        <v>453</v>
      </c>
      <c r="G457" s="25">
        <v>39173</v>
      </c>
      <c r="H457" s="5" t="s">
        <v>657</v>
      </c>
      <c r="I457" s="5">
        <f>VLOOKUP(MID(表1_11[[#This Row],[工资等级]],1,1),表12[],MATCH(MID(表1_11[[#This Row],[工资等级]],2,2),表12[[#Headers],[1]:[10]],0)+1,0)</f>
        <v>4000</v>
      </c>
      <c r="J457" s="5">
        <v>21.5</v>
      </c>
      <c r="K457" s="27">
        <v>0.89583333333333337</v>
      </c>
      <c r="L457" s="37">
        <f>IF(表1_11[[#This Row],[出勤率]]&gt;1,1,表1_11[[#This Row],[出勤率]])*表1_11[[#This Row],[岗位工资]]</f>
        <v>3583.3333333333335</v>
      </c>
      <c r="M457" s="5">
        <f>LOOKUP(表1_11[[#This Row],[岗位工资]],表13[lookup],表13[奖金比率])*表1_11[[#This Row],[岗位工资]]</f>
        <v>600</v>
      </c>
      <c r="N457" s="5">
        <v>94</v>
      </c>
      <c r="O457" s="38">
        <f>表1_11[[#This Row],[奖金等级]]*表1_11[[#This Row],[绩效得分]]/100</f>
        <v>564</v>
      </c>
      <c r="P457" s="5">
        <f>IF(表1_11[[#This Row],[出勤率]]&gt;=1,200,0)</f>
        <v>0</v>
      </c>
      <c r="Q457" s="23">
        <f t="shared" ca="1" si="7"/>
        <v>500</v>
      </c>
      <c r="R457" s="23">
        <f>IF(表1_11[[#This Row],[中心]]="营销中心",VLOOKUP(表1_11[[#This Row],[职位]],表2[[话费补贴]:[营销中心]],2,0),VLOOKUP(表1_11[[#This Row],[职位]],表2[],3,0))</f>
        <v>0</v>
      </c>
      <c r="S457" s="23">
        <v>200</v>
      </c>
      <c r="T457" s="61">
        <f ca="1">ROUND(SUM(表1_11[[#This Row],[基本工资]],表1_11[[#This Row],[奖金]],表1_11[[#This Row],[全勤奖]:[防暑降温补贴]]),2)</f>
        <v>4847.33</v>
      </c>
      <c r="U457" s="62">
        <f ca="1">ROUND(表1_11[[#This Row],[税前应发总额]]*8%,2)</f>
        <v>387.79</v>
      </c>
      <c r="V457" s="62">
        <f ca="1">ROUND(表1_11[[#This Row],[税前应发总额]]*2%+3,2)</f>
        <v>99.95</v>
      </c>
      <c r="W457" s="62">
        <f ca="1">ROUND(表1_11[[#This Row],[税前应发总额]]*0.2%,2)</f>
        <v>9.69</v>
      </c>
      <c r="X457" s="62">
        <f ca="1">ROUND(表1_11[[#This Row],[税前应发总额]]*12%,2)</f>
        <v>581.67999999999995</v>
      </c>
      <c r="Y457" s="61">
        <f ca="1">ROUND(表1_11[[#This Row],[税前应发总额]]-SUM(表1_11[[#This Row],[养老保险]:[公积金]]),2)</f>
        <v>3768.22</v>
      </c>
      <c r="Z457" s="62">
        <f ca="1">ROUND(MAX((表1_11[[#This Row],[扣保险后工资金额]]-3500)*{3,10,20,25,30,35,45}%-{0,105,555,1005,2755,5505,13505},0),2)</f>
        <v>8.0500000000000007</v>
      </c>
      <c r="AA457" s="63">
        <f ca="1">表1_11[[#This Row],[扣保险后工资金额]]-表1_11[[#This Row],[个人所得税]]</f>
        <v>3760.1699999999996</v>
      </c>
      <c r="AB457" s="53">
        <v>4474.16</v>
      </c>
      <c r="AC457" s="64">
        <f ca="1">(表1_11[[#This Row],[实发工资]]-表1_11[[#This Row],[上月对比]])/表1_11[[#This Row],[上月对比]]</f>
        <v>-0.15958079281921081</v>
      </c>
      <c r="AD457" s="65" t="s">
        <v>1587</v>
      </c>
    </row>
    <row r="458" spans="1:30">
      <c r="A458" s="42" t="s">
        <v>823</v>
      </c>
      <c r="B458" s="42" t="s">
        <v>828</v>
      </c>
      <c r="C458" s="40" t="s">
        <v>829</v>
      </c>
      <c r="D458" s="40" t="s">
        <v>830</v>
      </c>
      <c r="E458" s="41" t="s">
        <v>1468</v>
      </c>
      <c r="F458" s="5" t="s">
        <v>454</v>
      </c>
      <c r="G458" s="25">
        <v>39628</v>
      </c>
      <c r="H458" s="5" t="s">
        <v>831</v>
      </c>
      <c r="I458" s="5">
        <f>VLOOKUP(MID(表1_11[[#This Row],[工资等级]],1,1),表12[],MATCH(MID(表1_11[[#This Row],[工资等级]],2,2),表12[[#Headers],[1]:[10]],0)+1,0)</f>
        <v>6000</v>
      </c>
      <c r="J458" s="5">
        <v>27</v>
      </c>
      <c r="K458" s="27">
        <v>1.125</v>
      </c>
      <c r="L458" s="37">
        <f>IF(表1_11[[#This Row],[出勤率]]&gt;1,1,表1_11[[#This Row],[出勤率]])*表1_11[[#This Row],[岗位工资]]</f>
        <v>6000</v>
      </c>
      <c r="M458" s="5">
        <f>LOOKUP(表1_11[[#This Row],[岗位工资]],表13[lookup],表13[奖金比率])*表1_11[[#This Row],[岗位工资]]</f>
        <v>900</v>
      </c>
      <c r="N458" s="5">
        <v>84</v>
      </c>
      <c r="O458" s="38">
        <f>表1_11[[#This Row],[奖金等级]]*表1_11[[#This Row],[绩效得分]]/100</f>
        <v>756</v>
      </c>
      <c r="P458" s="5">
        <f>IF(表1_11[[#This Row],[出勤率]]&gt;=1,200,0)</f>
        <v>200</v>
      </c>
      <c r="Q458" s="23">
        <f t="shared" ca="1" si="7"/>
        <v>450</v>
      </c>
      <c r="R458" s="23">
        <f>IF(表1_11[[#This Row],[中心]]="营销中心",VLOOKUP(表1_11[[#This Row],[职位]],表2[[话费补贴]:[营销中心]],2,0),VLOOKUP(表1_11[[#This Row],[职位]],表2[],3,0))</f>
        <v>500</v>
      </c>
      <c r="S458" s="23">
        <v>200</v>
      </c>
      <c r="T458" s="61">
        <f ca="1">ROUND(SUM(表1_11[[#This Row],[基本工资]],表1_11[[#This Row],[奖金]],表1_11[[#This Row],[全勤奖]:[防暑降温补贴]]),2)</f>
        <v>8106</v>
      </c>
      <c r="U458" s="62">
        <f ca="1">ROUND(表1_11[[#This Row],[税前应发总额]]*8%,2)</f>
        <v>648.48</v>
      </c>
      <c r="V458" s="62">
        <f ca="1">ROUND(表1_11[[#This Row],[税前应发总额]]*2%+3,2)</f>
        <v>165.12</v>
      </c>
      <c r="W458" s="62">
        <f ca="1">ROUND(表1_11[[#This Row],[税前应发总额]]*0.2%,2)</f>
        <v>16.21</v>
      </c>
      <c r="X458" s="62">
        <f ca="1">ROUND(表1_11[[#This Row],[税前应发总额]]*12%,2)</f>
        <v>972.72</v>
      </c>
      <c r="Y458" s="61">
        <f ca="1">ROUND(表1_11[[#This Row],[税前应发总额]]-SUM(表1_11[[#This Row],[养老保险]:[公积金]]),2)</f>
        <v>6303.47</v>
      </c>
      <c r="Z458" s="62">
        <f ca="1">ROUND(MAX((表1_11[[#This Row],[扣保险后工资金额]]-3500)*{3,10,20,25,30,35,45}%-{0,105,555,1005,2755,5505,13505},0),2)</f>
        <v>175.35</v>
      </c>
      <c r="AA458" s="63">
        <f ca="1">表1_11[[#This Row],[扣保险后工资金额]]-表1_11[[#This Row],[个人所得税]]</f>
        <v>6128.12</v>
      </c>
      <c r="AB458" s="53">
        <v>5605.66</v>
      </c>
      <c r="AC458" s="64">
        <f ca="1">(表1_11[[#This Row],[实发工资]]-表1_11[[#This Row],[上月对比]])/表1_11[[#This Row],[上月对比]]</f>
        <v>9.3202227748382896E-2</v>
      </c>
      <c r="AD458" s="65" t="s">
        <v>1587</v>
      </c>
    </row>
    <row r="459" spans="1:30">
      <c r="A459" s="42" t="s">
        <v>823</v>
      </c>
      <c r="B459" s="42" t="s">
        <v>828</v>
      </c>
      <c r="C459" s="40" t="s">
        <v>832</v>
      </c>
      <c r="D459" s="40" t="s">
        <v>833</v>
      </c>
      <c r="E459" s="41" t="s">
        <v>1469</v>
      </c>
      <c r="F459" s="5" t="s">
        <v>455</v>
      </c>
      <c r="G459" s="25">
        <v>38669</v>
      </c>
      <c r="H459" s="5" t="s">
        <v>625</v>
      </c>
      <c r="I459" s="5">
        <f>VLOOKUP(MID(表1_11[[#This Row],[工资等级]],1,1),表12[],MATCH(MID(表1_11[[#This Row],[工资等级]],2,2),表12[[#Headers],[1]:[10]],0)+1,0)</f>
        <v>6000</v>
      </c>
      <c r="J459" s="5">
        <v>22</v>
      </c>
      <c r="K459" s="27">
        <v>0.91666666666666663</v>
      </c>
      <c r="L459" s="37">
        <f>IF(表1_11[[#This Row],[出勤率]]&gt;1,1,表1_11[[#This Row],[出勤率]])*表1_11[[#This Row],[岗位工资]]</f>
        <v>5500</v>
      </c>
      <c r="M459" s="5">
        <f>LOOKUP(表1_11[[#This Row],[岗位工资]],表13[lookup],表13[奖金比率])*表1_11[[#This Row],[岗位工资]]</f>
        <v>900</v>
      </c>
      <c r="N459" s="5">
        <v>92</v>
      </c>
      <c r="O459" s="38">
        <f>表1_11[[#This Row],[奖金等级]]*表1_11[[#This Row],[绩效得分]]/100</f>
        <v>828</v>
      </c>
      <c r="P459" s="5">
        <f>IF(表1_11[[#This Row],[出勤率]]&gt;=1,200,0)</f>
        <v>0</v>
      </c>
      <c r="Q459" s="23">
        <f t="shared" ca="1" si="7"/>
        <v>500</v>
      </c>
      <c r="R459" s="23">
        <f>IF(表1_11[[#This Row],[中心]]="营销中心",VLOOKUP(表1_11[[#This Row],[职位]],表2[[话费补贴]:[营销中心]],2,0),VLOOKUP(表1_11[[#This Row],[职位]],表2[],3,0))</f>
        <v>300</v>
      </c>
      <c r="S459" s="23">
        <v>200</v>
      </c>
      <c r="T459" s="61">
        <f ca="1">ROUND(SUM(表1_11[[#This Row],[基本工资]],表1_11[[#This Row],[奖金]],表1_11[[#This Row],[全勤奖]:[防暑降温补贴]]),2)</f>
        <v>7328</v>
      </c>
      <c r="U459" s="62">
        <f ca="1">ROUND(表1_11[[#This Row],[税前应发总额]]*8%,2)</f>
        <v>586.24</v>
      </c>
      <c r="V459" s="62">
        <f ca="1">ROUND(表1_11[[#This Row],[税前应发总额]]*2%+3,2)</f>
        <v>149.56</v>
      </c>
      <c r="W459" s="62">
        <f ca="1">ROUND(表1_11[[#This Row],[税前应发总额]]*0.2%,2)</f>
        <v>14.66</v>
      </c>
      <c r="X459" s="62">
        <f ca="1">ROUND(表1_11[[#This Row],[税前应发总额]]*12%,2)</f>
        <v>879.36</v>
      </c>
      <c r="Y459" s="61">
        <f ca="1">ROUND(表1_11[[#This Row],[税前应发总额]]-SUM(表1_11[[#This Row],[养老保险]:[公积金]]),2)</f>
        <v>5698.18</v>
      </c>
      <c r="Z459" s="62">
        <f ca="1">ROUND(MAX((表1_11[[#This Row],[扣保险后工资金额]]-3500)*{3,10,20,25,30,35,45}%-{0,105,555,1005,2755,5505,13505},0),2)</f>
        <v>114.82</v>
      </c>
      <c r="AA459" s="63">
        <f ca="1">表1_11[[#This Row],[扣保险后工资金额]]-表1_11[[#This Row],[个人所得税]]</f>
        <v>5583.3600000000006</v>
      </c>
      <c r="AB459" s="53">
        <v>6525.16</v>
      </c>
      <c r="AC459" s="64">
        <f ca="1">(表1_11[[#This Row],[实发工资]]-表1_11[[#This Row],[上月对比]])/表1_11[[#This Row],[上月对比]]</f>
        <v>-0.14433362553561893</v>
      </c>
      <c r="AD459" s="65" t="s">
        <v>1587</v>
      </c>
    </row>
    <row r="460" spans="1:30">
      <c r="A460" s="42" t="s">
        <v>823</v>
      </c>
      <c r="B460" s="42" t="s">
        <v>828</v>
      </c>
      <c r="C460" s="40" t="s">
        <v>826</v>
      </c>
      <c r="D460" s="40" t="s">
        <v>834</v>
      </c>
      <c r="E460" s="41" t="s">
        <v>1470</v>
      </c>
      <c r="F460" s="5" t="s">
        <v>456</v>
      </c>
      <c r="G460" s="25">
        <v>42716</v>
      </c>
      <c r="H460" s="5" t="s">
        <v>672</v>
      </c>
      <c r="I460" s="5">
        <f>VLOOKUP(MID(表1_11[[#This Row],[工资等级]],1,1),表12[],MATCH(MID(表1_11[[#This Row],[工资等级]],2,2),表12[[#Headers],[1]:[10]],0)+1,0)</f>
        <v>3800</v>
      </c>
      <c r="J460" s="5">
        <v>25</v>
      </c>
      <c r="K460" s="27">
        <v>1.0416666666666667</v>
      </c>
      <c r="L460" s="37">
        <f>IF(表1_11[[#This Row],[出勤率]]&gt;1,1,表1_11[[#This Row],[出勤率]])*表1_11[[#This Row],[岗位工资]]</f>
        <v>3800</v>
      </c>
      <c r="M460" s="5">
        <f>LOOKUP(表1_11[[#This Row],[岗位工资]],表13[lookup],表13[奖金比率])*表1_11[[#This Row],[岗位工资]]</f>
        <v>380</v>
      </c>
      <c r="N460" s="5">
        <v>86</v>
      </c>
      <c r="O460" s="38">
        <f>表1_11[[#This Row],[奖金等级]]*表1_11[[#This Row],[绩效得分]]/100</f>
        <v>326.8</v>
      </c>
      <c r="P460" s="5">
        <f>IF(表1_11[[#This Row],[出勤率]]&gt;=1,200,0)</f>
        <v>200</v>
      </c>
      <c r="Q460" s="23">
        <f t="shared" ca="1" si="7"/>
        <v>50</v>
      </c>
      <c r="R460" s="23">
        <f>IF(表1_11[[#This Row],[中心]]="营销中心",VLOOKUP(表1_11[[#This Row],[职位]],表2[[话费补贴]:[营销中心]],2,0),VLOOKUP(表1_11[[#This Row],[职位]],表2[],3,0))</f>
        <v>300</v>
      </c>
      <c r="S460" s="23">
        <v>200</v>
      </c>
      <c r="T460" s="61">
        <f ca="1">ROUND(SUM(表1_11[[#This Row],[基本工资]],表1_11[[#This Row],[奖金]],表1_11[[#This Row],[全勤奖]:[防暑降温补贴]]),2)</f>
        <v>4876.8</v>
      </c>
      <c r="U460" s="62">
        <f ca="1">ROUND(表1_11[[#This Row],[税前应发总额]]*8%,2)</f>
        <v>390.14</v>
      </c>
      <c r="V460" s="62">
        <f ca="1">ROUND(表1_11[[#This Row],[税前应发总额]]*2%+3,2)</f>
        <v>100.54</v>
      </c>
      <c r="W460" s="62">
        <f ca="1">ROUND(表1_11[[#This Row],[税前应发总额]]*0.2%,2)</f>
        <v>9.75</v>
      </c>
      <c r="X460" s="62">
        <f ca="1">ROUND(表1_11[[#This Row],[税前应发总额]]*12%,2)</f>
        <v>585.22</v>
      </c>
      <c r="Y460" s="61">
        <f ca="1">ROUND(表1_11[[#This Row],[税前应发总额]]-SUM(表1_11[[#This Row],[养老保险]:[公积金]]),2)</f>
        <v>3791.15</v>
      </c>
      <c r="Z460" s="62">
        <f ca="1">ROUND(MAX((表1_11[[#This Row],[扣保险后工资金额]]-3500)*{3,10,20,25,30,35,45}%-{0,105,555,1005,2755,5505,13505},0),2)</f>
        <v>8.73</v>
      </c>
      <c r="AA460" s="63">
        <f ca="1">表1_11[[#This Row],[扣保险后工资金额]]-表1_11[[#This Row],[个人所得税]]</f>
        <v>3782.42</v>
      </c>
      <c r="AB460" s="53">
        <v>3466.22</v>
      </c>
      <c r="AC460" s="64">
        <f ca="1">(表1_11[[#This Row],[实发工资]]-表1_11[[#This Row],[上月对比]])/表1_11[[#This Row],[上月对比]]</f>
        <v>9.1223292231883801E-2</v>
      </c>
      <c r="AD460" s="65" t="s">
        <v>1587</v>
      </c>
    </row>
    <row r="461" spans="1:30">
      <c r="A461" s="42" t="s">
        <v>823</v>
      </c>
      <c r="B461" s="42" t="s">
        <v>828</v>
      </c>
      <c r="C461" s="40" t="s">
        <v>818</v>
      </c>
      <c r="D461" s="40" t="s">
        <v>819</v>
      </c>
      <c r="E461" s="41" t="s">
        <v>1471</v>
      </c>
      <c r="F461" s="5" t="s">
        <v>457</v>
      </c>
      <c r="G461" s="25">
        <v>40070</v>
      </c>
      <c r="H461" s="5" t="s">
        <v>623</v>
      </c>
      <c r="I461" s="5">
        <f>VLOOKUP(MID(表1_11[[#This Row],[工资等级]],1,1),表12[],MATCH(MID(表1_11[[#This Row],[工资等级]],2,2),表12[[#Headers],[1]:[10]],0)+1,0)</f>
        <v>3800</v>
      </c>
      <c r="J461" s="5">
        <v>23.5</v>
      </c>
      <c r="K461" s="27">
        <v>0.97916666666666663</v>
      </c>
      <c r="L461" s="37">
        <f>IF(表1_11[[#This Row],[出勤率]]&gt;1,1,表1_11[[#This Row],[出勤率]])*表1_11[[#This Row],[岗位工资]]</f>
        <v>3720.833333333333</v>
      </c>
      <c r="M461" s="5">
        <f>LOOKUP(表1_11[[#This Row],[岗位工资]],表13[lookup],表13[奖金比率])*表1_11[[#This Row],[岗位工资]]</f>
        <v>380</v>
      </c>
      <c r="N461" s="5">
        <v>93</v>
      </c>
      <c r="O461" s="38">
        <f>表1_11[[#This Row],[奖金等级]]*表1_11[[#This Row],[绩效得分]]/100</f>
        <v>353.4</v>
      </c>
      <c r="P461" s="5">
        <f>IF(表1_11[[#This Row],[出勤率]]&gt;=1,200,0)</f>
        <v>0</v>
      </c>
      <c r="Q461" s="23">
        <f t="shared" ca="1" si="7"/>
        <v>400</v>
      </c>
      <c r="R461" s="23">
        <f>IF(表1_11[[#This Row],[中心]]="营销中心",VLOOKUP(表1_11[[#This Row],[职位]],表2[[话费补贴]:[营销中心]],2,0),VLOOKUP(表1_11[[#This Row],[职位]],表2[],3,0))</f>
        <v>0</v>
      </c>
      <c r="S461" s="23">
        <v>200</v>
      </c>
      <c r="T461" s="61">
        <f ca="1">ROUND(SUM(表1_11[[#This Row],[基本工资]],表1_11[[#This Row],[奖金]],表1_11[[#This Row],[全勤奖]:[防暑降温补贴]]),2)</f>
        <v>4674.2299999999996</v>
      </c>
      <c r="U461" s="62">
        <f ca="1">ROUND(表1_11[[#This Row],[税前应发总额]]*8%,2)</f>
        <v>373.94</v>
      </c>
      <c r="V461" s="62">
        <f ca="1">ROUND(表1_11[[#This Row],[税前应发总额]]*2%+3,2)</f>
        <v>96.48</v>
      </c>
      <c r="W461" s="62">
        <f ca="1">ROUND(表1_11[[#This Row],[税前应发总额]]*0.2%,2)</f>
        <v>9.35</v>
      </c>
      <c r="X461" s="62">
        <f ca="1">ROUND(表1_11[[#This Row],[税前应发总额]]*12%,2)</f>
        <v>560.91</v>
      </c>
      <c r="Y461" s="61">
        <f ca="1">ROUND(表1_11[[#This Row],[税前应发总额]]-SUM(表1_11[[#This Row],[养老保险]:[公积金]]),2)</f>
        <v>3633.55</v>
      </c>
      <c r="Z461" s="62">
        <f ca="1">ROUND(MAX((表1_11[[#This Row],[扣保险后工资金额]]-3500)*{3,10,20,25,30,35,45}%-{0,105,555,1005,2755,5505,13505},0),2)</f>
        <v>4.01</v>
      </c>
      <c r="AA461" s="63">
        <f ca="1">表1_11[[#This Row],[扣保险后工资金额]]-表1_11[[#This Row],[个人所得税]]</f>
        <v>3629.54</v>
      </c>
      <c r="AB461" s="53">
        <v>3577.47</v>
      </c>
      <c r="AC461" s="64">
        <f ca="1">(表1_11[[#This Row],[实发工资]]-表1_11[[#This Row],[上月对比]])/表1_11[[#This Row],[上月对比]]</f>
        <v>1.4554978797865577E-2</v>
      </c>
      <c r="AD461" s="65" t="s">
        <v>1587</v>
      </c>
    </row>
    <row r="462" spans="1:30">
      <c r="A462" s="42" t="s">
        <v>823</v>
      </c>
      <c r="B462" s="42" t="s">
        <v>828</v>
      </c>
      <c r="C462" s="40" t="s">
        <v>793</v>
      </c>
      <c r="D462" s="40" t="s">
        <v>794</v>
      </c>
      <c r="E462" s="41" t="s">
        <v>1472</v>
      </c>
      <c r="F462" s="5" t="s">
        <v>458</v>
      </c>
      <c r="G462" s="25">
        <v>40147</v>
      </c>
      <c r="H462" s="5" t="s">
        <v>615</v>
      </c>
      <c r="I462" s="5">
        <f>VLOOKUP(MID(表1_11[[#This Row],[工资等级]],1,1),表12[],MATCH(MID(表1_11[[#This Row],[工资等级]],2,2),表12[[#Headers],[1]:[10]],0)+1,0)</f>
        <v>3200</v>
      </c>
      <c r="J462" s="5">
        <v>26</v>
      </c>
      <c r="K462" s="27">
        <v>1.0833333333333333</v>
      </c>
      <c r="L462" s="37">
        <f>IF(表1_11[[#This Row],[出勤率]]&gt;1,1,表1_11[[#This Row],[出勤率]])*表1_11[[#This Row],[岗位工资]]</f>
        <v>3200</v>
      </c>
      <c r="M462" s="5">
        <f>LOOKUP(表1_11[[#This Row],[岗位工资]],表13[lookup],表13[奖金比率])*表1_11[[#This Row],[岗位工资]]</f>
        <v>320</v>
      </c>
      <c r="N462" s="5">
        <v>90</v>
      </c>
      <c r="O462" s="38">
        <f>表1_11[[#This Row],[奖金等级]]*表1_11[[#This Row],[绩效得分]]/100</f>
        <v>288</v>
      </c>
      <c r="P462" s="5">
        <f>IF(表1_11[[#This Row],[出勤率]]&gt;=1,200,0)</f>
        <v>200</v>
      </c>
      <c r="Q462" s="23">
        <f t="shared" ca="1" si="7"/>
        <v>400</v>
      </c>
      <c r="R462" s="23">
        <f>IF(表1_11[[#This Row],[中心]]="营销中心",VLOOKUP(表1_11[[#This Row],[职位]],表2[[话费补贴]:[营销中心]],2,0),VLOOKUP(表1_11[[#This Row],[职位]],表2[],3,0))</f>
        <v>0</v>
      </c>
      <c r="S462" s="23">
        <v>200</v>
      </c>
      <c r="T462" s="61">
        <f ca="1">ROUND(SUM(表1_11[[#This Row],[基本工资]],表1_11[[#This Row],[奖金]],表1_11[[#This Row],[全勤奖]:[防暑降温补贴]]),2)</f>
        <v>4288</v>
      </c>
      <c r="U462" s="62">
        <f ca="1">ROUND(表1_11[[#This Row],[税前应发总额]]*8%,2)</f>
        <v>343.04</v>
      </c>
      <c r="V462" s="62">
        <f ca="1">ROUND(表1_11[[#This Row],[税前应发总额]]*2%+3,2)</f>
        <v>88.76</v>
      </c>
      <c r="W462" s="62">
        <f ca="1">ROUND(表1_11[[#This Row],[税前应发总额]]*0.2%,2)</f>
        <v>8.58</v>
      </c>
      <c r="X462" s="62">
        <f ca="1">ROUND(表1_11[[#This Row],[税前应发总额]]*12%,2)</f>
        <v>514.55999999999995</v>
      </c>
      <c r="Y462" s="61">
        <f ca="1">ROUND(表1_11[[#This Row],[税前应发总额]]-SUM(表1_11[[#This Row],[养老保险]:[公积金]]),2)</f>
        <v>3333.06</v>
      </c>
      <c r="Z462" s="62">
        <f ca="1">ROUND(MAX((表1_11[[#This Row],[扣保险后工资金额]]-3500)*{3,10,20,25,30,35,45}%-{0,105,555,1005,2755,5505,13505},0),2)</f>
        <v>0</v>
      </c>
      <c r="AA462" s="63">
        <f ca="1">表1_11[[#This Row],[扣保险后工资金额]]-表1_11[[#This Row],[个人所得税]]</f>
        <v>3333.06</v>
      </c>
      <c r="AB462" s="53">
        <v>2883.25</v>
      </c>
      <c r="AC462" s="64">
        <f ca="1">(表1_11[[#This Row],[实发工资]]-表1_11[[#This Row],[上月对比]])/表1_11[[#This Row],[上月对比]]</f>
        <v>0.15600797710916497</v>
      </c>
      <c r="AD462" s="65" t="s">
        <v>1587</v>
      </c>
    </row>
    <row r="463" spans="1:30">
      <c r="A463" s="42" t="s">
        <v>823</v>
      </c>
      <c r="B463" s="42" t="s">
        <v>828</v>
      </c>
      <c r="C463" s="40" t="s">
        <v>655</v>
      </c>
      <c r="D463" s="40" t="s">
        <v>656</v>
      </c>
      <c r="E463" s="41" t="s">
        <v>1473</v>
      </c>
      <c r="F463" s="5" t="s">
        <v>459</v>
      </c>
      <c r="G463" s="25">
        <v>39432</v>
      </c>
      <c r="H463" s="5" t="s">
        <v>612</v>
      </c>
      <c r="I463" s="5">
        <f>VLOOKUP(MID(表1_11[[#This Row],[工资等级]],1,1),表12[],MATCH(MID(表1_11[[#This Row],[工资等级]],2,2),表12[[#Headers],[1]:[10]],0)+1,0)</f>
        <v>2700</v>
      </c>
      <c r="J463" s="5">
        <v>26</v>
      </c>
      <c r="K463" s="27">
        <v>1.0833333333333333</v>
      </c>
      <c r="L463" s="37">
        <f>IF(表1_11[[#This Row],[出勤率]]&gt;1,1,表1_11[[#This Row],[出勤率]])*表1_11[[#This Row],[岗位工资]]</f>
        <v>2700</v>
      </c>
      <c r="M463" s="5">
        <f>LOOKUP(表1_11[[#This Row],[岗位工资]],表13[lookup],表13[奖金比率])*表1_11[[#This Row],[岗位工资]]</f>
        <v>270</v>
      </c>
      <c r="N463" s="5">
        <v>99</v>
      </c>
      <c r="O463" s="38">
        <f>表1_11[[#This Row],[奖金等级]]*表1_11[[#This Row],[绩效得分]]/100</f>
        <v>267.3</v>
      </c>
      <c r="P463" s="5">
        <f>IF(表1_11[[#This Row],[出勤率]]&gt;=1,200,0)</f>
        <v>200</v>
      </c>
      <c r="Q463" s="23">
        <f t="shared" ca="1" si="7"/>
        <v>500</v>
      </c>
      <c r="R463" s="23">
        <f>IF(表1_11[[#This Row],[中心]]="营销中心",VLOOKUP(表1_11[[#This Row],[职位]],表2[[话费补贴]:[营销中心]],2,0),VLOOKUP(表1_11[[#This Row],[职位]],表2[],3,0))</f>
        <v>0</v>
      </c>
      <c r="S463" s="23">
        <v>200</v>
      </c>
      <c r="T463" s="61">
        <f ca="1">ROUND(SUM(表1_11[[#This Row],[基本工资]],表1_11[[#This Row],[奖金]],表1_11[[#This Row],[全勤奖]:[防暑降温补贴]]),2)</f>
        <v>3867.3</v>
      </c>
      <c r="U463" s="62">
        <f ca="1">ROUND(表1_11[[#This Row],[税前应发总额]]*8%,2)</f>
        <v>309.38</v>
      </c>
      <c r="V463" s="62">
        <f ca="1">ROUND(表1_11[[#This Row],[税前应发总额]]*2%+3,2)</f>
        <v>80.349999999999994</v>
      </c>
      <c r="W463" s="62">
        <f ca="1">ROUND(表1_11[[#This Row],[税前应发总额]]*0.2%,2)</f>
        <v>7.73</v>
      </c>
      <c r="X463" s="62">
        <f ca="1">ROUND(表1_11[[#This Row],[税前应发总额]]*12%,2)</f>
        <v>464.08</v>
      </c>
      <c r="Y463" s="61">
        <f ca="1">ROUND(表1_11[[#This Row],[税前应发总额]]-SUM(表1_11[[#This Row],[养老保险]:[公积金]]),2)</f>
        <v>3005.76</v>
      </c>
      <c r="Z463" s="62">
        <f ca="1">ROUND(MAX((表1_11[[#This Row],[扣保险后工资金额]]-3500)*{3,10,20,25,30,35,45}%-{0,105,555,1005,2755,5505,13505},0),2)</f>
        <v>0</v>
      </c>
      <c r="AA463" s="63">
        <f ca="1">表1_11[[#This Row],[扣保险后工资金额]]-表1_11[[#This Row],[个人所得税]]</f>
        <v>3005.76</v>
      </c>
      <c r="AB463" s="53">
        <v>2975.31</v>
      </c>
      <c r="AC463" s="64">
        <f ca="1">(表1_11[[#This Row],[实发工资]]-表1_11[[#This Row],[上月对比]])/表1_11[[#This Row],[上月对比]]</f>
        <v>1.0234227693921061E-2</v>
      </c>
      <c r="AD463" s="65" t="s">
        <v>1587</v>
      </c>
    </row>
    <row r="464" spans="1:30">
      <c r="A464" s="42" t="s">
        <v>823</v>
      </c>
      <c r="B464" s="42" t="s">
        <v>828</v>
      </c>
      <c r="C464" s="40" t="s">
        <v>642</v>
      </c>
      <c r="D464" s="40" t="s">
        <v>643</v>
      </c>
      <c r="E464" s="41" t="s">
        <v>1474</v>
      </c>
      <c r="F464" s="5" t="s">
        <v>460</v>
      </c>
      <c r="G464" s="25">
        <v>42579</v>
      </c>
      <c r="H464" s="5" t="s">
        <v>657</v>
      </c>
      <c r="I464" s="5">
        <f>VLOOKUP(MID(表1_11[[#This Row],[工资等级]],1,1),表12[],MATCH(MID(表1_11[[#This Row],[工资等级]],2,2),表12[[#Headers],[1]:[10]],0)+1,0)</f>
        <v>4000</v>
      </c>
      <c r="J464" s="5">
        <v>27</v>
      </c>
      <c r="K464" s="27">
        <v>1.125</v>
      </c>
      <c r="L464" s="37">
        <f>IF(表1_11[[#This Row],[出勤率]]&gt;1,1,表1_11[[#This Row],[出勤率]])*表1_11[[#This Row],[岗位工资]]</f>
        <v>4000</v>
      </c>
      <c r="M464" s="5">
        <f>LOOKUP(表1_11[[#This Row],[岗位工资]],表13[lookup],表13[奖金比率])*表1_11[[#This Row],[岗位工资]]</f>
        <v>600</v>
      </c>
      <c r="N464" s="5">
        <v>95</v>
      </c>
      <c r="O464" s="38">
        <f>表1_11[[#This Row],[奖金等级]]*表1_11[[#This Row],[绩效得分]]/100</f>
        <v>570</v>
      </c>
      <c r="P464" s="5">
        <f>IF(表1_11[[#This Row],[出勤率]]&gt;=1,200,0)</f>
        <v>200</v>
      </c>
      <c r="Q464" s="23">
        <f t="shared" ca="1" si="7"/>
        <v>50</v>
      </c>
      <c r="R464" s="23">
        <f>IF(表1_11[[#This Row],[中心]]="营销中心",VLOOKUP(表1_11[[#This Row],[职位]],表2[[话费补贴]:[营销中心]],2,0),VLOOKUP(表1_11[[#This Row],[职位]],表2[],3,0))</f>
        <v>0</v>
      </c>
      <c r="S464" s="23">
        <v>200</v>
      </c>
      <c r="T464" s="61">
        <f ca="1">ROUND(SUM(表1_11[[#This Row],[基本工资]],表1_11[[#This Row],[奖金]],表1_11[[#This Row],[全勤奖]:[防暑降温补贴]]),2)</f>
        <v>5020</v>
      </c>
      <c r="U464" s="62">
        <f ca="1">ROUND(表1_11[[#This Row],[税前应发总额]]*8%,2)</f>
        <v>401.6</v>
      </c>
      <c r="V464" s="62">
        <f ca="1">ROUND(表1_11[[#This Row],[税前应发总额]]*2%+3,2)</f>
        <v>103.4</v>
      </c>
      <c r="W464" s="62">
        <f ca="1">ROUND(表1_11[[#This Row],[税前应发总额]]*0.2%,2)</f>
        <v>10.039999999999999</v>
      </c>
      <c r="X464" s="62">
        <f ca="1">ROUND(表1_11[[#This Row],[税前应发总额]]*12%,2)</f>
        <v>602.4</v>
      </c>
      <c r="Y464" s="61">
        <f ca="1">ROUND(表1_11[[#This Row],[税前应发总额]]-SUM(表1_11[[#This Row],[养老保险]:[公积金]]),2)</f>
        <v>3902.56</v>
      </c>
      <c r="Z464" s="62">
        <f ca="1">ROUND(MAX((表1_11[[#This Row],[扣保险后工资金额]]-3500)*{3,10,20,25,30,35,45}%-{0,105,555,1005,2755,5505,13505},0),2)</f>
        <v>12.08</v>
      </c>
      <c r="AA464" s="63">
        <f ca="1">表1_11[[#This Row],[扣保险后工资金额]]-表1_11[[#This Row],[个人所得税]]</f>
        <v>3890.48</v>
      </c>
      <c r="AB464" s="53">
        <v>4156.08</v>
      </c>
      <c r="AC464" s="64">
        <f ca="1">(表1_11[[#This Row],[实发工资]]-表1_11[[#This Row],[上月对比]])/表1_11[[#This Row],[上月对比]]</f>
        <v>-6.3906373313314446E-2</v>
      </c>
      <c r="AD464" s="65" t="s">
        <v>1587</v>
      </c>
    </row>
    <row r="465" spans="1:30">
      <c r="A465" s="42" t="s">
        <v>823</v>
      </c>
      <c r="B465" s="42" t="s">
        <v>828</v>
      </c>
      <c r="C465" s="40" t="s">
        <v>711</v>
      </c>
      <c r="D465" s="40" t="s">
        <v>712</v>
      </c>
      <c r="E465" s="41" t="s">
        <v>1475</v>
      </c>
      <c r="F465" s="5" t="s">
        <v>461</v>
      </c>
      <c r="G465" s="25">
        <v>41641</v>
      </c>
      <c r="H465" s="5" t="s">
        <v>624</v>
      </c>
      <c r="I465" s="5">
        <f>VLOOKUP(MID(表1_11[[#This Row],[工资等级]],1,1),表12[],MATCH(MID(表1_11[[#This Row],[工资等级]],2,2),表12[[#Headers],[1]:[10]],0)+1,0)</f>
        <v>2800</v>
      </c>
      <c r="J465" s="5">
        <v>22</v>
      </c>
      <c r="K465" s="27">
        <v>0.91666666666666663</v>
      </c>
      <c r="L465" s="37">
        <f>IF(表1_11[[#This Row],[出勤率]]&gt;1,1,表1_11[[#This Row],[出勤率]])*表1_11[[#This Row],[岗位工资]]</f>
        <v>2566.6666666666665</v>
      </c>
      <c r="M465" s="5">
        <f>LOOKUP(表1_11[[#This Row],[岗位工资]],表13[lookup],表13[奖金比率])*表1_11[[#This Row],[岗位工资]]</f>
        <v>280</v>
      </c>
      <c r="N465" s="5">
        <v>82</v>
      </c>
      <c r="O465" s="38">
        <f>表1_11[[#This Row],[奖金等级]]*表1_11[[#This Row],[绩效得分]]/100</f>
        <v>229.6</v>
      </c>
      <c r="P465" s="5">
        <f>IF(表1_11[[#This Row],[出勤率]]&gt;=1,200,0)</f>
        <v>0</v>
      </c>
      <c r="Q465" s="23">
        <f t="shared" ca="1" si="7"/>
        <v>200</v>
      </c>
      <c r="R465" s="23">
        <f>IF(表1_11[[#This Row],[中心]]="营销中心",VLOOKUP(表1_11[[#This Row],[职位]],表2[[话费补贴]:[营销中心]],2,0),VLOOKUP(表1_11[[#This Row],[职位]],表2[],3,0))</f>
        <v>0</v>
      </c>
      <c r="S465" s="23">
        <v>200</v>
      </c>
      <c r="T465" s="61">
        <f ca="1">ROUND(SUM(表1_11[[#This Row],[基本工资]],表1_11[[#This Row],[奖金]],表1_11[[#This Row],[全勤奖]:[防暑降温补贴]]),2)</f>
        <v>3196.27</v>
      </c>
      <c r="U465" s="62">
        <f ca="1">ROUND(表1_11[[#This Row],[税前应发总额]]*8%,2)</f>
        <v>255.7</v>
      </c>
      <c r="V465" s="62">
        <f ca="1">ROUND(表1_11[[#This Row],[税前应发总额]]*2%+3,2)</f>
        <v>66.930000000000007</v>
      </c>
      <c r="W465" s="62">
        <f ca="1">ROUND(表1_11[[#This Row],[税前应发总额]]*0.2%,2)</f>
        <v>6.39</v>
      </c>
      <c r="X465" s="62">
        <f ca="1">ROUND(表1_11[[#This Row],[税前应发总额]]*12%,2)</f>
        <v>383.55</v>
      </c>
      <c r="Y465" s="61">
        <f ca="1">ROUND(表1_11[[#This Row],[税前应发总额]]-SUM(表1_11[[#This Row],[养老保险]:[公积金]]),2)</f>
        <v>2483.6999999999998</v>
      </c>
      <c r="Z465" s="62">
        <f ca="1">ROUND(MAX((表1_11[[#This Row],[扣保险后工资金额]]-3500)*{3,10,20,25,30,35,45}%-{0,105,555,1005,2755,5505,13505},0),2)</f>
        <v>0</v>
      </c>
      <c r="AA465" s="63">
        <f ca="1">表1_11[[#This Row],[扣保险后工资金额]]-表1_11[[#This Row],[个人所得税]]</f>
        <v>2483.6999999999998</v>
      </c>
      <c r="AB465" s="53">
        <v>2243.1999999999998</v>
      </c>
      <c r="AC465" s="64">
        <f ca="1">(表1_11[[#This Row],[实发工资]]-表1_11[[#This Row],[上月对比]])/表1_11[[#This Row],[上月对比]]</f>
        <v>0.10721291012838803</v>
      </c>
      <c r="AD465" s="65" t="s">
        <v>1587</v>
      </c>
    </row>
    <row r="466" spans="1:30">
      <c r="A466" s="42" t="s">
        <v>823</v>
      </c>
      <c r="B466" s="42" t="s">
        <v>828</v>
      </c>
      <c r="C466" s="40" t="s">
        <v>787</v>
      </c>
      <c r="D466" s="40" t="s">
        <v>788</v>
      </c>
      <c r="E466" s="41" t="s">
        <v>1476</v>
      </c>
      <c r="F466" s="5" t="s">
        <v>462</v>
      </c>
      <c r="G466" s="25">
        <v>38818</v>
      </c>
      <c r="H466" s="5" t="s">
        <v>612</v>
      </c>
      <c r="I466" s="5">
        <f>VLOOKUP(MID(表1_11[[#This Row],[工资等级]],1,1),表12[],MATCH(MID(表1_11[[#This Row],[工资等级]],2,2),表12[[#Headers],[1]:[10]],0)+1,0)</f>
        <v>2700</v>
      </c>
      <c r="J466" s="5">
        <v>21</v>
      </c>
      <c r="K466" s="27">
        <v>0.875</v>
      </c>
      <c r="L466" s="37">
        <f>IF(表1_11[[#This Row],[出勤率]]&gt;1,1,表1_11[[#This Row],[出勤率]])*表1_11[[#This Row],[岗位工资]]</f>
        <v>2362.5</v>
      </c>
      <c r="M466" s="5">
        <f>LOOKUP(表1_11[[#This Row],[岗位工资]],表13[lookup],表13[奖金比率])*表1_11[[#This Row],[岗位工资]]</f>
        <v>270</v>
      </c>
      <c r="N466" s="5">
        <v>97</v>
      </c>
      <c r="O466" s="38">
        <f>表1_11[[#This Row],[奖金等级]]*表1_11[[#This Row],[绩效得分]]/100</f>
        <v>261.89999999999998</v>
      </c>
      <c r="P466" s="5">
        <f>IF(表1_11[[#This Row],[出勤率]]&gt;=1,200,0)</f>
        <v>0</v>
      </c>
      <c r="Q466" s="23">
        <f t="shared" ca="1" si="7"/>
        <v>500</v>
      </c>
      <c r="R466" s="23">
        <f>IF(表1_11[[#This Row],[中心]]="营销中心",VLOOKUP(表1_11[[#This Row],[职位]],表2[[话费补贴]:[营销中心]],2,0),VLOOKUP(表1_11[[#This Row],[职位]],表2[],3,0))</f>
        <v>0</v>
      </c>
      <c r="S466" s="23">
        <v>200</v>
      </c>
      <c r="T466" s="61">
        <f ca="1">ROUND(SUM(表1_11[[#This Row],[基本工资]],表1_11[[#This Row],[奖金]],表1_11[[#This Row],[全勤奖]:[防暑降温补贴]]),2)</f>
        <v>3324.4</v>
      </c>
      <c r="U466" s="62">
        <f ca="1">ROUND(表1_11[[#This Row],[税前应发总额]]*8%,2)</f>
        <v>265.95</v>
      </c>
      <c r="V466" s="62">
        <f ca="1">ROUND(表1_11[[#This Row],[税前应发总额]]*2%+3,2)</f>
        <v>69.489999999999995</v>
      </c>
      <c r="W466" s="62">
        <f ca="1">ROUND(表1_11[[#This Row],[税前应发总额]]*0.2%,2)</f>
        <v>6.65</v>
      </c>
      <c r="X466" s="62">
        <f ca="1">ROUND(表1_11[[#This Row],[税前应发总额]]*12%,2)</f>
        <v>398.93</v>
      </c>
      <c r="Y466" s="61">
        <f ca="1">ROUND(表1_11[[#This Row],[税前应发总额]]-SUM(表1_11[[#This Row],[养老保险]:[公积金]]),2)</f>
        <v>2583.38</v>
      </c>
      <c r="Z466" s="62">
        <f ca="1">ROUND(MAX((表1_11[[#This Row],[扣保险后工资金额]]-3500)*{3,10,20,25,30,35,45}%-{0,105,555,1005,2755,5505,13505},0),2)</f>
        <v>0</v>
      </c>
      <c r="AA466" s="63">
        <f ca="1">表1_11[[#This Row],[扣保险后工资金额]]-表1_11[[#This Row],[个人所得税]]</f>
        <v>2583.38</v>
      </c>
      <c r="AB466" s="53">
        <v>2300.46</v>
      </c>
      <c r="AC466" s="64">
        <f ca="1">(表1_11[[#This Row],[实发工资]]-表1_11[[#This Row],[上月对比]])/表1_11[[#This Row],[上月对比]]</f>
        <v>0.12298409883240746</v>
      </c>
      <c r="AD466" s="65" t="s">
        <v>1587</v>
      </c>
    </row>
    <row r="467" spans="1:30">
      <c r="A467" s="42" t="s">
        <v>823</v>
      </c>
      <c r="B467" s="42" t="s">
        <v>828</v>
      </c>
      <c r="C467" s="40" t="s">
        <v>818</v>
      </c>
      <c r="D467" s="40" t="s">
        <v>819</v>
      </c>
      <c r="E467" s="41" t="s">
        <v>1477</v>
      </c>
      <c r="F467" s="5" t="s">
        <v>463</v>
      </c>
      <c r="G467" s="25">
        <v>40437</v>
      </c>
      <c r="H467" s="5" t="s">
        <v>623</v>
      </c>
      <c r="I467" s="5">
        <f>VLOOKUP(MID(表1_11[[#This Row],[工资等级]],1,1),表12[],MATCH(MID(表1_11[[#This Row],[工资等级]],2,2),表12[[#Headers],[1]:[10]],0)+1,0)</f>
        <v>3800</v>
      </c>
      <c r="J467" s="5">
        <v>22.5</v>
      </c>
      <c r="K467" s="27">
        <v>0.9375</v>
      </c>
      <c r="L467" s="37">
        <f>IF(表1_11[[#This Row],[出勤率]]&gt;1,1,表1_11[[#This Row],[出勤率]])*表1_11[[#This Row],[岗位工资]]</f>
        <v>3562.5</v>
      </c>
      <c r="M467" s="5">
        <f>LOOKUP(表1_11[[#This Row],[岗位工资]],表13[lookup],表13[奖金比率])*表1_11[[#This Row],[岗位工资]]</f>
        <v>380</v>
      </c>
      <c r="N467" s="5">
        <v>89</v>
      </c>
      <c r="O467" s="38">
        <f>表1_11[[#This Row],[奖金等级]]*表1_11[[#This Row],[绩效得分]]/100</f>
        <v>338.2</v>
      </c>
      <c r="P467" s="5">
        <f>IF(表1_11[[#This Row],[出勤率]]&gt;=1,200,0)</f>
        <v>0</v>
      </c>
      <c r="Q467" s="23">
        <f t="shared" ca="1" si="7"/>
        <v>350</v>
      </c>
      <c r="R467" s="23">
        <f>IF(表1_11[[#This Row],[中心]]="营销中心",VLOOKUP(表1_11[[#This Row],[职位]],表2[[话费补贴]:[营销中心]],2,0),VLOOKUP(表1_11[[#This Row],[职位]],表2[],3,0))</f>
        <v>0</v>
      </c>
      <c r="S467" s="23">
        <v>200</v>
      </c>
      <c r="T467" s="61">
        <f ca="1">ROUND(SUM(表1_11[[#This Row],[基本工资]],表1_11[[#This Row],[奖金]],表1_11[[#This Row],[全勤奖]:[防暑降温补贴]]),2)</f>
        <v>4450.7</v>
      </c>
      <c r="U467" s="62">
        <f ca="1">ROUND(表1_11[[#This Row],[税前应发总额]]*8%,2)</f>
        <v>356.06</v>
      </c>
      <c r="V467" s="62">
        <f ca="1">ROUND(表1_11[[#This Row],[税前应发总额]]*2%+3,2)</f>
        <v>92.01</v>
      </c>
      <c r="W467" s="62">
        <f ca="1">ROUND(表1_11[[#This Row],[税前应发总额]]*0.2%,2)</f>
        <v>8.9</v>
      </c>
      <c r="X467" s="62">
        <f ca="1">ROUND(表1_11[[#This Row],[税前应发总额]]*12%,2)</f>
        <v>534.08000000000004</v>
      </c>
      <c r="Y467" s="61">
        <f ca="1">ROUND(表1_11[[#This Row],[税前应发总额]]-SUM(表1_11[[#This Row],[养老保险]:[公积金]]),2)</f>
        <v>3459.65</v>
      </c>
      <c r="Z467" s="62">
        <f ca="1">ROUND(MAX((表1_11[[#This Row],[扣保险后工资金额]]-3500)*{3,10,20,25,30,35,45}%-{0,105,555,1005,2755,5505,13505},0),2)</f>
        <v>0</v>
      </c>
      <c r="AA467" s="63">
        <f ca="1">表1_11[[#This Row],[扣保险后工资金额]]-表1_11[[#This Row],[个人所得税]]</f>
        <v>3459.65</v>
      </c>
      <c r="AB467" s="53">
        <v>3665.67</v>
      </c>
      <c r="AC467" s="64">
        <f ca="1">(表1_11[[#This Row],[实发工资]]-表1_11[[#This Row],[上月对比]])/表1_11[[#This Row],[上月对比]]</f>
        <v>-5.6202549602119116E-2</v>
      </c>
      <c r="AD467" s="65" t="s">
        <v>1587</v>
      </c>
    </row>
    <row r="468" spans="1:30">
      <c r="A468" s="42" t="s">
        <v>823</v>
      </c>
      <c r="B468" s="42" t="s">
        <v>828</v>
      </c>
      <c r="C468" s="40" t="s">
        <v>793</v>
      </c>
      <c r="D468" s="40" t="s">
        <v>794</v>
      </c>
      <c r="E468" s="41" t="s">
        <v>1478</v>
      </c>
      <c r="F468" s="5" t="s">
        <v>464</v>
      </c>
      <c r="G468" s="25">
        <v>38945</v>
      </c>
      <c r="H468" s="5" t="s">
        <v>612</v>
      </c>
      <c r="I468" s="5">
        <f>VLOOKUP(MID(表1_11[[#This Row],[工资等级]],1,1),表12[],MATCH(MID(表1_11[[#This Row],[工资等级]],2,2),表12[[#Headers],[1]:[10]],0)+1,0)</f>
        <v>2700</v>
      </c>
      <c r="J468" s="5">
        <v>20.5</v>
      </c>
      <c r="K468" s="27">
        <v>0.85416666666666663</v>
      </c>
      <c r="L468" s="37">
        <f>IF(表1_11[[#This Row],[出勤率]]&gt;1,1,表1_11[[#This Row],[出勤率]])*表1_11[[#This Row],[岗位工资]]</f>
        <v>2306.25</v>
      </c>
      <c r="M468" s="5">
        <f>LOOKUP(表1_11[[#This Row],[岗位工资]],表13[lookup],表13[奖金比率])*表1_11[[#This Row],[岗位工资]]</f>
        <v>270</v>
      </c>
      <c r="N468" s="5">
        <v>79</v>
      </c>
      <c r="O468" s="38">
        <f>表1_11[[#This Row],[奖金等级]]*表1_11[[#This Row],[绩效得分]]/100</f>
        <v>213.3</v>
      </c>
      <c r="P468" s="5">
        <f>IF(表1_11[[#This Row],[出勤率]]&gt;=1,200,0)</f>
        <v>0</v>
      </c>
      <c r="Q468" s="23">
        <f t="shared" ca="1" si="7"/>
        <v>500</v>
      </c>
      <c r="R468" s="23">
        <f>IF(表1_11[[#This Row],[中心]]="营销中心",VLOOKUP(表1_11[[#This Row],[职位]],表2[[话费补贴]:[营销中心]],2,0),VLOOKUP(表1_11[[#This Row],[职位]],表2[],3,0))</f>
        <v>0</v>
      </c>
      <c r="S468" s="23">
        <v>200</v>
      </c>
      <c r="T468" s="61">
        <f ca="1">ROUND(SUM(表1_11[[#This Row],[基本工资]],表1_11[[#This Row],[奖金]],表1_11[[#This Row],[全勤奖]:[防暑降温补贴]]),2)</f>
        <v>3219.55</v>
      </c>
      <c r="U468" s="62">
        <f ca="1">ROUND(表1_11[[#This Row],[税前应发总额]]*8%,2)</f>
        <v>257.56</v>
      </c>
      <c r="V468" s="62">
        <f ca="1">ROUND(表1_11[[#This Row],[税前应发总额]]*2%+3,2)</f>
        <v>67.39</v>
      </c>
      <c r="W468" s="62">
        <f ca="1">ROUND(表1_11[[#This Row],[税前应发总额]]*0.2%,2)</f>
        <v>6.44</v>
      </c>
      <c r="X468" s="62">
        <f ca="1">ROUND(表1_11[[#This Row],[税前应发总额]]*12%,2)</f>
        <v>386.35</v>
      </c>
      <c r="Y468" s="61">
        <f ca="1">ROUND(表1_11[[#This Row],[税前应发总额]]-SUM(表1_11[[#This Row],[养老保险]:[公积金]]),2)</f>
        <v>2501.81</v>
      </c>
      <c r="Z468" s="62">
        <f ca="1">ROUND(MAX((表1_11[[#This Row],[扣保险后工资金额]]-3500)*{3,10,20,25,30,35,45}%-{0,105,555,1005,2755,5505,13505},0),2)</f>
        <v>0</v>
      </c>
      <c r="AA468" s="63">
        <f ca="1">表1_11[[#This Row],[扣保险后工资金额]]-表1_11[[#This Row],[个人所得税]]</f>
        <v>2501.81</v>
      </c>
      <c r="AB468" s="53">
        <v>2377.37</v>
      </c>
      <c r="AC468" s="64">
        <f ca="1">(表1_11[[#This Row],[实发工资]]-表1_11[[#This Row],[上月对比]])/表1_11[[#This Row],[上月对比]]</f>
        <v>5.2343556114529947E-2</v>
      </c>
      <c r="AD468" s="65" t="s">
        <v>1587</v>
      </c>
    </row>
    <row r="469" spans="1:30">
      <c r="A469" s="42" t="s">
        <v>823</v>
      </c>
      <c r="B469" s="42" t="s">
        <v>828</v>
      </c>
      <c r="C469" s="40" t="s">
        <v>655</v>
      </c>
      <c r="D469" s="40" t="s">
        <v>656</v>
      </c>
      <c r="E469" s="41" t="s">
        <v>1479</v>
      </c>
      <c r="F469" s="5" t="s">
        <v>465</v>
      </c>
      <c r="G469" s="25">
        <v>39089</v>
      </c>
      <c r="H469" s="5" t="s">
        <v>657</v>
      </c>
      <c r="I469" s="5">
        <f>VLOOKUP(MID(表1_11[[#This Row],[工资等级]],1,1),表12[],MATCH(MID(表1_11[[#This Row],[工资等级]],2,2),表12[[#Headers],[1]:[10]],0)+1,0)</f>
        <v>4000</v>
      </c>
      <c r="J469" s="5">
        <v>20.5</v>
      </c>
      <c r="K469" s="27">
        <v>0.85416666666666663</v>
      </c>
      <c r="L469" s="37">
        <f>IF(表1_11[[#This Row],[出勤率]]&gt;1,1,表1_11[[#This Row],[出勤率]])*表1_11[[#This Row],[岗位工资]]</f>
        <v>3416.6666666666665</v>
      </c>
      <c r="M469" s="5">
        <f>LOOKUP(表1_11[[#This Row],[岗位工资]],表13[lookup],表13[奖金比率])*表1_11[[#This Row],[岗位工资]]</f>
        <v>600</v>
      </c>
      <c r="N469" s="5">
        <v>82</v>
      </c>
      <c r="O469" s="38">
        <f>表1_11[[#This Row],[奖金等级]]*表1_11[[#This Row],[绩效得分]]/100</f>
        <v>492</v>
      </c>
      <c r="P469" s="5">
        <f>IF(表1_11[[#This Row],[出勤率]]&gt;=1,200,0)</f>
        <v>0</v>
      </c>
      <c r="Q469" s="23">
        <f t="shared" ca="1" si="7"/>
        <v>500</v>
      </c>
      <c r="R469" s="23">
        <f>IF(表1_11[[#This Row],[中心]]="营销中心",VLOOKUP(表1_11[[#This Row],[职位]],表2[[话费补贴]:[营销中心]],2,0),VLOOKUP(表1_11[[#This Row],[职位]],表2[],3,0))</f>
        <v>0</v>
      </c>
      <c r="S469" s="23">
        <v>200</v>
      </c>
      <c r="T469" s="61">
        <f ca="1">ROUND(SUM(表1_11[[#This Row],[基本工资]],表1_11[[#This Row],[奖金]],表1_11[[#This Row],[全勤奖]:[防暑降温补贴]]),2)</f>
        <v>4608.67</v>
      </c>
      <c r="U469" s="62">
        <f ca="1">ROUND(表1_11[[#This Row],[税前应发总额]]*8%,2)</f>
        <v>368.69</v>
      </c>
      <c r="V469" s="62">
        <f ca="1">ROUND(表1_11[[#This Row],[税前应发总额]]*2%+3,2)</f>
        <v>95.17</v>
      </c>
      <c r="W469" s="62">
        <f ca="1">ROUND(表1_11[[#This Row],[税前应发总额]]*0.2%,2)</f>
        <v>9.2200000000000006</v>
      </c>
      <c r="X469" s="62">
        <f ca="1">ROUND(表1_11[[#This Row],[税前应发总额]]*12%,2)</f>
        <v>553.04</v>
      </c>
      <c r="Y469" s="61">
        <f ca="1">ROUND(表1_11[[#This Row],[税前应发总额]]-SUM(表1_11[[#This Row],[养老保险]:[公积金]]),2)</f>
        <v>3582.55</v>
      </c>
      <c r="Z469" s="62">
        <f ca="1">ROUND(MAX((表1_11[[#This Row],[扣保险后工资金额]]-3500)*{3,10,20,25,30,35,45}%-{0,105,555,1005,2755,5505,13505},0),2)</f>
        <v>2.48</v>
      </c>
      <c r="AA469" s="63">
        <f ca="1">表1_11[[#This Row],[扣保险后工资金额]]-表1_11[[#This Row],[个人所得税]]</f>
        <v>3580.07</v>
      </c>
      <c r="AB469" s="53">
        <v>3838.07</v>
      </c>
      <c r="AC469" s="64">
        <f ca="1">(表1_11[[#This Row],[实发工资]]-表1_11[[#This Row],[上月对比]])/表1_11[[#This Row],[上月对比]]</f>
        <v>-6.7221285698280647E-2</v>
      </c>
      <c r="AD469" s="65" t="s">
        <v>1587</v>
      </c>
    </row>
    <row r="470" spans="1:30">
      <c r="A470" s="42" t="s">
        <v>823</v>
      </c>
      <c r="B470" s="42" t="s">
        <v>828</v>
      </c>
      <c r="C470" s="40" t="s">
        <v>691</v>
      </c>
      <c r="D470" s="40" t="s">
        <v>692</v>
      </c>
      <c r="E470" s="41" t="s">
        <v>1480</v>
      </c>
      <c r="F470" s="5" t="s">
        <v>466</v>
      </c>
      <c r="G470" s="25">
        <v>41092</v>
      </c>
      <c r="H470" s="5" t="s">
        <v>618</v>
      </c>
      <c r="I470" s="5">
        <f>VLOOKUP(MID(表1_11[[#This Row],[工资等级]],1,1),表12[],MATCH(MID(表1_11[[#This Row],[工资等级]],2,2),表12[[#Headers],[1]:[10]],0)+1,0)</f>
        <v>3000</v>
      </c>
      <c r="J470" s="5">
        <v>23</v>
      </c>
      <c r="K470" s="27">
        <v>0.95833333333333337</v>
      </c>
      <c r="L470" s="37">
        <f>IF(表1_11[[#This Row],[出勤率]]&gt;1,1,表1_11[[#This Row],[出勤率]])*表1_11[[#This Row],[岗位工资]]</f>
        <v>2875</v>
      </c>
      <c r="M470" s="5">
        <f>LOOKUP(表1_11[[#This Row],[岗位工资]],表13[lookup],表13[奖金比率])*表1_11[[#This Row],[岗位工资]]</f>
        <v>300</v>
      </c>
      <c r="N470" s="5">
        <v>100</v>
      </c>
      <c r="O470" s="38">
        <f>表1_11[[#This Row],[奖金等级]]*表1_11[[#This Row],[绩效得分]]/100</f>
        <v>300</v>
      </c>
      <c r="P470" s="5">
        <f>IF(表1_11[[#This Row],[出勤率]]&gt;=1,200,0)</f>
        <v>0</v>
      </c>
      <c r="Q470" s="23">
        <f t="shared" ca="1" si="7"/>
        <v>250</v>
      </c>
      <c r="R470" s="23">
        <f>IF(表1_11[[#This Row],[中心]]="营销中心",VLOOKUP(表1_11[[#This Row],[职位]],表2[[话费补贴]:[营销中心]],2,0),VLOOKUP(表1_11[[#This Row],[职位]],表2[],3,0))</f>
        <v>0</v>
      </c>
      <c r="S470" s="23">
        <v>200</v>
      </c>
      <c r="T470" s="61">
        <f ca="1">ROUND(SUM(表1_11[[#This Row],[基本工资]],表1_11[[#This Row],[奖金]],表1_11[[#This Row],[全勤奖]:[防暑降温补贴]]),2)</f>
        <v>3625</v>
      </c>
      <c r="U470" s="62">
        <f ca="1">ROUND(表1_11[[#This Row],[税前应发总额]]*8%,2)</f>
        <v>290</v>
      </c>
      <c r="V470" s="62">
        <f ca="1">ROUND(表1_11[[#This Row],[税前应发总额]]*2%+3,2)</f>
        <v>75.5</v>
      </c>
      <c r="W470" s="62">
        <f ca="1">ROUND(表1_11[[#This Row],[税前应发总额]]*0.2%,2)</f>
        <v>7.25</v>
      </c>
      <c r="X470" s="62">
        <f ca="1">ROUND(表1_11[[#This Row],[税前应发总额]]*12%,2)</f>
        <v>435</v>
      </c>
      <c r="Y470" s="61">
        <f ca="1">ROUND(表1_11[[#This Row],[税前应发总额]]-SUM(表1_11[[#This Row],[养老保险]:[公积金]]),2)</f>
        <v>2817.25</v>
      </c>
      <c r="Z470" s="62">
        <f ca="1">ROUND(MAX((表1_11[[#This Row],[扣保险后工资金额]]-3500)*{3,10,20,25,30,35,45}%-{0,105,555,1005,2755,5505,13505},0),2)</f>
        <v>0</v>
      </c>
      <c r="AA470" s="63">
        <f ca="1">表1_11[[#This Row],[扣保险后工资金额]]-表1_11[[#This Row],[个人所得税]]</f>
        <v>2817.25</v>
      </c>
      <c r="AB470" s="53">
        <v>2736.34</v>
      </c>
      <c r="AC470" s="64">
        <f ca="1">(表1_11[[#This Row],[实发工资]]-表1_11[[#This Row],[上月对比]])/表1_11[[#This Row],[上月对比]]</f>
        <v>2.9568693948851331E-2</v>
      </c>
      <c r="AD470" s="65" t="s">
        <v>1587</v>
      </c>
    </row>
    <row r="471" spans="1:30">
      <c r="A471" s="42" t="s">
        <v>823</v>
      </c>
      <c r="B471" s="42" t="s">
        <v>828</v>
      </c>
      <c r="C471" s="40" t="s">
        <v>711</v>
      </c>
      <c r="D471" s="40" t="s">
        <v>712</v>
      </c>
      <c r="E471" s="41" t="s">
        <v>1481</v>
      </c>
      <c r="F471" s="5" t="s">
        <v>467</v>
      </c>
      <c r="G471" s="25">
        <v>40832</v>
      </c>
      <c r="H471" s="5" t="s">
        <v>624</v>
      </c>
      <c r="I471" s="5">
        <f>VLOOKUP(MID(表1_11[[#This Row],[工资等级]],1,1),表12[],MATCH(MID(表1_11[[#This Row],[工资等级]],2,2),表12[[#Headers],[1]:[10]],0)+1,0)</f>
        <v>2800</v>
      </c>
      <c r="J471" s="5">
        <v>21</v>
      </c>
      <c r="K471" s="27">
        <v>0.875</v>
      </c>
      <c r="L471" s="37">
        <f>IF(表1_11[[#This Row],[出勤率]]&gt;1,1,表1_11[[#This Row],[出勤率]])*表1_11[[#This Row],[岗位工资]]</f>
        <v>2450</v>
      </c>
      <c r="M471" s="5">
        <f>LOOKUP(表1_11[[#This Row],[岗位工资]],表13[lookup],表13[奖金比率])*表1_11[[#This Row],[岗位工资]]</f>
        <v>280</v>
      </c>
      <c r="N471" s="5">
        <v>80</v>
      </c>
      <c r="O471" s="38">
        <f>表1_11[[#This Row],[奖金等级]]*表1_11[[#This Row],[绩效得分]]/100</f>
        <v>224</v>
      </c>
      <c r="P471" s="5">
        <f>IF(表1_11[[#This Row],[出勤率]]&gt;=1,200,0)</f>
        <v>0</v>
      </c>
      <c r="Q471" s="23">
        <f t="shared" ca="1" si="7"/>
        <v>300</v>
      </c>
      <c r="R471" s="23">
        <f>IF(表1_11[[#This Row],[中心]]="营销中心",VLOOKUP(表1_11[[#This Row],[职位]],表2[[话费补贴]:[营销中心]],2,0),VLOOKUP(表1_11[[#This Row],[职位]],表2[],3,0))</f>
        <v>0</v>
      </c>
      <c r="S471" s="23">
        <v>200</v>
      </c>
      <c r="T471" s="61">
        <f ca="1">ROUND(SUM(表1_11[[#This Row],[基本工资]],表1_11[[#This Row],[奖金]],表1_11[[#This Row],[全勤奖]:[防暑降温补贴]]),2)</f>
        <v>3174</v>
      </c>
      <c r="U471" s="62">
        <f ca="1">ROUND(表1_11[[#This Row],[税前应发总额]]*8%,2)</f>
        <v>253.92</v>
      </c>
      <c r="V471" s="62">
        <f ca="1">ROUND(表1_11[[#This Row],[税前应发总额]]*2%+3,2)</f>
        <v>66.48</v>
      </c>
      <c r="W471" s="62">
        <f ca="1">ROUND(表1_11[[#This Row],[税前应发总额]]*0.2%,2)</f>
        <v>6.35</v>
      </c>
      <c r="X471" s="62">
        <f ca="1">ROUND(表1_11[[#This Row],[税前应发总额]]*12%,2)</f>
        <v>380.88</v>
      </c>
      <c r="Y471" s="61">
        <f ca="1">ROUND(表1_11[[#This Row],[税前应发总额]]-SUM(表1_11[[#This Row],[养老保险]:[公积金]]),2)</f>
        <v>2466.37</v>
      </c>
      <c r="Z471" s="62">
        <f ca="1">ROUND(MAX((表1_11[[#This Row],[扣保险后工资金额]]-3500)*{3,10,20,25,30,35,45}%-{0,105,555,1005,2755,5505,13505},0),2)</f>
        <v>0</v>
      </c>
      <c r="AA471" s="63">
        <f ca="1">表1_11[[#This Row],[扣保险后工资金额]]-表1_11[[#This Row],[个人所得税]]</f>
        <v>2466.37</v>
      </c>
      <c r="AB471" s="53">
        <v>2388.4499999999998</v>
      </c>
      <c r="AC471" s="64">
        <f ca="1">(表1_11[[#This Row],[实发工资]]-表1_11[[#This Row],[上月对比]])/表1_11[[#This Row],[上月对比]]</f>
        <v>3.2623668069249968E-2</v>
      </c>
      <c r="AD471" s="65" t="s">
        <v>1587</v>
      </c>
    </row>
    <row r="472" spans="1:30">
      <c r="A472" s="42" t="s">
        <v>823</v>
      </c>
      <c r="B472" s="42" t="s">
        <v>828</v>
      </c>
      <c r="C472" s="40" t="s">
        <v>787</v>
      </c>
      <c r="D472" s="40" t="s">
        <v>788</v>
      </c>
      <c r="E472" s="41" t="s">
        <v>1482</v>
      </c>
      <c r="F472" s="5" t="s">
        <v>468</v>
      </c>
      <c r="G472" s="25">
        <v>39127</v>
      </c>
      <c r="H472" s="5" t="s">
        <v>612</v>
      </c>
      <c r="I472" s="5">
        <f>VLOOKUP(MID(表1_11[[#This Row],[工资等级]],1,1),表12[],MATCH(MID(表1_11[[#This Row],[工资等级]],2,2),表12[[#Headers],[1]:[10]],0)+1,0)</f>
        <v>2700</v>
      </c>
      <c r="J472" s="5">
        <v>22.5</v>
      </c>
      <c r="K472" s="27">
        <v>0.9375</v>
      </c>
      <c r="L472" s="37">
        <f>IF(表1_11[[#This Row],[出勤率]]&gt;1,1,表1_11[[#This Row],[出勤率]])*表1_11[[#This Row],[岗位工资]]</f>
        <v>2531.25</v>
      </c>
      <c r="M472" s="5">
        <f>LOOKUP(表1_11[[#This Row],[岗位工资]],表13[lookup],表13[奖金比率])*表1_11[[#This Row],[岗位工资]]</f>
        <v>270</v>
      </c>
      <c r="N472" s="5">
        <v>90</v>
      </c>
      <c r="O472" s="38">
        <f>表1_11[[#This Row],[奖金等级]]*表1_11[[#This Row],[绩效得分]]/100</f>
        <v>243</v>
      </c>
      <c r="P472" s="5">
        <f>IF(表1_11[[#This Row],[出勤率]]&gt;=1,200,0)</f>
        <v>0</v>
      </c>
      <c r="Q472" s="23">
        <f t="shared" ca="1" si="7"/>
        <v>500</v>
      </c>
      <c r="R472" s="23">
        <f>IF(表1_11[[#This Row],[中心]]="营销中心",VLOOKUP(表1_11[[#This Row],[职位]],表2[[话费补贴]:[营销中心]],2,0),VLOOKUP(表1_11[[#This Row],[职位]],表2[],3,0))</f>
        <v>0</v>
      </c>
      <c r="S472" s="23">
        <v>200</v>
      </c>
      <c r="T472" s="61">
        <f ca="1">ROUND(SUM(表1_11[[#This Row],[基本工资]],表1_11[[#This Row],[奖金]],表1_11[[#This Row],[全勤奖]:[防暑降温补贴]]),2)</f>
        <v>3474.25</v>
      </c>
      <c r="U472" s="62">
        <f ca="1">ROUND(表1_11[[#This Row],[税前应发总额]]*8%,2)</f>
        <v>277.94</v>
      </c>
      <c r="V472" s="62">
        <f ca="1">ROUND(表1_11[[#This Row],[税前应发总额]]*2%+3,2)</f>
        <v>72.489999999999995</v>
      </c>
      <c r="W472" s="62">
        <f ca="1">ROUND(表1_11[[#This Row],[税前应发总额]]*0.2%,2)</f>
        <v>6.95</v>
      </c>
      <c r="X472" s="62">
        <f ca="1">ROUND(表1_11[[#This Row],[税前应发总额]]*12%,2)</f>
        <v>416.91</v>
      </c>
      <c r="Y472" s="61">
        <f ca="1">ROUND(表1_11[[#This Row],[税前应发总额]]-SUM(表1_11[[#This Row],[养老保险]:[公积金]]),2)</f>
        <v>2699.96</v>
      </c>
      <c r="Z472" s="62">
        <f ca="1">ROUND(MAX((表1_11[[#This Row],[扣保险后工资金额]]-3500)*{3,10,20,25,30,35,45}%-{0,105,555,1005,2755,5505,13505},0),2)</f>
        <v>0</v>
      </c>
      <c r="AA472" s="63">
        <f ca="1">表1_11[[#This Row],[扣保险后工资金额]]-表1_11[[#This Row],[个人所得税]]</f>
        <v>2699.96</v>
      </c>
      <c r="AB472" s="53">
        <v>3198.34</v>
      </c>
      <c r="AC472" s="64">
        <f ca="1">(表1_11[[#This Row],[实发工资]]-表1_11[[#This Row],[上月对比]])/表1_11[[#This Row],[上月对比]]</f>
        <v>-0.15582458400295157</v>
      </c>
      <c r="AD472" s="65" t="s">
        <v>1587</v>
      </c>
    </row>
    <row r="473" spans="1:30">
      <c r="A473" s="42" t="s">
        <v>823</v>
      </c>
      <c r="B473" s="42" t="s">
        <v>828</v>
      </c>
      <c r="C473" s="40" t="s">
        <v>818</v>
      </c>
      <c r="D473" s="40" t="s">
        <v>819</v>
      </c>
      <c r="E473" s="41" t="s">
        <v>1483</v>
      </c>
      <c r="F473" s="5" t="s">
        <v>469</v>
      </c>
      <c r="G473" s="25">
        <v>38691</v>
      </c>
      <c r="H473" s="5" t="s">
        <v>612</v>
      </c>
      <c r="I473" s="5">
        <f>VLOOKUP(MID(表1_11[[#This Row],[工资等级]],1,1),表12[],MATCH(MID(表1_11[[#This Row],[工资等级]],2,2),表12[[#Headers],[1]:[10]],0)+1,0)</f>
        <v>2700</v>
      </c>
      <c r="J473" s="5">
        <v>27</v>
      </c>
      <c r="K473" s="27">
        <v>1.125</v>
      </c>
      <c r="L473" s="37">
        <f>IF(表1_11[[#This Row],[出勤率]]&gt;1,1,表1_11[[#This Row],[出勤率]])*表1_11[[#This Row],[岗位工资]]</f>
        <v>2700</v>
      </c>
      <c r="M473" s="5">
        <f>LOOKUP(表1_11[[#This Row],[岗位工资]],表13[lookup],表13[奖金比率])*表1_11[[#This Row],[岗位工资]]</f>
        <v>270</v>
      </c>
      <c r="N473" s="5">
        <v>99</v>
      </c>
      <c r="O473" s="38">
        <f>表1_11[[#This Row],[奖金等级]]*表1_11[[#This Row],[绩效得分]]/100</f>
        <v>267.3</v>
      </c>
      <c r="P473" s="5">
        <f>IF(表1_11[[#This Row],[出勤率]]&gt;=1,200,0)</f>
        <v>200</v>
      </c>
      <c r="Q473" s="23">
        <f t="shared" ca="1" si="7"/>
        <v>500</v>
      </c>
      <c r="R473" s="23">
        <f>IF(表1_11[[#This Row],[中心]]="营销中心",VLOOKUP(表1_11[[#This Row],[职位]],表2[[话费补贴]:[营销中心]],2,0),VLOOKUP(表1_11[[#This Row],[职位]],表2[],3,0))</f>
        <v>0</v>
      </c>
      <c r="S473" s="23">
        <v>200</v>
      </c>
      <c r="T473" s="61">
        <f ca="1">ROUND(SUM(表1_11[[#This Row],[基本工资]],表1_11[[#This Row],[奖金]],表1_11[[#This Row],[全勤奖]:[防暑降温补贴]]),2)</f>
        <v>3867.3</v>
      </c>
      <c r="U473" s="62">
        <f ca="1">ROUND(表1_11[[#This Row],[税前应发总额]]*8%,2)</f>
        <v>309.38</v>
      </c>
      <c r="V473" s="62">
        <f ca="1">ROUND(表1_11[[#This Row],[税前应发总额]]*2%+3,2)</f>
        <v>80.349999999999994</v>
      </c>
      <c r="W473" s="62">
        <f ca="1">ROUND(表1_11[[#This Row],[税前应发总额]]*0.2%,2)</f>
        <v>7.73</v>
      </c>
      <c r="X473" s="62">
        <f ca="1">ROUND(表1_11[[#This Row],[税前应发总额]]*12%,2)</f>
        <v>464.08</v>
      </c>
      <c r="Y473" s="61">
        <f ca="1">ROUND(表1_11[[#This Row],[税前应发总额]]-SUM(表1_11[[#This Row],[养老保险]:[公积金]]),2)</f>
        <v>3005.76</v>
      </c>
      <c r="Z473" s="62">
        <f ca="1">ROUND(MAX((表1_11[[#This Row],[扣保险后工资金额]]-3500)*{3,10,20,25,30,35,45}%-{0,105,555,1005,2755,5505,13505},0),2)</f>
        <v>0</v>
      </c>
      <c r="AA473" s="63">
        <f ca="1">表1_11[[#This Row],[扣保险后工资金额]]-表1_11[[#This Row],[个人所得税]]</f>
        <v>3005.76</v>
      </c>
      <c r="AB473" s="53">
        <v>3080.78</v>
      </c>
      <c r="AC473" s="64">
        <f ca="1">(表1_11[[#This Row],[实发工资]]-表1_11[[#This Row],[上月对比]])/表1_11[[#This Row],[上月对比]]</f>
        <v>-2.4350976051519414E-2</v>
      </c>
      <c r="AD473" s="65" t="s">
        <v>1587</v>
      </c>
    </row>
    <row r="474" spans="1:30">
      <c r="A474" s="42" t="s">
        <v>823</v>
      </c>
      <c r="B474" s="42" t="s">
        <v>828</v>
      </c>
      <c r="C474" s="40" t="s">
        <v>793</v>
      </c>
      <c r="D474" s="40" t="s">
        <v>794</v>
      </c>
      <c r="E474" s="41" t="s">
        <v>1484</v>
      </c>
      <c r="F474" s="5" t="s">
        <v>470</v>
      </c>
      <c r="G474" s="25">
        <v>40685</v>
      </c>
      <c r="H474" s="5" t="s">
        <v>612</v>
      </c>
      <c r="I474" s="5">
        <f>VLOOKUP(MID(表1_11[[#This Row],[工资等级]],1,1),表12[],MATCH(MID(表1_11[[#This Row],[工资等级]],2,2),表12[[#Headers],[1]:[10]],0)+1,0)</f>
        <v>2700</v>
      </c>
      <c r="J474" s="5">
        <v>26</v>
      </c>
      <c r="K474" s="27">
        <v>1.0833333333333333</v>
      </c>
      <c r="L474" s="37">
        <f>IF(表1_11[[#This Row],[出勤率]]&gt;1,1,表1_11[[#This Row],[出勤率]])*表1_11[[#This Row],[岗位工资]]</f>
        <v>2700</v>
      </c>
      <c r="M474" s="5">
        <f>LOOKUP(表1_11[[#This Row],[岗位工资]],表13[lookup],表13[奖金比率])*表1_11[[#This Row],[岗位工资]]</f>
        <v>270</v>
      </c>
      <c r="N474" s="5">
        <v>95</v>
      </c>
      <c r="O474" s="38">
        <f>表1_11[[#This Row],[奖金等级]]*表1_11[[#This Row],[绩效得分]]/100</f>
        <v>256.5</v>
      </c>
      <c r="P474" s="5">
        <f>IF(表1_11[[#This Row],[出勤率]]&gt;=1,200,0)</f>
        <v>200</v>
      </c>
      <c r="Q474" s="23">
        <f t="shared" ca="1" si="7"/>
        <v>300</v>
      </c>
      <c r="R474" s="23">
        <f>IF(表1_11[[#This Row],[中心]]="营销中心",VLOOKUP(表1_11[[#This Row],[职位]],表2[[话费补贴]:[营销中心]],2,0),VLOOKUP(表1_11[[#This Row],[职位]],表2[],3,0))</f>
        <v>0</v>
      </c>
      <c r="S474" s="23">
        <v>200</v>
      </c>
      <c r="T474" s="61">
        <f ca="1">ROUND(SUM(表1_11[[#This Row],[基本工资]],表1_11[[#This Row],[奖金]],表1_11[[#This Row],[全勤奖]:[防暑降温补贴]]),2)</f>
        <v>3656.5</v>
      </c>
      <c r="U474" s="62">
        <f ca="1">ROUND(表1_11[[#This Row],[税前应发总额]]*8%,2)</f>
        <v>292.52</v>
      </c>
      <c r="V474" s="62">
        <f ca="1">ROUND(表1_11[[#This Row],[税前应发总额]]*2%+3,2)</f>
        <v>76.13</v>
      </c>
      <c r="W474" s="62">
        <f ca="1">ROUND(表1_11[[#This Row],[税前应发总额]]*0.2%,2)</f>
        <v>7.31</v>
      </c>
      <c r="X474" s="62">
        <f ca="1">ROUND(表1_11[[#This Row],[税前应发总额]]*12%,2)</f>
        <v>438.78</v>
      </c>
      <c r="Y474" s="61">
        <f ca="1">ROUND(表1_11[[#This Row],[税前应发总额]]-SUM(表1_11[[#This Row],[养老保险]:[公积金]]),2)</f>
        <v>2841.76</v>
      </c>
      <c r="Z474" s="62">
        <f ca="1">ROUND(MAX((表1_11[[#This Row],[扣保险后工资金额]]-3500)*{3,10,20,25,30,35,45}%-{0,105,555,1005,2755,5505,13505},0),2)</f>
        <v>0</v>
      </c>
      <c r="AA474" s="63">
        <f ca="1">表1_11[[#This Row],[扣保险后工资金额]]-表1_11[[#This Row],[个人所得税]]</f>
        <v>2841.76</v>
      </c>
      <c r="AB474" s="53">
        <v>3211.2</v>
      </c>
      <c r="AC474" s="64">
        <f ca="1">(表1_11[[#This Row],[实发工资]]-表1_11[[#This Row],[上月对比]])/表1_11[[#This Row],[上月对比]]</f>
        <v>-0.11504733432984542</v>
      </c>
      <c r="AD474" s="65" t="s">
        <v>1587</v>
      </c>
    </row>
    <row r="475" spans="1:30">
      <c r="A475" s="42" t="s">
        <v>823</v>
      </c>
      <c r="B475" s="42" t="s">
        <v>828</v>
      </c>
      <c r="C475" s="40" t="s">
        <v>655</v>
      </c>
      <c r="D475" s="40" t="s">
        <v>656</v>
      </c>
      <c r="E475" s="41" t="s">
        <v>1485</v>
      </c>
      <c r="F475" s="5" t="s">
        <v>471</v>
      </c>
      <c r="G475" s="25">
        <v>42682</v>
      </c>
      <c r="H475" s="5" t="s">
        <v>618</v>
      </c>
      <c r="I475" s="5">
        <f>VLOOKUP(MID(表1_11[[#This Row],[工资等级]],1,1),表12[],MATCH(MID(表1_11[[#This Row],[工资等级]],2,2),表12[[#Headers],[1]:[10]],0)+1,0)</f>
        <v>3000</v>
      </c>
      <c r="J475" s="5">
        <v>25</v>
      </c>
      <c r="K475" s="27">
        <v>1.0416666666666667</v>
      </c>
      <c r="L475" s="37">
        <f>IF(表1_11[[#This Row],[出勤率]]&gt;1,1,表1_11[[#This Row],[出勤率]])*表1_11[[#This Row],[岗位工资]]</f>
        <v>3000</v>
      </c>
      <c r="M475" s="5">
        <f>LOOKUP(表1_11[[#This Row],[岗位工资]],表13[lookup],表13[奖金比率])*表1_11[[#This Row],[岗位工资]]</f>
        <v>300</v>
      </c>
      <c r="N475" s="5">
        <v>82</v>
      </c>
      <c r="O475" s="38">
        <f>表1_11[[#This Row],[奖金等级]]*表1_11[[#This Row],[绩效得分]]/100</f>
        <v>246</v>
      </c>
      <c r="P475" s="5">
        <f>IF(表1_11[[#This Row],[出勤率]]&gt;=1,200,0)</f>
        <v>200</v>
      </c>
      <c r="Q475" s="23">
        <f t="shared" ca="1" si="7"/>
        <v>50</v>
      </c>
      <c r="R475" s="23">
        <f>IF(表1_11[[#This Row],[中心]]="营销中心",VLOOKUP(表1_11[[#This Row],[职位]],表2[[话费补贴]:[营销中心]],2,0),VLOOKUP(表1_11[[#This Row],[职位]],表2[],3,0))</f>
        <v>0</v>
      </c>
      <c r="S475" s="23">
        <v>200</v>
      </c>
      <c r="T475" s="61">
        <f ca="1">ROUND(SUM(表1_11[[#This Row],[基本工资]],表1_11[[#This Row],[奖金]],表1_11[[#This Row],[全勤奖]:[防暑降温补贴]]),2)</f>
        <v>3696</v>
      </c>
      <c r="U475" s="62">
        <f ca="1">ROUND(表1_11[[#This Row],[税前应发总额]]*8%,2)</f>
        <v>295.68</v>
      </c>
      <c r="V475" s="62">
        <f ca="1">ROUND(表1_11[[#This Row],[税前应发总额]]*2%+3,2)</f>
        <v>76.92</v>
      </c>
      <c r="W475" s="62">
        <f ca="1">ROUND(表1_11[[#This Row],[税前应发总额]]*0.2%,2)</f>
        <v>7.39</v>
      </c>
      <c r="X475" s="62">
        <f ca="1">ROUND(表1_11[[#This Row],[税前应发总额]]*12%,2)</f>
        <v>443.52</v>
      </c>
      <c r="Y475" s="61">
        <f ca="1">ROUND(表1_11[[#This Row],[税前应发总额]]-SUM(表1_11[[#This Row],[养老保险]:[公积金]]),2)</f>
        <v>2872.49</v>
      </c>
      <c r="Z475" s="62">
        <f ca="1">ROUND(MAX((表1_11[[#This Row],[扣保险后工资金额]]-3500)*{3,10,20,25,30,35,45}%-{0,105,555,1005,2755,5505,13505},0),2)</f>
        <v>0</v>
      </c>
      <c r="AA475" s="63">
        <f ca="1">表1_11[[#This Row],[扣保险后工资金额]]-表1_11[[#This Row],[个人所得税]]</f>
        <v>2872.49</v>
      </c>
      <c r="AB475" s="53">
        <v>3215.44</v>
      </c>
      <c r="AC475" s="64">
        <f ca="1">(表1_11[[#This Row],[实发工资]]-表1_11[[#This Row],[上月对比]])/表1_11[[#This Row],[上月对比]]</f>
        <v>-0.10665725375065319</v>
      </c>
      <c r="AD475" s="65" t="s">
        <v>1587</v>
      </c>
    </row>
    <row r="476" spans="1:30">
      <c r="A476" s="42" t="s">
        <v>835</v>
      </c>
      <c r="B476" s="42" t="s">
        <v>836</v>
      </c>
      <c r="C476" s="40" t="s">
        <v>837</v>
      </c>
      <c r="D476" s="40" t="s">
        <v>837</v>
      </c>
      <c r="E476" s="41" t="s">
        <v>1486</v>
      </c>
      <c r="F476" s="5" t="s">
        <v>472</v>
      </c>
      <c r="G476" s="25">
        <v>39782</v>
      </c>
      <c r="H476" s="5" t="s">
        <v>838</v>
      </c>
      <c r="I476" s="5">
        <f>VLOOKUP(MID(表1_11[[#This Row],[工资等级]],1,1),表12[],MATCH(MID(表1_11[[#This Row],[工资等级]],2,2),表12[[#Headers],[1]:[10]],0)+1,0)</f>
        <v>8500</v>
      </c>
      <c r="J476" s="5">
        <v>25.5</v>
      </c>
      <c r="K476" s="27">
        <v>1.0625</v>
      </c>
      <c r="L476" s="37">
        <f>IF(表1_11[[#This Row],[出勤率]]&gt;1,1,表1_11[[#This Row],[出勤率]])*表1_11[[#This Row],[岗位工资]]</f>
        <v>8500</v>
      </c>
      <c r="M476" s="5">
        <f>LOOKUP(表1_11[[#This Row],[岗位工资]],表13[lookup],表13[奖金比率])*表1_11[[#This Row],[岗位工资]]</f>
        <v>1700</v>
      </c>
      <c r="N476" s="5">
        <v>97</v>
      </c>
      <c r="O476" s="38">
        <f>表1_11[[#This Row],[奖金等级]]*表1_11[[#This Row],[绩效得分]]/100</f>
        <v>1649</v>
      </c>
      <c r="P476" s="5">
        <f>IF(表1_11[[#This Row],[出勤率]]&gt;=1,200,0)</f>
        <v>200</v>
      </c>
      <c r="Q476" s="23">
        <f t="shared" ca="1" si="7"/>
        <v>450</v>
      </c>
      <c r="R476" s="23">
        <f>IF(表1_11[[#This Row],[中心]]="营销中心",VLOOKUP(表1_11[[#This Row],[职位]],表2[[话费补贴]:[营销中心]],2,0),VLOOKUP(表1_11[[#This Row],[职位]],表2[],3,0))</f>
        <v>800</v>
      </c>
      <c r="S476" s="23">
        <v>200</v>
      </c>
      <c r="T476" s="61">
        <f ca="1">ROUND(SUM(表1_11[[#This Row],[基本工资]],表1_11[[#This Row],[奖金]],表1_11[[#This Row],[全勤奖]:[防暑降温补贴]]),2)</f>
        <v>11799</v>
      </c>
      <c r="U476" s="62">
        <f ca="1">ROUND(表1_11[[#This Row],[税前应发总额]]*8%,2)</f>
        <v>943.92</v>
      </c>
      <c r="V476" s="62">
        <f ca="1">ROUND(表1_11[[#This Row],[税前应发总额]]*2%+3,2)</f>
        <v>238.98</v>
      </c>
      <c r="W476" s="62">
        <f ca="1">ROUND(表1_11[[#This Row],[税前应发总额]]*0.2%,2)</f>
        <v>23.6</v>
      </c>
      <c r="X476" s="62">
        <f ca="1">ROUND(表1_11[[#This Row],[税前应发总额]]*12%,2)</f>
        <v>1415.88</v>
      </c>
      <c r="Y476" s="61">
        <f ca="1">ROUND(表1_11[[#This Row],[税前应发总额]]-SUM(表1_11[[#This Row],[养老保险]:[公积金]]),2)</f>
        <v>9176.6200000000008</v>
      </c>
      <c r="Z476" s="62">
        <f ca="1">ROUND(MAX((表1_11[[#This Row],[扣保险后工资金额]]-3500)*{3,10,20,25,30,35,45}%-{0,105,555,1005,2755,5505,13505},0),2)</f>
        <v>580.32000000000005</v>
      </c>
      <c r="AA476" s="63">
        <f ca="1">表1_11[[#This Row],[扣保险后工资金额]]-表1_11[[#This Row],[个人所得税]]</f>
        <v>8596.3000000000011</v>
      </c>
      <c r="AB476" s="53">
        <v>7678.77</v>
      </c>
      <c r="AC476" s="64">
        <f ca="1">(表1_11[[#This Row],[实发工资]]-表1_11[[#This Row],[上月对比]])/表1_11[[#This Row],[上月对比]]</f>
        <v>0.119489189023763</v>
      </c>
      <c r="AD476" s="65" t="s">
        <v>1587</v>
      </c>
    </row>
    <row r="477" spans="1:30">
      <c r="A477" s="42" t="s">
        <v>835</v>
      </c>
      <c r="B477" s="42" t="s">
        <v>836</v>
      </c>
      <c r="C477" s="40" t="s">
        <v>839</v>
      </c>
      <c r="D477" s="40" t="s">
        <v>839</v>
      </c>
      <c r="E477" s="41" t="s">
        <v>1487</v>
      </c>
      <c r="F477" s="5" t="s">
        <v>473</v>
      </c>
      <c r="G477" s="25">
        <v>40438</v>
      </c>
      <c r="H477" s="5" t="s">
        <v>625</v>
      </c>
      <c r="I477" s="5">
        <f>VLOOKUP(MID(表1_11[[#This Row],[工资等级]],1,1),表12[],MATCH(MID(表1_11[[#This Row],[工资等级]],2,2),表12[[#Headers],[1]:[10]],0)+1,0)</f>
        <v>6000</v>
      </c>
      <c r="J477" s="5">
        <v>25.5</v>
      </c>
      <c r="K477" s="27">
        <v>1.0625</v>
      </c>
      <c r="L477" s="37">
        <f>IF(表1_11[[#This Row],[出勤率]]&gt;1,1,表1_11[[#This Row],[出勤率]])*表1_11[[#This Row],[岗位工资]]</f>
        <v>6000</v>
      </c>
      <c r="M477" s="5">
        <f>LOOKUP(表1_11[[#This Row],[岗位工资]],表13[lookup],表13[奖金比率])*表1_11[[#This Row],[岗位工资]]</f>
        <v>900</v>
      </c>
      <c r="N477" s="5">
        <v>80</v>
      </c>
      <c r="O477" s="38">
        <f>表1_11[[#This Row],[奖金等级]]*表1_11[[#This Row],[绩效得分]]/100</f>
        <v>720</v>
      </c>
      <c r="P477" s="5">
        <f>IF(表1_11[[#This Row],[出勤率]]&gt;=1,200,0)</f>
        <v>200</v>
      </c>
      <c r="Q477" s="23">
        <f t="shared" ca="1" si="7"/>
        <v>350</v>
      </c>
      <c r="R477" s="23">
        <f>IF(表1_11[[#This Row],[中心]]="营销中心",VLOOKUP(表1_11[[#This Row],[职位]],表2[[话费补贴]:[营销中心]],2,0),VLOOKUP(表1_11[[#This Row],[职位]],表2[],3,0))</f>
        <v>300</v>
      </c>
      <c r="S477" s="23">
        <v>200</v>
      </c>
      <c r="T477" s="61">
        <f ca="1">ROUND(SUM(表1_11[[#This Row],[基本工资]],表1_11[[#This Row],[奖金]],表1_11[[#This Row],[全勤奖]:[防暑降温补贴]]),2)</f>
        <v>7770</v>
      </c>
      <c r="U477" s="62">
        <f ca="1">ROUND(表1_11[[#This Row],[税前应发总额]]*8%,2)</f>
        <v>621.6</v>
      </c>
      <c r="V477" s="62">
        <f ca="1">ROUND(表1_11[[#This Row],[税前应发总额]]*2%+3,2)</f>
        <v>158.4</v>
      </c>
      <c r="W477" s="62">
        <f ca="1">ROUND(表1_11[[#This Row],[税前应发总额]]*0.2%,2)</f>
        <v>15.54</v>
      </c>
      <c r="X477" s="62">
        <f ca="1">ROUND(表1_11[[#This Row],[税前应发总额]]*12%,2)</f>
        <v>932.4</v>
      </c>
      <c r="Y477" s="61">
        <f ca="1">ROUND(表1_11[[#This Row],[税前应发总额]]-SUM(表1_11[[#This Row],[养老保险]:[公积金]]),2)</f>
        <v>6042.06</v>
      </c>
      <c r="Z477" s="62">
        <f ca="1">ROUND(MAX((表1_11[[#This Row],[扣保险后工资金额]]-3500)*{3,10,20,25,30,35,45}%-{0,105,555,1005,2755,5505,13505},0),2)</f>
        <v>149.21</v>
      </c>
      <c r="AA477" s="63">
        <f ca="1">表1_11[[#This Row],[扣保险后工资金额]]-表1_11[[#This Row],[个人所得税]]</f>
        <v>5892.85</v>
      </c>
      <c r="AB477" s="53">
        <v>6059.54</v>
      </c>
      <c r="AC477" s="64">
        <f ca="1">(表1_11[[#This Row],[实发工资]]-表1_11[[#This Row],[上月对比]])/表1_11[[#This Row],[上月对比]]</f>
        <v>-2.7508688778356046E-2</v>
      </c>
      <c r="AD477" s="65" t="s">
        <v>1587</v>
      </c>
    </row>
    <row r="478" spans="1:30">
      <c r="A478" s="42" t="s">
        <v>835</v>
      </c>
      <c r="B478" s="42" t="s">
        <v>836</v>
      </c>
      <c r="C478" s="40" t="s">
        <v>787</v>
      </c>
      <c r="D478" s="40" t="s">
        <v>788</v>
      </c>
      <c r="E478" s="41" t="s">
        <v>1488</v>
      </c>
      <c r="F478" s="5" t="s">
        <v>474</v>
      </c>
      <c r="G478" s="25">
        <v>38840</v>
      </c>
      <c r="H478" s="5" t="s">
        <v>622</v>
      </c>
      <c r="I478" s="5">
        <f>VLOOKUP(MID(表1_11[[#This Row],[工资等级]],1,1),表12[],MATCH(MID(表1_11[[#This Row],[工资等级]],2,2),表12[[#Headers],[1]:[10]],0)+1,0)</f>
        <v>3600</v>
      </c>
      <c r="J478" s="5">
        <v>22</v>
      </c>
      <c r="K478" s="27">
        <v>0.91666666666666663</v>
      </c>
      <c r="L478" s="37">
        <f>IF(表1_11[[#This Row],[出勤率]]&gt;1,1,表1_11[[#This Row],[出勤率]])*表1_11[[#This Row],[岗位工资]]</f>
        <v>3300</v>
      </c>
      <c r="M478" s="5">
        <f>LOOKUP(表1_11[[#This Row],[岗位工资]],表13[lookup],表13[奖金比率])*表1_11[[#This Row],[岗位工资]]</f>
        <v>360</v>
      </c>
      <c r="N478" s="5">
        <v>80</v>
      </c>
      <c r="O478" s="38">
        <f>表1_11[[#This Row],[奖金等级]]*表1_11[[#This Row],[绩效得分]]/100</f>
        <v>288</v>
      </c>
      <c r="P478" s="5">
        <f>IF(表1_11[[#This Row],[出勤率]]&gt;=1,200,0)</f>
        <v>0</v>
      </c>
      <c r="Q478" s="23">
        <f t="shared" ca="1" si="7"/>
        <v>500</v>
      </c>
      <c r="R478" s="23">
        <f>IF(表1_11[[#This Row],[中心]]="营销中心",VLOOKUP(表1_11[[#This Row],[职位]],表2[[话费补贴]:[营销中心]],2,0),VLOOKUP(表1_11[[#This Row],[职位]],表2[],3,0))</f>
        <v>0</v>
      </c>
      <c r="S478" s="23">
        <v>200</v>
      </c>
      <c r="T478" s="61">
        <f ca="1">ROUND(SUM(表1_11[[#This Row],[基本工资]],表1_11[[#This Row],[奖金]],表1_11[[#This Row],[全勤奖]:[防暑降温补贴]]),2)</f>
        <v>4288</v>
      </c>
      <c r="U478" s="62">
        <f ca="1">ROUND(表1_11[[#This Row],[税前应发总额]]*8%,2)</f>
        <v>343.04</v>
      </c>
      <c r="V478" s="62">
        <f ca="1">ROUND(表1_11[[#This Row],[税前应发总额]]*2%+3,2)</f>
        <v>88.76</v>
      </c>
      <c r="W478" s="62">
        <f ca="1">ROUND(表1_11[[#This Row],[税前应发总额]]*0.2%,2)</f>
        <v>8.58</v>
      </c>
      <c r="X478" s="62">
        <f ca="1">ROUND(表1_11[[#This Row],[税前应发总额]]*12%,2)</f>
        <v>514.55999999999995</v>
      </c>
      <c r="Y478" s="61">
        <f ca="1">ROUND(表1_11[[#This Row],[税前应发总额]]-SUM(表1_11[[#This Row],[养老保险]:[公积金]]),2)</f>
        <v>3333.06</v>
      </c>
      <c r="Z478" s="62">
        <f ca="1">ROUND(MAX((表1_11[[#This Row],[扣保险后工资金额]]-3500)*{3,10,20,25,30,35,45}%-{0,105,555,1005,2755,5505,13505},0),2)</f>
        <v>0</v>
      </c>
      <c r="AA478" s="63">
        <f ca="1">表1_11[[#This Row],[扣保险后工资金额]]-表1_11[[#This Row],[个人所得税]]</f>
        <v>3333.06</v>
      </c>
      <c r="AB478" s="53">
        <v>2965.13</v>
      </c>
      <c r="AC478" s="64">
        <f ca="1">(表1_11[[#This Row],[实发工资]]-表1_11[[#This Row],[上月对比]])/表1_11[[#This Row],[上月对比]]</f>
        <v>0.1240856218782987</v>
      </c>
      <c r="AD478" s="65" t="s">
        <v>1587</v>
      </c>
    </row>
    <row r="479" spans="1:30">
      <c r="A479" s="42" t="s">
        <v>835</v>
      </c>
      <c r="B479" s="42" t="s">
        <v>836</v>
      </c>
      <c r="C479" s="40" t="s">
        <v>818</v>
      </c>
      <c r="D479" s="40" t="s">
        <v>819</v>
      </c>
      <c r="E479" s="41" t="s">
        <v>1489</v>
      </c>
      <c r="F479" s="5" t="s">
        <v>475</v>
      </c>
      <c r="G479" s="25">
        <v>41747</v>
      </c>
      <c r="H479" s="5" t="s">
        <v>622</v>
      </c>
      <c r="I479" s="5">
        <f>VLOOKUP(MID(表1_11[[#This Row],[工资等级]],1,1),表12[],MATCH(MID(表1_11[[#This Row],[工资等级]],2,2),表12[[#Headers],[1]:[10]],0)+1,0)</f>
        <v>3600</v>
      </c>
      <c r="J479" s="5">
        <v>26.5</v>
      </c>
      <c r="K479" s="27">
        <v>1.1041666666666667</v>
      </c>
      <c r="L479" s="37">
        <f>IF(表1_11[[#This Row],[出勤率]]&gt;1,1,表1_11[[#This Row],[出勤率]])*表1_11[[#This Row],[岗位工资]]</f>
        <v>3600</v>
      </c>
      <c r="M479" s="5">
        <f>LOOKUP(表1_11[[#This Row],[岗位工资]],表13[lookup],表13[奖金比率])*表1_11[[#This Row],[岗位工资]]</f>
        <v>360</v>
      </c>
      <c r="N479" s="5">
        <v>96</v>
      </c>
      <c r="O479" s="38">
        <f>表1_11[[#This Row],[奖金等级]]*表1_11[[#This Row],[绩效得分]]/100</f>
        <v>345.6</v>
      </c>
      <c r="P479" s="5">
        <f>IF(表1_11[[#This Row],[出勤率]]&gt;=1,200,0)</f>
        <v>200</v>
      </c>
      <c r="Q479" s="23">
        <f t="shared" ca="1" si="7"/>
        <v>150</v>
      </c>
      <c r="R479" s="23">
        <f>IF(表1_11[[#This Row],[中心]]="营销中心",VLOOKUP(表1_11[[#This Row],[职位]],表2[[话费补贴]:[营销中心]],2,0),VLOOKUP(表1_11[[#This Row],[职位]],表2[],3,0))</f>
        <v>0</v>
      </c>
      <c r="S479" s="23">
        <v>200</v>
      </c>
      <c r="T479" s="61">
        <f ca="1">ROUND(SUM(表1_11[[#This Row],[基本工资]],表1_11[[#This Row],[奖金]],表1_11[[#This Row],[全勤奖]:[防暑降温补贴]]),2)</f>
        <v>4495.6000000000004</v>
      </c>
      <c r="U479" s="62">
        <f ca="1">ROUND(表1_11[[#This Row],[税前应发总额]]*8%,2)</f>
        <v>359.65</v>
      </c>
      <c r="V479" s="62">
        <f ca="1">ROUND(表1_11[[#This Row],[税前应发总额]]*2%+3,2)</f>
        <v>92.91</v>
      </c>
      <c r="W479" s="62">
        <f ca="1">ROUND(表1_11[[#This Row],[税前应发总额]]*0.2%,2)</f>
        <v>8.99</v>
      </c>
      <c r="X479" s="62">
        <f ca="1">ROUND(表1_11[[#This Row],[税前应发总额]]*12%,2)</f>
        <v>539.47</v>
      </c>
      <c r="Y479" s="61">
        <f ca="1">ROUND(表1_11[[#This Row],[税前应发总额]]-SUM(表1_11[[#This Row],[养老保险]:[公积金]]),2)</f>
        <v>3494.58</v>
      </c>
      <c r="Z479" s="62">
        <f ca="1">ROUND(MAX((表1_11[[#This Row],[扣保险后工资金额]]-3500)*{3,10,20,25,30,35,45}%-{0,105,555,1005,2755,5505,13505},0),2)</f>
        <v>0</v>
      </c>
      <c r="AA479" s="63">
        <f ca="1">表1_11[[#This Row],[扣保险后工资金额]]-表1_11[[#This Row],[个人所得税]]</f>
        <v>3494.58</v>
      </c>
      <c r="AB479" s="53">
        <v>3974.23</v>
      </c>
      <c r="AC479" s="64">
        <f ca="1">(表1_11[[#This Row],[实发工资]]-表1_11[[#This Row],[上月对比]])/表1_11[[#This Row],[上月对比]]</f>
        <v>-0.12069004561889979</v>
      </c>
      <c r="AD479" s="65" t="s">
        <v>1587</v>
      </c>
    </row>
    <row r="480" spans="1:30">
      <c r="A480" s="42" t="s">
        <v>835</v>
      </c>
      <c r="B480" s="42" t="s">
        <v>836</v>
      </c>
      <c r="C480" s="40" t="s">
        <v>793</v>
      </c>
      <c r="D480" s="40" t="s">
        <v>794</v>
      </c>
      <c r="E480" s="41" t="s">
        <v>1490</v>
      </c>
      <c r="F480" s="5" t="s">
        <v>476</v>
      </c>
      <c r="G480" s="25">
        <v>40671</v>
      </c>
      <c r="H480" s="5" t="s">
        <v>610</v>
      </c>
      <c r="I480" s="5">
        <f>VLOOKUP(MID(表1_11[[#This Row],[工资等级]],1,1),表12[],MATCH(MID(表1_11[[#This Row],[工资等级]],2,2),表12[[#Headers],[1]:[10]],0)+1,0)</f>
        <v>3400</v>
      </c>
      <c r="J480" s="5">
        <v>24</v>
      </c>
      <c r="K480" s="27">
        <v>1</v>
      </c>
      <c r="L480" s="37">
        <f>IF(表1_11[[#This Row],[出勤率]]&gt;1,1,表1_11[[#This Row],[出勤率]])*表1_11[[#This Row],[岗位工资]]</f>
        <v>3400</v>
      </c>
      <c r="M480" s="5">
        <f>LOOKUP(表1_11[[#This Row],[岗位工资]],表13[lookup],表13[奖金比率])*表1_11[[#This Row],[岗位工资]]</f>
        <v>340</v>
      </c>
      <c r="N480" s="5">
        <v>96</v>
      </c>
      <c r="O480" s="38">
        <f>表1_11[[#This Row],[奖金等级]]*表1_11[[#This Row],[绩效得分]]/100</f>
        <v>326.39999999999998</v>
      </c>
      <c r="P480" s="5">
        <f>IF(表1_11[[#This Row],[出勤率]]&gt;=1,200,0)</f>
        <v>200</v>
      </c>
      <c r="Q480" s="23">
        <f t="shared" ca="1" si="7"/>
        <v>300</v>
      </c>
      <c r="R480" s="23">
        <f>IF(表1_11[[#This Row],[中心]]="营销中心",VLOOKUP(表1_11[[#This Row],[职位]],表2[[话费补贴]:[营销中心]],2,0),VLOOKUP(表1_11[[#This Row],[职位]],表2[],3,0))</f>
        <v>0</v>
      </c>
      <c r="S480" s="23">
        <v>200</v>
      </c>
      <c r="T480" s="61">
        <f ca="1">ROUND(SUM(表1_11[[#This Row],[基本工资]],表1_11[[#This Row],[奖金]],表1_11[[#This Row],[全勤奖]:[防暑降温补贴]]),2)</f>
        <v>4426.3999999999996</v>
      </c>
      <c r="U480" s="62">
        <f ca="1">ROUND(表1_11[[#This Row],[税前应发总额]]*8%,2)</f>
        <v>354.11</v>
      </c>
      <c r="V480" s="62">
        <f ca="1">ROUND(表1_11[[#This Row],[税前应发总额]]*2%+3,2)</f>
        <v>91.53</v>
      </c>
      <c r="W480" s="62">
        <f ca="1">ROUND(表1_11[[#This Row],[税前应发总额]]*0.2%,2)</f>
        <v>8.85</v>
      </c>
      <c r="X480" s="62">
        <f ca="1">ROUND(表1_11[[#This Row],[税前应发总额]]*12%,2)</f>
        <v>531.16999999999996</v>
      </c>
      <c r="Y480" s="61">
        <f ca="1">ROUND(表1_11[[#This Row],[税前应发总额]]-SUM(表1_11[[#This Row],[养老保险]:[公积金]]),2)</f>
        <v>3440.74</v>
      </c>
      <c r="Z480" s="62">
        <f ca="1">ROUND(MAX((表1_11[[#This Row],[扣保险后工资金额]]-3500)*{3,10,20,25,30,35,45}%-{0,105,555,1005,2755,5505,13505},0),2)</f>
        <v>0</v>
      </c>
      <c r="AA480" s="63">
        <f ca="1">表1_11[[#This Row],[扣保险后工资金额]]-表1_11[[#This Row],[个人所得税]]</f>
        <v>3440.74</v>
      </c>
      <c r="AB480" s="53">
        <v>3227.67</v>
      </c>
      <c r="AC480" s="64">
        <f ca="1">(表1_11[[#This Row],[实发工资]]-表1_11[[#This Row],[上月对比]])/表1_11[[#This Row],[上月对比]]</f>
        <v>6.6013563964097854E-2</v>
      </c>
      <c r="AD480" s="65" t="s">
        <v>1587</v>
      </c>
    </row>
    <row r="481" spans="1:30">
      <c r="A481" s="42" t="s">
        <v>835</v>
      </c>
      <c r="B481" s="42" t="s">
        <v>836</v>
      </c>
      <c r="C481" s="40" t="s">
        <v>655</v>
      </c>
      <c r="D481" s="40" t="s">
        <v>656</v>
      </c>
      <c r="E481" s="41" t="s">
        <v>1491</v>
      </c>
      <c r="F481" s="5" t="s">
        <v>477</v>
      </c>
      <c r="G481" s="25">
        <v>40106</v>
      </c>
      <c r="H481" s="5" t="s">
        <v>617</v>
      </c>
      <c r="I481" s="5">
        <f>VLOOKUP(MID(表1_11[[#This Row],[工资等级]],1,1),表12[],MATCH(MID(表1_11[[#This Row],[工资等级]],2,2),表12[[#Headers],[1]:[10]],0)+1,0)</f>
        <v>2500</v>
      </c>
      <c r="J481" s="5">
        <v>23.5</v>
      </c>
      <c r="K481" s="27">
        <v>0.97916666666666663</v>
      </c>
      <c r="L481" s="37">
        <f>IF(表1_11[[#This Row],[出勤率]]&gt;1,1,表1_11[[#This Row],[出勤率]])*表1_11[[#This Row],[岗位工资]]</f>
        <v>2447.9166666666665</v>
      </c>
      <c r="M481" s="5">
        <f>LOOKUP(表1_11[[#This Row],[岗位工资]],表13[lookup],表13[奖金比率])*表1_11[[#This Row],[岗位工资]]</f>
        <v>250</v>
      </c>
      <c r="N481" s="5">
        <v>99</v>
      </c>
      <c r="O481" s="38">
        <f>表1_11[[#This Row],[奖金等级]]*表1_11[[#This Row],[绩效得分]]/100</f>
        <v>247.5</v>
      </c>
      <c r="P481" s="5">
        <f>IF(表1_11[[#This Row],[出勤率]]&gt;=1,200,0)</f>
        <v>0</v>
      </c>
      <c r="Q481" s="23">
        <f t="shared" ca="1" si="7"/>
        <v>400</v>
      </c>
      <c r="R481" s="23">
        <f>IF(表1_11[[#This Row],[中心]]="营销中心",VLOOKUP(表1_11[[#This Row],[职位]],表2[[话费补贴]:[营销中心]],2,0),VLOOKUP(表1_11[[#This Row],[职位]],表2[],3,0))</f>
        <v>0</v>
      </c>
      <c r="S481" s="23">
        <v>200</v>
      </c>
      <c r="T481" s="61">
        <f ca="1">ROUND(SUM(表1_11[[#This Row],[基本工资]],表1_11[[#This Row],[奖金]],表1_11[[#This Row],[全勤奖]:[防暑降温补贴]]),2)</f>
        <v>3295.42</v>
      </c>
      <c r="U481" s="62">
        <f ca="1">ROUND(表1_11[[#This Row],[税前应发总额]]*8%,2)</f>
        <v>263.63</v>
      </c>
      <c r="V481" s="62">
        <f ca="1">ROUND(表1_11[[#This Row],[税前应发总额]]*2%+3,2)</f>
        <v>68.91</v>
      </c>
      <c r="W481" s="62">
        <f ca="1">ROUND(表1_11[[#This Row],[税前应发总额]]*0.2%,2)</f>
        <v>6.59</v>
      </c>
      <c r="X481" s="62">
        <f ca="1">ROUND(表1_11[[#This Row],[税前应发总额]]*12%,2)</f>
        <v>395.45</v>
      </c>
      <c r="Y481" s="61">
        <f ca="1">ROUND(表1_11[[#This Row],[税前应发总额]]-SUM(表1_11[[#This Row],[养老保险]:[公积金]]),2)</f>
        <v>2560.84</v>
      </c>
      <c r="Z481" s="62">
        <f ca="1">ROUND(MAX((表1_11[[#This Row],[扣保险后工资金额]]-3500)*{3,10,20,25,30,35,45}%-{0,105,555,1005,2755,5505,13505},0),2)</f>
        <v>0</v>
      </c>
      <c r="AA481" s="63">
        <f ca="1">表1_11[[#This Row],[扣保险后工资金额]]-表1_11[[#This Row],[个人所得税]]</f>
        <v>2560.84</v>
      </c>
      <c r="AB481" s="53">
        <v>2518.0500000000002</v>
      </c>
      <c r="AC481" s="64">
        <f ca="1">(表1_11[[#This Row],[实发工资]]-表1_11[[#This Row],[上月对比]])/表1_11[[#This Row],[上月对比]]</f>
        <v>1.69933083139731E-2</v>
      </c>
      <c r="AD481" s="65" t="s">
        <v>1587</v>
      </c>
    </row>
    <row r="482" spans="1:30">
      <c r="A482" s="42" t="s">
        <v>835</v>
      </c>
      <c r="B482" s="42" t="s">
        <v>840</v>
      </c>
      <c r="C482" s="40" t="s">
        <v>829</v>
      </c>
      <c r="D482" s="40" t="s">
        <v>829</v>
      </c>
      <c r="E482" s="41" t="s">
        <v>1492</v>
      </c>
      <c r="F482" s="5" t="s">
        <v>478</v>
      </c>
      <c r="G482" s="25">
        <v>38749</v>
      </c>
      <c r="H482" s="5" t="s">
        <v>841</v>
      </c>
      <c r="I482" s="5">
        <f>VLOOKUP(MID(表1_11[[#This Row],[工资等级]],1,1),表12[],MATCH(MID(表1_11[[#This Row],[工资等级]],2,2),表12[[#Headers],[1]:[10]],0)+1,0)</f>
        <v>8000</v>
      </c>
      <c r="J482" s="5">
        <v>24.5</v>
      </c>
      <c r="K482" s="27">
        <v>1.0208333333333333</v>
      </c>
      <c r="L482" s="37">
        <f>IF(表1_11[[#This Row],[出勤率]]&gt;1,1,表1_11[[#This Row],[出勤率]])*表1_11[[#This Row],[岗位工资]]</f>
        <v>8000</v>
      </c>
      <c r="M482" s="5">
        <f>LOOKUP(表1_11[[#This Row],[岗位工资]],表13[lookup],表13[奖金比率])*表1_11[[#This Row],[岗位工资]]</f>
        <v>1600</v>
      </c>
      <c r="N482" s="5">
        <v>100</v>
      </c>
      <c r="O482" s="38">
        <f>表1_11[[#This Row],[奖金等级]]*表1_11[[#This Row],[绩效得分]]/100</f>
        <v>1600</v>
      </c>
      <c r="P482" s="5">
        <f>IF(表1_11[[#This Row],[出勤率]]&gt;=1,200,0)</f>
        <v>200</v>
      </c>
      <c r="Q482" s="23">
        <f t="shared" ca="1" si="7"/>
        <v>500</v>
      </c>
      <c r="R482" s="23">
        <f>IF(表1_11[[#This Row],[中心]]="营销中心",VLOOKUP(表1_11[[#This Row],[职位]],表2[[话费补贴]:[营销中心]],2,0),VLOOKUP(表1_11[[#This Row],[职位]],表2[],3,0))</f>
        <v>500</v>
      </c>
      <c r="S482" s="23">
        <v>200</v>
      </c>
      <c r="T482" s="61">
        <f ca="1">ROUND(SUM(表1_11[[#This Row],[基本工资]],表1_11[[#This Row],[奖金]],表1_11[[#This Row],[全勤奖]:[防暑降温补贴]]),2)</f>
        <v>11000</v>
      </c>
      <c r="U482" s="62">
        <f ca="1">ROUND(表1_11[[#This Row],[税前应发总额]]*8%,2)</f>
        <v>880</v>
      </c>
      <c r="V482" s="62">
        <f ca="1">ROUND(表1_11[[#This Row],[税前应发总额]]*2%+3,2)</f>
        <v>223</v>
      </c>
      <c r="W482" s="62">
        <f ca="1">ROUND(表1_11[[#This Row],[税前应发总额]]*0.2%,2)</f>
        <v>22</v>
      </c>
      <c r="X482" s="62">
        <f ca="1">ROUND(表1_11[[#This Row],[税前应发总额]]*12%,2)</f>
        <v>1320</v>
      </c>
      <c r="Y482" s="61">
        <f ca="1">ROUND(表1_11[[#This Row],[税前应发总额]]-SUM(表1_11[[#This Row],[养老保险]:[公积金]]),2)</f>
        <v>8555</v>
      </c>
      <c r="Z482" s="62">
        <f ca="1">ROUND(MAX((表1_11[[#This Row],[扣保险后工资金额]]-3500)*{3,10,20,25,30,35,45}%-{0,105,555,1005,2755,5505,13505},0),2)</f>
        <v>456</v>
      </c>
      <c r="AA482" s="63">
        <f ca="1">表1_11[[#This Row],[扣保险后工资金额]]-表1_11[[#This Row],[个人所得税]]</f>
        <v>8099</v>
      </c>
      <c r="AB482" s="53">
        <v>9519.31</v>
      </c>
      <c r="AC482" s="64">
        <f ca="1">(表1_11[[#This Row],[实发工资]]-表1_11[[#This Row],[上月对比]])/表1_11[[#This Row],[上月对比]]</f>
        <v>-0.14920304097670939</v>
      </c>
      <c r="AD482" s="65" t="s">
        <v>1587</v>
      </c>
    </row>
    <row r="483" spans="1:30">
      <c r="A483" s="42" t="s">
        <v>835</v>
      </c>
      <c r="B483" s="42" t="s">
        <v>840</v>
      </c>
      <c r="C483" s="40" t="s">
        <v>842</v>
      </c>
      <c r="D483" s="40" t="s">
        <v>843</v>
      </c>
      <c r="E483" s="41" t="s">
        <v>1493</v>
      </c>
      <c r="F483" s="5" t="s">
        <v>479</v>
      </c>
      <c r="G483" s="25">
        <v>39627</v>
      </c>
      <c r="H483" s="5" t="s">
        <v>630</v>
      </c>
      <c r="I483" s="5">
        <f>VLOOKUP(MID(表1_11[[#This Row],[工资等级]],1,1),表12[],MATCH(MID(表1_11[[#This Row],[工资等级]],2,2),表12[[#Headers],[1]:[10]],0)+1,0)</f>
        <v>2600</v>
      </c>
      <c r="J483" s="5">
        <v>26</v>
      </c>
      <c r="K483" s="27">
        <v>1.0833333333333333</v>
      </c>
      <c r="L483" s="37">
        <f>IF(表1_11[[#This Row],[出勤率]]&gt;1,1,表1_11[[#This Row],[出勤率]])*表1_11[[#This Row],[岗位工资]]</f>
        <v>2600</v>
      </c>
      <c r="M483" s="5">
        <f>LOOKUP(表1_11[[#This Row],[岗位工资]],表13[lookup],表13[奖金比率])*表1_11[[#This Row],[岗位工资]]</f>
        <v>260</v>
      </c>
      <c r="N483" s="5">
        <v>93</v>
      </c>
      <c r="O483" s="38">
        <f>表1_11[[#This Row],[奖金等级]]*表1_11[[#This Row],[绩效得分]]/100</f>
        <v>241.8</v>
      </c>
      <c r="P483" s="5">
        <f>IF(表1_11[[#This Row],[出勤率]]&gt;=1,200,0)</f>
        <v>200</v>
      </c>
      <c r="Q483" s="23">
        <f t="shared" ca="1" si="7"/>
        <v>450</v>
      </c>
      <c r="R483" s="23">
        <f>IF(表1_11[[#This Row],[中心]]="营销中心",VLOOKUP(表1_11[[#This Row],[职位]],表2[[话费补贴]:[营销中心]],2,0),VLOOKUP(表1_11[[#This Row],[职位]],表2[],3,0))</f>
        <v>0</v>
      </c>
      <c r="S483" s="23">
        <v>200</v>
      </c>
      <c r="T483" s="61">
        <f ca="1">ROUND(SUM(表1_11[[#This Row],[基本工资]],表1_11[[#This Row],[奖金]],表1_11[[#This Row],[全勤奖]:[防暑降温补贴]]),2)</f>
        <v>3691.8</v>
      </c>
      <c r="U483" s="62">
        <f ca="1">ROUND(表1_11[[#This Row],[税前应发总额]]*8%,2)</f>
        <v>295.33999999999997</v>
      </c>
      <c r="V483" s="62">
        <f ca="1">ROUND(表1_11[[#This Row],[税前应发总额]]*2%+3,2)</f>
        <v>76.84</v>
      </c>
      <c r="W483" s="62">
        <f ca="1">ROUND(表1_11[[#This Row],[税前应发总额]]*0.2%,2)</f>
        <v>7.38</v>
      </c>
      <c r="X483" s="62">
        <f ca="1">ROUND(表1_11[[#This Row],[税前应发总额]]*12%,2)</f>
        <v>443.02</v>
      </c>
      <c r="Y483" s="61">
        <f ca="1">ROUND(表1_11[[#This Row],[税前应发总额]]-SUM(表1_11[[#This Row],[养老保险]:[公积金]]),2)</f>
        <v>2869.22</v>
      </c>
      <c r="Z483" s="62">
        <f ca="1">ROUND(MAX((表1_11[[#This Row],[扣保险后工资金额]]-3500)*{3,10,20,25,30,35,45}%-{0,105,555,1005,2755,5505,13505},0),2)</f>
        <v>0</v>
      </c>
      <c r="AA483" s="63">
        <f ca="1">表1_11[[#This Row],[扣保险后工资金额]]-表1_11[[#This Row],[个人所得税]]</f>
        <v>2869.22</v>
      </c>
      <c r="AB483" s="53">
        <v>2868.83</v>
      </c>
      <c r="AC483" s="64">
        <f ca="1">(表1_11[[#This Row],[实发工资]]-表1_11[[#This Row],[上月对比]])/表1_11[[#This Row],[上月对比]]</f>
        <v>1.3594392138951164E-4</v>
      </c>
      <c r="AD483" s="65" t="s">
        <v>1587</v>
      </c>
    </row>
    <row r="484" spans="1:30">
      <c r="A484" s="42" t="s">
        <v>835</v>
      </c>
      <c r="B484" s="42" t="s">
        <v>840</v>
      </c>
      <c r="C484" s="40" t="s">
        <v>787</v>
      </c>
      <c r="D484" s="40" t="s">
        <v>788</v>
      </c>
      <c r="E484" s="41" t="s">
        <v>1494</v>
      </c>
      <c r="F484" s="5" t="s">
        <v>480</v>
      </c>
      <c r="G484" s="25">
        <v>39708</v>
      </c>
      <c r="H484" s="5" t="s">
        <v>617</v>
      </c>
      <c r="I484" s="5">
        <f>VLOOKUP(MID(表1_11[[#This Row],[工资等级]],1,1),表12[],MATCH(MID(表1_11[[#This Row],[工资等级]],2,2),表12[[#Headers],[1]:[10]],0)+1,0)</f>
        <v>2500</v>
      </c>
      <c r="J484" s="5">
        <v>23</v>
      </c>
      <c r="K484" s="27">
        <v>0.95833333333333337</v>
      </c>
      <c r="L484" s="37">
        <f>IF(表1_11[[#This Row],[出勤率]]&gt;1,1,表1_11[[#This Row],[出勤率]])*表1_11[[#This Row],[岗位工资]]</f>
        <v>2395.8333333333335</v>
      </c>
      <c r="M484" s="5">
        <f>LOOKUP(表1_11[[#This Row],[岗位工资]],表13[lookup],表13[奖金比率])*表1_11[[#This Row],[岗位工资]]</f>
        <v>250</v>
      </c>
      <c r="N484" s="5">
        <v>84</v>
      </c>
      <c r="O484" s="38">
        <f>表1_11[[#This Row],[奖金等级]]*表1_11[[#This Row],[绩效得分]]/100</f>
        <v>210</v>
      </c>
      <c r="P484" s="5">
        <f>IF(表1_11[[#This Row],[出勤率]]&gt;=1,200,0)</f>
        <v>0</v>
      </c>
      <c r="Q484" s="23">
        <f t="shared" ca="1" si="7"/>
        <v>450</v>
      </c>
      <c r="R484" s="23">
        <f>IF(表1_11[[#This Row],[中心]]="营销中心",VLOOKUP(表1_11[[#This Row],[职位]],表2[[话费补贴]:[营销中心]],2,0),VLOOKUP(表1_11[[#This Row],[职位]],表2[],3,0))</f>
        <v>0</v>
      </c>
      <c r="S484" s="23">
        <v>200</v>
      </c>
      <c r="T484" s="61">
        <f ca="1">ROUND(SUM(表1_11[[#This Row],[基本工资]],表1_11[[#This Row],[奖金]],表1_11[[#This Row],[全勤奖]:[防暑降温补贴]]),2)</f>
        <v>3255.83</v>
      </c>
      <c r="U484" s="62">
        <f ca="1">ROUND(表1_11[[#This Row],[税前应发总额]]*8%,2)</f>
        <v>260.47000000000003</v>
      </c>
      <c r="V484" s="62">
        <f ca="1">ROUND(表1_11[[#This Row],[税前应发总额]]*2%+3,2)</f>
        <v>68.12</v>
      </c>
      <c r="W484" s="62">
        <f ca="1">ROUND(表1_11[[#This Row],[税前应发总额]]*0.2%,2)</f>
        <v>6.51</v>
      </c>
      <c r="X484" s="62">
        <f ca="1">ROUND(表1_11[[#This Row],[税前应发总额]]*12%,2)</f>
        <v>390.7</v>
      </c>
      <c r="Y484" s="61">
        <f ca="1">ROUND(表1_11[[#This Row],[税前应发总额]]-SUM(表1_11[[#This Row],[养老保险]:[公积金]]),2)</f>
        <v>2530.0300000000002</v>
      </c>
      <c r="Z484" s="62">
        <f ca="1">ROUND(MAX((表1_11[[#This Row],[扣保险后工资金额]]-3500)*{3,10,20,25,30,35,45}%-{0,105,555,1005,2755,5505,13505},0),2)</f>
        <v>0</v>
      </c>
      <c r="AA484" s="63">
        <f ca="1">表1_11[[#This Row],[扣保险后工资金额]]-表1_11[[#This Row],[个人所得税]]</f>
        <v>2530.0300000000002</v>
      </c>
      <c r="AB484" s="53">
        <v>2252.52</v>
      </c>
      <c r="AC484" s="64">
        <f ca="1">(表1_11[[#This Row],[实发工资]]-表1_11[[#This Row],[上月对比]])/表1_11[[#This Row],[上月对比]]</f>
        <v>0.12319979400848836</v>
      </c>
      <c r="AD484" s="65" t="s">
        <v>1587</v>
      </c>
    </row>
    <row r="485" spans="1:30">
      <c r="A485" s="42" t="s">
        <v>835</v>
      </c>
      <c r="B485" s="42" t="s">
        <v>840</v>
      </c>
      <c r="C485" s="40" t="s">
        <v>818</v>
      </c>
      <c r="D485" s="40" t="s">
        <v>819</v>
      </c>
      <c r="E485" s="41" t="s">
        <v>1495</v>
      </c>
      <c r="F485" s="5" t="s">
        <v>481</v>
      </c>
      <c r="G485" s="25">
        <v>39163</v>
      </c>
      <c r="H485" s="5" t="s">
        <v>657</v>
      </c>
      <c r="I485" s="5">
        <f>VLOOKUP(MID(表1_11[[#This Row],[工资等级]],1,1),表12[],MATCH(MID(表1_11[[#This Row],[工资等级]],2,2),表12[[#Headers],[1]:[10]],0)+1,0)</f>
        <v>4000</v>
      </c>
      <c r="J485" s="5">
        <v>22</v>
      </c>
      <c r="K485" s="27">
        <v>0.91666666666666663</v>
      </c>
      <c r="L485" s="37">
        <f>IF(表1_11[[#This Row],[出勤率]]&gt;1,1,表1_11[[#This Row],[出勤率]])*表1_11[[#This Row],[岗位工资]]</f>
        <v>3666.6666666666665</v>
      </c>
      <c r="M485" s="5">
        <f>LOOKUP(表1_11[[#This Row],[岗位工资]],表13[lookup],表13[奖金比率])*表1_11[[#This Row],[岗位工资]]</f>
        <v>600</v>
      </c>
      <c r="N485" s="5">
        <v>83</v>
      </c>
      <c r="O485" s="38">
        <f>表1_11[[#This Row],[奖金等级]]*表1_11[[#This Row],[绩效得分]]/100</f>
        <v>498</v>
      </c>
      <c r="P485" s="5">
        <f>IF(表1_11[[#This Row],[出勤率]]&gt;=1,200,0)</f>
        <v>0</v>
      </c>
      <c r="Q485" s="23">
        <f t="shared" ca="1" si="7"/>
        <v>500</v>
      </c>
      <c r="R485" s="23">
        <f>IF(表1_11[[#This Row],[中心]]="营销中心",VLOOKUP(表1_11[[#This Row],[职位]],表2[[话费补贴]:[营销中心]],2,0),VLOOKUP(表1_11[[#This Row],[职位]],表2[],3,0))</f>
        <v>0</v>
      </c>
      <c r="S485" s="23">
        <v>200</v>
      </c>
      <c r="T485" s="61">
        <f ca="1">ROUND(SUM(表1_11[[#This Row],[基本工资]],表1_11[[#This Row],[奖金]],表1_11[[#This Row],[全勤奖]:[防暑降温补贴]]),2)</f>
        <v>4864.67</v>
      </c>
      <c r="U485" s="62">
        <f ca="1">ROUND(表1_11[[#This Row],[税前应发总额]]*8%,2)</f>
        <v>389.17</v>
      </c>
      <c r="V485" s="62">
        <f ca="1">ROUND(表1_11[[#This Row],[税前应发总额]]*2%+3,2)</f>
        <v>100.29</v>
      </c>
      <c r="W485" s="62">
        <f ca="1">ROUND(表1_11[[#This Row],[税前应发总额]]*0.2%,2)</f>
        <v>9.73</v>
      </c>
      <c r="X485" s="62">
        <f ca="1">ROUND(表1_11[[#This Row],[税前应发总额]]*12%,2)</f>
        <v>583.76</v>
      </c>
      <c r="Y485" s="61">
        <f ca="1">ROUND(表1_11[[#This Row],[税前应发总额]]-SUM(表1_11[[#This Row],[养老保险]:[公积金]]),2)</f>
        <v>3781.72</v>
      </c>
      <c r="Z485" s="62">
        <f ca="1">ROUND(MAX((表1_11[[#This Row],[扣保险后工资金额]]-3500)*{3,10,20,25,30,35,45}%-{0,105,555,1005,2755,5505,13505},0),2)</f>
        <v>8.4499999999999993</v>
      </c>
      <c r="AA485" s="63">
        <f ca="1">表1_11[[#This Row],[扣保险后工资金额]]-表1_11[[#This Row],[个人所得税]]</f>
        <v>3773.27</v>
      </c>
      <c r="AB485" s="53">
        <v>3797.29</v>
      </c>
      <c r="AC485" s="64">
        <f ca="1">(表1_11[[#This Row],[实发工资]]-表1_11[[#This Row],[上月对比]])/表1_11[[#This Row],[上月对比]]</f>
        <v>-6.3255637573111307E-3</v>
      </c>
      <c r="AD485" s="65" t="s">
        <v>1587</v>
      </c>
    </row>
    <row r="486" spans="1:30">
      <c r="A486" s="42" t="s">
        <v>835</v>
      </c>
      <c r="B486" s="42" t="s">
        <v>840</v>
      </c>
      <c r="C486" s="40" t="s">
        <v>793</v>
      </c>
      <c r="D486" s="40" t="s">
        <v>794</v>
      </c>
      <c r="E486" s="41" t="s">
        <v>1496</v>
      </c>
      <c r="F486" s="5" t="s">
        <v>482</v>
      </c>
      <c r="G486" s="25">
        <v>40403</v>
      </c>
      <c r="H486" s="5" t="s">
        <v>612</v>
      </c>
      <c r="I486" s="5">
        <f>VLOOKUP(MID(表1_11[[#This Row],[工资等级]],1,1),表12[],MATCH(MID(表1_11[[#This Row],[工资等级]],2,2),表12[[#Headers],[1]:[10]],0)+1,0)</f>
        <v>2700</v>
      </c>
      <c r="J486" s="5">
        <v>21.5</v>
      </c>
      <c r="K486" s="27">
        <v>0.89583333333333337</v>
      </c>
      <c r="L486" s="37">
        <f>IF(表1_11[[#This Row],[出勤率]]&gt;1,1,表1_11[[#This Row],[出勤率]])*表1_11[[#This Row],[岗位工资]]</f>
        <v>2418.75</v>
      </c>
      <c r="M486" s="5">
        <f>LOOKUP(表1_11[[#This Row],[岗位工资]],表13[lookup],表13[奖金比率])*表1_11[[#This Row],[岗位工资]]</f>
        <v>270</v>
      </c>
      <c r="N486" s="5">
        <v>92</v>
      </c>
      <c r="O486" s="38">
        <f>表1_11[[#This Row],[奖金等级]]*表1_11[[#This Row],[绩效得分]]/100</f>
        <v>248.4</v>
      </c>
      <c r="P486" s="5">
        <f>IF(表1_11[[#This Row],[出勤率]]&gt;=1,200,0)</f>
        <v>0</v>
      </c>
      <c r="Q486" s="23">
        <f t="shared" ca="1" si="7"/>
        <v>350</v>
      </c>
      <c r="R486" s="23">
        <f>IF(表1_11[[#This Row],[中心]]="营销中心",VLOOKUP(表1_11[[#This Row],[职位]],表2[[话费补贴]:[营销中心]],2,0),VLOOKUP(表1_11[[#This Row],[职位]],表2[],3,0))</f>
        <v>0</v>
      </c>
      <c r="S486" s="23">
        <v>200</v>
      </c>
      <c r="T486" s="61">
        <f ca="1">ROUND(SUM(表1_11[[#This Row],[基本工资]],表1_11[[#This Row],[奖金]],表1_11[[#This Row],[全勤奖]:[防暑降温补贴]]),2)</f>
        <v>3217.15</v>
      </c>
      <c r="U486" s="62">
        <f ca="1">ROUND(表1_11[[#This Row],[税前应发总额]]*8%,2)</f>
        <v>257.37</v>
      </c>
      <c r="V486" s="62">
        <f ca="1">ROUND(表1_11[[#This Row],[税前应发总额]]*2%+3,2)</f>
        <v>67.34</v>
      </c>
      <c r="W486" s="62">
        <f ca="1">ROUND(表1_11[[#This Row],[税前应发总额]]*0.2%,2)</f>
        <v>6.43</v>
      </c>
      <c r="X486" s="62">
        <f ca="1">ROUND(表1_11[[#This Row],[税前应发总额]]*12%,2)</f>
        <v>386.06</v>
      </c>
      <c r="Y486" s="61">
        <f ca="1">ROUND(表1_11[[#This Row],[税前应发总额]]-SUM(表1_11[[#This Row],[养老保险]:[公积金]]),2)</f>
        <v>2499.9499999999998</v>
      </c>
      <c r="Z486" s="62">
        <f ca="1">ROUND(MAX((表1_11[[#This Row],[扣保险后工资金额]]-3500)*{3,10,20,25,30,35,45}%-{0,105,555,1005,2755,5505,13505},0),2)</f>
        <v>0</v>
      </c>
      <c r="AA486" s="63">
        <f ca="1">表1_11[[#This Row],[扣保险后工资金额]]-表1_11[[#This Row],[个人所得税]]</f>
        <v>2499.9499999999998</v>
      </c>
      <c r="AB486" s="53">
        <v>2595.13</v>
      </c>
      <c r="AC486" s="64">
        <f ca="1">(表1_11[[#This Row],[实发工资]]-表1_11[[#This Row],[上月对比]])/表1_11[[#This Row],[上月对比]]</f>
        <v>-3.6676390007437117E-2</v>
      </c>
      <c r="AD486" s="65" t="s">
        <v>1587</v>
      </c>
    </row>
    <row r="487" spans="1:30">
      <c r="A487" s="42" t="s">
        <v>835</v>
      </c>
      <c r="B487" s="42" t="s">
        <v>844</v>
      </c>
      <c r="C487" s="40" t="s">
        <v>810</v>
      </c>
      <c r="D487" s="40" t="s">
        <v>810</v>
      </c>
      <c r="E487" s="41" t="s">
        <v>1497</v>
      </c>
      <c r="F487" s="5" t="s">
        <v>483</v>
      </c>
      <c r="G487" s="25">
        <v>40287</v>
      </c>
      <c r="H487" s="5" t="s">
        <v>605</v>
      </c>
      <c r="I487" s="5">
        <f>VLOOKUP(MID(表1_11[[#This Row],[工资等级]],1,1),表12[],MATCH(MID(表1_11[[#This Row],[工资等级]],2,2),表12[[#Headers],[1]:[10]],0)+1,0)</f>
        <v>5000</v>
      </c>
      <c r="J487" s="5">
        <v>26.5</v>
      </c>
      <c r="K487" s="27">
        <v>1.1041666666666667</v>
      </c>
      <c r="L487" s="37">
        <f>IF(表1_11[[#This Row],[出勤率]]&gt;1,1,表1_11[[#This Row],[出勤率]])*表1_11[[#This Row],[岗位工资]]</f>
        <v>5000</v>
      </c>
      <c r="M487" s="5">
        <f>LOOKUP(表1_11[[#This Row],[岗位工资]],表13[lookup],表13[奖金比率])*表1_11[[#This Row],[岗位工资]]</f>
        <v>750</v>
      </c>
      <c r="N487" s="5">
        <v>92</v>
      </c>
      <c r="O487" s="38">
        <f>表1_11[[#This Row],[奖金等级]]*表1_11[[#This Row],[绩效得分]]/100</f>
        <v>690</v>
      </c>
      <c r="P487" s="5">
        <f>IF(表1_11[[#This Row],[出勤率]]&gt;=1,200,0)</f>
        <v>200</v>
      </c>
      <c r="Q487" s="23">
        <f t="shared" ca="1" si="7"/>
        <v>350</v>
      </c>
      <c r="R487" s="23">
        <f>IF(表1_11[[#This Row],[中心]]="营销中心",VLOOKUP(表1_11[[#This Row],[职位]],表2[[话费补贴]:[营销中心]],2,0),VLOOKUP(表1_11[[#This Row],[职位]],表2[],3,0))</f>
        <v>500</v>
      </c>
      <c r="S487" s="23">
        <v>200</v>
      </c>
      <c r="T487" s="61">
        <f ca="1">ROUND(SUM(表1_11[[#This Row],[基本工资]],表1_11[[#This Row],[奖金]],表1_11[[#This Row],[全勤奖]:[防暑降温补贴]]),2)</f>
        <v>6940</v>
      </c>
      <c r="U487" s="62">
        <f ca="1">ROUND(表1_11[[#This Row],[税前应发总额]]*8%,2)</f>
        <v>555.20000000000005</v>
      </c>
      <c r="V487" s="62">
        <f ca="1">ROUND(表1_11[[#This Row],[税前应发总额]]*2%+3,2)</f>
        <v>141.80000000000001</v>
      </c>
      <c r="W487" s="62">
        <f ca="1">ROUND(表1_11[[#This Row],[税前应发总额]]*0.2%,2)</f>
        <v>13.88</v>
      </c>
      <c r="X487" s="62">
        <f ca="1">ROUND(表1_11[[#This Row],[税前应发总额]]*12%,2)</f>
        <v>832.8</v>
      </c>
      <c r="Y487" s="61">
        <f ca="1">ROUND(表1_11[[#This Row],[税前应发总额]]-SUM(表1_11[[#This Row],[养老保险]:[公积金]]),2)</f>
        <v>5396.32</v>
      </c>
      <c r="Z487" s="62">
        <f ca="1">ROUND(MAX((表1_11[[#This Row],[扣保险后工资金额]]-3500)*{3,10,20,25,30,35,45}%-{0,105,555,1005,2755,5505,13505},0),2)</f>
        <v>84.63</v>
      </c>
      <c r="AA487" s="63">
        <f ca="1">表1_11[[#This Row],[扣保险后工资金额]]-表1_11[[#This Row],[个人所得税]]</f>
        <v>5311.69</v>
      </c>
      <c r="AB487" s="53">
        <v>4996.21</v>
      </c>
      <c r="AC487" s="64">
        <f ca="1">(表1_11[[#This Row],[实发工资]]-表1_11[[#This Row],[上月对比]])/表1_11[[#This Row],[上月对比]]</f>
        <v>6.3143863048190446E-2</v>
      </c>
      <c r="AD487" s="65" t="s">
        <v>1587</v>
      </c>
    </row>
    <row r="488" spans="1:30">
      <c r="A488" s="42" t="s">
        <v>835</v>
      </c>
      <c r="B488" s="42" t="s">
        <v>844</v>
      </c>
      <c r="C488" s="40" t="s">
        <v>691</v>
      </c>
      <c r="D488" s="40" t="s">
        <v>692</v>
      </c>
      <c r="E488" s="41" t="s">
        <v>1498</v>
      </c>
      <c r="F488" s="5" t="s">
        <v>56</v>
      </c>
      <c r="G488" s="25">
        <v>38530</v>
      </c>
      <c r="H488" s="5" t="s">
        <v>610</v>
      </c>
      <c r="I488" s="5">
        <f>VLOOKUP(MID(表1_11[[#This Row],[工资等级]],1,1),表12[],MATCH(MID(表1_11[[#This Row],[工资等级]],2,2),表12[[#Headers],[1]:[10]],0)+1,0)</f>
        <v>3400</v>
      </c>
      <c r="J488" s="5">
        <v>23</v>
      </c>
      <c r="K488" s="27">
        <v>0.95833333333333337</v>
      </c>
      <c r="L488" s="37">
        <f>IF(表1_11[[#This Row],[出勤率]]&gt;1,1,表1_11[[#This Row],[出勤率]])*表1_11[[#This Row],[岗位工资]]</f>
        <v>3258.3333333333335</v>
      </c>
      <c r="M488" s="5">
        <f>LOOKUP(表1_11[[#This Row],[岗位工资]],表13[lookup],表13[奖金比率])*表1_11[[#This Row],[岗位工资]]</f>
        <v>340</v>
      </c>
      <c r="N488" s="5">
        <v>85</v>
      </c>
      <c r="O488" s="38">
        <f>表1_11[[#This Row],[奖金等级]]*表1_11[[#This Row],[绩效得分]]/100</f>
        <v>289</v>
      </c>
      <c r="P488" s="5">
        <f>IF(表1_11[[#This Row],[出勤率]]&gt;=1,200,0)</f>
        <v>0</v>
      </c>
      <c r="Q488" s="23">
        <f t="shared" ca="1" si="7"/>
        <v>500</v>
      </c>
      <c r="R488" s="23">
        <f>IF(表1_11[[#This Row],[中心]]="营销中心",VLOOKUP(表1_11[[#This Row],[职位]],表2[[话费补贴]:[营销中心]],2,0),VLOOKUP(表1_11[[#This Row],[职位]],表2[],3,0))</f>
        <v>0</v>
      </c>
      <c r="S488" s="23">
        <v>200</v>
      </c>
      <c r="T488" s="61">
        <f ca="1">ROUND(SUM(表1_11[[#This Row],[基本工资]],表1_11[[#This Row],[奖金]],表1_11[[#This Row],[全勤奖]:[防暑降温补贴]]),2)</f>
        <v>4247.33</v>
      </c>
      <c r="U488" s="62">
        <f ca="1">ROUND(表1_11[[#This Row],[税前应发总额]]*8%,2)</f>
        <v>339.79</v>
      </c>
      <c r="V488" s="62">
        <f ca="1">ROUND(表1_11[[#This Row],[税前应发总额]]*2%+3,2)</f>
        <v>87.95</v>
      </c>
      <c r="W488" s="62">
        <f ca="1">ROUND(表1_11[[#This Row],[税前应发总额]]*0.2%,2)</f>
        <v>8.49</v>
      </c>
      <c r="X488" s="62">
        <f ca="1">ROUND(表1_11[[#This Row],[税前应发总额]]*12%,2)</f>
        <v>509.68</v>
      </c>
      <c r="Y488" s="61">
        <f ca="1">ROUND(表1_11[[#This Row],[税前应发总额]]-SUM(表1_11[[#This Row],[养老保险]:[公积金]]),2)</f>
        <v>3301.42</v>
      </c>
      <c r="Z488" s="62">
        <f ca="1">ROUND(MAX((表1_11[[#This Row],[扣保险后工资金额]]-3500)*{3,10,20,25,30,35,45}%-{0,105,555,1005,2755,5505,13505},0),2)</f>
        <v>0</v>
      </c>
      <c r="AA488" s="63">
        <f ca="1">表1_11[[#This Row],[扣保险后工资金额]]-表1_11[[#This Row],[个人所得税]]</f>
        <v>3301.42</v>
      </c>
      <c r="AB488" s="53">
        <v>3317.29</v>
      </c>
      <c r="AC488" s="64">
        <f ca="1">(表1_11[[#This Row],[实发工资]]-表1_11[[#This Row],[上月对比]])/表1_11[[#This Row],[上月对比]]</f>
        <v>-4.7840255148027125E-3</v>
      </c>
      <c r="AD488" s="65" t="s">
        <v>1587</v>
      </c>
    </row>
    <row r="489" spans="1:30">
      <c r="A489" s="42" t="s">
        <v>835</v>
      </c>
      <c r="B489" s="42" t="s">
        <v>844</v>
      </c>
      <c r="C489" s="40" t="s">
        <v>787</v>
      </c>
      <c r="D489" s="40" t="s">
        <v>788</v>
      </c>
      <c r="E489" s="41" t="s">
        <v>1499</v>
      </c>
      <c r="F489" s="5" t="s">
        <v>484</v>
      </c>
      <c r="G489" s="25">
        <v>39725</v>
      </c>
      <c r="H489" s="5" t="s">
        <v>657</v>
      </c>
      <c r="I489" s="5">
        <f>VLOOKUP(MID(表1_11[[#This Row],[工资等级]],1,1),表12[],MATCH(MID(表1_11[[#This Row],[工资等级]],2,2),表12[[#Headers],[1]:[10]],0)+1,0)</f>
        <v>4000</v>
      </c>
      <c r="J489" s="5">
        <v>21</v>
      </c>
      <c r="K489" s="27">
        <v>0.875</v>
      </c>
      <c r="L489" s="37">
        <f>IF(表1_11[[#This Row],[出勤率]]&gt;1,1,表1_11[[#This Row],[出勤率]])*表1_11[[#This Row],[岗位工资]]</f>
        <v>3500</v>
      </c>
      <c r="M489" s="5">
        <f>LOOKUP(表1_11[[#This Row],[岗位工资]],表13[lookup],表13[奖金比率])*表1_11[[#This Row],[岗位工资]]</f>
        <v>600</v>
      </c>
      <c r="N489" s="5">
        <v>82</v>
      </c>
      <c r="O489" s="38">
        <f>表1_11[[#This Row],[奖金等级]]*表1_11[[#This Row],[绩效得分]]/100</f>
        <v>492</v>
      </c>
      <c r="P489" s="5">
        <f>IF(表1_11[[#This Row],[出勤率]]&gt;=1,200,0)</f>
        <v>0</v>
      </c>
      <c r="Q489" s="23">
        <f t="shared" ca="1" si="7"/>
        <v>450</v>
      </c>
      <c r="R489" s="23">
        <f>IF(表1_11[[#This Row],[中心]]="营销中心",VLOOKUP(表1_11[[#This Row],[职位]],表2[[话费补贴]:[营销中心]],2,0),VLOOKUP(表1_11[[#This Row],[职位]],表2[],3,0))</f>
        <v>0</v>
      </c>
      <c r="S489" s="23">
        <v>200</v>
      </c>
      <c r="T489" s="61">
        <f ca="1">ROUND(SUM(表1_11[[#This Row],[基本工资]],表1_11[[#This Row],[奖金]],表1_11[[#This Row],[全勤奖]:[防暑降温补贴]]),2)</f>
        <v>4642</v>
      </c>
      <c r="U489" s="62">
        <f ca="1">ROUND(表1_11[[#This Row],[税前应发总额]]*8%,2)</f>
        <v>371.36</v>
      </c>
      <c r="V489" s="62">
        <f ca="1">ROUND(表1_11[[#This Row],[税前应发总额]]*2%+3,2)</f>
        <v>95.84</v>
      </c>
      <c r="W489" s="62">
        <f ca="1">ROUND(表1_11[[#This Row],[税前应发总额]]*0.2%,2)</f>
        <v>9.2799999999999994</v>
      </c>
      <c r="X489" s="62">
        <f ca="1">ROUND(表1_11[[#This Row],[税前应发总额]]*12%,2)</f>
        <v>557.04</v>
      </c>
      <c r="Y489" s="61">
        <f ca="1">ROUND(表1_11[[#This Row],[税前应发总额]]-SUM(表1_11[[#This Row],[养老保险]:[公积金]]),2)</f>
        <v>3608.48</v>
      </c>
      <c r="Z489" s="62">
        <f ca="1">ROUND(MAX((表1_11[[#This Row],[扣保险后工资金额]]-3500)*{3,10,20,25,30,35,45}%-{0,105,555,1005,2755,5505,13505},0),2)</f>
        <v>3.25</v>
      </c>
      <c r="AA489" s="63">
        <f ca="1">表1_11[[#This Row],[扣保险后工资金额]]-表1_11[[#This Row],[个人所得税]]</f>
        <v>3605.23</v>
      </c>
      <c r="AB489" s="53">
        <v>3644.46</v>
      </c>
      <c r="AC489" s="64">
        <f ca="1">(表1_11[[#This Row],[实发工资]]-表1_11[[#This Row],[上月对比]])/表1_11[[#This Row],[上月对比]]</f>
        <v>-1.0764283323180943E-2</v>
      </c>
      <c r="AD489" s="65" t="s">
        <v>1587</v>
      </c>
    </row>
    <row r="490" spans="1:30">
      <c r="A490" s="42" t="s">
        <v>835</v>
      </c>
      <c r="B490" s="42" t="s">
        <v>844</v>
      </c>
      <c r="C490" s="40" t="s">
        <v>842</v>
      </c>
      <c r="D490" s="40" t="s">
        <v>843</v>
      </c>
      <c r="E490" s="41" t="s">
        <v>1500</v>
      </c>
      <c r="F490" s="5" t="s">
        <v>485</v>
      </c>
      <c r="G490" s="25">
        <v>38325</v>
      </c>
      <c r="H490" s="5" t="s">
        <v>617</v>
      </c>
      <c r="I490" s="5">
        <f>VLOOKUP(MID(表1_11[[#This Row],[工资等级]],1,1),表12[],MATCH(MID(表1_11[[#This Row],[工资等级]],2,2),表12[[#Headers],[1]:[10]],0)+1,0)</f>
        <v>2500</v>
      </c>
      <c r="J490" s="5">
        <v>24.5</v>
      </c>
      <c r="K490" s="27">
        <v>1.0208333333333333</v>
      </c>
      <c r="L490" s="37">
        <f>IF(表1_11[[#This Row],[出勤率]]&gt;1,1,表1_11[[#This Row],[出勤率]])*表1_11[[#This Row],[岗位工资]]</f>
        <v>2500</v>
      </c>
      <c r="M490" s="5">
        <f>LOOKUP(表1_11[[#This Row],[岗位工资]],表13[lookup],表13[奖金比率])*表1_11[[#This Row],[岗位工资]]</f>
        <v>250</v>
      </c>
      <c r="N490" s="5">
        <v>87</v>
      </c>
      <c r="O490" s="38">
        <f>表1_11[[#This Row],[奖金等级]]*表1_11[[#This Row],[绩效得分]]/100</f>
        <v>217.5</v>
      </c>
      <c r="P490" s="5">
        <f>IF(表1_11[[#This Row],[出勤率]]&gt;=1,200,0)</f>
        <v>200</v>
      </c>
      <c r="Q490" s="23">
        <f t="shared" ca="1" si="7"/>
        <v>500</v>
      </c>
      <c r="R490" s="23">
        <f>IF(表1_11[[#This Row],[中心]]="营销中心",VLOOKUP(表1_11[[#This Row],[职位]],表2[[话费补贴]:[营销中心]],2,0),VLOOKUP(表1_11[[#This Row],[职位]],表2[],3,0))</f>
        <v>0</v>
      </c>
      <c r="S490" s="23">
        <v>200</v>
      </c>
      <c r="T490" s="61">
        <f ca="1">ROUND(SUM(表1_11[[#This Row],[基本工资]],表1_11[[#This Row],[奖金]],表1_11[[#This Row],[全勤奖]:[防暑降温补贴]]),2)</f>
        <v>3617.5</v>
      </c>
      <c r="U490" s="62">
        <f ca="1">ROUND(表1_11[[#This Row],[税前应发总额]]*8%,2)</f>
        <v>289.39999999999998</v>
      </c>
      <c r="V490" s="62">
        <f ca="1">ROUND(表1_11[[#This Row],[税前应发总额]]*2%+3,2)</f>
        <v>75.349999999999994</v>
      </c>
      <c r="W490" s="62">
        <f ca="1">ROUND(表1_11[[#This Row],[税前应发总额]]*0.2%,2)</f>
        <v>7.24</v>
      </c>
      <c r="X490" s="62">
        <f ca="1">ROUND(表1_11[[#This Row],[税前应发总额]]*12%,2)</f>
        <v>434.1</v>
      </c>
      <c r="Y490" s="61">
        <f ca="1">ROUND(表1_11[[#This Row],[税前应发总额]]-SUM(表1_11[[#This Row],[养老保险]:[公积金]]),2)</f>
        <v>2811.41</v>
      </c>
      <c r="Z490" s="62">
        <f ca="1">ROUND(MAX((表1_11[[#This Row],[扣保险后工资金额]]-3500)*{3,10,20,25,30,35,45}%-{0,105,555,1005,2755,5505,13505},0),2)</f>
        <v>0</v>
      </c>
      <c r="AA490" s="63">
        <f ca="1">表1_11[[#This Row],[扣保险后工资金额]]-表1_11[[#This Row],[个人所得税]]</f>
        <v>2811.41</v>
      </c>
      <c r="AB490" s="53">
        <v>2948.14</v>
      </c>
      <c r="AC490" s="64">
        <f ca="1">(表1_11[[#This Row],[实发工资]]-表1_11[[#This Row],[上月对比]])/表1_11[[#This Row],[上月对比]]</f>
        <v>-4.6378394513150671E-2</v>
      </c>
      <c r="AD490" s="65" t="s">
        <v>1587</v>
      </c>
    </row>
    <row r="491" spans="1:30">
      <c r="A491" s="42" t="s">
        <v>835</v>
      </c>
      <c r="B491" s="42" t="s">
        <v>844</v>
      </c>
      <c r="C491" s="40" t="s">
        <v>787</v>
      </c>
      <c r="D491" s="40" t="s">
        <v>788</v>
      </c>
      <c r="E491" s="41" t="s">
        <v>1501</v>
      </c>
      <c r="F491" s="5" t="s">
        <v>486</v>
      </c>
      <c r="G491" s="25">
        <v>39429</v>
      </c>
      <c r="H491" s="5" t="s">
        <v>623</v>
      </c>
      <c r="I491" s="5">
        <f>VLOOKUP(MID(表1_11[[#This Row],[工资等级]],1,1),表12[],MATCH(MID(表1_11[[#This Row],[工资等级]],2,2),表12[[#Headers],[1]:[10]],0)+1,0)</f>
        <v>3800</v>
      </c>
      <c r="J491" s="5">
        <v>23</v>
      </c>
      <c r="K491" s="27">
        <v>0.95833333333333337</v>
      </c>
      <c r="L491" s="37">
        <f>IF(表1_11[[#This Row],[出勤率]]&gt;1,1,表1_11[[#This Row],[出勤率]])*表1_11[[#This Row],[岗位工资]]</f>
        <v>3641.666666666667</v>
      </c>
      <c r="M491" s="5">
        <f>LOOKUP(表1_11[[#This Row],[岗位工资]],表13[lookup],表13[奖金比率])*表1_11[[#This Row],[岗位工资]]</f>
        <v>380</v>
      </c>
      <c r="N491" s="5">
        <v>80</v>
      </c>
      <c r="O491" s="38">
        <f>表1_11[[#This Row],[奖金等级]]*表1_11[[#This Row],[绩效得分]]/100</f>
        <v>304</v>
      </c>
      <c r="P491" s="5">
        <f>IF(表1_11[[#This Row],[出勤率]]&gt;=1,200,0)</f>
        <v>0</v>
      </c>
      <c r="Q491" s="23">
        <f t="shared" ca="1" si="7"/>
        <v>500</v>
      </c>
      <c r="R491" s="23">
        <f>IF(表1_11[[#This Row],[中心]]="营销中心",VLOOKUP(表1_11[[#This Row],[职位]],表2[[话费补贴]:[营销中心]],2,0),VLOOKUP(表1_11[[#This Row],[职位]],表2[],3,0))</f>
        <v>0</v>
      </c>
      <c r="S491" s="23">
        <v>200</v>
      </c>
      <c r="T491" s="61">
        <f ca="1">ROUND(SUM(表1_11[[#This Row],[基本工资]],表1_11[[#This Row],[奖金]],表1_11[[#This Row],[全勤奖]:[防暑降温补贴]]),2)</f>
        <v>4645.67</v>
      </c>
      <c r="U491" s="62">
        <f ca="1">ROUND(表1_11[[#This Row],[税前应发总额]]*8%,2)</f>
        <v>371.65</v>
      </c>
      <c r="V491" s="62">
        <f ca="1">ROUND(表1_11[[#This Row],[税前应发总额]]*2%+3,2)</f>
        <v>95.91</v>
      </c>
      <c r="W491" s="62">
        <f ca="1">ROUND(表1_11[[#This Row],[税前应发总额]]*0.2%,2)</f>
        <v>9.2899999999999991</v>
      </c>
      <c r="X491" s="62">
        <f ca="1">ROUND(表1_11[[#This Row],[税前应发总额]]*12%,2)</f>
        <v>557.48</v>
      </c>
      <c r="Y491" s="61">
        <f ca="1">ROUND(表1_11[[#This Row],[税前应发总额]]-SUM(表1_11[[#This Row],[养老保险]:[公积金]]),2)</f>
        <v>3611.34</v>
      </c>
      <c r="Z491" s="62">
        <f ca="1">ROUND(MAX((表1_11[[#This Row],[扣保险后工资金额]]-3500)*{3,10,20,25,30,35,45}%-{0,105,555,1005,2755,5505,13505},0),2)</f>
        <v>3.34</v>
      </c>
      <c r="AA491" s="63">
        <f ca="1">表1_11[[#This Row],[扣保险后工资金额]]-表1_11[[#This Row],[个人所得税]]</f>
        <v>3608</v>
      </c>
      <c r="AB491" s="53">
        <v>3280.25</v>
      </c>
      <c r="AC491" s="64">
        <f ca="1">(表1_11[[#This Row],[实发工资]]-表1_11[[#This Row],[上月对比]])/表1_11[[#This Row],[上月对比]]</f>
        <v>9.9916164926453777E-2</v>
      </c>
      <c r="AD491" s="65" t="s">
        <v>1587</v>
      </c>
    </row>
    <row r="492" spans="1:30">
      <c r="A492" s="42" t="s">
        <v>835</v>
      </c>
      <c r="B492" s="42" t="s">
        <v>844</v>
      </c>
      <c r="C492" s="40" t="s">
        <v>818</v>
      </c>
      <c r="D492" s="40" t="s">
        <v>819</v>
      </c>
      <c r="E492" s="41" t="s">
        <v>1502</v>
      </c>
      <c r="F492" s="5" t="s">
        <v>487</v>
      </c>
      <c r="G492" s="25">
        <v>38782</v>
      </c>
      <c r="H492" s="5" t="s">
        <v>615</v>
      </c>
      <c r="I492" s="5">
        <f>VLOOKUP(MID(表1_11[[#This Row],[工资等级]],1,1),表12[],MATCH(MID(表1_11[[#This Row],[工资等级]],2,2),表12[[#Headers],[1]:[10]],0)+1,0)</f>
        <v>3200</v>
      </c>
      <c r="J492" s="5">
        <v>27.5</v>
      </c>
      <c r="K492" s="27">
        <v>1.1458333333333333</v>
      </c>
      <c r="L492" s="37">
        <f>IF(表1_11[[#This Row],[出勤率]]&gt;1,1,表1_11[[#This Row],[出勤率]])*表1_11[[#This Row],[岗位工资]]</f>
        <v>3200</v>
      </c>
      <c r="M492" s="5">
        <f>LOOKUP(表1_11[[#This Row],[岗位工资]],表13[lookup],表13[奖金比率])*表1_11[[#This Row],[岗位工资]]</f>
        <v>320</v>
      </c>
      <c r="N492" s="5">
        <v>80</v>
      </c>
      <c r="O492" s="38">
        <f>表1_11[[#This Row],[奖金等级]]*表1_11[[#This Row],[绩效得分]]/100</f>
        <v>256</v>
      </c>
      <c r="P492" s="5">
        <f>IF(表1_11[[#This Row],[出勤率]]&gt;=1,200,0)</f>
        <v>200</v>
      </c>
      <c r="Q492" s="23">
        <f t="shared" ca="1" si="7"/>
        <v>500</v>
      </c>
      <c r="R492" s="23">
        <f>IF(表1_11[[#This Row],[中心]]="营销中心",VLOOKUP(表1_11[[#This Row],[职位]],表2[[话费补贴]:[营销中心]],2,0),VLOOKUP(表1_11[[#This Row],[职位]],表2[],3,0))</f>
        <v>0</v>
      </c>
      <c r="S492" s="23">
        <v>200</v>
      </c>
      <c r="T492" s="61">
        <f ca="1">ROUND(SUM(表1_11[[#This Row],[基本工资]],表1_11[[#This Row],[奖金]],表1_11[[#This Row],[全勤奖]:[防暑降温补贴]]),2)</f>
        <v>4356</v>
      </c>
      <c r="U492" s="62">
        <f ca="1">ROUND(表1_11[[#This Row],[税前应发总额]]*8%,2)</f>
        <v>348.48</v>
      </c>
      <c r="V492" s="62">
        <f ca="1">ROUND(表1_11[[#This Row],[税前应发总额]]*2%+3,2)</f>
        <v>90.12</v>
      </c>
      <c r="W492" s="62">
        <f ca="1">ROUND(表1_11[[#This Row],[税前应发总额]]*0.2%,2)</f>
        <v>8.7100000000000009</v>
      </c>
      <c r="X492" s="62">
        <f ca="1">ROUND(表1_11[[#This Row],[税前应发总额]]*12%,2)</f>
        <v>522.72</v>
      </c>
      <c r="Y492" s="61">
        <f ca="1">ROUND(表1_11[[#This Row],[税前应发总额]]-SUM(表1_11[[#This Row],[养老保险]:[公积金]]),2)</f>
        <v>3385.97</v>
      </c>
      <c r="Z492" s="62">
        <f ca="1">ROUND(MAX((表1_11[[#This Row],[扣保险后工资金额]]-3500)*{3,10,20,25,30,35,45}%-{0,105,555,1005,2755,5505,13505},0),2)</f>
        <v>0</v>
      </c>
      <c r="AA492" s="63">
        <f ca="1">表1_11[[#This Row],[扣保险后工资金额]]-表1_11[[#This Row],[个人所得税]]</f>
        <v>3385.97</v>
      </c>
      <c r="AB492" s="53">
        <v>3704.28</v>
      </c>
      <c r="AC492" s="64">
        <f ca="1">(表1_11[[#This Row],[实发工资]]-表1_11[[#This Row],[上月对比]])/表1_11[[#This Row],[上月对比]]</f>
        <v>-8.5930329240770237E-2</v>
      </c>
      <c r="AD492" s="65" t="s">
        <v>1587</v>
      </c>
    </row>
    <row r="493" spans="1:30">
      <c r="A493" s="42" t="s">
        <v>835</v>
      </c>
      <c r="B493" s="42" t="s">
        <v>844</v>
      </c>
      <c r="C493" s="40" t="s">
        <v>793</v>
      </c>
      <c r="D493" s="40" t="s">
        <v>794</v>
      </c>
      <c r="E493" s="41" t="s">
        <v>1503</v>
      </c>
      <c r="F493" s="5" t="s">
        <v>488</v>
      </c>
      <c r="G493" s="25">
        <v>39633</v>
      </c>
      <c r="H493" s="5" t="s">
        <v>615</v>
      </c>
      <c r="I493" s="5">
        <f>VLOOKUP(MID(表1_11[[#This Row],[工资等级]],1,1),表12[],MATCH(MID(表1_11[[#This Row],[工资等级]],2,2),表12[[#Headers],[1]:[10]],0)+1,0)</f>
        <v>3200</v>
      </c>
      <c r="J493" s="5">
        <v>27</v>
      </c>
      <c r="K493" s="27">
        <v>1.125</v>
      </c>
      <c r="L493" s="37">
        <f>IF(表1_11[[#This Row],[出勤率]]&gt;1,1,表1_11[[#This Row],[出勤率]])*表1_11[[#This Row],[岗位工资]]</f>
        <v>3200</v>
      </c>
      <c r="M493" s="5">
        <f>LOOKUP(表1_11[[#This Row],[岗位工资]],表13[lookup],表13[奖金比率])*表1_11[[#This Row],[岗位工资]]</f>
        <v>320</v>
      </c>
      <c r="N493" s="5">
        <v>89</v>
      </c>
      <c r="O493" s="38">
        <f>表1_11[[#This Row],[奖金等级]]*表1_11[[#This Row],[绩效得分]]/100</f>
        <v>284.8</v>
      </c>
      <c r="P493" s="5">
        <f>IF(表1_11[[#This Row],[出勤率]]&gt;=1,200,0)</f>
        <v>200</v>
      </c>
      <c r="Q493" s="23">
        <f t="shared" ca="1" si="7"/>
        <v>450</v>
      </c>
      <c r="R493" s="23">
        <f>IF(表1_11[[#This Row],[中心]]="营销中心",VLOOKUP(表1_11[[#This Row],[职位]],表2[[话费补贴]:[营销中心]],2,0),VLOOKUP(表1_11[[#This Row],[职位]],表2[],3,0))</f>
        <v>0</v>
      </c>
      <c r="S493" s="23">
        <v>200</v>
      </c>
      <c r="T493" s="61">
        <f ca="1">ROUND(SUM(表1_11[[#This Row],[基本工资]],表1_11[[#This Row],[奖金]],表1_11[[#This Row],[全勤奖]:[防暑降温补贴]]),2)</f>
        <v>4334.8</v>
      </c>
      <c r="U493" s="62">
        <f ca="1">ROUND(表1_11[[#This Row],[税前应发总额]]*8%,2)</f>
        <v>346.78</v>
      </c>
      <c r="V493" s="62">
        <f ca="1">ROUND(表1_11[[#This Row],[税前应发总额]]*2%+3,2)</f>
        <v>89.7</v>
      </c>
      <c r="W493" s="62">
        <f ca="1">ROUND(表1_11[[#This Row],[税前应发总额]]*0.2%,2)</f>
        <v>8.67</v>
      </c>
      <c r="X493" s="62">
        <f ca="1">ROUND(表1_11[[#This Row],[税前应发总额]]*12%,2)</f>
        <v>520.17999999999995</v>
      </c>
      <c r="Y493" s="61">
        <f ca="1">ROUND(表1_11[[#This Row],[税前应发总额]]-SUM(表1_11[[#This Row],[养老保险]:[公积金]]),2)</f>
        <v>3369.47</v>
      </c>
      <c r="Z493" s="62">
        <f ca="1">ROUND(MAX((表1_11[[#This Row],[扣保险后工资金额]]-3500)*{3,10,20,25,30,35,45}%-{0,105,555,1005,2755,5505,13505},0),2)</f>
        <v>0</v>
      </c>
      <c r="AA493" s="63">
        <f ca="1">表1_11[[#This Row],[扣保险后工资金额]]-表1_11[[#This Row],[个人所得税]]</f>
        <v>3369.47</v>
      </c>
      <c r="AB493" s="53">
        <v>3247.57</v>
      </c>
      <c r="AC493" s="64">
        <f ca="1">(表1_11[[#This Row],[实发工资]]-表1_11[[#This Row],[上月对比]])/表1_11[[#This Row],[上月对比]]</f>
        <v>3.753575750484197E-2</v>
      </c>
      <c r="AD493" s="65" t="s">
        <v>1587</v>
      </c>
    </row>
    <row r="494" spans="1:30">
      <c r="A494" s="42" t="s">
        <v>845</v>
      </c>
      <c r="B494" s="42" t="s">
        <v>846</v>
      </c>
      <c r="C494" s="40" t="s">
        <v>847</v>
      </c>
      <c r="D494" s="40" t="s">
        <v>847</v>
      </c>
      <c r="E494" s="41" t="s">
        <v>1504</v>
      </c>
      <c r="F494" s="5" t="s">
        <v>489</v>
      </c>
      <c r="G494" s="25">
        <v>41375</v>
      </c>
      <c r="H494" s="5" t="s">
        <v>616</v>
      </c>
      <c r="I494" s="5">
        <f>VLOOKUP(MID(表1_11[[#This Row],[工资等级]],1,1),表12[],MATCH(MID(表1_11[[#This Row],[工资等级]],2,2),表12[[#Headers],[1]:[10]],0)+1,0)</f>
        <v>8500</v>
      </c>
      <c r="J494" s="5">
        <v>27.5</v>
      </c>
      <c r="K494" s="27">
        <v>1.1458333333333333</v>
      </c>
      <c r="L494" s="37">
        <f>IF(表1_11[[#This Row],[出勤率]]&gt;1,1,表1_11[[#This Row],[出勤率]])*表1_11[[#This Row],[岗位工资]]</f>
        <v>8500</v>
      </c>
      <c r="M494" s="5">
        <f>LOOKUP(表1_11[[#This Row],[岗位工资]],表13[lookup],表13[奖金比率])*表1_11[[#This Row],[岗位工资]]</f>
        <v>1700</v>
      </c>
      <c r="N494" s="5">
        <v>88</v>
      </c>
      <c r="O494" s="38">
        <f>表1_11[[#This Row],[奖金等级]]*表1_11[[#This Row],[绩效得分]]/100</f>
        <v>1496</v>
      </c>
      <c r="P494" s="5">
        <f>IF(表1_11[[#This Row],[出勤率]]&gt;=1,200,0)</f>
        <v>200</v>
      </c>
      <c r="Q494" s="23">
        <f t="shared" ca="1" si="7"/>
        <v>200</v>
      </c>
      <c r="R494" s="23">
        <f>IF(表1_11[[#This Row],[中心]]="营销中心",VLOOKUP(表1_11[[#This Row],[职位]],表2[[话费补贴]:[营销中心]],2,0),VLOOKUP(表1_11[[#This Row],[职位]],表2[],3,0))</f>
        <v>800</v>
      </c>
      <c r="S494" s="23">
        <v>200</v>
      </c>
      <c r="T494" s="61">
        <f ca="1">ROUND(SUM(表1_11[[#This Row],[基本工资]],表1_11[[#This Row],[奖金]],表1_11[[#This Row],[全勤奖]:[防暑降温补贴]]),2)</f>
        <v>11396</v>
      </c>
      <c r="U494" s="62">
        <f ca="1">ROUND(表1_11[[#This Row],[税前应发总额]]*8%,2)</f>
        <v>911.68</v>
      </c>
      <c r="V494" s="62">
        <f ca="1">ROUND(表1_11[[#This Row],[税前应发总额]]*2%+3,2)</f>
        <v>230.92</v>
      </c>
      <c r="W494" s="62">
        <f ca="1">ROUND(表1_11[[#This Row],[税前应发总额]]*0.2%,2)</f>
        <v>22.79</v>
      </c>
      <c r="X494" s="62">
        <f ca="1">ROUND(表1_11[[#This Row],[税前应发总额]]*12%,2)</f>
        <v>1367.52</v>
      </c>
      <c r="Y494" s="61">
        <f ca="1">ROUND(表1_11[[#This Row],[税前应发总额]]-SUM(表1_11[[#This Row],[养老保险]:[公积金]]),2)</f>
        <v>8863.09</v>
      </c>
      <c r="Z494" s="62">
        <f ca="1">ROUND(MAX((表1_11[[#This Row],[扣保险后工资金额]]-3500)*{3,10,20,25,30,35,45}%-{0,105,555,1005,2755,5505,13505},0),2)</f>
        <v>517.62</v>
      </c>
      <c r="AA494" s="63">
        <f ca="1">表1_11[[#This Row],[扣保险后工资金额]]-表1_11[[#This Row],[个人所得税]]</f>
        <v>8345.4699999999993</v>
      </c>
      <c r="AB494" s="53">
        <v>8116.34</v>
      </c>
      <c r="AC494" s="64">
        <f ca="1">(表1_11[[#This Row],[实发工资]]-表1_11[[#This Row],[上月对比]])/表1_11[[#This Row],[上月对比]]</f>
        <v>2.8230704972931051E-2</v>
      </c>
      <c r="AD494" s="65" t="s">
        <v>1587</v>
      </c>
    </row>
    <row r="495" spans="1:30">
      <c r="A495" s="42" t="s">
        <v>845</v>
      </c>
      <c r="B495" s="42" t="s">
        <v>846</v>
      </c>
      <c r="C495" s="40" t="s">
        <v>848</v>
      </c>
      <c r="D495" s="40" t="s">
        <v>848</v>
      </c>
      <c r="E495" s="41" t="s">
        <v>1505</v>
      </c>
      <c r="F495" s="5" t="s">
        <v>490</v>
      </c>
      <c r="G495" s="25">
        <v>42338</v>
      </c>
      <c r="H495" s="5" t="s">
        <v>736</v>
      </c>
      <c r="I495" s="5">
        <f>VLOOKUP(MID(表1_11[[#This Row],[工资等级]],1,1),表12[],MATCH(MID(表1_11[[#This Row],[工资等级]],2,2),表12[[#Headers],[1]:[10]],0)+1,0)</f>
        <v>5000</v>
      </c>
      <c r="J495" s="5">
        <v>25</v>
      </c>
      <c r="K495" s="27">
        <v>1.0416666666666667</v>
      </c>
      <c r="L495" s="37">
        <f>IF(表1_11[[#This Row],[出勤率]]&gt;1,1,表1_11[[#This Row],[出勤率]])*表1_11[[#This Row],[岗位工资]]</f>
        <v>5000</v>
      </c>
      <c r="M495" s="5">
        <f>LOOKUP(表1_11[[#This Row],[岗位工资]],表13[lookup],表13[奖金比率])*表1_11[[#This Row],[岗位工资]]</f>
        <v>750</v>
      </c>
      <c r="N495" s="5">
        <v>85</v>
      </c>
      <c r="O495" s="38">
        <f>表1_11[[#This Row],[奖金等级]]*表1_11[[#This Row],[绩效得分]]/100</f>
        <v>637.5</v>
      </c>
      <c r="P495" s="5">
        <f>IF(表1_11[[#This Row],[出勤率]]&gt;=1,200,0)</f>
        <v>200</v>
      </c>
      <c r="Q495" s="23">
        <f t="shared" ca="1" si="7"/>
        <v>100</v>
      </c>
      <c r="R495" s="23">
        <f>IF(表1_11[[#This Row],[中心]]="营销中心",VLOOKUP(表1_11[[#This Row],[职位]],表2[[话费补贴]:[营销中心]],2,0),VLOOKUP(表1_11[[#This Row],[职位]],表2[],3,0))</f>
        <v>300</v>
      </c>
      <c r="S495" s="23">
        <v>200</v>
      </c>
      <c r="T495" s="61">
        <f ca="1">ROUND(SUM(表1_11[[#This Row],[基本工资]],表1_11[[#This Row],[奖金]],表1_11[[#This Row],[全勤奖]:[防暑降温补贴]]),2)</f>
        <v>6437.5</v>
      </c>
      <c r="U495" s="62">
        <f ca="1">ROUND(表1_11[[#This Row],[税前应发总额]]*8%,2)</f>
        <v>515</v>
      </c>
      <c r="V495" s="62">
        <f ca="1">ROUND(表1_11[[#This Row],[税前应发总额]]*2%+3,2)</f>
        <v>131.75</v>
      </c>
      <c r="W495" s="62">
        <f ca="1">ROUND(表1_11[[#This Row],[税前应发总额]]*0.2%,2)</f>
        <v>12.88</v>
      </c>
      <c r="X495" s="62">
        <f ca="1">ROUND(表1_11[[#This Row],[税前应发总额]]*12%,2)</f>
        <v>772.5</v>
      </c>
      <c r="Y495" s="61">
        <f ca="1">ROUND(表1_11[[#This Row],[税前应发总额]]-SUM(表1_11[[#This Row],[养老保险]:[公积金]]),2)</f>
        <v>5005.37</v>
      </c>
      <c r="Z495" s="62">
        <f ca="1">ROUND(MAX((表1_11[[#This Row],[扣保险后工资金额]]-3500)*{3,10,20,25,30,35,45}%-{0,105,555,1005,2755,5505,13505},0),2)</f>
        <v>45.54</v>
      </c>
      <c r="AA495" s="63">
        <f ca="1">表1_11[[#This Row],[扣保险后工资金额]]-表1_11[[#This Row],[个人所得税]]</f>
        <v>4959.83</v>
      </c>
      <c r="AB495" s="53">
        <v>5364.18</v>
      </c>
      <c r="AC495" s="64">
        <f ca="1">(表1_11[[#This Row],[实发工资]]-表1_11[[#This Row],[上月对比]])/表1_11[[#This Row],[上月对比]]</f>
        <v>-7.5379647961105023E-2</v>
      </c>
      <c r="AD495" s="65" t="s">
        <v>1587</v>
      </c>
    </row>
    <row r="496" spans="1:30">
      <c r="A496" s="42" t="s">
        <v>845</v>
      </c>
      <c r="B496" s="42" t="s">
        <v>846</v>
      </c>
      <c r="C496" s="40" t="s">
        <v>787</v>
      </c>
      <c r="D496" s="40" t="s">
        <v>788</v>
      </c>
      <c r="E496" s="41" t="s">
        <v>1506</v>
      </c>
      <c r="F496" s="5" t="s">
        <v>491</v>
      </c>
      <c r="G496" s="25">
        <v>40012</v>
      </c>
      <c r="H496" s="5" t="s">
        <v>615</v>
      </c>
      <c r="I496" s="5">
        <f>VLOOKUP(MID(表1_11[[#This Row],[工资等级]],1,1),表12[],MATCH(MID(表1_11[[#This Row],[工资等级]],2,2),表12[[#Headers],[1]:[10]],0)+1,0)</f>
        <v>3200</v>
      </c>
      <c r="J496" s="5">
        <v>22.5</v>
      </c>
      <c r="K496" s="27">
        <v>0.9375</v>
      </c>
      <c r="L496" s="37">
        <f>IF(表1_11[[#This Row],[出勤率]]&gt;1,1,表1_11[[#This Row],[出勤率]])*表1_11[[#This Row],[岗位工资]]</f>
        <v>3000</v>
      </c>
      <c r="M496" s="5">
        <f>LOOKUP(表1_11[[#This Row],[岗位工资]],表13[lookup],表13[奖金比率])*表1_11[[#This Row],[岗位工资]]</f>
        <v>320</v>
      </c>
      <c r="N496" s="5">
        <v>93</v>
      </c>
      <c r="O496" s="38">
        <f>表1_11[[#This Row],[奖金等级]]*表1_11[[#This Row],[绩效得分]]/100</f>
        <v>297.60000000000002</v>
      </c>
      <c r="P496" s="5">
        <f>IF(表1_11[[#This Row],[出勤率]]&gt;=1,200,0)</f>
        <v>0</v>
      </c>
      <c r="Q496" s="23">
        <f t="shared" ca="1" si="7"/>
        <v>400</v>
      </c>
      <c r="R496" s="23">
        <f>IF(表1_11[[#This Row],[中心]]="营销中心",VLOOKUP(表1_11[[#This Row],[职位]],表2[[话费补贴]:[营销中心]],2,0),VLOOKUP(表1_11[[#This Row],[职位]],表2[],3,0))</f>
        <v>0</v>
      </c>
      <c r="S496" s="23">
        <v>200</v>
      </c>
      <c r="T496" s="61">
        <f ca="1">ROUND(SUM(表1_11[[#This Row],[基本工资]],表1_11[[#This Row],[奖金]],表1_11[[#This Row],[全勤奖]:[防暑降温补贴]]),2)</f>
        <v>3897.6</v>
      </c>
      <c r="U496" s="62">
        <f ca="1">ROUND(表1_11[[#This Row],[税前应发总额]]*8%,2)</f>
        <v>311.81</v>
      </c>
      <c r="V496" s="62">
        <f ca="1">ROUND(表1_11[[#This Row],[税前应发总额]]*2%+3,2)</f>
        <v>80.95</v>
      </c>
      <c r="W496" s="62">
        <f ca="1">ROUND(表1_11[[#This Row],[税前应发总额]]*0.2%,2)</f>
        <v>7.8</v>
      </c>
      <c r="X496" s="62">
        <f ca="1">ROUND(表1_11[[#This Row],[税前应发总额]]*12%,2)</f>
        <v>467.71</v>
      </c>
      <c r="Y496" s="61">
        <f ca="1">ROUND(表1_11[[#This Row],[税前应发总额]]-SUM(表1_11[[#This Row],[养老保险]:[公积金]]),2)</f>
        <v>3029.33</v>
      </c>
      <c r="Z496" s="62">
        <f ca="1">ROUND(MAX((表1_11[[#This Row],[扣保险后工资金额]]-3500)*{3,10,20,25,30,35,45}%-{0,105,555,1005,2755,5505,13505},0),2)</f>
        <v>0</v>
      </c>
      <c r="AA496" s="63">
        <f ca="1">表1_11[[#This Row],[扣保险后工资金额]]-表1_11[[#This Row],[个人所得税]]</f>
        <v>3029.33</v>
      </c>
      <c r="AB496" s="53">
        <v>2818.04</v>
      </c>
      <c r="AC496" s="64">
        <f ca="1">(表1_11[[#This Row],[实发工资]]-表1_11[[#This Row],[上月对比]])/表1_11[[#This Row],[上月对比]]</f>
        <v>7.497764403628053E-2</v>
      </c>
      <c r="AD496" s="65" t="s">
        <v>1587</v>
      </c>
    </row>
    <row r="497" spans="1:30">
      <c r="A497" s="42" t="s">
        <v>845</v>
      </c>
      <c r="B497" s="42" t="s">
        <v>846</v>
      </c>
      <c r="C497" s="40" t="s">
        <v>842</v>
      </c>
      <c r="D497" s="40" t="s">
        <v>843</v>
      </c>
      <c r="E497" s="41" t="s">
        <v>1507</v>
      </c>
      <c r="F497" s="5" t="s">
        <v>492</v>
      </c>
      <c r="G497" s="25">
        <v>38385</v>
      </c>
      <c r="H497" s="5" t="s">
        <v>624</v>
      </c>
      <c r="I497" s="5">
        <f>VLOOKUP(MID(表1_11[[#This Row],[工资等级]],1,1),表12[],MATCH(MID(表1_11[[#This Row],[工资等级]],2,2),表12[[#Headers],[1]:[10]],0)+1,0)</f>
        <v>2800</v>
      </c>
      <c r="J497" s="5">
        <v>24</v>
      </c>
      <c r="K497" s="27">
        <v>1</v>
      </c>
      <c r="L497" s="37">
        <f>IF(表1_11[[#This Row],[出勤率]]&gt;1,1,表1_11[[#This Row],[出勤率]])*表1_11[[#This Row],[岗位工资]]</f>
        <v>2800</v>
      </c>
      <c r="M497" s="5">
        <f>LOOKUP(表1_11[[#This Row],[岗位工资]],表13[lookup],表13[奖金比率])*表1_11[[#This Row],[岗位工资]]</f>
        <v>280</v>
      </c>
      <c r="N497" s="5">
        <v>93</v>
      </c>
      <c r="O497" s="38">
        <f>表1_11[[#This Row],[奖金等级]]*表1_11[[#This Row],[绩效得分]]/100</f>
        <v>260.39999999999998</v>
      </c>
      <c r="P497" s="5">
        <f>IF(表1_11[[#This Row],[出勤率]]&gt;=1,200,0)</f>
        <v>200</v>
      </c>
      <c r="Q497" s="23">
        <f t="shared" ca="1" si="7"/>
        <v>500</v>
      </c>
      <c r="R497" s="23">
        <f>IF(表1_11[[#This Row],[中心]]="营销中心",VLOOKUP(表1_11[[#This Row],[职位]],表2[[话费补贴]:[营销中心]],2,0),VLOOKUP(表1_11[[#This Row],[职位]],表2[],3,0))</f>
        <v>0</v>
      </c>
      <c r="S497" s="23">
        <v>200</v>
      </c>
      <c r="T497" s="61">
        <f ca="1">ROUND(SUM(表1_11[[#This Row],[基本工资]],表1_11[[#This Row],[奖金]],表1_11[[#This Row],[全勤奖]:[防暑降温补贴]]),2)</f>
        <v>3960.4</v>
      </c>
      <c r="U497" s="62">
        <f ca="1">ROUND(表1_11[[#This Row],[税前应发总额]]*8%,2)</f>
        <v>316.83</v>
      </c>
      <c r="V497" s="62">
        <f ca="1">ROUND(表1_11[[#This Row],[税前应发总额]]*2%+3,2)</f>
        <v>82.21</v>
      </c>
      <c r="W497" s="62">
        <f ca="1">ROUND(表1_11[[#This Row],[税前应发总额]]*0.2%,2)</f>
        <v>7.92</v>
      </c>
      <c r="X497" s="62">
        <f ca="1">ROUND(表1_11[[#This Row],[税前应发总额]]*12%,2)</f>
        <v>475.25</v>
      </c>
      <c r="Y497" s="61">
        <f ca="1">ROUND(表1_11[[#This Row],[税前应发总额]]-SUM(表1_11[[#This Row],[养老保险]:[公积金]]),2)</f>
        <v>3078.19</v>
      </c>
      <c r="Z497" s="62">
        <f ca="1">ROUND(MAX((表1_11[[#This Row],[扣保险后工资金额]]-3500)*{3,10,20,25,30,35,45}%-{0,105,555,1005,2755,5505,13505},0),2)</f>
        <v>0</v>
      </c>
      <c r="AA497" s="63">
        <f ca="1">表1_11[[#This Row],[扣保险后工资金额]]-表1_11[[#This Row],[个人所得税]]</f>
        <v>3078.19</v>
      </c>
      <c r="AB497" s="53">
        <v>2877.11</v>
      </c>
      <c r="AC497" s="64">
        <f ca="1">(表1_11[[#This Row],[实发工资]]-表1_11[[#This Row],[上月对比]])/表1_11[[#This Row],[上月对比]]</f>
        <v>6.9889576693278985E-2</v>
      </c>
      <c r="AD497" s="65" t="s">
        <v>1587</v>
      </c>
    </row>
    <row r="498" spans="1:30">
      <c r="A498" s="42" t="s">
        <v>845</v>
      </c>
      <c r="B498" s="42" t="s">
        <v>846</v>
      </c>
      <c r="C498" s="40" t="s">
        <v>787</v>
      </c>
      <c r="D498" s="40" t="s">
        <v>788</v>
      </c>
      <c r="E498" s="41" t="s">
        <v>1508</v>
      </c>
      <c r="F498" s="5" t="s">
        <v>493</v>
      </c>
      <c r="G498" s="25">
        <v>41833</v>
      </c>
      <c r="H498" s="5" t="s">
        <v>623</v>
      </c>
      <c r="I498" s="5">
        <f>VLOOKUP(MID(表1_11[[#This Row],[工资等级]],1,1),表12[],MATCH(MID(表1_11[[#This Row],[工资等级]],2,2),表12[[#Headers],[1]:[10]],0)+1,0)</f>
        <v>3800</v>
      </c>
      <c r="J498" s="5">
        <v>24.5</v>
      </c>
      <c r="K498" s="27">
        <v>1.0208333333333333</v>
      </c>
      <c r="L498" s="37">
        <f>IF(表1_11[[#This Row],[出勤率]]&gt;1,1,表1_11[[#This Row],[出勤率]])*表1_11[[#This Row],[岗位工资]]</f>
        <v>3800</v>
      </c>
      <c r="M498" s="5">
        <f>LOOKUP(表1_11[[#This Row],[岗位工资]],表13[lookup],表13[奖金比率])*表1_11[[#This Row],[岗位工资]]</f>
        <v>380</v>
      </c>
      <c r="N498" s="5">
        <v>100</v>
      </c>
      <c r="O498" s="38">
        <f>表1_11[[#This Row],[奖金等级]]*表1_11[[#This Row],[绩效得分]]/100</f>
        <v>380</v>
      </c>
      <c r="P498" s="5">
        <f>IF(表1_11[[#This Row],[出勤率]]&gt;=1,200,0)</f>
        <v>200</v>
      </c>
      <c r="Q498" s="23">
        <f t="shared" ca="1" si="7"/>
        <v>150</v>
      </c>
      <c r="R498" s="23">
        <f>IF(表1_11[[#This Row],[中心]]="营销中心",VLOOKUP(表1_11[[#This Row],[职位]],表2[[话费补贴]:[营销中心]],2,0),VLOOKUP(表1_11[[#This Row],[职位]],表2[],3,0))</f>
        <v>0</v>
      </c>
      <c r="S498" s="23">
        <v>200</v>
      </c>
      <c r="T498" s="61">
        <f ca="1">ROUND(SUM(表1_11[[#This Row],[基本工资]],表1_11[[#This Row],[奖金]],表1_11[[#This Row],[全勤奖]:[防暑降温补贴]]),2)</f>
        <v>4730</v>
      </c>
      <c r="U498" s="62">
        <f ca="1">ROUND(表1_11[[#This Row],[税前应发总额]]*8%,2)</f>
        <v>378.4</v>
      </c>
      <c r="V498" s="62">
        <f ca="1">ROUND(表1_11[[#This Row],[税前应发总额]]*2%+3,2)</f>
        <v>97.6</v>
      </c>
      <c r="W498" s="62">
        <f ca="1">ROUND(表1_11[[#This Row],[税前应发总额]]*0.2%,2)</f>
        <v>9.4600000000000009</v>
      </c>
      <c r="X498" s="62">
        <f ca="1">ROUND(表1_11[[#This Row],[税前应发总额]]*12%,2)</f>
        <v>567.6</v>
      </c>
      <c r="Y498" s="61">
        <f ca="1">ROUND(表1_11[[#This Row],[税前应发总额]]-SUM(表1_11[[#This Row],[养老保险]:[公积金]]),2)</f>
        <v>3676.94</v>
      </c>
      <c r="Z498" s="62">
        <f ca="1">ROUND(MAX((表1_11[[#This Row],[扣保险后工资金额]]-3500)*{3,10,20,25,30,35,45}%-{0,105,555,1005,2755,5505,13505},0),2)</f>
        <v>5.31</v>
      </c>
      <c r="AA498" s="63">
        <f ca="1">表1_11[[#This Row],[扣保险后工资金额]]-表1_11[[#This Row],[个人所得税]]</f>
        <v>3671.63</v>
      </c>
      <c r="AB498" s="53">
        <v>3519.06</v>
      </c>
      <c r="AC498" s="64">
        <f ca="1">(表1_11[[#This Row],[实发工资]]-表1_11[[#This Row],[上月对比]])/表1_11[[#This Row],[上月对比]]</f>
        <v>4.3355327843230908E-2</v>
      </c>
      <c r="AD498" s="65" t="s">
        <v>1587</v>
      </c>
    </row>
    <row r="499" spans="1:30">
      <c r="A499" s="42" t="s">
        <v>845</v>
      </c>
      <c r="B499" s="42" t="s">
        <v>849</v>
      </c>
      <c r="C499" s="40" t="s">
        <v>850</v>
      </c>
      <c r="D499" s="40" t="s">
        <v>850</v>
      </c>
      <c r="E499" s="41" t="s">
        <v>1509</v>
      </c>
      <c r="F499" s="5" t="s">
        <v>494</v>
      </c>
      <c r="G499" s="25">
        <v>41045</v>
      </c>
      <c r="H499" s="5" t="s">
        <v>653</v>
      </c>
      <c r="I499" s="5">
        <f>VLOOKUP(MID(表1_11[[#This Row],[工资等级]],1,1),表12[],MATCH(MID(表1_11[[#This Row],[工资等级]],2,2),表12[[#Headers],[1]:[10]],0)+1,0)</f>
        <v>5500</v>
      </c>
      <c r="J499" s="5">
        <v>23</v>
      </c>
      <c r="K499" s="27">
        <v>0.95833333333333337</v>
      </c>
      <c r="L499" s="37">
        <f>IF(表1_11[[#This Row],[出勤率]]&gt;1,1,表1_11[[#This Row],[出勤率]])*表1_11[[#This Row],[岗位工资]]</f>
        <v>5270.8333333333339</v>
      </c>
      <c r="M499" s="5">
        <f>LOOKUP(表1_11[[#This Row],[岗位工资]],表13[lookup],表13[奖金比率])*表1_11[[#This Row],[岗位工资]]</f>
        <v>825</v>
      </c>
      <c r="N499" s="5">
        <v>79</v>
      </c>
      <c r="O499" s="38">
        <f>表1_11[[#This Row],[奖金等级]]*表1_11[[#This Row],[绩效得分]]/100</f>
        <v>651.75</v>
      </c>
      <c r="P499" s="5">
        <f>IF(表1_11[[#This Row],[出勤率]]&gt;=1,200,0)</f>
        <v>0</v>
      </c>
      <c r="Q499" s="23">
        <f t="shared" ca="1" si="7"/>
        <v>250</v>
      </c>
      <c r="R499" s="23">
        <f>IF(表1_11[[#This Row],[中心]]="营销中心",VLOOKUP(表1_11[[#This Row],[职位]],表2[[话费补贴]:[营销中心]],2,0),VLOOKUP(表1_11[[#This Row],[职位]],表2[],3,0))</f>
        <v>500</v>
      </c>
      <c r="S499" s="23">
        <v>200</v>
      </c>
      <c r="T499" s="61">
        <f ca="1">ROUND(SUM(表1_11[[#This Row],[基本工资]],表1_11[[#This Row],[奖金]],表1_11[[#This Row],[全勤奖]:[防暑降温补贴]]),2)</f>
        <v>6872.58</v>
      </c>
      <c r="U499" s="62">
        <f ca="1">ROUND(表1_11[[#This Row],[税前应发总额]]*8%,2)</f>
        <v>549.80999999999995</v>
      </c>
      <c r="V499" s="62">
        <f ca="1">ROUND(表1_11[[#This Row],[税前应发总额]]*2%+3,2)</f>
        <v>140.44999999999999</v>
      </c>
      <c r="W499" s="62">
        <f ca="1">ROUND(表1_11[[#This Row],[税前应发总额]]*0.2%,2)</f>
        <v>13.75</v>
      </c>
      <c r="X499" s="62">
        <f ca="1">ROUND(表1_11[[#This Row],[税前应发总额]]*12%,2)</f>
        <v>824.71</v>
      </c>
      <c r="Y499" s="61">
        <f ca="1">ROUND(表1_11[[#This Row],[税前应发总额]]-SUM(表1_11[[#This Row],[养老保险]:[公积金]]),2)</f>
        <v>5343.86</v>
      </c>
      <c r="Z499" s="62">
        <f ca="1">ROUND(MAX((表1_11[[#This Row],[扣保险后工资金额]]-3500)*{3,10,20,25,30,35,45}%-{0,105,555,1005,2755,5505,13505},0),2)</f>
        <v>79.39</v>
      </c>
      <c r="AA499" s="63">
        <f ca="1">表1_11[[#This Row],[扣保险后工资金额]]-表1_11[[#This Row],[个人所得税]]</f>
        <v>5264.4699999999993</v>
      </c>
      <c r="AB499" s="53">
        <v>4512.25</v>
      </c>
      <c r="AC499" s="64">
        <f ca="1">(表1_11[[#This Row],[实发工资]]-表1_11[[#This Row],[上月对比]])/表1_11[[#This Row],[上月对比]]</f>
        <v>0.16670618870851556</v>
      </c>
      <c r="AD499" s="65" t="s">
        <v>1587</v>
      </c>
    </row>
    <row r="500" spans="1:30">
      <c r="A500" s="42" t="s">
        <v>845</v>
      </c>
      <c r="B500" s="42" t="s">
        <v>849</v>
      </c>
      <c r="C500" s="40" t="s">
        <v>851</v>
      </c>
      <c r="D500" s="40" t="s">
        <v>852</v>
      </c>
      <c r="E500" s="41" t="s">
        <v>1510</v>
      </c>
      <c r="F500" s="5" t="s">
        <v>495</v>
      </c>
      <c r="G500" s="25">
        <v>42350</v>
      </c>
      <c r="H500" s="5" t="s">
        <v>637</v>
      </c>
      <c r="I500" s="5">
        <f>VLOOKUP(MID(表1_11[[#This Row],[工资等级]],1,1),表12[],MATCH(MID(表1_11[[#This Row],[工资等级]],2,2),表12[[#Headers],[1]:[10]],0)+1,0)</f>
        <v>4000</v>
      </c>
      <c r="J500" s="5">
        <v>25</v>
      </c>
      <c r="K500" s="27">
        <v>1.0416666666666667</v>
      </c>
      <c r="L500" s="37">
        <f>IF(表1_11[[#This Row],[出勤率]]&gt;1,1,表1_11[[#This Row],[出勤率]])*表1_11[[#This Row],[岗位工资]]</f>
        <v>4000</v>
      </c>
      <c r="M500" s="5">
        <f>LOOKUP(表1_11[[#This Row],[岗位工资]],表13[lookup],表13[奖金比率])*表1_11[[#This Row],[岗位工资]]</f>
        <v>600</v>
      </c>
      <c r="N500" s="5">
        <v>99</v>
      </c>
      <c r="O500" s="38">
        <f>表1_11[[#This Row],[奖金等级]]*表1_11[[#This Row],[绩效得分]]/100</f>
        <v>594</v>
      </c>
      <c r="P500" s="5">
        <f>IF(表1_11[[#This Row],[出勤率]]&gt;=1,200,0)</f>
        <v>200</v>
      </c>
      <c r="Q500" s="23">
        <f t="shared" ca="1" si="7"/>
        <v>100</v>
      </c>
      <c r="R500" s="23">
        <f>IF(表1_11[[#This Row],[中心]]="营销中心",VLOOKUP(表1_11[[#This Row],[职位]],表2[[话费补贴]:[营销中心]],2,0),VLOOKUP(表1_11[[#This Row],[职位]],表2[],3,0))</f>
        <v>300</v>
      </c>
      <c r="S500" s="23">
        <v>200</v>
      </c>
      <c r="T500" s="61">
        <f ca="1">ROUND(SUM(表1_11[[#This Row],[基本工资]],表1_11[[#This Row],[奖金]],表1_11[[#This Row],[全勤奖]:[防暑降温补贴]]),2)</f>
        <v>5394</v>
      </c>
      <c r="U500" s="62">
        <f ca="1">ROUND(表1_11[[#This Row],[税前应发总额]]*8%,2)</f>
        <v>431.52</v>
      </c>
      <c r="V500" s="62">
        <f ca="1">ROUND(表1_11[[#This Row],[税前应发总额]]*2%+3,2)</f>
        <v>110.88</v>
      </c>
      <c r="W500" s="62">
        <f ca="1">ROUND(表1_11[[#This Row],[税前应发总额]]*0.2%,2)</f>
        <v>10.79</v>
      </c>
      <c r="X500" s="62">
        <f ca="1">ROUND(表1_11[[#This Row],[税前应发总额]]*12%,2)</f>
        <v>647.28</v>
      </c>
      <c r="Y500" s="61">
        <f ca="1">ROUND(表1_11[[#This Row],[税前应发总额]]-SUM(表1_11[[#This Row],[养老保险]:[公积金]]),2)</f>
        <v>4193.53</v>
      </c>
      <c r="Z500" s="62">
        <f ca="1">ROUND(MAX((表1_11[[#This Row],[扣保险后工资金额]]-3500)*{3,10,20,25,30,35,45}%-{0,105,555,1005,2755,5505,13505},0),2)</f>
        <v>20.81</v>
      </c>
      <c r="AA500" s="63">
        <f ca="1">表1_11[[#This Row],[扣保险后工资金额]]-表1_11[[#This Row],[个人所得税]]</f>
        <v>4172.7199999999993</v>
      </c>
      <c r="AB500" s="53">
        <v>4189.9799999999996</v>
      </c>
      <c r="AC500" s="64">
        <f ca="1">(表1_11[[#This Row],[实发工资]]-表1_11[[#This Row],[上月对比]])/表1_11[[#This Row],[上月对比]]</f>
        <v>-4.1193514050186925E-3</v>
      </c>
      <c r="AD500" s="65" t="s">
        <v>1587</v>
      </c>
    </row>
    <row r="501" spans="1:30">
      <c r="A501" s="42" t="s">
        <v>845</v>
      </c>
      <c r="B501" s="42" t="s">
        <v>849</v>
      </c>
      <c r="C501" s="40" t="s">
        <v>853</v>
      </c>
      <c r="D501" s="40" t="s">
        <v>854</v>
      </c>
      <c r="E501" s="41" t="s">
        <v>1511</v>
      </c>
      <c r="F501" s="5" t="s">
        <v>496</v>
      </c>
      <c r="G501" s="25">
        <v>42062</v>
      </c>
      <c r="H501" s="5" t="s">
        <v>625</v>
      </c>
      <c r="I501" s="5">
        <f>VLOOKUP(MID(表1_11[[#This Row],[工资等级]],1,1),表12[],MATCH(MID(表1_11[[#This Row],[工资等级]],2,2),表12[[#Headers],[1]:[10]],0)+1,0)</f>
        <v>6000</v>
      </c>
      <c r="J501" s="5">
        <v>26.5</v>
      </c>
      <c r="K501" s="27">
        <v>1.1041666666666667</v>
      </c>
      <c r="L501" s="37">
        <f>IF(表1_11[[#This Row],[出勤率]]&gt;1,1,表1_11[[#This Row],[出勤率]])*表1_11[[#This Row],[岗位工资]]</f>
        <v>6000</v>
      </c>
      <c r="M501" s="5">
        <f>LOOKUP(表1_11[[#This Row],[岗位工资]],表13[lookup],表13[奖金比率])*表1_11[[#This Row],[岗位工资]]</f>
        <v>900</v>
      </c>
      <c r="N501" s="5">
        <v>96</v>
      </c>
      <c r="O501" s="38">
        <f>表1_11[[#This Row],[奖金等级]]*表1_11[[#This Row],[绩效得分]]/100</f>
        <v>864</v>
      </c>
      <c r="P501" s="5">
        <f>IF(表1_11[[#This Row],[出勤率]]&gt;=1,200,0)</f>
        <v>200</v>
      </c>
      <c r="Q501" s="23">
        <f t="shared" ca="1" si="7"/>
        <v>150</v>
      </c>
      <c r="R501" s="23">
        <f>IF(表1_11[[#This Row],[中心]]="营销中心",VLOOKUP(表1_11[[#This Row],[职位]],表2[[话费补贴]:[营销中心]],2,0),VLOOKUP(表1_11[[#This Row],[职位]],表2[],3,0))</f>
        <v>300</v>
      </c>
      <c r="S501" s="23">
        <v>200</v>
      </c>
      <c r="T501" s="61">
        <f ca="1">ROUND(SUM(表1_11[[#This Row],[基本工资]],表1_11[[#This Row],[奖金]],表1_11[[#This Row],[全勤奖]:[防暑降温补贴]]),2)</f>
        <v>7714</v>
      </c>
      <c r="U501" s="62">
        <f ca="1">ROUND(表1_11[[#This Row],[税前应发总额]]*8%,2)</f>
        <v>617.12</v>
      </c>
      <c r="V501" s="62">
        <f ca="1">ROUND(表1_11[[#This Row],[税前应发总额]]*2%+3,2)</f>
        <v>157.28</v>
      </c>
      <c r="W501" s="62">
        <f ca="1">ROUND(表1_11[[#This Row],[税前应发总额]]*0.2%,2)</f>
        <v>15.43</v>
      </c>
      <c r="X501" s="62">
        <f ca="1">ROUND(表1_11[[#This Row],[税前应发总额]]*12%,2)</f>
        <v>925.68</v>
      </c>
      <c r="Y501" s="61">
        <f ca="1">ROUND(表1_11[[#This Row],[税前应发总额]]-SUM(表1_11[[#This Row],[养老保险]:[公积金]]),2)</f>
        <v>5998.49</v>
      </c>
      <c r="Z501" s="62">
        <f ca="1">ROUND(MAX((表1_11[[#This Row],[扣保险后工资金额]]-3500)*{3,10,20,25,30,35,45}%-{0,105,555,1005,2755,5505,13505},0),2)</f>
        <v>144.85</v>
      </c>
      <c r="AA501" s="63">
        <f ca="1">表1_11[[#This Row],[扣保险后工资金额]]-表1_11[[#This Row],[个人所得税]]</f>
        <v>5853.6399999999994</v>
      </c>
      <c r="AB501" s="53">
        <v>5449.87</v>
      </c>
      <c r="AC501" s="64">
        <f ca="1">(表1_11[[#This Row],[实发工资]]-表1_11[[#This Row],[上月对比]])/表1_11[[#This Row],[上月对比]]</f>
        <v>7.4088005768944865E-2</v>
      </c>
      <c r="AD501" s="65" t="s">
        <v>1587</v>
      </c>
    </row>
    <row r="502" spans="1:30">
      <c r="A502" s="42" t="s">
        <v>845</v>
      </c>
      <c r="B502" s="42" t="s">
        <v>849</v>
      </c>
      <c r="C502" s="40" t="s">
        <v>691</v>
      </c>
      <c r="D502" s="40" t="s">
        <v>692</v>
      </c>
      <c r="E502" s="41" t="s">
        <v>1512</v>
      </c>
      <c r="F502" s="5" t="s">
        <v>497</v>
      </c>
      <c r="G502" s="25">
        <v>38380</v>
      </c>
      <c r="H502" s="5" t="s">
        <v>615</v>
      </c>
      <c r="I502" s="5">
        <f>VLOOKUP(MID(表1_11[[#This Row],[工资等级]],1,1),表12[],MATCH(MID(表1_11[[#This Row],[工资等级]],2,2),表12[[#Headers],[1]:[10]],0)+1,0)</f>
        <v>3200</v>
      </c>
      <c r="J502" s="5">
        <v>23</v>
      </c>
      <c r="K502" s="27">
        <v>0.95833333333333337</v>
      </c>
      <c r="L502" s="37">
        <f>IF(表1_11[[#This Row],[出勤率]]&gt;1,1,表1_11[[#This Row],[出勤率]])*表1_11[[#This Row],[岗位工资]]</f>
        <v>3066.666666666667</v>
      </c>
      <c r="M502" s="5">
        <f>LOOKUP(表1_11[[#This Row],[岗位工资]],表13[lookup],表13[奖金比率])*表1_11[[#This Row],[岗位工资]]</f>
        <v>320</v>
      </c>
      <c r="N502" s="5">
        <v>99</v>
      </c>
      <c r="O502" s="38">
        <f>表1_11[[#This Row],[奖金等级]]*表1_11[[#This Row],[绩效得分]]/100</f>
        <v>316.8</v>
      </c>
      <c r="P502" s="5">
        <f>IF(表1_11[[#This Row],[出勤率]]&gt;=1,200,0)</f>
        <v>0</v>
      </c>
      <c r="Q502" s="23">
        <f t="shared" ca="1" si="7"/>
        <v>500</v>
      </c>
      <c r="R502" s="23">
        <f>IF(表1_11[[#This Row],[中心]]="营销中心",VLOOKUP(表1_11[[#This Row],[职位]],表2[[话费补贴]:[营销中心]],2,0),VLOOKUP(表1_11[[#This Row],[职位]],表2[],3,0))</f>
        <v>0</v>
      </c>
      <c r="S502" s="23">
        <v>200</v>
      </c>
      <c r="T502" s="61">
        <f ca="1">ROUND(SUM(表1_11[[#This Row],[基本工资]],表1_11[[#This Row],[奖金]],表1_11[[#This Row],[全勤奖]:[防暑降温补贴]]),2)</f>
        <v>4083.47</v>
      </c>
      <c r="U502" s="62">
        <f ca="1">ROUND(表1_11[[#This Row],[税前应发总额]]*8%,2)</f>
        <v>326.68</v>
      </c>
      <c r="V502" s="62">
        <f ca="1">ROUND(表1_11[[#This Row],[税前应发总额]]*2%+3,2)</f>
        <v>84.67</v>
      </c>
      <c r="W502" s="62">
        <f ca="1">ROUND(表1_11[[#This Row],[税前应发总额]]*0.2%,2)</f>
        <v>8.17</v>
      </c>
      <c r="X502" s="62">
        <f ca="1">ROUND(表1_11[[#This Row],[税前应发总额]]*12%,2)</f>
        <v>490.02</v>
      </c>
      <c r="Y502" s="61">
        <f ca="1">ROUND(表1_11[[#This Row],[税前应发总额]]-SUM(表1_11[[#This Row],[养老保险]:[公积金]]),2)</f>
        <v>3173.93</v>
      </c>
      <c r="Z502" s="62">
        <f ca="1">ROUND(MAX((表1_11[[#This Row],[扣保险后工资金额]]-3500)*{3,10,20,25,30,35,45}%-{0,105,555,1005,2755,5505,13505},0),2)</f>
        <v>0</v>
      </c>
      <c r="AA502" s="63">
        <f ca="1">表1_11[[#This Row],[扣保险后工资金额]]-表1_11[[#This Row],[个人所得税]]</f>
        <v>3173.93</v>
      </c>
      <c r="AB502" s="53">
        <v>3578.11</v>
      </c>
      <c r="AC502" s="64">
        <f ca="1">(表1_11[[#This Row],[实发工资]]-表1_11[[#This Row],[上月对比]])/表1_11[[#This Row],[上月对比]]</f>
        <v>-0.11295907616031935</v>
      </c>
      <c r="AD502" s="65" t="s">
        <v>1587</v>
      </c>
    </row>
    <row r="503" spans="1:30">
      <c r="A503" s="42" t="s">
        <v>845</v>
      </c>
      <c r="B503" s="42" t="s">
        <v>849</v>
      </c>
      <c r="C503" s="40" t="s">
        <v>787</v>
      </c>
      <c r="D503" s="40" t="s">
        <v>788</v>
      </c>
      <c r="E503" s="41" t="s">
        <v>1513</v>
      </c>
      <c r="F503" s="5" t="s">
        <v>498</v>
      </c>
      <c r="G503" s="25">
        <v>39455</v>
      </c>
      <c r="H503" s="5" t="s">
        <v>618</v>
      </c>
      <c r="I503" s="5">
        <f>VLOOKUP(MID(表1_11[[#This Row],[工资等级]],1,1),表12[],MATCH(MID(表1_11[[#This Row],[工资等级]],2,2),表12[[#Headers],[1]:[10]],0)+1,0)</f>
        <v>3000</v>
      </c>
      <c r="J503" s="5">
        <v>22.5</v>
      </c>
      <c r="K503" s="27">
        <v>0.9375</v>
      </c>
      <c r="L503" s="37">
        <f>IF(表1_11[[#This Row],[出勤率]]&gt;1,1,表1_11[[#This Row],[出勤率]])*表1_11[[#This Row],[岗位工资]]</f>
        <v>2812.5</v>
      </c>
      <c r="M503" s="5">
        <f>LOOKUP(表1_11[[#This Row],[岗位工资]],表13[lookup],表13[奖金比率])*表1_11[[#This Row],[岗位工资]]</f>
        <v>300</v>
      </c>
      <c r="N503" s="5">
        <v>85</v>
      </c>
      <c r="O503" s="38">
        <f>表1_11[[#This Row],[奖金等级]]*表1_11[[#This Row],[绩效得分]]/100</f>
        <v>255</v>
      </c>
      <c r="P503" s="5">
        <f>IF(表1_11[[#This Row],[出勤率]]&gt;=1,200,0)</f>
        <v>0</v>
      </c>
      <c r="Q503" s="23">
        <f t="shared" ca="1" si="7"/>
        <v>500</v>
      </c>
      <c r="R503" s="23">
        <f>IF(表1_11[[#This Row],[中心]]="营销中心",VLOOKUP(表1_11[[#This Row],[职位]],表2[[话费补贴]:[营销中心]],2,0),VLOOKUP(表1_11[[#This Row],[职位]],表2[],3,0))</f>
        <v>0</v>
      </c>
      <c r="S503" s="23">
        <v>200</v>
      </c>
      <c r="T503" s="61">
        <f ca="1">ROUND(SUM(表1_11[[#This Row],[基本工资]],表1_11[[#This Row],[奖金]],表1_11[[#This Row],[全勤奖]:[防暑降温补贴]]),2)</f>
        <v>3767.5</v>
      </c>
      <c r="U503" s="62">
        <f ca="1">ROUND(表1_11[[#This Row],[税前应发总额]]*8%,2)</f>
        <v>301.39999999999998</v>
      </c>
      <c r="V503" s="62">
        <f ca="1">ROUND(表1_11[[#This Row],[税前应发总额]]*2%+3,2)</f>
        <v>78.349999999999994</v>
      </c>
      <c r="W503" s="62">
        <f ca="1">ROUND(表1_11[[#This Row],[税前应发总额]]*0.2%,2)</f>
        <v>7.54</v>
      </c>
      <c r="X503" s="62">
        <f ca="1">ROUND(表1_11[[#This Row],[税前应发总额]]*12%,2)</f>
        <v>452.1</v>
      </c>
      <c r="Y503" s="61">
        <f ca="1">ROUND(表1_11[[#This Row],[税前应发总额]]-SUM(表1_11[[#This Row],[养老保险]:[公积金]]),2)</f>
        <v>2928.11</v>
      </c>
      <c r="Z503" s="62">
        <f ca="1">ROUND(MAX((表1_11[[#This Row],[扣保险后工资金额]]-3500)*{3,10,20,25,30,35,45}%-{0,105,555,1005,2755,5505,13505},0),2)</f>
        <v>0</v>
      </c>
      <c r="AA503" s="63">
        <f ca="1">表1_11[[#This Row],[扣保险后工资金额]]-表1_11[[#This Row],[个人所得税]]</f>
        <v>2928.11</v>
      </c>
      <c r="AB503" s="53">
        <v>3151.79</v>
      </c>
      <c r="AC503" s="64">
        <f ca="1">(表1_11[[#This Row],[实发工资]]-表1_11[[#This Row],[上月对比]])/表1_11[[#This Row],[上月对比]]</f>
        <v>-7.0969195282680586E-2</v>
      </c>
      <c r="AD503" s="65" t="s">
        <v>1587</v>
      </c>
    </row>
    <row r="504" spans="1:30">
      <c r="A504" s="42" t="s">
        <v>845</v>
      </c>
      <c r="B504" s="42" t="s">
        <v>849</v>
      </c>
      <c r="C504" s="40" t="s">
        <v>842</v>
      </c>
      <c r="D504" s="40" t="s">
        <v>843</v>
      </c>
      <c r="E504" s="41" t="s">
        <v>1514</v>
      </c>
      <c r="F504" s="5" t="s">
        <v>499</v>
      </c>
      <c r="G504" s="25">
        <v>41621</v>
      </c>
      <c r="H504" s="5" t="s">
        <v>622</v>
      </c>
      <c r="I504" s="5">
        <f>VLOOKUP(MID(表1_11[[#This Row],[工资等级]],1,1),表12[],MATCH(MID(表1_11[[#This Row],[工资等级]],2,2),表12[[#Headers],[1]:[10]],0)+1,0)</f>
        <v>3600</v>
      </c>
      <c r="J504" s="5">
        <v>21.5</v>
      </c>
      <c r="K504" s="27">
        <v>0.89583333333333337</v>
      </c>
      <c r="L504" s="37">
        <f>IF(表1_11[[#This Row],[出勤率]]&gt;1,1,表1_11[[#This Row],[出勤率]])*表1_11[[#This Row],[岗位工资]]</f>
        <v>3225</v>
      </c>
      <c r="M504" s="5">
        <f>LOOKUP(表1_11[[#This Row],[岗位工资]],表13[lookup],表13[奖金比率])*表1_11[[#This Row],[岗位工资]]</f>
        <v>360</v>
      </c>
      <c r="N504" s="5">
        <v>86</v>
      </c>
      <c r="O504" s="38">
        <f>表1_11[[#This Row],[奖金等级]]*表1_11[[#This Row],[绩效得分]]/100</f>
        <v>309.60000000000002</v>
      </c>
      <c r="P504" s="5">
        <f>IF(表1_11[[#This Row],[出勤率]]&gt;=1,200,0)</f>
        <v>0</v>
      </c>
      <c r="Q504" s="23">
        <f t="shared" ca="1" si="7"/>
        <v>200</v>
      </c>
      <c r="R504" s="23">
        <f>IF(表1_11[[#This Row],[中心]]="营销中心",VLOOKUP(表1_11[[#This Row],[职位]],表2[[话费补贴]:[营销中心]],2,0),VLOOKUP(表1_11[[#This Row],[职位]],表2[],3,0))</f>
        <v>0</v>
      </c>
      <c r="S504" s="23">
        <v>200</v>
      </c>
      <c r="T504" s="61">
        <f ca="1">ROUND(SUM(表1_11[[#This Row],[基本工资]],表1_11[[#This Row],[奖金]],表1_11[[#This Row],[全勤奖]:[防暑降温补贴]]),2)</f>
        <v>3934.6</v>
      </c>
      <c r="U504" s="62">
        <f ca="1">ROUND(表1_11[[#This Row],[税前应发总额]]*8%,2)</f>
        <v>314.77</v>
      </c>
      <c r="V504" s="62">
        <f ca="1">ROUND(表1_11[[#This Row],[税前应发总额]]*2%+3,2)</f>
        <v>81.69</v>
      </c>
      <c r="W504" s="62">
        <f ca="1">ROUND(表1_11[[#This Row],[税前应发总额]]*0.2%,2)</f>
        <v>7.87</v>
      </c>
      <c r="X504" s="62">
        <f ca="1">ROUND(表1_11[[#This Row],[税前应发总额]]*12%,2)</f>
        <v>472.15</v>
      </c>
      <c r="Y504" s="61">
        <f ca="1">ROUND(表1_11[[#This Row],[税前应发总额]]-SUM(表1_11[[#This Row],[养老保险]:[公积金]]),2)</f>
        <v>3058.12</v>
      </c>
      <c r="Z504" s="62">
        <f ca="1">ROUND(MAX((表1_11[[#This Row],[扣保险后工资金额]]-3500)*{3,10,20,25,30,35,45}%-{0,105,555,1005,2755,5505,13505},0),2)</f>
        <v>0</v>
      </c>
      <c r="AA504" s="63">
        <f ca="1">表1_11[[#This Row],[扣保险后工资金额]]-表1_11[[#This Row],[个人所得税]]</f>
        <v>3058.12</v>
      </c>
      <c r="AB504" s="53">
        <v>3482.8</v>
      </c>
      <c r="AC504" s="64">
        <f ca="1">(表1_11[[#This Row],[实发工资]]-表1_11[[#This Row],[上月对比]])/表1_11[[#This Row],[上月对比]]</f>
        <v>-0.12193637303319176</v>
      </c>
      <c r="AD504" s="65" t="s">
        <v>1587</v>
      </c>
    </row>
    <row r="505" spans="1:30">
      <c r="A505" s="42" t="s">
        <v>845</v>
      </c>
      <c r="B505" s="42" t="s">
        <v>849</v>
      </c>
      <c r="C505" s="40" t="s">
        <v>787</v>
      </c>
      <c r="D505" s="40" t="s">
        <v>788</v>
      </c>
      <c r="E505" s="41" t="s">
        <v>1515</v>
      </c>
      <c r="F505" s="5" t="s">
        <v>500</v>
      </c>
      <c r="G505" s="25">
        <v>40420</v>
      </c>
      <c r="H505" s="5" t="s">
        <v>610</v>
      </c>
      <c r="I505" s="5">
        <f>VLOOKUP(MID(表1_11[[#This Row],[工资等级]],1,1),表12[],MATCH(MID(表1_11[[#This Row],[工资等级]],2,2),表12[[#Headers],[1]:[10]],0)+1,0)</f>
        <v>3400</v>
      </c>
      <c r="J505" s="5">
        <v>27.5</v>
      </c>
      <c r="K505" s="27">
        <v>1.1458333333333333</v>
      </c>
      <c r="L505" s="37">
        <f>IF(表1_11[[#This Row],[出勤率]]&gt;1,1,表1_11[[#This Row],[出勤率]])*表1_11[[#This Row],[岗位工资]]</f>
        <v>3400</v>
      </c>
      <c r="M505" s="5">
        <f>LOOKUP(表1_11[[#This Row],[岗位工资]],表13[lookup],表13[奖金比率])*表1_11[[#This Row],[岗位工资]]</f>
        <v>340</v>
      </c>
      <c r="N505" s="5">
        <v>96</v>
      </c>
      <c r="O505" s="38">
        <f>表1_11[[#This Row],[奖金等级]]*表1_11[[#This Row],[绩效得分]]/100</f>
        <v>326.39999999999998</v>
      </c>
      <c r="P505" s="5">
        <f>IF(表1_11[[#This Row],[出勤率]]&gt;=1,200,0)</f>
        <v>200</v>
      </c>
      <c r="Q505" s="23">
        <f t="shared" ca="1" si="7"/>
        <v>350</v>
      </c>
      <c r="R505" s="23">
        <f>IF(表1_11[[#This Row],[中心]]="营销中心",VLOOKUP(表1_11[[#This Row],[职位]],表2[[话费补贴]:[营销中心]],2,0),VLOOKUP(表1_11[[#This Row],[职位]],表2[],3,0))</f>
        <v>0</v>
      </c>
      <c r="S505" s="23">
        <v>200</v>
      </c>
      <c r="T505" s="61">
        <f ca="1">ROUND(SUM(表1_11[[#This Row],[基本工资]],表1_11[[#This Row],[奖金]],表1_11[[#This Row],[全勤奖]:[防暑降温补贴]]),2)</f>
        <v>4476.3999999999996</v>
      </c>
      <c r="U505" s="62">
        <f ca="1">ROUND(表1_11[[#This Row],[税前应发总额]]*8%,2)</f>
        <v>358.11</v>
      </c>
      <c r="V505" s="62">
        <f ca="1">ROUND(表1_11[[#This Row],[税前应发总额]]*2%+3,2)</f>
        <v>92.53</v>
      </c>
      <c r="W505" s="62">
        <f ca="1">ROUND(表1_11[[#This Row],[税前应发总额]]*0.2%,2)</f>
        <v>8.9499999999999993</v>
      </c>
      <c r="X505" s="62">
        <f ca="1">ROUND(表1_11[[#This Row],[税前应发总额]]*12%,2)</f>
        <v>537.16999999999996</v>
      </c>
      <c r="Y505" s="61">
        <f ca="1">ROUND(表1_11[[#This Row],[税前应发总额]]-SUM(表1_11[[#This Row],[养老保险]:[公积金]]),2)</f>
        <v>3479.64</v>
      </c>
      <c r="Z505" s="62">
        <f ca="1">ROUND(MAX((表1_11[[#This Row],[扣保险后工资金额]]-3500)*{3,10,20,25,30,35,45}%-{0,105,555,1005,2755,5505,13505},0),2)</f>
        <v>0</v>
      </c>
      <c r="AA505" s="63">
        <f ca="1">表1_11[[#This Row],[扣保险后工资金额]]-表1_11[[#This Row],[个人所得税]]</f>
        <v>3479.64</v>
      </c>
      <c r="AB505" s="53">
        <v>3819.22</v>
      </c>
      <c r="AC505" s="64">
        <f ca="1">(表1_11[[#This Row],[实发工资]]-表1_11[[#This Row],[上月对比]])/表1_11[[#This Row],[上月对比]]</f>
        <v>-8.8913443059053923E-2</v>
      </c>
      <c r="AD505" s="65" t="s">
        <v>1587</v>
      </c>
    </row>
    <row r="506" spans="1:30">
      <c r="A506" s="42" t="s">
        <v>845</v>
      </c>
      <c r="B506" s="42" t="s">
        <v>849</v>
      </c>
      <c r="C506" s="40" t="s">
        <v>818</v>
      </c>
      <c r="D506" s="40" t="s">
        <v>819</v>
      </c>
      <c r="E506" s="41" t="s">
        <v>1516</v>
      </c>
      <c r="F506" s="5" t="s">
        <v>501</v>
      </c>
      <c r="G506" s="25">
        <v>42524</v>
      </c>
      <c r="H506" s="5" t="s">
        <v>612</v>
      </c>
      <c r="I506" s="5">
        <f>VLOOKUP(MID(表1_11[[#This Row],[工资等级]],1,1),表12[],MATCH(MID(表1_11[[#This Row],[工资等级]],2,2),表12[[#Headers],[1]:[10]],0)+1,0)</f>
        <v>2700</v>
      </c>
      <c r="J506" s="5">
        <v>22</v>
      </c>
      <c r="K506" s="27">
        <v>0.91666666666666663</v>
      </c>
      <c r="L506" s="37">
        <f>IF(表1_11[[#This Row],[出勤率]]&gt;1,1,表1_11[[#This Row],[出勤率]])*表1_11[[#This Row],[岗位工资]]</f>
        <v>2475</v>
      </c>
      <c r="M506" s="5">
        <f>LOOKUP(表1_11[[#This Row],[岗位工资]],表13[lookup],表13[奖金比率])*表1_11[[#This Row],[岗位工资]]</f>
        <v>270</v>
      </c>
      <c r="N506" s="5">
        <v>94</v>
      </c>
      <c r="O506" s="38">
        <f>表1_11[[#This Row],[奖金等级]]*表1_11[[#This Row],[绩效得分]]/100</f>
        <v>253.8</v>
      </c>
      <c r="P506" s="5">
        <f>IF(表1_11[[#This Row],[出勤率]]&gt;=1,200,0)</f>
        <v>0</v>
      </c>
      <c r="Q506" s="23">
        <f t="shared" ca="1" si="7"/>
        <v>50</v>
      </c>
      <c r="R506" s="23">
        <f>IF(表1_11[[#This Row],[中心]]="营销中心",VLOOKUP(表1_11[[#This Row],[职位]],表2[[话费补贴]:[营销中心]],2,0),VLOOKUP(表1_11[[#This Row],[职位]],表2[],3,0))</f>
        <v>0</v>
      </c>
      <c r="S506" s="23">
        <v>200</v>
      </c>
      <c r="T506" s="61">
        <f ca="1">ROUND(SUM(表1_11[[#This Row],[基本工资]],表1_11[[#This Row],[奖金]],表1_11[[#This Row],[全勤奖]:[防暑降温补贴]]),2)</f>
        <v>2978.8</v>
      </c>
      <c r="U506" s="62">
        <f ca="1">ROUND(表1_11[[#This Row],[税前应发总额]]*8%,2)</f>
        <v>238.3</v>
      </c>
      <c r="V506" s="62">
        <f ca="1">ROUND(表1_11[[#This Row],[税前应发总额]]*2%+3,2)</f>
        <v>62.58</v>
      </c>
      <c r="W506" s="62">
        <f ca="1">ROUND(表1_11[[#This Row],[税前应发总额]]*0.2%,2)</f>
        <v>5.96</v>
      </c>
      <c r="X506" s="62">
        <f ca="1">ROUND(表1_11[[#This Row],[税前应发总额]]*12%,2)</f>
        <v>357.46</v>
      </c>
      <c r="Y506" s="61">
        <f ca="1">ROUND(表1_11[[#This Row],[税前应发总额]]-SUM(表1_11[[#This Row],[养老保险]:[公积金]]),2)</f>
        <v>2314.5</v>
      </c>
      <c r="Z506" s="62">
        <f ca="1">ROUND(MAX((表1_11[[#This Row],[扣保险后工资金额]]-3500)*{3,10,20,25,30,35,45}%-{0,105,555,1005,2755,5505,13505},0),2)</f>
        <v>0</v>
      </c>
      <c r="AA506" s="63">
        <f ca="1">表1_11[[#This Row],[扣保险后工资金额]]-表1_11[[#This Row],[个人所得税]]</f>
        <v>2314.5</v>
      </c>
      <c r="AB506" s="53">
        <v>2029.14</v>
      </c>
      <c r="AC506" s="64">
        <f ca="1">(表1_11[[#This Row],[实发工资]]-表1_11[[#This Row],[上月对比]])/表1_11[[#This Row],[上月对比]]</f>
        <v>0.1406310062390963</v>
      </c>
      <c r="AD506" s="65" t="s">
        <v>1587</v>
      </c>
    </row>
    <row r="507" spans="1:30">
      <c r="A507" s="42" t="s">
        <v>845</v>
      </c>
      <c r="B507" s="42" t="s">
        <v>849</v>
      </c>
      <c r="C507" s="40" t="s">
        <v>793</v>
      </c>
      <c r="D507" s="40" t="s">
        <v>794</v>
      </c>
      <c r="E507" s="41" t="s">
        <v>1517</v>
      </c>
      <c r="F507" s="5" t="s">
        <v>502</v>
      </c>
      <c r="G507" s="25">
        <v>38342</v>
      </c>
      <c r="H507" s="5" t="s">
        <v>622</v>
      </c>
      <c r="I507" s="5">
        <f>VLOOKUP(MID(表1_11[[#This Row],[工资等级]],1,1),表12[],MATCH(MID(表1_11[[#This Row],[工资等级]],2,2),表12[[#Headers],[1]:[10]],0)+1,0)</f>
        <v>3600</v>
      </c>
      <c r="J507" s="5">
        <v>22</v>
      </c>
      <c r="K507" s="27">
        <v>0.91666666666666663</v>
      </c>
      <c r="L507" s="37">
        <f>IF(表1_11[[#This Row],[出勤率]]&gt;1,1,表1_11[[#This Row],[出勤率]])*表1_11[[#This Row],[岗位工资]]</f>
        <v>3300</v>
      </c>
      <c r="M507" s="5">
        <f>LOOKUP(表1_11[[#This Row],[岗位工资]],表13[lookup],表13[奖金比率])*表1_11[[#This Row],[岗位工资]]</f>
        <v>360</v>
      </c>
      <c r="N507" s="5">
        <v>88</v>
      </c>
      <c r="O507" s="38">
        <f>表1_11[[#This Row],[奖金等级]]*表1_11[[#This Row],[绩效得分]]/100</f>
        <v>316.8</v>
      </c>
      <c r="P507" s="5">
        <f>IF(表1_11[[#This Row],[出勤率]]&gt;=1,200,0)</f>
        <v>0</v>
      </c>
      <c r="Q507" s="23">
        <f t="shared" ca="1" si="7"/>
        <v>500</v>
      </c>
      <c r="R507" s="23">
        <f>IF(表1_11[[#This Row],[中心]]="营销中心",VLOOKUP(表1_11[[#This Row],[职位]],表2[[话费补贴]:[营销中心]],2,0),VLOOKUP(表1_11[[#This Row],[职位]],表2[],3,0))</f>
        <v>0</v>
      </c>
      <c r="S507" s="23">
        <v>200</v>
      </c>
      <c r="T507" s="61">
        <f ca="1">ROUND(SUM(表1_11[[#This Row],[基本工资]],表1_11[[#This Row],[奖金]],表1_11[[#This Row],[全勤奖]:[防暑降温补贴]]),2)</f>
        <v>4316.8</v>
      </c>
      <c r="U507" s="62">
        <f ca="1">ROUND(表1_11[[#This Row],[税前应发总额]]*8%,2)</f>
        <v>345.34</v>
      </c>
      <c r="V507" s="62">
        <f ca="1">ROUND(表1_11[[#This Row],[税前应发总额]]*2%+3,2)</f>
        <v>89.34</v>
      </c>
      <c r="W507" s="62">
        <f ca="1">ROUND(表1_11[[#This Row],[税前应发总额]]*0.2%,2)</f>
        <v>8.6300000000000008</v>
      </c>
      <c r="X507" s="62">
        <f ca="1">ROUND(表1_11[[#This Row],[税前应发总额]]*12%,2)</f>
        <v>518.02</v>
      </c>
      <c r="Y507" s="61">
        <f ca="1">ROUND(表1_11[[#This Row],[税前应发总额]]-SUM(表1_11[[#This Row],[养老保险]:[公积金]]),2)</f>
        <v>3355.47</v>
      </c>
      <c r="Z507" s="62">
        <f ca="1">ROUND(MAX((表1_11[[#This Row],[扣保险后工资金额]]-3500)*{3,10,20,25,30,35,45}%-{0,105,555,1005,2755,5505,13505},0),2)</f>
        <v>0</v>
      </c>
      <c r="AA507" s="63">
        <f ca="1">表1_11[[#This Row],[扣保险后工资金额]]-表1_11[[#This Row],[个人所得税]]</f>
        <v>3355.47</v>
      </c>
      <c r="AB507" s="53">
        <v>3068.77</v>
      </c>
      <c r="AC507" s="64">
        <f ca="1">(表1_11[[#This Row],[实发工资]]-表1_11[[#This Row],[上月对比]])/表1_11[[#This Row],[上月对比]]</f>
        <v>9.3425053034277519E-2</v>
      </c>
      <c r="AD507" s="65" t="s">
        <v>1587</v>
      </c>
    </row>
    <row r="508" spans="1:30">
      <c r="A508" s="42" t="s">
        <v>845</v>
      </c>
      <c r="B508" s="42" t="s">
        <v>849</v>
      </c>
      <c r="C508" s="40" t="s">
        <v>655</v>
      </c>
      <c r="D508" s="40" t="s">
        <v>656</v>
      </c>
      <c r="E508" s="41" t="s">
        <v>1518</v>
      </c>
      <c r="F508" s="5" t="s">
        <v>503</v>
      </c>
      <c r="G508" s="25">
        <v>39994</v>
      </c>
      <c r="H508" s="5" t="s">
        <v>618</v>
      </c>
      <c r="I508" s="5">
        <f>VLOOKUP(MID(表1_11[[#This Row],[工资等级]],1,1),表12[],MATCH(MID(表1_11[[#This Row],[工资等级]],2,2),表12[[#Headers],[1]:[10]],0)+1,0)</f>
        <v>3000</v>
      </c>
      <c r="J508" s="5">
        <v>23.5</v>
      </c>
      <c r="K508" s="27">
        <v>0.97916666666666663</v>
      </c>
      <c r="L508" s="37">
        <f>IF(表1_11[[#This Row],[出勤率]]&gt;1,1,表1_11[[#This Row],[出勤率]])*表1_11[[#This Row],[岗位工资]]</f>
        <v>2937.5</v>
      </c>
      <c r="M508" s="5">
        <f>LOOKUP(表1_11[[#This Row],[岗位工资]],表13[lookup],表13[奖金比率])*表1_11[[#This Row],[岗位工资]]</f>
        <v>300</v>
      </c>
      <c r="N508" s="5">
        <v>91</v>
      </c>
      <c r="O508" s="38">
        <f>表1_11[[#This Row],[奖金等级]]*表1_11[[#This Row],[绩效得分]]/100</f>
        <v>273</v>
      </c>
      <c r="P508" s="5">
        <f>IF(表1_11[[#This Row],[出勤率]]&gt;=1,200,0)</f>
        <v>0</v>
      </c>
      <c r="Q508" s="23">
        <f t="shared" ca="1" si="7"/>
        <v>400</v>
      </c>
      <c r="R508" s="23">
        <f>IF(表1_11[[#This Row],[中心]]="营销中心",VLOOKUP(表1_11[[#This Row],[职位]],表2[[话费补贴]:[营销中心]],2,0),VLOOKUP(表1_11[[#This Row],[职位]],表2[],3,0))</f>
        <v>0</v>
      </c>
      <c r="S508" s="23">
        <v>200</v>
      </c>
      <c r="T508" s="61">
        <f ca="1">ROUND(SUM(表1_11[[#This Row],[基本工资]],表1_11[[#This Row],[奖金]],表1_11[[#This Row],[全勤奖]:[防暑降温补贴]]),2)</f>
        <v>3810.5</v>
      </c>
      <c r="U508" s="62">
        <f ca="1">ROUND(表1_11[[#This Row],[税前应发总额]]*8%,2)</f>
        <v>304.83999999999997</v>
      </c>
      <c r="V508" s="62">
        <f ca="1">ROUND(表1_11[[#This Row],[税前应发总额]]*2%+3,2)</f>
        <v>79.209999999999994</v>
      </c>
      <c r="W508" s="62">
        <f ca="1">ROUND(表1_11[[#This Row],[税前应发总额]]*0.2%,2)</f>
        <v>7.62</v>
      </c>
      <c r="X508" s="62">
        <f ca="1">ROUND(表1_11[[#This Row],[税前应发总额]]*12%,2)</f>
        <v>457.26</v>
      </c>
      <c r="Y508" s="61">
        <f ca="1">ROUND(表1_11[[#This Row],[税前应发总额]]-SUM(表1_11[[#This Row],[养老保险]:[公积金]]),2)</f>
        <v>2961.57</v>
      </c>
      <c r="Z508" s="62">
        <f ca="1">ROUND(MAX((表1_11[[#This Row],[扣保险后工资金额]]-3500)*{3,10,20,25,30,35,45}%-{0,105,555,1005,2755,5505,13505},0),2)</f>
        <v>0</v>
      </c>
      <c r="AA508" s="63">
        <f ca="1">表1_11[[#This Row],[扣保险后工资金额]]-表1_11[[#This Row],[个人所得税]]</f>
        <v>2961.57</v>
      </c>
      <c r="AB508" s="53">
        <v>3046.86</v>
      </c>
      <c r="AC508" s="64">
        <f ca="1">(表1_11[[#This Row],[实发工资]]-表1_11[[#This Row],[上月对比]])/表1_11[[#This Row],[上月对比]]</f>
        <v>-2.7992753195092639E-2</v>
      </c>
      <c r="AD508" s="65" t="s">
        <v>1587</v>
      </c>
    </row>
    <row r="509" spans="1:30">
      <c r="A509" s="42" t="s">
        <v>845</v>
      </c>
      <c r="B509" s="42" t="s">
        <v>849</v>
      </c>
      <c r="C509" s="40" t="s">
        <v>642</v>
      </c>
      <c r="D509" s="40" t="s">
        <v>643</v>
      </c>
      <c r="E509" s="41" t="s">
        <v>1519</v>
      </c>
      <c r="F509" s="5" t="s">
        <v>504</v>
      </c>
      <c r="G509" s="25">
        <v>41885</v>
      </c>
      <c r="H509" s="5" t="s">
        <v>615</v>
      </c>
      <c r="I509" s="5">
        <f>VLOOKUP(MID(表1_11[[#This Row],[工资等级]],1,1),表12[],MATCH(MID(表1_11[[#This Row],[工资等级]],2,2),表12[[#Headers],[1]:[10]],0)+1,0)</f>
        <v>3200</v>
      </c>
      <c r="J509" s="5">
        <v>24.5</v>
      </c>
      <c r="K509" s="27">
        <v>1.0208333333333333</v>
      </c>
      <c r="L509" s="37">
        <f>IF(表1_11[[#This Row],[出勤率]]&gt;1,1,表1_11[[#This Row],[出勤率]])*表1_11[[#This Row],[岗位工资]]</f>
        <v>3200</v>
      </c>
      <c r="M509" s="5">
        <f>LOOKUP(表1_11[[#This Row],[岗位工资]],表13[lookup],表13[奖金比率])*表1_11[[#This Row],[岗位工资]]</f>
        <v>320</v>
      </c>
      <c r="N509" s="5">
        <v>80</v>
      </c>
      <c r="O509" s="38">
        <f>表1_11[[#This Row],[奖金等级]]*表1_11[[#This Row],[绩效得分]]/100</f>
        <v>256</v>
      </c>
      <c r="P509" s="5">
        <f>IF(表1_11[[#This Row],[出勤率]]&gt;=1,200,0)</f>
        <v>200</v>
      </c>
      <c r="Q509" s="23">
        <f t="shared" ca="1" si="7"/>
        <v>150</v>
      </c>
      <c r="R509" s="23">
        <f>IF(表1_11[[#This Row],[中心]]="营销中心",VLOOKUP(表1_11[[#This Row],[职位]],表2[[话费补贴]:[营销中心]],2,0),VLOOKUP(表1_11[[#This Row],[职位]],表2[],3,0))</f>
        <v>0</v>
      </c>
      <c r="S509" s="23">
        <v>200</v>
      </c>
      <c r="T509" s="61">
        <f ca="1">ROUND(SUM(表1_11[[#This Row],[基本工资]],表1_11[[#This Row],[奖金]],表1_11[[#This Row],[全勤奖]:[防暑降温补贴]]),2)</f>
        <v>4006</v>
      </c>
      <c r="U509" s="62">
        <f ca="1">ROUND(表1_11[[#This Row],[税前应发总额]]*8%,2)</f>
        <v>320.48</v>
      </c>
      <c r="V509" s="62">
        <f ca="1">ROUND(表1_11[[#This Row],[税前应发总额]]*2%+3,2)</f>
        <v>83.12</v>
      </c>
      <c r="W509" s="62">
        <f ca="1">ROUND(表1_11[[#This Row],[税前应发总额]]*0.2%,2)</f>
        <v>8.01</v>
      </c>
      <c r="X509" s="62">
        <f ca="1">ROUND(表1_11[[#This Row],[税前应发总额]]*12%,2)</f>
        <v>480.72</v>
      </c>
      <c r="Y509" s="61">
        <f ca="1">ROUND(表1_11[[#This Row],[税前应发总额]]-SUM(表1_11[[#This Row],[养老保险]:[公积金]]),2)</f>
        <v>3113.67</v>
      </c>
      <c r="Z509" s="62">
        <f ca="1">ROUND(MAX((表1_11[[#This Row],[扣保险后工资金额]]-3500)*{3,10,20,25,30,35,45}%-{0,105,555,1005,2755,5505,13505},0),2)</f>
        <v>0</v>
      </c>
      <c r="AA509" s="63">
        <f ca="1">表1_11[[#This Row],[扣保险后工资金额]]-表1_11[[#This Row],[个人所得税]]</f>
        <v>3113.67</v>
      </c>
      <c r="AB509" s="53">
        <v>3649.91</v>
      </c>
      <c r="AC509" s="64">
        <f ca="1">(表1_11[[#This Row],[实发工资]]-表1_11[[#This Row],[上月对比]])/表1_11[[#This Row],[上月对比]]</f>
        <v>-0.14691869114580902</v>
      </c>
      <c r="AD509" s="65" t="s">
        <v>1587</v>
      </c>
    </row>
    <row r="510" spans="1:30">
      <c r="A510" s="42" t="s">
        <v>845</v>
      </c>
      <c r="B510" s="42" t="s">
        <v>849</v>
      </c>
      <c r="C510" s="40" t="s">
        <v>787</v>
      </c>
      <c r="D510" s="40" t="s">
        <v>788</v>
      </c>
      <c r="E510" s="41" t="s">
        <v>1520</v>
      </c>
      <c r="F510" s="5" t="s">
        <v>505</v>
      </c>
      <c r="G510" s="25">
        <v>40158</v>
      </c>
      <c r="H510" s="5" t="s">
        <v>612</v>
      </c>
      <c r="I510" s="5">
        <f>VLOOKUP(MID(表1_11[[#This Row],[工资等级]],1,1),表12[],MATCH(MID(表1_11[[#This Row],[工资等级]],2,2),表12[[#Headers],[1]:[10]],0)+1,0)</f>
        <v>2700</v>
      </c>
      <c r="J510" s="5">
        <v>27</v>
      </c>
      <c r="K510" s="27">
        <v>1.125</v>
      </c>
      <c r="L510" s="37">
        <f>IF(表1_11[[#This Row],[出勤率]]&gt;1,1,表1_11[[#This Row],[出勤率]])*表1_11[[#This Row],[岗位工资]]</f>
        <v>2700</v>
      </c>
      <c r="M510" s="5">
        <f>LOOKUP(表1_11[[#This Row],[岗位工资]],表13[lookup],表13[奖金比率])*表1_11[[#This Row],[岗位工资]]</f>
        <v>270</v>
      </c>
      <c r="N510" s="5">
        <v>87</v>
      </c>
      <c r="O510" s="38">
        <f>表1_11[[#This Row],[奖金等级]]*表1_11[[#This Row],[绩效得分]]/100</f>
        <v>234.9</v>
      </c>
      <c r="P510" s="5">
        <f>IF(表1_11[[#This Row],[出勤率]]&gt;=1,200,0)</f>
        <v>200</v>
      </c>
      <c r="Q510" s="23">
        <f t="shared" ca="1" si="7"/>
        <v>400</v>
      </c>
      <c r="R510" s="23">
        <f>IF(表1_11[[#This Row],[中心]]="营销中心",VLOOKUP(表1_11[[#This Row],[职位]],表2[[话费补贴]:[营销中心]],2,0),VLOOKUP(表1_11[[#This Row],[职位]],表2[],3,0))</f>
        <v>0</v>
      </c>
      <c r="S510" s="23">
        <v>200</v>
      </c>
      <c r="T510" s="61">
        <f ca="1">ROUND(SUM(表1_11[[#This Row],[基本工资]],表1_11[[#This Row],[奖金]],表1_11[[#This Row],[全勤奖]:[防暑降温补贴]]),2)</f>
        <v>3734.9</v>
      </c>
      <c r="U510" s="62">
        <f ca="1">ROUND(表1_11[[#This Row],[税前应发总额]]*8%,2)</f>
        <v>298.79000000000002</v>
      </c>
      <c r="V510" s="62">
        <f ca="1">ROUND(表1_11[[#This Row],[税前应发总额]]*2%+3,2)</f>
        <v>77.7</v>
      </c>
      <c r="W510" s="62">
        <f ca="1">ROUND(表1_11[[#This Row],[税前应发总额]]*0.2%,2)</f>
        <v>7.47</v>
      </c>
      <c r="X510" s="62">
        <f ca="1">ROUND(表1_11[[#This Row],[税前应发总额]]*12%,2)</f>
        <v>448.19</v>
      </c>
      <c r="Y510" s="61">
        <f ca="1">ROUND(表1_11[[#This Row],[税前应发总额]]-SUM(表1_11[[#This Row],[养老保险]:[公积金]]),2)</f>
        <v>2902.75</v>
      </c>
      <c r="Z510" s="62">
        <f ca="1">ROUND(MAX((表1_11[[#This Row],[扣保险后工资金额]]-3500)*{3,10,20,25,30,35,45}%-{0,105,555,1005,2755,5505,13505},0),2)</f>
        <v>0</v>
      </c>
      <c r="AA510" s="63">
        <f ca="1">表1_11[[#This Row],[扣保险后工资金额]]-表1_11[[#This Row],[个人所得税]]</f>
        <v>2902.75</v>
      </c>
      <c r="AB510" s="53">
        <v>3226.34</v>
      </c>
      <c r="AC510" s="64">
        <f ca="1">(表1_11[[#This Row],[实发工资]]-表1_11[[#This Row],[上月对比]])/表1_11[[#This Row],[上月对比]]</f>
        <v>-0.10029631099016227</v>
      </c>
      <c r="AD510" s="65" t="s">
        <v>1587</v>
      </c>
    </row>
    <row r="511" spans="1:30">
      <c r="A511" s="42" t="s">
        <v>845</v>
      </c>
      <c r="B511" s="42" t="s">
        <v>849</v>
      </c>
      <c r="C511" s="40" t="s">
        <v>842</v>
      </c>
      <c r="D511" s="40" t="s">
        <v>843</v>
      </c>
      <c r="E511" s="41" t="s">
        <v>1521</v>
      </c>
      <c r="F511" s="5" t="s">
        <v>506</v>
      </c>
      <c r="G511" s="25">
        <v>40474</v>
      </c>
      <c r="H511" s="5" t="s">
        <v>615</v>
      </c>
      <c r="I511" s="5">
        <f>VLOOKUP(MID(表1_11[[#This Row],[工资等级]],1,1),表12[],MATCH(MID(表1_11[[#This Row],[工资等级]],2,2),表12[[#Headers],[1]:[10]],0)+1,0)</f>
        <v>3200</v>
      </c>
      <c r="J511" s="5">
        <v>23</v>
      </c>
      <c r="K511" s="27">
        <v>0.95833333333333337</v>
      </c>
      <c r="L511" s="37">
        <f>IF(表1_11[[#This Row],[出勤率]]&gt;1,1,表1_11[[#This Row],[出勤率]])*表1_11[[#This Row],[岗位工资]]</f>
        <v>3066.666666666667</v>
      </c>
      <c r="M511" s="5">
        <f>LOOKUP(表1_11[[#This Row],[岗位工资]],表13[lookup],表13[奖金比率])*表1_11[[#This Row],[岗位工资]]</f>
        <v>320</v>
      </c>
      <c r="N511" s="5">
        <v>96</v>
      </c>
      <c r="O511" s="38">
        <f>表1_11[[#This Row],[奖金等级]]*表1_11[[#This Row],[绩效得分]]/100</f>
        <v>307.2</v>
      </c>
      <c r="P511" s="5">
        <f>IF(表1_11[[#This Row],[出勤率]]&gt;=1,200,0)</f>
        <v>0</v>
      </c>
      <c r="Q511" s="23">
        <f t="shared" ca="1" si="7"/>
        <v>350</v>
      </c>
      <c r="R511" s="23">
        <f>IF(表1_11[[#This Row],[中心]]="营销中心",VLOOKUP(表1_11[[#This Row],[职位]],表2[[话费补贴]:[营销中心]],2,0),VLOOKUP(表1_11[[#This Row],[职位]],表2[],3,0))</f>
        <v>0</v>
      </c>
      <c r="S511" s="23">
        <v>200</v>
      </c>
      <c r="T511" s="61">
        <f ca="1">ROUND(SUM(表1_11[[#This Row],[基本工资]],表1_11[[#This Row],[奖金]],表1_11[[#This Row],[全勤奖]:[防暑降温补贴]]),2)</f>
        <v>3923.87</v>
      </c>
      <c r="U511" s="62">
        <f ca="1">ROUND(表1_11[[#This Row],[税前应发总额]]*8%,2)</f>
        <v>313.91000000000003</v>
      </c>
      <c r="V511" s="62">
        <f ca="1">ROUND(表1_11[[#This Row],[税前应发总额]]*2%+3,2)</f>
        <v>81.48</v>
      </c>
      <c r="W511" s="62">
        <f ca="1">ROUND(表1_11[[#This Row],[税前应发总额]]*0.2%,2)</f>
        <v>7.85</v>
      </c>
      <c r="X511" s="62">
        <f ca="1">ROUND(表1_11[[#This Row],[税前应发总额]]*12%,2)</f>
        <v>470.86</v>
      </c>
      <c r="Y511" s="61">
        <f ca="1">ROUND(表1_11[[#This Row],[税前应发总额]]-SUM(表1_11[[#This Row],[养老保险]:[公积金]]),2)</f>
        <v>3049.77</v>
      </c>
      <c r="Z511" s="62">
        <f ca="1">ROUND(MAX((表1_11[[#This Row],[扣保险后工资金额]]-3500)*{3,10,20,25,30,35,45}%-{0,105,555,1005,2755,5505,13505},0),2)</f>
        <v>0</v>
      </c>
      <c r="AA511" s="63">
        <f ca="1">表1_11[[#This Row],[扣保险后工资金额]]-表1_11[[#This Row],[个人所得税]]</f>
        <v>3049.77</v>
      </c>
      <c r="AB511" s="53">
        <v>3409.68</v>
      </c>
      <c r="AC511" s="64">
        <f ca="1">(表1_11[[#This Row],[实发工资]]-表1_11[[#This Row],[上月对比]])/表1_11[[#This Row],[上月对比]]</f>
        <v>-0.10555536003378613</v>
      </c>
      <c r="AD511" s="65" t="s">
        <v>1587</v>
      </c>
    </row>
    <row r="512" spans="1:30">
      <c r="A512" s="42" t="s">
        <v>845</v>
      </c>
      <c r="B512" s="42" t="s">
        <v>849</v>
      </c>
      <c r="C512" s="40" t="s">
        <v>787</v>
      </c>
      <c r="D512" s="40" t="s">
        <v>788</v>
      </c>
      <c r="E512" s="41" t="s">
        <v>1522</v>
      </c>
      <c r="F512" s="5" t="s">
        <v>507</v>
      </c>
      <c r="G512" s="25">
        <v>40462</v>
      </c>
      <c r="H512" s="5" t="s">
        <v>624</v>
      </c>
      <c r="I512" s="5">
        <f>VLOOKUP(MID(表1_11[[#This Row],[工资等级]],1,1),表12[],MATCH(MID(表1_11[[#This Row],[工资等级]],2,2),表12[[#Headers],[1]:[10]],0)+1,0)</f>
        <v>2800</v>
      </c>
      <c r="J512" s="5">
        <v>25</v>
      </c>
      <c r="K512" s="27">
        <v>1.0416666666666667</v>
      </c>
      <c r="L512" s="37">
        <f>IF(表1_11[[#This Row],[出勤率]]&gt;1,1,表1_11[[#This Row],[出勤率]])*表1_11[[#This Row],[岗位工资]]</f>
        <v>2800</v>
      </c>
      <c r="M512" s="5">
        <f>LOOKUP(表1_11[[#This Row],[岗位工资]],表13[lookup],表13[奖金比率])*表1_11[[#This Row],[岗位工资]]</f>
        <v>280</v>
      </c>
      <c r="N512" s="5">
        <v>89</v>
      </c>
      <c r="O512" s="38">
        <f>表1_11[[#This Row],[奖金等级]]*表1_11[[#This Row],[绩效得分]]/100</f>
        <v>249.2</v>
      </c>
      <c r="P512" s="5">
        <f>IF(表1_11[[#This Row],[出勤率]]&gt;=1,200,0)</f>
        <v>200</v>
      </c>
      <c r="Q512" s="23">
        <f t="shared" ca="1" si="7"/>
        <v>350</v>
      </c>
      <c r="R512" s="23">
        <f>IF(表1_11[[#This Row],[中心]]="营销中心",VLOOKUP(表1_11[[#This Row],[职位]],表2[[话费补贴]:[营销中心]],2,0),VLOOKUP(表1_11[[#This Row],[职位]],表2[],3,0))</f>
        <v>0</v>
      </c>
      <c r="S512" s="23">
        <v>200</v>
      </c>
      <c r="T512" s="61">
        <f ca="1">ROUND(SUM(表1_11[[#This Row],[基本工资]],表1_11[[#This Row],[奖金]],表1_11[[#This Row],[全勤奖]:[防暑降温补贴]]),2)</f>
        <v>3799.2</v>
      </c>
      <c r="U512" s="62">
        <f ca="1">ROUND(表1_11[[#This Row],[税前应发总额]]*8%,2)</f>
        <v>303.94</v>
      </c>
      <c r="V512" s="62">
        <f ca="1">ROUND(表1_11[[#This Row],[税前应发总额]]*2%+3,2)</f>
        <v>78.98</v>
      </c>
      <c r="W512" s="62">
        <f ca="1">ROUND(表1_11[[#This Row],[税前应发总额]]*0.2%,2)</f>
        <v>7.6</v>
      </c>
      <c r="X512" s="62">
        <f ca="1">ROUND(表1_11[[#This Row],[税前应发总额]]*12%,2)</f>
        <v>455.9</v>
      </c>
      <c r="Y512" s="61">
        <f ca="1">ROUND(表1_11[[#This Row],[税前应发总额]]-SUM(表1_11[[#This Row],[养老保险]:[公积金]]),2)</f>
        <v>2952.78</v>
      </c>
      <c r="Z512" s="62">
        <f ca="1">ROUND(MAX((表1_11[[#This Row],[扣保险后工资金额]]-3500)*{3,10,20,25,30,35,45}%-{0,105,555,1005,2755,5505,13505},0),2)</f>
        <v>0</v>
      </c>
      <c r="AA512" s="63">
        <f ca="1">表1_11[[#This Row],[扣保险后工资金额]]-表1_11[[#This Row],[个人所得税]]</f>
        <v>2952.78</v>
      </c>
      <c r="AB512" s="53">
        <v>2913.88</v>
      </c>
      <c r="AC512" s="64">
        <f ca="1">(表1_11[[#This Row],[实发工资]]-表1_11[[#This Row],[上月对比]])/表1_11[[#This Row],[上月对比]]</f>
        <v>1.3349897730860601E-2</v>
      </c>
      <c r="AD512" s="65" t="s">
        <v>1587</v>
      </c>
    </row>
    <row r="513" spans="1:30">
      <c r="A513" s="42" t="s">
        <v>845</v>
      </c>
      <c r="B513" s="42" t="s">
        <v>849</v>
      </c>
      <c r="C513" s="40" t="s">
        <v>818</v>
      </c>
      <c r="D513" s="40" t="s">
        <v>819</v>
      </c>
      <c r="E513" s="41" t="s">
        <v>1523</v>
      </c>
      <c r="F513" s="5" t="s">
        <v>508</v>
      </c>
      <c r="G513" s="25">
        <v>41106</v>
      </c>
      <c r="H513" s="5" t="s">
        <v>610</v>
      </c>
      <c r="I513" s="5">
        <f>VLOOKUP(MID(表1_11[[#This Row],[工资等级]],1,1),表12[],MATCH(MID(表1_11[[#This Row],[工资等级]],2,2),表12[[#Headers],[1]:[10]],0)+1,0)</f>
        <v>3400</v>
      </c>
      <c r="J513" s="5">
        <v>22.5</v>
      </c>
      <c r="K513" s="27">
        <v>0.9375</v>
      </c>
      <c r="L513" s="37">
        <f>IF(表1_11[[#This Row],[出勤率]]&gt;1,1,表1_11[[#This Row],[出勤率]])*表1_11[[#This Row],[岗位工资]]</f>
        <v>3187.5</v>
      </c>
      <c r="M513" s="5">
        <f>LOOKUP(表1_11[[#This Row],[岗位工资]],表13[lookup],表13[奖金比率])*表1_11[[#This Row],[岗位工资]]</f>
        <v>340</v>
      </c>
      <c r="N513" s="5">
        <v>85</v>
      </c>
      <c r="O513" s="38">
        <f>表1_11[[#This Row],[奖金等级]]*表1_11[[#This Row],[绩效得分]]/100</f>
        <v>289</v>
      </c>
      <c r="P513" s="5">
        <f>IF(表1_11[[#This Row],[出勤率]]&gt;=1,200,0)</f>
        <v>0</v>
      </c>
      <c r="Q513" s="23">
        <f t="shared" ca="1" si="7"/>
        <v>250</v>
      </c>
      <c r="R513" s="23">
        <f>IF(表1_11[[#This Row],[中心]]="营销中心",VLOOKUP(表1_11[[#This Row],[职位]],表2[[话费补贴]:[营销中心]],2,0),VLOOKUP(表1_11[[#This Row],[职位]],表2[],3,0))</f>
        <v>0</v>
      </c>
      <c r="S513" s="23">
        <v>200</v>
      </c>
      <c r="T513" s="61">
        <f ca="1">ROUND(SUM(表1_11[[#This Row],[基本工资]],表1_11[[#This Row],[奖金]],表1_11[[#This Row],[全勤奖]:[防暑降温补贴]]),2)</f>
        <v>3926.5</v>
      </c>
      <c r="U513" s="62">
        <f ca="1">ROUND(表1_11[[#This Row],[税前应发总额]]*8%,2)</f>
        <v>314.12</v>
      </c>
      <c r="V513" s="62">
        <f ca="1">ROUND(表1_11[[#This Row],[税前应发总额]]*2%+3,2)</f>
        <v>81.53</v>
      </c>
      <c r="W513" s="62">
        <f ca="1">ROUND(表1_11[[#This Row],[税前应发总额]]*0.2%,2)</f>
        <v>7.85</v>
      </c>
      <c r="X513" s="62">
        <f ca="1">ROUND(表1_11[[#This Row],[税前应发总额]]*12%,2)</f>
        <v>471.18</v>
      </c>
      <c r="Y513" s="61">
        <f ca="1">ROUND(表1_11[[#This Row],[税前应发总额]]-SUM(表1_11[[#This Row],[养老保险]:[公积金]]),2)</f>
        <v>3051.82</v>
      </c>
      <c r="Z513" s="62">
        <f ca="1">ROUND(MAX((表1_11[[#This Row],[扣保险后工资金额]]-3500)*{3,10,20,25,30,35,45}%-{0,105,555,1005,2755,5505,13505},0),2)</f>
        <v>0</v>
      </c>
      <c r="AA513" s="63">
        <f ca="1">表1_11[[#This Row],[扣保险后工资金额]]-表1_11[[#This Row],[个人所得税]]</f>
        <v>3051.82</v>
      </c>
      <c r="AB513" s="53">
        <v>2854.73</v>
      </c>
      <c r="AC513" s="64">
        <f ca="1">(表1_11[[#This Row],[实发工资]]-表1_11[[#This Row],[上月对比]])/表1_11[[#This Row],[上月对比]]</f>
        <v>6.9039804114574804E-2</v>
      </c>
      <c r="AD513" s="65" t="s">
        <v>1587</v>
      </c>
    </row>
    <row r="514" spans="1:30">
      <c r="A514" s="42" t="s">
        <v>845</v>
      </c>
      <c r="B514" s="42" t="s">
        <v>855</v>
      </c>
      <c r="C514" s="40" t="s">
        <v>856</v>
      </c>
      <c r="D514" s="40" t="s">
        <v>856</v>
      </c>
      <c r="E514" s="41" t="s">
        <v>1524</v>
      </c>
      <c r="F514" s="5" t="s">
        <v>509</v>
      </c>
      <c r="G514" s="25">
        <v>38891</v>
      </c>
      <c r="H514" s="5" t="s">
        <v>811</v>
      </c>
      <c r="I514" s="5">
        <f>VLOOKUP(MID(表1_11[[#This Row],[工资等级]],1,1),表12[],MATCH(MID(表1_11[[#This Row],[工资等级]],2,2),表12[[#Headers],[1]:[10]],0)+1,0)</f>
        <v>7500</v>
      </c>
      <c r="J514" s="5">
        <v>22.5</v>
      </c>
      <c r="K514" s="27">
        <v>0.9375</v>
      </c>
      <c r="L514" s="37">
        <f>IF(表1_11[[#This Row],[出勤率]]&gt;1,1,表1_11[[#This Row],[出勤率]])*表1_11[[#This Row],[岗位工资]]</f>
        <v>7031.25</v>
      </c>
      <c r="M514" s="5">
        <f>LOOKUP(表1_11[[#This Row],[岗位工资]],表13[lookup],表13[奖金比率])*表1_11[[#This Row],[岗位工资]]</f>
        <v>1500</v>
      </c>
      <c r="N514" s="5">
        <v>93</v>
      </c>
      <c r="O514" s="38">
        <f>表1_11[[#This Row],[奖金等级]]*表1_11[[#This Row],[绩效得分]]/100</f>
        <v>1395</v>
      </c>
      <c r="P514" s="5">
        <f>IF(表1_11[[#This Row],[出勤率]]&gt;=1,200,0)</f>
        <v>0</v>
      </c>
      <c r="Q514" s="23">
        <f t="shared" ref="Q514:Q575" ca="1" si="8">IF(工龄&gt;=10,500,工龄*50)</f>
        <v>500</v>
      </c>
      <c r="R514" s="23">
        <f>IF(表1_11[[#This Row],[中心]]="营销中心",VLOOKUP(表1_11[[#This Row],[职位]],表2[[话费补贴]:[营销中心]],2,0),VLOOKUP(表1_11[[#This Row],[职位]],表2[],3,0))</f>
        <v>500</v>
      </c>
      <c r="S514" s="23">
        <v>200</v>
      </c>
      <c r="T514" s="61">
        <f ca="1">ROUND(SUM(表1_11[[#This Row],[基本工资]],表1_11[[#This Row],[奖金]],表1_11[[#This Row],[全勤奖]:[防暑降温补贴]]),2)</f>
        <v>9626.25</v>
      </c>
      <c r="U514" s="62">
        <f ca="1">ROUND(表1_11[[#This Row],[税前应发总额]]*8%,2)</f>
        <v>770.1</v>
      </c>
      <c r="V514" s="62">
        <f ca="1">ROUND(表1_11[[#This Row],[税前应发总额]]*2%+3,2)</f>
        <v>195.53</v>
      </c>
      <c r="W514" s="62">
        <f ca="1">ROUND(表1_11[[#This Row],[税前应发总额]]*0.2%,2)</f>
        <v>19.25</v>
      </c>
      <c r="X514" s="62">
        <f ca="1">ROUND(表1_11[[#This Row],[税前应发总额]]*12%,2)</f>
        <v>1155.1500000000001</v>
      </c>
      <c r="Y514" s="61">
        <f ca="1">ROUND(表1_11[[#This Row],[税前应发总额]]-SUM(表1_11[[#This Row],[养老保险]:[公积金]]),2)</f>
        <v>7486.22</v>
      </c>
      <c r="Z514" s="62">
        <f ca="1">ROUND(MAX((表1_11[[#This Row],[扣保险后工资金额]]-3500)*{3,10,20,25,30,35,45}%-{0,105,555,1005,2755,5505,13505},0),2)</f>
        <v>293.62</v>
      </c>
      <c r="AA514" s="63">
        <f ca="1">表1_11[[#This Row],[扣保险后工资金额]]-表1_11[[#This Row],[个人所得税]]</f>
        <v>7192.6</v>
      </c>
      <c r="AB514" s="53">
        <v>8175.11</v>
      </c>
      <c r="AC514" s="64">
        <f ca="1">(表1_11[[#This Row],[实发工资]]-表1_11[[#This Row],[上月对比]])/表1_11[[#This Row],[上月对比]]</f>
        <v>-0.12018309233759537</v>
      </c>
      <c r="AD514" s="65" t="s">
        <v>1587</v>
      </c>
    </row>
    <row r="515" spans="1:30">
      <c r="A515" s="42" t="s">
        <v>845</v>
      </c>
      <c r="B515" s="42" t="s">
        <v>855</v>
      </c>
      <c r="C515" s="40" t="s">
        <v>655</v>
      </c>
      <c r="D515" s="40" t="s">
        <v>656</v>
      </c>
      <c r="E515" s="41" t="s">
        <v>1525</v>
      </c>
      <c r="F515" s="5" t="s">
        <v>510</v>
      </c>
      <c r="G515" s="25">
        <v>38835</v>
      </c>
      <c r="H515" s="5" t="s">
        <v>612</v>
      </c>
      <c r="I515" s="5">
        <f>VLOOKUP(MID(表1_11[[#This Row],[工资等级]],1,1),表12[],MATCH(MID(表1_11[[#This Row],[工资等级]],2,2),表12[[#Headers],[1]:[10]],0)+1,0)</f>
        <v>2700</v>
      </c>
      <c r="J515" s="5">
        <v>22.5</v>
      </c>
      <c r="K515" s="27">
        <v>0.9375</v>
      </c>
      <c r="L515" s="37">
        <f>IF(表1_11[[#This Row],[出勤率]]&gt;1,1,表1_11[[#This Row],[出勤率]])*表1_11[[#This Row],[岗位工资]]</f>
        <v>2531.25</v>
      </c>
      <c r="M515" s="5">
        <f>LOOKUP(表1_11[[#This Row],[岗位工资]],表13[lookup],表13[奖金比率])*表1_11[[#This Row],[岗位工资]]</f>
        <v>270</v>
      </c>
      <c r="N515" s="5">
        <v>92</v>
      </c>
      <c r="O515" s="38">
        <f>表1_11[[#This Row],[奖金等级]]*表1_11[[#This Row],[绩效得分]]/100</f>
        <v>248.4</v>
      </c>
      <c r="P515" s="5">
        <f>IF(表1_11[[#This Row],[出勤率]]&gt;=1,200,0)</f>
        <v>0</v>
      </c>
      <c r="Q515" s="23">
        <f t="shared" ca="1" si="8"/>
        <v>500</v>
      </c>
      <c r="R515" s="23">
        <f>IF(表1_11[[#This Row],[中心]]="营销中心",VLOOKUP(表1_11[[#This Row],[职位]],表2[[话费补贴]:[营销中心]],2,0),VLOOKUP(表1_11[[#This Row],[职位]],表2[],3,0))</f>
        <v>0</v>
      </c>
      <c r="S515" s="23">
        <v>200</v>
      </c>
      <c r="T515" s="61">
        <f ca="1">ROUND(SUM(表1_11[[#This Row],[基本工资]],表1_11[[#This Row],[奖金]],表1_11[[#This Row],[全勤奖]:[防暑降温补贴]]),2)</f>
        <v>3479.65</v>
      </c>
      <c r="U515" s="62">
        <f ca="1">ROUND(表1_11[[#This Row],[税前应发总额]]*8%,2)</f>
        <v>278.37</v>
      </c>
      <c r="V515" s="62">
        <f ca="1">ROUND(表1_11[[#This Row],[税前应发总额]]*2%+3,2)</f>
        <v>72.59</v>
      </c>
      <c r="W515" s="62">
        <f ca="1">ROUND(表1_11[[#This Row],[税前应发总额]]*0.2%,2)</f>
        <v>6.96</v>
      </c>
      <c r="X515" s="62">
        <f ca="1">ROUND(表1_11[[#This Row],[税前应发总额]]*12%,2)</f>
        <v>417.56</v>
      </c>
      <c r="Y515" s="61">
        <f ca="1">ROUND(表1_11[[#This Row],[税前应发总额]]-SUM(表1_11[[#This Row],[养老保险]:[公积金]]),2)</f>
        <v>2704.17</v>
      </c>
      <c r="Z515" s="62">
        <f ca="1">ROUND(MAX((表1_11[[#This Row],[扣保险后工资金额]]-3500)*{3,10,20,25,30,35,45}%-{0,105,555,1005,2755,5505,13505},0),2)</f>
        <v>0</v>
      </c>
      <c r="AA515" s="63">
        <f ca="1">表1_11[[#This Row],[扣保险后工资金额]]-表1_11[[#This Row],[个人所得税]]</f>
        <v>2704.17</v>
      </c>
      <c r="AB515" s="53">
        <v>2756.11</v>
      </c>
      <c r="AC515" s="64">
        <f ca="1">(表1_11[[#This Row],[实发工资]]-表1_11[[#This Row],[上月对比]])/表1_11[[#This Row],[上月对比]]</f>
        <v>-1.8845401671196017E-2</v>
      </c>
      <c r="AD515" s="65" t="s">
        <v>1587</v>
      </c>
    </row>
    <row r="516" spans="1:30">
      <c r="A516" s="42" t="s">
        <v>845</v>
      </c>
      <c r="B516" s="42" t="s">
        <v>855</v>
      </c>
      <c r="C516" s="40" t="s">
        <v>691</v>
      </c>
      <c r="D516" s="40" t="s">
        <v>692</v>
      </c>
      <c r="E516" s="41" t="s">
        <v>1526</v>
      </c>
      <c r="F516" s="5" t="s">
        <v>511</v>
      </c>
      <c r="G516" s="25">
        <v>39191</v>
      </c>
      <c r="H516" s="5" t="s">
        <v>622</v>
      </c>
      <c r="I516" s="5">
        <f>VLOOKUP(MID(表1_11[[#This Row],[工资等级]],1,1),表12[],MATCH(MID(表1_11[[#This Row],[工资等级]],2,2),表12[[#Headers],[1]:[10]],0)+1,0)</f>
        <v>3600</v>
      </c>
      <c r="J516" s="5">
        <v>24.5</v>
      </c>
      <c r="K516" s="27">
        <v>1.0208333333333333</v>
      </c>
      <c r="L516" s="37">
        <f>IF(表1_11[[#This Row],[出勤率]]&gt;1,1,表1_11[[#This Row],[出勤率]])*表1_11[[#This Row],[岗位工资]]</f>
        <v>3600</v>
      </c>
      <c r="M516" s="5">
        <f>LOOKUP(表1_11[[#This Row],[岗位工资]],表13[lookup],表13[奖金比率])*表1_11[[#This Row],[岗位工资]]</f>
        <v>360</v>
      </c>
      <c r="N516" s="5">
        <v>99</v>
      </c>
      <c r="O516" s="38">
        <f>表1_11[[#This Row],[奖金等级]]*表1_11[[#This Row],[绩效得分]]/100</f>
        <v>356.4</v>
      </c>
      <c r="P516" s="5">
        <f>IF(表1_11[[#This Row],[出勤率]]&gt;=1,200,0)</f>
        <v>200</v>
      </c>
      <c r="Q516" s="23">
        <f t="shared" ca="1" si="8"/>
        <v>500</v>
      </c>
      <c r="R516" s="23">
        <f>IF(表1_11[[#This Row],[中心]]="营销中心",VLOOKUP(表1_11[[#This Row],[职位]],表2[[话费补贴]:[营销中心]],2,0),VLOOKUP(表1_11[[#This Row],[职位]],表2[],3,0))</f>
        <v>0</v>
      </c>
      <c r="S516" s="23">
        <v>200</v>
      </c>
      <c r="T516" s="61">
        <f ca="1">ROUND(SUM(表1_11[[#This Row],[基本工资]],表1_11[[#This Row],[奖金]],表1_11[[#This Row],[全勤奖]:[防暑降温补贴]]),2)</f>
        <v>4856.3999999999996</v>
      </c>
      <c r="U516" s="62">
        <f ca="1">ROUND(表1_11[[#This Row],[税前应发总额]]*8%,2)</f>
        <v>388.51</v>
      </c>
      <c r="V516" s="62">
        <f ca="1">ROUND(表1_11[[#This Row],[税前应发总额]]*2%+3,2)</f>
        <v>100.13</v>
      </c>
      <c r="W516" s="62">
        <f ca="1">ROUND(表1_11[[#This Row],[税前应发总额]]*0.2%,2)</f>
        <v>9.7100000000000009</v>
      </c>
      <c r="X516" s="62">
        <f ca="1">ROUND(表1_11[[#This Row],[税前应发总额]]*12%,2)</f>
        <v>582.77</v>
      </c>
      <c r="Y516" s="61">
        <f ca="1">ROUND(表1_11[[#This Row],[税前应发总额]]-SUM(表1_11[[#This Row],[养老保险]:[公积金]]),2)</f>
        <v>3775.28</v>
      </c>
      <c r="Z516" s="62">
        <f ca="1">ROUND(MAX((表1_11[[#This Row],[扣保险后工资金额]]-3500)*{3,10,20,25,30,35,45}%-{0,105,555,1005,2755,5505,13505},0),2)</f>
        <v>8.26</v>
      </c>
      <c r="AA516" s="63">
        <f ca="1">表1_11[[#This Row],[扣保险后工资金额]]-表1_11[[#This Row],[个人所得税]]</f>
        <v>3767.02</v>
      </c>
      <c r="AB516" s="53">
        <v>4431.0200000000004</v>
      </c>
      <c r="AC516" s="64">
        <f ca="1">(表1_11[[#This Row],[实发工资]]-表1_11[[#This Row],[上月对比]])/表1_11[[#This Row],[上月对比]]</f>
        <v>-0.14985262986851794</v>
      </c>
      <c r="AD516" s="65" t="s">
        <v>1587</v>
      </c>
    </row>
    <row r="517" spans="1:30">
      <c r="A517" s="42" t="s">
        <v>845</v>
      </c>
      <c r="B517" s="42" t="s">
        <v>855</v>
      </c>
      <c r="C517" s="40" t="s">
        <v>787</v>
      </c>
      <c r="D517" s="40" t="s">
        <v>788</v>
      </c>
      <c r="E517" s="41" t="s">
        <v>1527</v>
      </c>
      <c r="F517" s="5" t="s">
        <v>512</v>
      </c>
      <c r="G517" s="25">
        <v>38344</v>
      </c>
      <c r="H517" s="5" t="s">
        <v>657</v>
      </c>
      <c r="I517" s="5">
        <f>VLOOKUP(MID(表1_11[[#This Row],[工资等级]],1,1),表12[],MATCH(MID(表1_11[[#This Row],[工资等级]],2,2),表12[[#Headers],[1]:[10]],0)+1,0)</f>
        <v>4000</v>
      </c>
      <c r="J517" s="5">
        <v>26</v>
      </c>
      <c r="K517" s="27">
        <v>1.0833333333333333</v>
      </c>
      <c r="L517" s="37">
        <f>IF(表1_11[[#This Row],[出勤率]]&gt;1,1,表1_11[[#This Row],[出勤率]])*表1_11[[#This Row],[岗位工资]]</f>
        <v>4000</v>
      </c>
      <c r="M517" s="5">
        <f>LOOKUP(表1_11[[#This Row],[岗位工资]],表13[lookup],表13[奖金比率])*表1_11[[#This Row],[岗位工资]]</f>
        <v>600</v>
      </c>
      <c r="N517" s="5">
        <v>86</v>
      </c>
      <c r="O517" s="38">
        <f>表1_11[[#This Row],[奖金等级]]*表1_11[[#This Row],[绩效得分]]/100</f>
        <v>516</v>
      </c>
      <c r="P517" s="5">
        <f>IF(表1_11[[#This Row],[出勤率]]&gt;=1,200,0)</f>
        <v>200</v>
      </c>
      <c r="Q517" s="23">
        <f t="shared" ca="1" si="8"/>
        <v>500</v>
      </c>
      <c r="R517" s="23">
        <f>IF(表1_11[[#This Row],[中心]]="营销中心",VLOOKUP(表1_11[[#This Row],[职位]],表2[[话费补贴]:[营销中心]],2,0),VLOOKUP(表1_11[[#This Row],[职位]],表2[],3,0))</f>
        <v>0</v>
      </c>
      <c r="S517" s="23">
        <v>200</v>
      </c>
      <c r="T517" s="61">
        <f ca="1">ROUND(SUM(表1_11[[#This Row],[基本工资]],表1_11[[#This Row],[奖金]],表1_11[[#This Row],[全勤奖]:[防暑降温补贴]]),2)</f>
        <v>5416</v>
      </c>
      <c r="U517" s="62">
        <f ca="1">ROUND(表1_11[[#This Row],[税前应发总额]]*8%,2)</f>
        <v>433.28</v>
      </c>
      <c r="V517" s="62">
        <f ca="1">ROUND(表1_11[[#This Row],[税前应发总额]]*2%+3,2)</f>
        <v>111.32</v>
      </c>
      <c r="W517" s="62">
        <f ca="1">ROUND(表1_11[[#This Row],[税前应发总额]]*0.2%,2)</f>
        <v>10.83</v>
      </c>
      <c r="X517" s="62">
        <f ca="1">ROUND(表1_11[[#This Row],[税前应发总额]]*12%,2)</f>
        <v>649.91999999999996</v>
      </c>
      <c r="Y517" s="61">
        <f ca="1">ROUND(表1_11[[#This Row],[税前应发总额]]-SUM(表1_11[[#This Row],[养老保险]:[公积金]]),2)</f>
        <v>4210.6499999999996</v>
      </c>
      <c r="Z517" s="62">
        <f ca="1">ROUND(MAX((表1_11[[#This Row],[扣保险后工资金额]]-3500)*{3,10,20,25,30,35,45}%-{0,105,555,1005,2755,5505,13505},0),2)</f>
        <v>21.32</v>
      </c>
      <c r="AA517" s="63">
        <f ca="1">表1_11[[#This Row],[扣保险后工资金额]]-表1_11[[#This Row],[个人所得税]]</f>
        <v>4189.33</v>
      </c>
      <c r="AB517" s="53">
        <v>3628.96</v>
      </c>
      <c r="AC517" s="64">
        <f ca="1">(表1_11[[#This Row],[实发工资]]-表1_11[[#This Row],[上月对比]])/表1_11[[#This Row],[上月对比]]</f>
        <v>0.15441614126361269</v>
      </c>
      <c r="AD517" s="65" t="s">
        <v>1587</v>
      </c>
    </row>
    <row r="518" spans="1:30">
      <c r="A518" s="42" t="s">
        <v>845</v>
      </c>
      <c r="B518" s="42" t="s">
        <v>855</v>
      </c>
      <c r="C518" s="40" t="s">
        <v>842</v>
      </c>
      <c r="D518" s="40" t="s">
        <v>843</v>
      </c>
      <c r="E518" s="41" t="s">
        <v>1528</v>
      </c>
      <c r="F518" s="5" t="s">
        <v>245</v>
      </c>
      <c r="G518" s="25">
        <v>41494</v>
      </c>
      <c r="H518" s="5" t="s">
        <v>622</v>
      </c>
      <c r="I518" s="5">
        <f>VLOOKUP(MID(表1_11[[#This Row],[工资等级]],1,1),表12[],MATCH(MID(表1_11[[#This Row],[工资等级]],2,2),表12[[#Headers],[1]:[10]],0)+1,0)</f>
        <v>3600</v>
      </c>
      <c r="J518" s="5">
        <v>27</v>
      </c>
      <c r="K518" s="27">
        <v>1.125</v>
      </c>
      <c r="L518" s="37">
        <f>IF(表1_11[[#This Row],[出勤率]]&gt;1,1,表1_11[[#This Row],[出勤率]])*表1_11[[#This Row],[岗位工资]]</f>
        <v>3600</v>
      </c>
      <c r="M518" s="5">
        <f>LOOKUP(表1_11[[#This Row],[岗位工资]],表13[lookup],表13[奖金比率])*表1_11[[#This Row],[岗位工资]]</f>
        <v>360</v>
      </c>
      <c r="N518" s="5">
        <v>84</v>
      </c>
      <c r="O518" s="38">
        <f>表1_11[[#This Row],[奖金等级]]*表1_11[[#This Row],[绩效得分]]/100</f>
        <v>302.39999999999998</v>
      </c>
      <c r="P518" s="5">
        <f>IF(表1_11[[#This Row],[出勤率]]&gt;=1,200,0)</f>
        <v>200</v>
      </c>
      <c r="Q518" s="23">
        <f t="shared" ca="1" si="8"/>
        <v>200</v>
      </c>
      <c r="R518" s="23">
        <f>IF(表1_11[[#This Row],[中心]]="营销中心",VLOOKUP(表1_11[[#This Row],[职位]],表2[[话费补贴]:[营销中心]],2,0),VLOOKUP(表1_11[[#This Row],[职位]],表2[],3,0))</f>
        <v>0</v>
      </c>
      <c r="S518" s="23">
        <v>200</v>
      </c>
      <c r="T518" s="61">
        <f ca="1">ROUND(SUM(表1_11[[#This Row],[基本工资]],表1_11[[#This Row],[奖金]],表1_11[[#This Row],[全勤奖]:[防暑降温补贴]]),2)</f>
        <v>4502.3999999999996</v>
      </c>
      <c r="U518" s="62">
        <f ca="1">ROUND(表1_11[[#This Row],[税前应发总额]]*8%,2)</f>
        <v>360.19</v>
      </c>
      <c r="V518" s="62">
        <f ca="1">ROUND(表1_11[[#This Row],[税前应发总额]]*2%+3,2)</f>
        <v>93.05</v>
      </c>
      <c r="W518" s="62">
        <f ca="1">ROUND(表1_11[[#This Row],[税前应发总额]]*0.2%,2)</f>
        <v>9</v>
      </c>
      <c r="X518" s="62">
        <f ca="1">ROUND(表1_11[[#This Row],[税前应发总额]]*12%,2)</f>
        <v>540.29</v>
      </c>
      <c r="Y518" s="61">
        <f ca="1">ROUND(表1_11[[#This Row],[税前应发总额]]-SUM(表1_11[[#This Row],[养老保险]:[公积金]]),2)</f>
        <v>3499.87</v>
      </c>
      <c r="Z518" s="62">
        <f ca="1">ROUND(MAX((表1_11[[#This Row],[扣保险后工资金额]]-3500)*{3,10,20,25,30,35,45}%-{0,105,555,1005,2755,5505,13505},0),2)</f>
        <v>0</v>
      </c>
      <c r="AA518" s="63">
        <f ca="1">表1_11[[#This Row],[扣保险后工资金额]]-表1_11[[#This Row],[个人所得税]]</f>
        <v>3499.87</v>
      </c>
      <c r="AB518" s="53">
        <v>3389.74</v>
      </c>
      <c r="AC518" s="64">
        <f ca="1">(表1_11[[#This Row],[实发工资]]-表1_11[[#This Row],[上月对比]])/表1_11[[#This Row],[上月对比]]</f>
        <v>3.2489217462106271E-2</v>
      </c>
      <c r="AD518" s="65" t="s">
        <v>1587</v>
      </c>
    </row>
    <row r="519" spans="1:30">
      <c r="A519" s="42" t="s">
        <v>857</v>
      </c>
      <c r="B519" s="40" t="s">
        <v>858</v>
      </c>
      <c r="C519" s="40" t="s">
        <v>859</v>
      </c>
      <c r="D519" s="40" t="s">
        <v>860</v>
      </c>
      <c r="E519" s="41" t="s">
        <v>1529</v>
      </c>
      <c r="F519" s="5" t="s">
        <v>513</v>
      </c>
      <c r="G519" s="25">
        <v>42448</v>
      </c>
      <c r="H519" s="5" t="s">
        <v>616</v>
      </c>
      <c r="I519" s="5">
        <f>VLOOKUP(MID(表1_11[[#This Row],[工资等级]],1,1),表12[],MATCH(MID(表1_11[[#This Row],[工资等级]],2,2),表12[[#Headers],[1]:[10]],0)+1,0)</f>
        <v>8500</v>
      </c>
      <c r="J519" s="5">
        <v>24.5</v>
      </c>
      <c r="K519" s="27">
        <v>1.0208333333333333</v>
      </c>
      <c r="L519" s="37">
        <f>IF(表1_11[[#This Row],[出勤率]]&gt;1,1,表1_11[[#This Row],[出勤率]])*表1_11[[#This Row],[岗位工资]]</f>
        <v>8500</v>
      </c>
      <c r="M519" s="5">
        <f>LOOKUP(表1_11[[#This Row],[岗位工资]],表13[lookup],表13[奖金比率])*表1_11[[#This Row],[岗位工资]]</f>
        <v>1700</v>
      </c>
      <c r="N519" s="5">
        <v>85</v>
      </c>
      <c r="O519" s="38">
        <f>表1_11[[#This Row],[奖金等级]]*表1_11[[#This Row],[绩效得分]]/100</f>
        <v>1445</v>
      </c>
      <c r="P519" s="5">
        <f>IF(表1_11[[#This Row],[出勤率]]&gt;=1,200,0)</f>
        <v>200</v>
      </c>
      <c r="Q519" s="23">
        <f t="shared" ca="1" si="8"/>
        <v>50</v>
      </c>
      <c r="R519" s="23">
        <f>IF(表1_11[[#This Row],[中心]]="营销中心",VLOOKUP(表1_11[[#This Row],[职位]],表2[[话费补贴]:[营销中心]],2,0),VLOOKUP(表1_11[[#This Row],[职位]],表2[],3,0))</f>
        <v>1000</v>
      </c>
      <c r="S519" s="23">
        <v>200</v>
      </c>
      <c r="T519" s="61">
        <f ca="1">ROUND(SUM(表1_11[[#This Row],[基本工资]],表1_11[[#This Row],[奖金]],表1_11[[#This Row],[全勤奖]:[防暑降温补贴]]),2)</f>
        <v>11395</v>
      </c>
      <c r="U519" s="62">
        <f ca="1">ROUND(表1_11[[#This Row],[税前应发总额]]*8%,2)</f>
        <v>911.6</v>
      </c>
      <c r="V519" s="62">
        <f ca="1">ROUND(表1_11[[#This Row],[税前应发总额]]*2%+3,2)</f>
        <v>230.9</v>
      </c>
      <c r="W519" s="62">
        <f ca="1">ROUND(表1_11[[#This Row],[税前应发总额]]*0.2%,2)</f>
        <v>22.79</v>
      </c>
      <c r="X519" s="62">
        <f ca="1">ROUND(表1_11[[#This Row],[税前应发总额]]*12%,2)</f>
        <v>1367.4</v>
      </c>
      <c r="Y519" s="61">
        <f ca="1">ROUND(表1_11[[#This Row],[税前应发总额]]-SUM(表1_11[[#This Row],[养老保险]:[公积金]]),2)</f>
        <v>8862.31</v>
      </c>
      <c r="Z519" s="62">
        <f ca="1">ROUND(MAX((表1_11[[#This Row],[扣保险后工资金额]]-3500)*{3,10,20,25,30,35,45}%-{0,105,555,1005,2755,5505,13505},0),2)</f>
        <v>517.46</v>
      </c>
      <c r="AA519" s="63">
        <f ca="1">表1_11[[#This Row],[扣保险后工资金额]]-表1_11[[#This Row],[个人所得税]]</f>
        <v>8344.8499999999985</v>
      </c>
      <c r="AB519" s="53">
        <v>9971.7800000000007</v>
      </c>
      <c r="AC519" s="64">
        <f ca="1">(表1_11[[#This Row],[实发工资]]-表1_11[[#This Row],[上月对比]])/表1_11[[#This Row],[上月对比]]</f>
        <v>-0.16315341894827223</v>
      </c>
      <c r="AD519" s="65" t="s">
        <v>1587</v>
      </c>
    </row>
    <row r="520" spans="1:30">
      <c r="A520" s="42" t="s">
        <v>857</v>
      </c>
      <c r="B520" s="40" t="s">
        <v>861</v>
      </c>
      <c r="C520" s="40" t="s">
        <v>862</v>
      </c>
      <c r="D520" s="40" t="s">
        <v>863</v>
      </c>
      <c r="E520" s="41" t="s">
        <v>1530</v>
      </c>
      <c r="F520" s="5" t="s">
        <v>514</v>
      </c>
      <c r="G520" s="25">
        <v>40735</v>
      </c>
      <c r="H520" s="5" t="s">
        <v>591</v>
      </c>
      <c r="I520" s="5">
        <f>VLOOKUP(MID(表1_11[[#This Row],[工资等级]],1,1),表12[],MATCH(MID(表1_11[[#This Row],[工资等级]],2,2),表12[[#Headers],[1]:[10]],0)+1,0)</f>
        <v>10000</v>
      </c>
      <c r="J520" s="5">
        <v>25</v>
      </c>
      <c r="K520" s="27">
        <v>1.0416666666666667</v>
      </c>
      <c r="L520" s="37">
        <f>IF(表1_11[[#This Row],[出勤率]]&gt;1,1,表1_11[[#This Row],[出勤率]])*表1_11[[#This Row],[岗位工资]]</f>
        <v>10000</v>
      </c>
      <c r="M520" s="5">
        <f>LOOKUP(表1_11[[#This Row],[岗位工资]],表13[lookup],表13[奖金比率])*表1_11[[#This Row],[岗位工资]]</f>
        <v>2500</v>
      </c>
      <c r="N520" s="5">
        <v>95</v>
      </c>
      <c r="O520" s="38">
        <f>表1_11[[#This Row],[奖金等级]]*表1_11[[#This Row],[绩效得分]]/100</f>
        <v>2375</v>
      </c>
      <c r="P520" s="5">
        <f>IF(表1_11[[#This Row],[出勤率]]&gt;=1,200,0)</f>
        <v>200</v>
      </c>
      <c r="Q520" s="23">
        <f t="shared" ca="1" si="8"/>
        <v>300</v>
      </c>
      <c r="R520" s="23">
        <f>IF(表1_11[[#This Row],[中心]]="营销中心",VLOOKUP(表1_11[[#This Row],[职位]],表2[[话费补贴]:[营销中心]],2,0),VLOOKUP(表1_11[[#This Row],[职位]],表2[],3,0))</f>
        <v>1000</v>
      </c>
      <c r="S520" s="23">
        <v>200</v>
      </c>
      <c r="T520" s="61">
        <f ca="1">ROUND(SUM(表1_11[[#This Row],[基本工资]],表1_11[[#This Row],[奖金]],表1_11[[#This Row],[全勤奖]:[防暑降温补贴]]),2)</f>
        <v>14075</v>
      </c>
      <c r="U520" s="62">
        <f ca="1">ROUND(表1_11[[#This Row],[税前应发总额]]*8%,2)</f>
        <v>1126</v>
      </c>
      <c r="V520" s="62">
        <f ca="1">ROUND(表1_11[[#This Row],[税前应发总额]]*2%+3,2)</f>
        <v>284.5</v>
      </c>
      <c r="W520" s="62">
        <f ca="1">ROUND(表1_11[[#This Row],[税前应发总额]]*0.2%,2)</f>
        <v>28.15</v>
      </c>
      <c r="X520" s="62">
        <f ca="1">ROUND(表1_11[[#This Row],[税前应发总额]]*12%,2)</f>
        <v>1689</v>
      </c>
      <c r="Y520" s="61">
        <f ca="1">ROUND(表1_11[[#This Row],[税前应发总额]]-SUM(表1_11[[#This Row],[养老保险]:[公积金]]),2)</f>
        <v>10947.35</v>
      </c>
      <c r="Z520" s="62">
        <f ca="1">ROUND(MAX((表1_11[[#This Row],[扣保险后工资金额]]-3500)*{3,10,20,25,30,35,45}%-{0,105,555,1005,2755,5505,13505},0),2)</f>
        <v>934.47</v>
      </c>
      <c r="AA520" s="63">
        <f ca="1">表1_11[[#This Row],[扣保险后工资金额]]-表1_11[[#This Row],[个人所得税]]</f>
        <v>10012.880000000001</v>
      </c>
      <c r="AB520" s="53">
        <v>10382.82</v>
      </c>
      <c r="AC520" s="64">
        <f ca="1">(表1_11[[#This Row],[实发工资]]-表1_11[[#This Row],[上月对比]])/表1_11[[#This Row],[上月对比]]</f>
        <v>-3.5630011885017625E-2</v>
      </c>
      <c r="AD520" s="65" t="s">
        <v>1587</v>
      </c>
    </row>
    <row r="521" spans="1:30">
      <c r="A521" s="42" t="s">
        <v>857</v>
      </c>
      <c r="B521" s="40" t="s">
        <v>864</v>
      </c>
      <c r="C521" s="40" t="s">
        <v>856</v>
      </c>
      <c r="D521" s="40" t="s">
        <v>865</v>
      </c>
      <c r="E521" s="41" t="s">
        <v>1531</v>
      </c>
      <c r="F521" s="5" t="s">
        <v>515</v>
      </c>
      <c r="G521" s="25">
        <v>38902</v>
      </c>
      <c r="H521" s="5" t="s">
        <v>667</v>
      </c>
      <c r="I521" s="5">
        <f>VLOOKUP(MID(表1_11[[#This Row],[工资等级]],1,1),表12[],MATCH(MID(表1_11[[#This Row],[工资等级]],2,2),表12[[#Headers],[1]:[10]],0)+1,0)</f>
        <v>8000</v>
      </c>
      <c r="J521" s="5">
        <v>22.5</v>
      </c>
      <c r="K521" s="27">
        <v>0.9375</v>
      </c>
      <c r="L521" s="37">
        <f>IF(表1_11[[#This Row],[出勤率]]&gt;1,1,表1_11[[#This Row],[出勤率]])*表1_11[[#This Row],[岗位工资]]</f>
        <v>7500</v>
      </c>
      <c r="M521" s="5">
        <f>LOOKUP(表1_11[[#This Row],[岗位工资]],表13[lookup],表13[奖金比率])*表1_11[[#This Row],[岗位工资]]</f>
        <v>1600</v>
      </c>
      <c r="N521" s="5">
        <v>82</v>
      </c>
      <c r="O521" s="38">
        <f>表1_11[[#This Row],[奖金等级]]*表1_11[[#This Row],[绩效得分]]/100</f>
        <v>1312</v>
      </c>
      <c r="P521" s="5">
        <f>IF(表1_11[[#This Row],[出勤率]]&gt;=1,200,0)</f>
        <v>0</v>
      </c>
      <c r="Q521" s="23">
        <f t="shared" ca="1" si="8"/>
        <v>500</v>
      </c>
      <c r="R521" s="23">
        <f>IF(表1_11[[#This Row],[中心]]="营销中心",VLOOKUP(表1_11[[#This Row],[职位]],表2[[话费补贴]:[营销中心]],2,0),VLOOKUP(表1_11[[#This Row],[职位]],表2[],3,0))</f>
        <v>800</v>
      </c>
      <c r="S521" s="23">
        <v>200</v>
      </c>
      <c r="T521" s="61">
        <f ca="1">ROUND(SUM(表1_11[[#This Row],[基本工资]],表1_11[[#This Row],[奖金]],表1_11[[#This Row],[全勤奖]:[防暑降温补贴]]),2)</f>
        <v>10312</v>
      </c>
      <c r="U521" s="62">
        <f ca="1">ROUND(表1_11[[#This Row],[税前应发总额]]*8%,2)</f>
        <v>824.96</v>
      </c>
      <c r="V521" s="62">
        <f ca="1">ROUND(表1_11[[#This Row],[税前应发总额]]*2%+3,2)</f>
        <v>209.24</v>
      </c>
      <c r="W521" s="62">
        <f ca="1">ROUND(表1_11[[#This Row],[税前应发总额]]*0.2%,2)</f>
        <v>20.62</v>
      </c>
      <c r="X521" s="62">
        <f ca="1">ROUND(表1_11[[#This Row],[税前应发总额]]*12%,2)</f>
        <v>1237.44</v>
      </c>
      <c r="Y521" s="61">
        <f ca="1">ROUND(表1_11[[#This Row],[税前应发总额]]-SUM(表1_11[[#This Row],[养老保险]:[公积金]]),2)</f>
        <v>8019.74</v>
      </c>
      <c r="Z521" s="62">
        <f ca="1">ROUND(MAX((表1_11[[#This Row],[扣保险后工资金额]]-3500)*{3,10,20,25,30,35,45}%-{0,105,555,1005,2755,5505,13505},0),2)</f>
        <v>348.95</v>
      </c>
      <c r="AA521" s="63">
        <f ca="1">表1_11[[#This Row],[扣保险后工资金额]]-表1_11[[#This Row],[个人所得税]]</f>
        <v>7670.79</v>
      </c>
      <c r="AB521" s="53">
        <v>8295.2000000000007</v>
      </c>
      <c r="AC521" s="64">
        <f ca="1">(表1_11[[#This Row],[实发工资]]-表1_11[[#This Row],[上月对比]])/表1_11[[#This Row],[上月对比]]</f>
        <v>-7.5273652232616534E-2</v>
      </c>
      <c r="AD521" s="65" t="s">
        <v>1587</v>
      </c>
    </row>
    <row r="522" spans="1:30">
      <c r="A522" s="42" t="s">
        <v>857</v>
      </c>
      <c r="B522" s="40" t="s">
        <v>866</v>
      </c>
      <c r="C522" s="40" t="s">
        <v>810</v>
      </c>
      <c r="D522" s="40" t="s">
        <v>867</v>
      </c>
      <c r="E522" s="41" t="s">
        <v>1532</v>
      </c>
      <c r="F522" s="5" t="s">
        <v>516</v>
      </c>
      <c r="G522" s="25">
        <v>42430</v>
      </c>
      <c r="H522" s="5" t="s">
        <v>647</v>
      </c>
      <c r="I522" s="5">
        <f>VLOOKUP(MID(表1_11[[#This Row],[工资等级]],1,1),表12[],MATCH(MID(表1_11[[#This Row],[工资等级]],2,2),表12[[#Headers],[1]:[10]],0)+1,0)</f>
        <v>5300</v>
      </c>
      <c r="J522" s="5">
        <v>24</v>
      </c>
      <c r="K522" s="27">
        <v>1</v>
      </c>
      <c r="L522" s="37">
        <f>IF(表1_11[[#This Row],[出勤率]]&gt;1,1,表1_11[[#This Row],[出勤率]])*表1_11[[#This Row],[岗位工资]]</f>
        <v>5300</v>
      </c>
      <c r="M522" s="5">
        <f>LOOKUP(表1_11[[#This Row],[岗位工资]],表13[lookup],表13[奖金比率])*表1_11[[#This Row],[岗位工资]]</f>
        <v>795</v>
      </c>
      <c r="N522" s="5">
        <v>79</v>
      </c>
      <c r="O522" s="38">
        <f>表1_11[[#This Row],[奖金等级]]*表1_11[[#This Row],[绩效得分]]/100</f>
        <v>628.04999999999995</v>
      </c>
      <c r="P522" s="5">
        <f>IF(表1_11[[#This Row],[出勤率]]&gt;=1,200,0)</f>
        <v>200</v>
      </c>
      <c r="Q522" s="23">
        <f t="shared" ca="1" si="8"/>
        <v>100</v>
      </c>
      <c r="R522" s="23">
        <f>IF(表1_11[[#This Row],[中心]]="营销中心",VLOOKUP(表1_11[[#This Row],[职位]],表2[[话费补贴]:[营销中心]],2,0),VLOOKUP(表1_11[[#This Row],[职位]],表2[],3,0))</f>
        <v>800</v>
      </c>
      <c r="S522" s="23">
        <v>200</v>
      </c>
      <c r="T522" s="61">
        <f ca="1">ROUND(SUM(表1_11[[#This Row],[基本工资]],表1_11[[#This Row],[奖金]],表1_11[[#This Row],[全勤奖]:[防暑降温补贴]]),2)</f>
        <v>7228.05</v>
      </c>
      <c r="U522" s="62">
        <f ca="1">ROUND(表1_11[[#This Row],[税前应发总额]]*8%,2)</f>
        <v>578.24</v>
      </c>
      <c r="V522" s="62">
        <f ca="1">ROUND(表1_11[[#This Row],[税前应发总额]]*2%+3,2)</f>
        <v>147.56</v>
      </c>
      <c r="W522" s="62">
        <f ca="1">ROUND(表1_11[[#This Row],[税前应发总额]]*0.2%,2)</f>
        <v>14.46</v>
      </c>
      <c r="X522" s="62">
        <f ca="1">ROUND(表1_11[[#This Row],[税前应发总额]]*12%,2)</f>
        <v>867.37</v>
      </c>
      <c r="Y522" s="61">
        <f ca="1">ROUND(表1_11[[#This Row],[税前应发总额]]-SUM(表1_11[[#This Row],[养老保险]:[公积金]]),2)</f>
        <v>5620.42</v>
      </c>
      <c r="Z522" s="62">
        <f ca="1">ROUND(MAX((表1_11[[#This Row],[扣保险后工资金额]]-3500)*{3,10,20,25,30,35,45}%-{0,105,555,1005,2755,5505,13505},0),2)</f>
        <v>107.04</v>
      </c>
      <c r="AA522" s="63">
        <f ca="1">表1_11[[#This Row],[扣保险后工资金额]]-表1_11[[#This Row],[个人所得税]]</f>
        <v>5513.38</v>
      </c>
      <c r="AB522" s="53">
        <v>5883.78</v>
      </c>
      <c r="AC522" s="64">
        <f ca="1">(表1_11[[#This Row],[实发工资]]-表1_11[[#This Row],[上月对比]])/表1_11[[#This Row],[上月对比]]</f>
        <v>-6.2952727668267622E-2</v>
      </c>
      <c r="AD522" s="65" t="s">
        <v>1587</v>
      </c>
    </row>
    <row r="523" spans="1:30">
      <c r="A523" s="42" t="s">
        <v>857</v>
      </c>
      <c r="B523" s="40" t="s">
        <v>868</v>
      </c>
      <c r="C523" s="40" t="s">
        <v>829</v>
      </c>
      <c r="D523" s="40" t="s">
        <v>869</v>
      </c>
      <c r="E523" s="41" t="s">
        <v>1533</v>
      </c>
      <c r="F523" s="5" t="s">
        <v>517</v>
      </c>
      <c r="G523" s="25">
        <v>41206</v>
      </c>
      <c r="H523" s="5" t="s">
        <v>600</v>
      </c>
      <c r="I523" s="5">
        <f>VLOOKUP(MID(表1_11[[#This Row],[工资等级]],1,1),表12[],MATCH(MID(表1_11[[#This Row],[工资等级]],2,2),表12[[#Headers],[1]:[10]],0)+1,0)</f>
        <v>7000</v>
      </c>
      <c r="J523" s="5">
        <v>27</v>
      </c>
      <c r="K523" s="27">
        <v>1.125</v>
      </c>
      <c r="L523" s="37">
        <f>IF(表1_11[[#This Row],[出勤率]]&gt;1,1,表1_11[[#This Row],[出勤率]])*表1_11[[#This Row],[岗位工资]]</f>
        <v>7000</v>
      </c>
      <c r="M523" s="5">
        <f>LOOKUP(表1_11[[#This Row],[岗位工资]],表13[lookup],表13[奖金比率])*表1_11[[#This Row],[岗位工资]]</f>
        <v>1400</v>
      </c>
      <c r="N523" s="5">
        <v>93</v>
      </c>
      <c r="O523" s="38">
        <f>表1_11[[#This Row],[奖金等级]]*表1_11[[#This Row],[绩效得分]]/100</f>
        <v>1302</v>
      </c>
      <c r="P523" s="5">
        <f>IF(表1_11[[#This Row],[出勤率]]&gt;=1,200,0)</f>
        <v>200</v>
      </c>
      <c r="Q523" s="23">
        <f t="shared" ca="1" si="8"/>
        <v>250</v>
      </c>
      <c r="R523" s="23">
        <f>IF(表1_11[[#This Row],[中心]]="营销中心",VLOOKUP(表1_11[[#This Row],[职位]],表2[[话费补贴]:[营销中心]],2,0),VLOOKUP(表1_11[[#This Row],[职位]],表2[],3,0))</f>
        <v>800</v>
      </c>
      <c r="S523" s="23">
        <v>200</v>
      </c>
      <c r="T523" s="61">
        <f ca="1">ROUND(SUM(表1_11[[#This Row],[基本工资]],表1_11[[#This Row],[奖金]],表1_11[[#This Row],[全勤奖]:[防暑降温补贴]]),2)</f>
        <v>9752</v>
      </c>
      <c r="U523" s="62">
        <f ca="1">ROUND(表1_11[[#This Row],[税前应发总额]]*8%,2)</f>
        <v>780.16</v>
      </c>
      <c r="V523" s="62">
        <f ca="1">ROUND(表1_11[[#This Row],[税前应发总额]]*2%+3,2)</f>
        <v>198.04</v>
      </c>
      <c r="W523" s="62">
        <f ca="1">ROUND(表1_11[[#This Row],[税前应发总额]]*0.2%,2)</f>
        <v>19.5</v>
      </c>
      <c r="X523" s="62">
        <f ca="1">ROUND(表1_11[[#This Row],[税前应发总额]]*12%,2)</f>
        <v>1170.24</v>
      </c>
      <c r="Y523" s="61">
        <f ca="1">ROUND(表1_11[[#This Row],[税前应发总额]]-SUM(表1_11[[#This Row],[养老保险]:[公积金]]),2)</f>
        <v>7584.06</v>
      </c>
      <c r="Z523" s="62">
        <f ca="1">ROUND(MAX((表1_11[[#This Row],[扣保险后工资金额]]-3500)*{3,10,20,25,30,35,45}%-{0,105,555,1005,2755,5505,13505},0),2)</f>
        <v>303.41000000000003</v>
      </c>
      <c r="AA523" s="63">
        <f ca="1">表1_11[[#This Row],[扣保险后工资金额]]-表1_11[[#This Row],[个人所得税]]</f>
        <v>7280.6500000000005</v>
      </c>
      <c r="AB523" s="53">
        <v>6483.52</v>
      </c>
      <c r="AC523" s="64">
        <f ca="1">(表1_11[[#This Row],[实发工资]]-表1_11[[#This Row],[上月对比]])/表1_11[[#This Row],[上月对比]]</f>
        <v>0.12294710280835103</v>
      </c>
      <c r="AD523" s="65" t="s">
        <v>1587</v>
      </c>
    </row>
    <row r="524" spans="1:30">
      <c r="A524" s="42" t="s">
        <v>857</v>
      </c>
      <c r="B524" s="40" t="s">
        <v>870</v>
      </c>
      <c r="C524" s="40" t="s">
        <v>839</v>
      </c>
      <c r="D524" s="40" t="s">
        <v>871</v>
      </c>
      <c r="E524" s="41" t="s">
        <v>1534</v>
      </c>
      <c r="F524" s="5" t="s">
        <v>518</v>
      </c>
      <c r="G524" s="25">
        <v>39521</v>
      </c>
      <c r="H524" s="5" t="s">
        <v>648</v>
      </c>
      <c r="I524" s="5">
        <f>VLOOKUP(MID(表1_11[[#This Row],[工资等级]],1,1),表12[],MATCH(MID(表1_11[[#This Row],[工资等级]],2,2),表12[[#Headers],[1]:[10]],0)+1,0)</f>
        <v>3600</v>
      </c>
      <c r="J524" s="5">
        <v>22.5</v>
      </c>
      <c r="K524" s="27">
        <v>0.9375</v>
      </c>
      <c r="L524" s="37">
        <f>IF(表1_11[[#This Row],[出勤率]]&gt;1,1,表1_11[[#This Row],[出勤率]])*表1_11[[#This Row],[岗位工资]]</f>
        <v>3375</v>
      </c>
      <c r="M524" s="5">
        <f>LOOKUP(表1_11[[#This Row],[岗位工资]],表13[lookup],表13[奖金比率])*表1_11[[#This Row],[岗位工资]]</f>
        <v>360</v>
      </c>
      <c r="N524" s="5">
        <v>93</v>
      </c>
      <c r="O524" s="38">
        <f>表1_11[[#This Row],[奖金等级]]*表1_11[[#This Row],[绩效得分]]/100</f>
        <v>334.8</v>
      </c>
      <c r="P524" s="5">
        <f>IF(表1_11[[#This Row],[出勤率]]&gt;=1,200,0)</f>
        <v>0</v>
      </c>
      <c r="Q524" s="23">
        <f t="shared" ca="1" si="8"/>
        <v>450</v>
      </c>
      <c r="R524" s="23">
        <f>IF(表1_11[[#This Row],[中心]]="营销中心",VLOOKUP(表1_11[[#This Row],[职位]],表2[[话费补贴]:[营销中心]],2,0),VLOOKUP(表1_11[[#This Row],[职位]],表2[],3,0))</f>
        <v>500</v>
      </c>
      <c r="S524" s="23">
        <v>200</v>
      </c>
      <c r="T524" s="61">
        <f ca="1">ROUND(SUM(表1_11[[#This Row],[基本工资]],表1_11[[#This Row],[奖金]],表1_11[[#This Row],[全勤奖]:[防暑降温补贴]]),2)</f>
        <v>4859.8</v>
      </c>
      <c r="U524" s="62">
        <f ca="1">ROUND(表1_11[[#This Row],[税前应发总额]]*8%,2)</f>
        <v>388.78</v>
      </c>
      <c r="V524" s="62">
        <f ca="1">ROUND(表1_11[[#This Row],[税前应发总额]]*2%+3,2)</f>
        <v>100.2</v>
      </c>
      <c r="W524" s="62">
        <f ca="1">ROUND(表1_11[[#This Row],[税前应发总额]]*0.2%,2)</f>
        <v>9.7200000000000006</v>
      </c>
      <c r="X524" s="62">
        <f ca="1">ROUND(表1_11[[#This Row],[税前应发总额]]*12%,2)</f>
        <v>583.17999999999995</v>
      </c>
      <c r="Y524" s="61">
        <f ca="1">ROUND(表1_11[[#This Row],[税前应发总额]]-SUM(表1_11[[#This Row],[养老保险]:[公积金]]),2)</f>
        <v>3777.92</v>
      </c>
      <c r="Z524" s="62">
        <f ca="1">ROUND(MAX((表1_11[[#This Row],[扣保险后工资金额]]-3500)*{3,10,20,25,30,35,45}%-{0,105,555,1005,2755,5505,13505},0),2)</f>
        <v>8.34</v>
      </c>
      <c r="AA524" s="63">
        <f ca="1">表1_11[[#This Row],[扣保险后工资金额]]-表1_11[[#This Row],[个人所得税]]</f>
        <v>3769.58</v>
      </c>
      <c r="AB524" s="53">
        <v>4284.9399999999996</v>
      </c>
      <c r="AC524" s="64">
        <f ca="1">(表1_11[[#This Row],[实发工资]]-表1_11[[#This Row],[上月对比]])/表1_11[[#This Row],[上月对比]]</f>
        <v>-0.12027239587952217</v>
      </c>
      <c r="AD524" s="65" t="s">
        <v>1587</v>
      </c>
    </row>
    <row r="525" spans="1:30">
      <c r="A525" s="42" t="s">
        <v>857</v>
      </c>
      <c r="B525" s="40" t="s">
        <v>858</v>
      </c>
      <c r="C525" s="40" t="s">
        <v>826</v>
      </c>
      <c r="D525" s="40" t="s">
        <v>872</v>
      </c>
      <c r="E525" s="41" t="s">
        <v>1535</v>
      </c>
      <c r="F525" s="5" t="s">
        <v>519</v>
      </c>
      <c r="G525" s="25">
        <v>42013</v>
      </c>
      <c r="H525" s="5" t="s">
        <v>648</v>
      </c>
      <c r="I525" s="5">
        <f>VLOOKUP(MID(表1_11[[#This Row],[工资等级]],1,1),表12[],MATCH(MID(表1_11[[#This Row],[工资等级]],2,2),表12[[#Headers],[1]:[10]],0)+1,0)</f>
        <v>3600</v>
      </c>
      <c r="J525" s="5">
        <v>23</v>
      </c>
      <c r="K525" s="27">
        <v>0.95833333333333337</v>
      </c>
      <c r="L525" s="37">
        <f>IF(表1_11[[#This Row],[出勤率]]&gt;1,1,表1_11[[#This Row],[出勤率]])*表1_11[[#This Row],[岗位工资]]</f>
        <v>3450</v>
      </c>
      <c r="M525" s="5">
        <f>LOOKUP(表1_11[[#This Row],[岗位工资]],表13[lookup],表13[奖金比率])*表1_11[[#This Row],[岗位工资]]</f>
        <v>360</v>
      </c>
      <c r="N525" s="5">
        <v>85</v>
      </c>
      <c r="O525" s="38">
        <f>表1_11[[#This Row],[奖金等级]]*表1_11[[#This Row],[绩效得分]]/100</f>
        <v>306</v>
      </c>
      <c r="P525" s="5">
        <f>IF(表1_11[[#This Row],[出勤率]]&gt;=1,200,0)</f>
        <v>0</v>
      </c>
      <c r="Q525" s="23">
        <f t="shared" ca="1" si="8"/>
        <v>150</v>
      </c>
      <c r="R525" s="23">
        <f>IF(表1_11[[#This Row],[中心]]="营销中心",VLOOKUP(表1_11[[#This Row],[职位]],表2[[话费补贴]:[营销中心]],2,0),VLOOKUP(表1_11[[#This Row],[职位]],表2[],3,0))</f>
        <v>500</v>
      </c>
      <c r="S525" s="23">
        <v>200</v>
      </c>
      <c r="T525" s="61">
        <f ca="1">ROUND(SUM(表1_11[[#This Row],[基本工资]],表1_11[[#This Row],[奖金]],表1_11[[#This Row],[全勤奖]:[防暑降温补贴]]),2)</f>
        <v>4606</v>
      </c>
      <c r="U525" s="62">
        <f ca="1">ROUND(表1_11[[#This Row],[税前应发总额]]*8%,2)</f>
        <v>368.48</v>
      </c>
      <c r="V525" s="62">
        <f ca="1">ROUND(表1_11[[#This Row],[税前应发总额]]*2%+3,2)</f>
        <v>95.12</v>
      </c>
      <c r="W525" s="62">
        <f ca="1">ROUND(表1_11[[#This Row],[税前应发总额]]*0.2%,2)</f>
        <v>9.2100000000000009</v>
      </c>
      <c r="X525" s="62">
        <f ca="1">ROUND(表1_11[[#This Row],[税前应发总额]]*12%,2)</f>
        <v>552.72</v>
      </c>
      <c r="Y525" s="61">
        <f ca="1">ROUND(表1_11[[#This Row],[税前应发总额]]-SUM(表1_11[[#This Row],[养老保险]:[公积金]]),2)</f>
        <v>3580.47</v>
      </c>
      <c r="Z525" s="62">
        <f ca="1">ROUND(MAX((表1_11[[#This Row],[扣保险后工资金额]]-3500)*{3,10,20,25,30,35,45}%-{0,105,555,1005,2755,5505,13505},0),2)</f>
        <v>2.41</v>
      </c>
      <c r="AA525" s="63">
        <f ca="1">表1_11[[#This Row],[扣保险后工资金额]]-表1_11[[#This Row],[个人所得税]]</f>
        <v>3578.06</v>
      </c>
      <c r="AB525" s="53">
        <v>3294.58</v>
      </c>
      <c r="AC525" s="64">
        <f ca="1">(表1_11[[#This Row],[实发工资]]-表1_11[[#This Row],[上月对比]])/表1_11[[#This Row],[上月对比]]</f>
        <v>8.6044351632074509E-2</v>
      </c>
      <c r="AD525" s="65" t="s">
        <v>1587</v>
      </c>
    </row>
    <row r="526" spans="1:30">
      <c r="A526" s="42" t="s">
        <v>857</v>
      </c>
      <c r="B526" s="40" t="s">
        <v>861</v>
      </c>
      <c r="C526" s="40" t="s">
        <v>827</v>
      </c>
      <c r="D526" s="40" t="s">
        <v>873</v>
      </c>
      <c r="E526" s="41" t="s">
        <v>1536</v>
      </c>
      <c r="F526" s="5" t="s">
        <v>520</v>
      </c>
      <c r="G526" s="25">
        <v>40977</v>
      </c>
      <c r="H526" s="5" t="s">
        <v>815</v>
      </c>
      <c r="I526" s="5">
        <f>VLOOKUP(MID(表1_11[[#This Row],[工资等级]],1,1),表12[],MATCH(MID(表1_11[[#This Row],[工资等级]],2,2),表12[[#Headers],[1]:[10]],0)+1,0)</f>
        <v>4500</v>
      </c>
      <c r="J526" s="5">
        <v>22.5</v>
      </c>
      <c r="K526" s="27">
        <v>0.9375</v>
      </c>
      <c r="L526" s="37">
        <f>IF(表1_11[[#This Row],[出勤率]]&gt;1,1,表1_11[[#This Row],[出勤率]])*表1_11[[#This Row],[岗位工资]]</f>
        <v>4218.75</v>
      </c>
      <c r="M526" s="5">
        <f>LOOKUP(表1_11[[#This Row],[岗位工资]],表13[lookup],表13[奖金比率])*表1_11[[#This Row],[岗位工资]]</f>
        <v>675</v>
      </c>
      <c r="N526" s="5">
        <v>91</v>
      </c>
      <c r="O526" s="38">
        <f>表1_11[[#This Row],[奖金等级]]*表1_11[[#This Row],[绩效得分]]/100</f>
        <v>614.25</v>
      </c>
      <c r="P526" s="5">
        <f>IF(表1_11[[#This Row],[出勤率]]&gt;=1,200,0)</f>
        <v>0</v>
      </c>
      <c r="Q526" s="23">
        <f t="shared" ca="1" si="8"/>
        <v>250</v>
      </c>
      <c r="R526" s="23">
        <f>IF(表1_11[[#This Row],[中心]]="营销中心",VLOOKUP(表1_11[[#This Row],[职位]],表2[[话费补贴]:[营销中心]],2,0),VLOOKUP(表1_11[[#This Row],[职位]],表2[],3,0))</f>
        <v>500</v>
      </c>
      <c r="S526" s="23">
        <v>200</v>
      </c>
      <c r="T526" s="61">
        <f ca="1">ROUND(SUM(表1_11[[#This Row],[基本工资]],表1_11[[#This Row],[奖金]],表1_11[[#This Row],[全勤奖]:[防暑降温补贴]]),2)</f>
        <v>5783</v>
      </c>
      <c r="U526" s="62">
        <f ca="1">ROUND(表1_11[[#This Row],[税前应发总额]]*8%,2)</f>
        <v>462.64</v>
      </c>
      <c r="V526" s="62">
        <f ca="1">ROUND(表1_11[[#This Row],[税前应发总额]]*2%+3,2)</f>
        <v>118.66</v>
      </c>
      <c r="W526" s="62">
        <f ca="1">ROUND(表1_11[[#This Row],[税前应发总额]]*0.2%,2)</f>
        <v>11.57</v>
      </c>
      <c r="X526" s="62">
        <f ca="1">ROUND(表1_11[[#This Row],[税前应发总额]]*12%,2)</f>
        <v>693.96</v>
      </c>
      <c r="Y526" s="61">
        <f ca="1">ROUND(表1_11[[#This Row],[税前应发总额]]-SUM(表1_11[[#This Row],[养老保险]:[公积金]]),2)</f>
        <v>4496.17</v>
      </c>
      <c r="Z526" s="62">
        <f ca="1">ROUND(MAX((表1_11[[#This Row],[扣保险后工资金额]]-3500)*{3,10,20,25,30,35,45}%-{0,105,555,1005,2755,5505,13505},0),2)</f>
        <v>29.89</v>
      </c>
      <c r="AA526" s="63">
        <f ca="1">表1_11[[#This Row],[扣保险后工资金额]]-表1_11[[#This Row],[个人所得税]]</f>
        <v>4466.28</v>
      </c>
      <c r="AB526" s="53">
        <v>4268.07</v>
      </c>
      <c r="AC526" s="64">
        <f ca="1">(表1_11[[#This Row],[实发工资]]-表1_11[[#This Row],[上月对比]])/表1_11[[#This Row],[上月对比]]</f>
        <v>4.6440194279850154E-2</v>
      </c>
      <c r="AD526" s="65" t="s">
        <v>1587</v>
      </c>
    </row>
    <row r="527" spans="1:30">
      <c r="A527" s="42" t="s">
        <v>857</v>
      </c>
      <c r="B527" s="40" t="s">
        <v>864</v>
      </c>
      <c r="C527" s="40" t="s">
        <v>851</v>
      </c>
      <c r="D527" s="40" t="s">
        <v>874</v>
      </c>
      <c r="E527" s="41" t="s">
        <v>1537</v>
      </c>
      <c r="F527" s="5" t="s">
        <v>521</v>
      </c>
      <c r="G527" s="25">
        <v>41538</v>
      </c>
      <c r="H527" s="5" t="s">
        <v>771</v>
      </c>
      <c r="I527" s="5">
        <f>VLOOKUP(MID(表1_11[[#This Row],[工资等级]],1,1),表12[],MATCH(MID(表1_11[[#This Row],[工资等级]],2,2),表12[[#Headers],[1]:[10]],0)+1,0)</f>
        <v>3700</v>
      </c>
      <c r="J527" s="5">
        <v>25.5</v>
      </c>
      <c r="K527" s="27">
        <v>1.0625</v>
      </c>
      <c r="L527" s="37">
        <f>IF(表1_11[[#This Row],[出勤率]]&gt;1,1,表1_11[[#This Row],[出勤率]])*表1_11[[#This Row],[岗位工资]]</f>
        <v>3700</v>
      </c>
      <c r="M527" s="5">
        <f>LOOKUP(表1_11[[#This Row],[岗位工资]],表13[lookup],表13[奖金比率])*表1_11[[#This Row],[岗位工资]]</f>
        <v>370</v>
      </c>
      <c r="N527" s="5">
        <v>99</v>
      </c>
      <c r="O527" s="38">
        <f>表1_11[[#This Row],[奖金等级]]*表1_11[[#This Row],[绩效得分]]/100</f>
        <v>366.3</v>
      </c>
      <c r="P527" s="5">
        <f>IF(表1_11[[#This Row],[出勤率]]&gt;=1,200,0)</f>
        <v>200</v>
      </c>
      <c r="Q527" s="23">
        <f t="shared" ca="1" si="8"/>
        <v>200</v>
      </c>
      <c r="R527" s="23">
        <f>IF(表1_11[[#This Row],[中心]]="营销中心",VLOOKUP(表1_11[[#This Row],[职位]],表2[[话费补贴]:[营销中心]],2,0),VLOOKUP(表1_11[[#This Row],[职位]],表2[],3,0))</f>
        <v>500</v>
      </c>
      <c r="S527" s="23">
        <v>200</v>
      </c>
      <c r="T527" s="61">
        <f ca="1">ROUND(SUM(表1_11[[#This Row],[基本工资]],表1_11[[#This Row],[奖金]],表1_11[[#This Row],[全勤奖]:[防暑降温补贴]]),2)</f>
        <v>5166.3</v>
      </c>
      <c r="U527" s="62">
        <f ca="1">ROUND(表1_11[[#This Row],[税前应发总额]]*8%,2)</f>
        <v>413.3</v>
      </c>
      <c r="V527" s="62">
        <f ca="1">ROUND(表1_11[[#This Row],[税前应发总额]]*2%+3,2)</f>
        <v>106.33</v>
      </c>
      <c r="W527" s="62">
        <f ca="1">ROUND(表1_11[[#This Row],[税前应发总额]]*0.2%,2)</f>
        <v>10.33</v>
      </c>
      <c r="X527" s="62">
        <f ca="1">ROUND(表1_11[[#This Row],[税前应发总额]]*12%,2)</f>
        <v>619.96</v>
      </c>
      <c r="Y527" s="61">
        <f ca="1">ROUND(表1_11[[#This Row],[税前应发总额]]-SUM(表1_11[[#This Row],[养老保险]:[公积金]]),2)</f>
        <v>4016.38</v>
      </c>
      <c r="Z527" s="62">
        <f ca="1">ROUND(MAX((表1_11[[#This Row],[扣保险后工资金额]]-3500)*{3,10,20,25,30,35,45}%-{0,105,555,1005,2755,5505,13505},0),2)</f>
        <v>15.49</v>
      </c>
      <c r="AA527" s="63">
        <f ca="1">表1_11[[#This Row],[扣保险后工资金额]]-表1_11[[#This Row],[个人所得税]]</f>
        <v>4000.8900000000003</v>
      </c>
      <c r="AB527" s="53">
        <v>3917.99</v>
      </c>
      <c r="AC527" s="64">
        <f ca="1">(表1_11[[#This Row],[实发工资]]-表1_11[[#This Row],[上月对比]])/表1_11[[#This Row],[上月对比]]</f>
        <v>2.1158808470670049E-2</v>
      </c>
      <c r="AD527" s="65" t="s">
        <v>1587</v>
      </c>
    </row>
    <row r="528" spans="1:30">
      <c r="A528" s="42" t="s">
        <v>857</v>
      </c>
      <c r="B528" s="40" t="s">
        <v>866</v>
      </c>
      <c r="C528" s="40" t="s">
        <v>853</v>
      </c>
      <c r="D528" s="40" t="s">
        <v>875</v>
      </c>
      <c r="E528" s="41" t="s">
        <v>1538</v>
      </c>
      <c r="F528" s="5" t="s">
        <v>522</v>
      </c>
      <c r="G528" s="25">
        <v>39251</v>
      </c>
      <c r="H528" s="5" t="s">
        <v>648</v>
      </c>
      <c r="I528" s="5">
        <f>VLOOKUP(MID(表1_11[[#This Row],[工资等级]],1,1),表12[],MATCH(MID(表1_11[[#This Row],[工资等级]],2,2),表12[[#Headers],[1]:[10]],0)+1,0)</f>
        <v>3600</v>
      </c>
      <c r="J528" s="5">
        <v>21.5</v>
      </c>
      <c r="K528" s="27">
        <v>0.89583333333333337</v>
      </c>
      <c r="L528" s="37">
        <f>IF(表1_11[[#This Row],[出勤率]]&gt;1,1,表1_11[[#This Row],[出勤率]])*表1_11[[#This Row],[岗位工资]]</f>
        <v>3225</v>
      </c>
      <c r="M528" s="5">
        <f>LOOKUP(表1_11[[#This Row],[岗位工资]],表13[lookup],表13[奖金比率])*表1_11[[#This Row],[岗位工资]]</f>
        <v>360</v>
      </c>
      <c r="N528" s="5">
        <v>90</v>
      </c>
      <c r="O528" s="38">
        <f>表1_11[[#This Row],[奖金等级]]*表1_11[[#This Row],[绩效得分]]/100</f>
        <v>324</v>
      </c>
      <c r="P528" s="5">
        <f>IF(表1_11[[#This Row],[出勤率]]&gt;=1,200,0)</f>
        <v>0</v>
      </c>
      <c r="Q528" s="23">
        <f t="shared" ca="1" si="8"/>
        <v>500</v>
      </c>
      <c r="R528" s="23">
        <f>IF(表1_11[[#This Row],[中心]]="营销中心",VLOOKUP(表1_11[[#This Row],[职位]],表2[[话费补贴]:[营销中心]],2,0),VLOOKUP(表1_11[[#This Row],[职位]],表2[],3,0))</f>
        <v>500</v>
      </c>
      <c r="S528" s="23">
        <v>200</v>
      </c>
      <c r="T528" s="61">
        <f ca="1">ROUND(SUM(表1_11[[#This Row],[基本工资]],表1_11[[#This Row],[奖金]],表1_11[[#This Row],[全勤奖]:[防暑降温补贴]]),2)</f>
        <v>4749</v>
      </c>
      <c r="U528" s="62">
        <f ca="1">ROUND(表1_11[[#This Row],[税前应发总额]]*8%,2)</f>
        <v>379.92</v>
      </c>
      <c r="V528" s="62">
        <f ca="1">ROUND(表1_11[[#This Row],[税前应发总额]]*2%+3,2)</f>
        <v>97.98</v>
      </c>
      <c r="W528" s="62">
        <f ca="1">ROUND(表1_11[[#This Row],[税前应发总额]]*0.2%,2)</f>
        <v>9.5</v>
      </c>
      <c r="X528" s="62">
        <f ca="1">ROUND(表1_11[[#This Row],[税前应发总额]]*12%,2)</f>
        <v>569.88</v>
      </c>
      <c r="Y528" s="61">
        <f ca="1">ROUND(表1_11[[#This Row],[税前应发总额]]-SUM(表1_11[[#This Row],[养老保险]:[公积金]]),2)</f>
        <v>3691.72</v>
      </c>
      <c r="Z528" s="62">
        <f ca="1">ROUND(MAX((表1_11[[#This Row],[扣保险后工资金额]]-3500)*{3,10,20,25,30,35,45}%-{0,105,555,1005,2755,5505,13505},0),2)</f>
        <v>5.75</v>
      </c>
      <c r="AA528" s="63">
        <f ca="1">表1_11[[#This Row],[扣保险后工资金额]]-表1_11[[#This Row],[个人所得税]]</f>
        <v>3685.97</v>
      </c>
      <c r="AB528" s="53">
        <v>3298.09</v>
      </c>
      <c r="AC528" s="64">
        <f ca="1">(表1_11[[#This Row],[实发工资]]-表1_11[[#This Row],[上月对比]])/表1_11[[#This Row],[上月对比]]</f>
        <v>0.11760746371384639</v>
      </c>
      <c r="AD528" s="65" t="s">
        <v>1587</v>
      </c>
    </row>
    <row r="529" spans="1:30">
      <c r="A529" s="42" t="s">
        <v>857</v>
      </c>
      <c r="B529" s="40" t="s">
        <v>876</v>
      </c>
      <c r="C529" s="40" t="s">
        <v>691</v>
      </c>
      <c r="D529" s="40" t="s">
        <v>877</v>
      </c>
      <c r="E529" s="41" t="s">
        <v>1539</v>
      </c>
      <c r="F529" s="5" t="s">
        <v>523</v>
      </c>
      <c r="G529" s="25">
        <v>38844</v>
      </c>
      <c r="H529" s="5" t="s">
        <v>615</v>
      </c>
      <c r="I529" s="5">
        <f>VLOOKUP(MID(表1_11[[#This Row],[工资等级]],1,1),表12[],MATCH(MID(表1_11[[#This Row],[工资等级]],2,2),表12[[#Headers],[1]:[10]],0)+1,0)</f>
        <v>3200</v>
      </c>
      <c r="J529" s="5">
        <v>21.5</v>
      </c>
      <c r="K529" s="27">
        <v>0.89583333333333337</v>
      </c>
      <c r="L529" s="37">
        <f>IF(表1_11[[#This Row],[出勤率]]&gt;1,1,表1_11[[#This Row],[出勤率]])*表1_11[[#This Row],[岗位工资]]</f>
        <v>2866.666666666667</v>
      </c>
      <c r="M529" s="5">
        <f>LOOKUP(表1_11[[#This Row],[岗位工资]],表13[lookup],表13[奖金比率])*表1_11[[#This Row],[岗位工资]]</f>
        <v>320</v>
      </c>
      <c r="N529" s="5">
        <v>98</v>
      </c>
      <c r="O529" s="38">
        <f>表1_11[[#This Row],[奖金等级]]*表1_11[[#This Row],[绩效得分]]/100</f>
        <v>313.60000000000002</v>
      </c>
      <c r="P529" s="5">
        <f>IF(表1_11[[#This Row],[出勤率]]&gt;=1,200,0)</f>
        <v>0</v>
      </c>
      <c r="Q529" s="23">
        <f t="shared" ca="1" si="8"/>
        <v>500</v>
      </c>
      <c r="R529" s="23">
        <f>IF(表1_11[[#This Row],[中心]]="营销中心",VLOOKUP(表1_11[[#This Row],[职位]],表2[[话费补贴]:[营销中心]],2,0),VLOOKUP(表1_11[[#This Row],[职位]],表2[],3,0))</f>
        <v>300</v>
      </c>
      <c r="S529" s="23">
        <v>200</v>
      </c>
      <c r="T529" s="61">
        <f ca="1">ROUND(SUM(表1_11[[#This Row],[基本工资]],表1_11[[#This Row],[奖金]],表1_11[[#This Row],[全勤奖]:[防暑降温补贴]]),2)</f>
        <v>4180.2700000000004</v>
      </c>
      <c r="U529" s="62">
        <f ca="1">ROUND(表1_11[[#This Row],[税前应发总额]]*8%,2)</f>
        <v>334.42</v>
      </c>
      <c r="V529" s="62">
        <f ca="1">ROUND(表1_11[[#This Row],[税前应发总额]]*2%+3,2)</f>
        <v>86.61</v>
      </c>
      <c r="W529" s="62">
        <f ca="1">ROUND(表1_11[[#This Row],[税前应发总额]]*0.2%,2)</f>
        <v>8.36</v>
      </c>
      <c r="X529" s="62">
        <f ca="1">ROUND(表1_11[[#This Row],[税前应发总额]]*12%,2)</f>
        <v>501.63</v>
      </c>
      <c r="Y529" s="61">
        <f ca="1">ROUND(表1_11[[#This Row],[税前应发总额]]-SUM(表1_11[[#This Row],[养老保险]:[公积金]]),2)</f>
        <v>3249.25</v>
      </c>
      <c r="Z529" s="62">
        <f ca="1">ROUND(MAX((表1_11[[#This Row],[扣保险后工资金额]]-3500)*{3,10,20,25,30,35,45}%-{0,105,555,1005,2755,5505,13505},0),2)</f>
        <v>0</v>
      </c>
      <c r="AA529" s="63">
        <f ca="1">表1_11[[#This Row],[扣保险后工资金额]]-表1_11[[#This Row],[个人所得税]]</f>
        <v>3249.25</v>
      </c>
      <c r="AB529" s="53">
        <v>3246.76</v>
      </c>
      <c r="AC529" s="64">
        <f ca="1">(表1_11[[#This Row],[实发工资]]-表1_11[[#This Row],[上月对比]])/表1_11[[#This Row],[上月对比]]</f>
        <v>7.6691840480965076E-4</v>
      </c>
      <c r="AD529" s="65" t="s">
        <v>1587</v>
      </c>
    </row>
    <row r="530" spans="1:30">
      <c r="A530" s="42" t="s">
        <v>857</v>
      </c>
      <c r="B530" s="40" t="s">
        <v>870</v>
      </c>
      <c r="C530" s="40" t="s">
        <v>842</v>
      </c>
      <c r="D530" s="40" t="s">
        <v>878</v>
      </c>
      <c r="E530" s="41" t="s">
        <v>1540</v>
      </c>
      <c r="F530" s="5" t="s">
        <v>524</v>
      </c>
      <c r="G530" s="25">
        <v>40595</v>
      </c>
      <c r="H530" s="5" t="s">
        <v>615</v>
      </c>
      <c r="I530" s="5">
        <f>VLOOKUP(MID(表1_11[[#This Row],[工资等级]],1,1),表12[],MATCH(MID(表1_11[[#This Row],[工资等级]],2,2),表12[[#Headers],[1]:[10]],0)+1,0)</f>
        <v>3200</v>
      </c>
      <c r="J530" s="5">
        <v>24.5</v>
      </c>
      <c r="K530" s="27">
        <v>1.0208333333333333</v>
      </c>
      <c r="L530" s="37">
        <f>IF(表1_11[[#This Row],[出勤率]]&gt;1,1,表1_11[[#This Row],[出勤率]])*表1_11[[#This Row],[岗位工资]]</f>
        <v>3200</v>
      </c>
      <c r="M530" s="5">
        <f>LOOKUP(表1_11[[#This Row],[岗位工资]],表13[lookup],表13[奖金比率])*表1_11[[#This Row],[岗位工资]]</f>
        <v>320</v>
      </c>
      <c r="N530" s="5">
        <v>96</v>
      </c>
      <c r="O530" s="38">
        <f>表1_11[[#This Row],[奖金等级]]*表1_11[[#This Row],[绩效得分]]/100</f>
        <v>307.2</v>
      </c>
      <c r="P530" s="5">
        <f>IF(表1_11[[#This Row],[出勤率]]&gt;=1,200,0)</f>
        <v>200</v>
      </c>
      <c r="Q530" s="23">
        <f t="shared" ca="1" si="8"/>
        <v>350</v>
      </c>
      <c r="R530" s="23">
        <f>IF(表1_11[[#This Row],[中心]]="营销中心",VLOOKUP(表1_11[[#This Row],[职位]],表2[[话费补贴]:[营销中心]],2,0),VLOOKUP(表1_11[[#This Row],[职位]],表2[],3,0))</f>
        <v>300</v>
      </c>
      <c r="S530" s="23">
        <v>200</v>
      </c>
      <c r="T530" s="61">
        <f ca="1">ROUND(SUM(表1_11[[#This Row],[基本工资]],表1_11[[#This Row],[奖金]],表1_11[[#This Row],[全勤奖]:[防暑降温补贴]]),2)</f>
        <v>4557.2</v>
      </c>
      <c r="U530" s="62">
        <f ca="1">ROUND(表1_11[[#This Row],[税前应发总额]]*8%,2)</f>
        <v>364.58</v>
      </c>
      <c r="V530" s="62">
        <f ca="1">ROUND(表1_11[[#This Row],[税前应发总额]]*2%+3,2)</f>
        <v>94.14</v>
      </c>
      <c r="W530" s="62">
        <f ca="1">ROUND(表1_11[[#This Row],[税前应发总额]]*0.2%,2)</f>
        <v>9.11</v>
      </c>
      <c r="X530" s="62">
        <f ca="1">ROUND(表1_11[[#This Row],[税前应发总额]]*12%,2)</f>
        <v>546.86</v>
      </c>
      <c r="Y530" s="61">
        <f ca="1">ROUND(表1_11[[#This Row],[税前应发总额]]-SUM(表1_11[[#This Row],[养老保险]:[公积金]]),2)</f>
        <v>3542.51</v>
      </c>
      <c r="Z530" s="62">
        <f ca="1">ROUND(MAX((表1_11[[#This Row],[扣保险后工资金额]]-3500)*{3,10,20,25,30,35,45}%-{0,105,555,1005,2755,5505,13505},0),2)</f>
        <v>1.28</v>
      </c>
      <c r="AA530" s="63">
        <f ca="1">表1_11[[#This Row],[扣保险后工资金额]]-表1_11[[#This Row],[个人所得税]]</f>
        <v>3541.23</v>
      </c>
      <c r="AB530" s="53">
        <v>3602.32</v>
      </c>
      <c r="AC530" s="64">
        <f ca="1">(表1_11[[#This Row],[实发工资]]-表1_11[[#This Row],[上月对比]])/表1_11[[#This Row],[上月对比]]</f>
        <v>-1.6958515623265048E-2</v>
      </c>
      <c r="AD530" s="65" t="s">
        <v>1587</v>
      </c>
    </row>
    <row r="531" spans="1:30">
      <c r="A531" s="42" t="s">
        <v>857</v>
      </c>
      <c r="B531" s="40" t="s">
        <v>858</v>
      </c>
      <c r="C531" s="40" t="s">
        <v>787</v>
      </c>
      <c r="D531" s="40" t="s">
        <v>879</v>
      </c>
      <c r="E531" s="41" t="s">
        <v>1541</v>
      </c>
      <c r="F531" s="5" t="s">
        <v>525</v>
      </c>
      <c r="G531" s="25">
        <v>41574</v>
      </c>
      <c r="H531" s="5" t="s">
        <v>624</v>
      </c>
      <c r="I531" s="5">
        <f>VLOOKUP(MID(表1_11[[#This Row],[工资等级]],1,1),表12[],MATCH(MID(表1_11[[#This Row],[工资等级]],2,2),表12[[#Headers],[1]:[10]],0)+1,0)</f>
        <v>2800</v>
      </c>
      <c r="J531" s="5">
        <v>21.5</v>
      </c>
      <c r="K531" s="27">
        <v>0.89583333333333337</v>
      </c>
      <c r="L531" s="37">
        <f>IF(表1_11[[#This Row],[出勤率]]&gt;1,1,表1_11[[#This Row],[出勤率]])*表1_11[[#This Row],[岗位工资]]</f>
        <v>2508.3333333333335</v>
      </c>
      <c r="M531" s="5">
        <f>LOOKUP(表1_11[[#This Row],[岗位工资]],表13[lookup],表13[奖金比率])*表1_11[[#This Row],[岗位工资]]</f>
        <v>280</v>
      </c>
      <c r="N531" s="5">
        <v>100</v>
      </c>
      <c r="O531" s="38">
        <f>表1_11[[#This Row],[奖金等级]]*表1_11[[#This Row],[绩效得分]]/100</f>
        <v>280</v>
      </c>
      <c r="P531" s="5">
        <f>IF(表1_11[[#This Row],[出勤率]]&gt;=1,200,0)</f>
        <v>0</v>
      </c>
      <c r="Q531" s="23">
        <f t="shared" ca="1" si="8"/>
        <v>200</v>
      </c>
      <c r="R531" s="23">
        <f>IF(表1_11[[#This Row],[中心]]="营销中心",VLOOKUP(表1_11[[#This Row],[职位]],表2[[话费补贴]:[营销中心]],2,0),VLOOKUP(表1_11[[#This Row],[职位]],表2[],3,0))</f>
        <v>300</v>
      </c>
      <c r="S531" s="23">
        <v>200</v>
      </c>
      <c r="T531" s="61">
        <f ca="1">ROUND(SUM(表1_11[[#This Row],[基本工资]],表1_11[[#This Row],[奖金]],表1_11[[#This Row],[全勤奖]:[防暑降温补贴]]),2)</f>
        <v>3488.33</v>
      </c>
      <c r="U531" s="62">
        <f ca="1">ROUND(表1_11[[#This Row],[税前应发总额]]*8%,2)</f>
        <v>279.07</v>
      </c>
      <c r="V531" s="62">
        <f ca="1">ROUND(表1_11[[#This Row],[税前应发总额]]*2%+3,2)</f>
        <v>72.77</v>
      </c>
      <c r="W531" s="62">
        <f ca="1">ROUND(表1_11[[#This Row],[税前应发总额]]*0.2%,2)</f>
        <v>6.98</v>
      </c>
      <c r="X531" s="62">
        <f ca="1">ROUND(表1_11[[#This Row],[税前应发总额]]*12%,2)</f>
        <v>418.6</v>
      </c>
      <c r="Y531" s="61">
        <f ca="1">ROUND(表1_11[[#This Row],[税前应发总额]]-SUM(表1_11[[#This Row],[养老保险]:[公积金]]),2)</f>
        <v>2710.91</v>
      </c>
      <c r="Z531" s="62">
        <f ca="1">ROUND(MAX((表1_11[[#This Row],[扣保险后工资金额]]-3500)*{3,10,20,25,30,35,45}%-{0,105,555,1005,2755,5505,13505},0),2)</f>
        <v>0</v>
      </c>
      <c r="AA531" s="63">
        <f ca="1">表1_11[[#This Row],[扣保险后工资金额]]-表1_11[[#This Row],[个人所得税]]</f>
        <v>2710.91</v>
      </c>
      <c r="AB531" s="53">
        <v>3003.89</v>
      </c>
      <c r="AC531" s="64">
        <f ca="1">(表1_11[[#This Row],[实发工资]]-表1_11[[#This Row],[上月对比]])/表1_11[[#This Row],[上月对比]]</f>
        <v>-9.753353152079472E-2</v>
      </c>
      <c r="AD531" s="65" t="s">
        <v>1587</v>
      </c>
    </row>
    <row r="532" spans="1:30">
      <c r="A532" s="42" t="s">
        <v>857</v>
      </c>
      <c r="B532" s="40" t="s">
        <v>861</v>
      </c>
      <c r="C532" s="40" t="s">
        <v>818</v>
      </c>
      <c r="D532" s="40" t="s">
        <v>880</v>
      </c>
      <c r="E532" s="41" t="s">
        <v>1542</v>
      </c>
      <c r="F532" s="5" t="s">
        <v>526</v>
      </c>
      <c r="G532" s="25">
        <v>39238</v>
      </c>
      <c r="H532" s="5" t="s">
        <v>615</v>
      </c>
      <c r="I532" s="5">
        <f>VLOOKUP(MID(表1_11[[#This Row],[工资等级]],1,1),表12[],MATCH(MID(表1_11[[#This Row],[工资等级]],2,2),表12[[#Headers],[1]:[10]],0)+1,0)</f>
        <v>3200</v>
      </c>
      <c r="J532" s="5">
        <v>26</v>
      </c>
      <c r="K532" s="27">
        <v>1.0833333333333333</v>
      </c>
      <c r="L532" s="37">
        <f>IF(表1_11[[#This Row],[出勤率]]&gt;1,1,表1_11[[#This Row],[出勤率]])*表1_11[[#This Row],[岗位工资]]</f>
        <v>3200</v>
      </c>
      <c r="M532" s="5">
        <f>LOOKUP(表1_11[[#This Row],[岗位工资]],表13[lookup],表13[奖金比率])*表1_11[[#This Row],[岗位工资]]</f>
        <v>320</v>
      </c>
      <c r="N532" s="5">
        <v>90</v>
      </c>
      <c r="O532" s="38">
        <f>表1_11[[#This Row],[奖金等级]]*表1_11[[#This Row],[绩效得分]]/100</f>
        <v>288</v>
      </c>
      <c r="P532" s="5">
        <f>IF(表1_11[[#This Row],[出勤率]]&gt;=1,200,0)</f>
        <v>200</v>
      </c>
      <c r="Q532" s="23">
        <f t="shared" ca="1" si="8"/>
        <v>500</v>
      </c>
      <c r="R532" s="23">
        <f>IF(表1_11[[#This Row],[中心]]="营销中心",VLOOKUP(表1_11[[#This Row],[职位]],表2[[话费补贴]:[营销中心]],2,0),VLOOKUP(表1_11[[#This Row],[职位]],表2[],3,0))</f>
        <v>300</v>
      </c>
      <c r="S532" s="23">
        <v>200</v>
      </c>
      <c r="T532" s="61">
        <f ca="1">ROUND(SUM(表1_11[[#This Row],[基本工资]],表1_11[[#This Row],[奖金]],表1_11[[#This Row],[全勤奖]:[防暑降温补贴]]),2)</f>
        <v>4688</v>
      </c>
      <c r="U532" s="62">
        <f ca="1">ROUND(表1_11[[#This Row],[税前应发总额]]*8%,2)</f>
        <v>375.04</v>
      </c>
      <c r="V532" s="62">
        <f ca="1">ROUND(表1_11[[#This Row],[税前应发总额]]*2%+3,2)</f>
        <v>96.76</v>
      </c>
      <c r="W532" s="62">
        <f ca="1">ROUND(表1_11[[#This Row],[税前应发总额]]*0.2%,2)</f>
        <v>9.3800000000000008</v>
      </c>
      <c r="X532" s="62">
        <f ca="1">ROUND(表1_11[[#This Row],[税前应发总额]]*12%,2)</f>
        <v>562.55999999999995</v>
      </c>
      <c r="Y532" s="61">
        <f ca="1">ROUND(表1_11[[#This Row],[税前应发总额]]-SUM(表1_11[[#This Row],[养老保险]:[公积金]]),2)</f>
        <v>3644.26</v>
      </c>
      <c r="Z532" s="62">
        <f ca="1">ROUND(MAX((表1_11[[#This Row],[扣保险后工资金额]]-3500)*{3,10,20,25,30,35,45}%-{0,105,555,1005,2755,5505,13505},0),2)</f>
        <v>4.33</v>
      </c>
      <c r="AA532" s="63">
        <f ca="1">表1_11[[#This Row],[扣保险后工资金额]]-表1_11[[#This Row],[个人所得税]]</f>
        <v>3639.9300000000003</v>
      </c>
      <c r="AB532" s="53">
        <v>3902.71</v>
      </c>
      <c r="AC532" s="64">
        <f ca="1">(表1_11[[#This Row],[实发工资]]-表1_11[[#This Row],[上月对比]])/表1_11[[#This Row],[上月对比]]</f>
        <v>-6.7332699585672451E-2</v>
      </c>
      <c r="AD532" s="65" t="s">
        <v>1587</v>
      </c>
    </row>
    <row r="533" spans="1:30">
      <c r="A533" s="42" t="s">
        <v>857</v>
      </c>
      <c r="B533" s="40" t="s">
        <v>864</v>
      </c>
      <c r="C533" s="40" t="s">
        <v>793</v>
      </c>
      <c r="D533" s="40" t="s">
        <v>881</v>
      </c>
      <c r="E533" s="41" t="s">
        <v>1543</v>
      </c>
      <c r="F533" s="5" t="s">
        <v>527</v>
      </c>
      <c r="G533" s="25">
        <v>39549</v>
      </c>
      <c r="H533" s="5" t="s">
        <v>622</v>
      </c>
      <c r="I533" s="5">
        <f>VLOOKUP(MID(表1_11[[#This Row],[工资等级]],1,1),表12[],MATCH(MID(表1_11[[#This Row],[工资等级]],2,2),表12[[#Headers],[1]:[10]],0)+1,0)</f>
        <v>3600</v>
      </c>
      <c r="J533" s="5">
        <v>23.5</v>
      </c>
      <c r="K533" s="27">
        <v>0.97916666666666663</v>
      </c>
      <c r="L533" s="37">
        <f>IF(表1_11[[#This Row],[出勤率]]&gt;1,1,表1_11[[#This Row],[出勤率]])*表1_11[[#This Row],[岗位工资]]</f>
        <v>3525</v>
      </c>
      <c r="M533" s="5">
        <f>LOOKUP(表1_11[[#This Row],[岗位工资]],表13[lookup],表13[奖金比率])*表1_11[[#This Row],[岗位工资]]</f>
        <v>360</v>
      </c>
      <c r="N533" s="5">
        <v>92</v>
      </c>
      <c r="O533" s="38">
        <f>表1_11[[#This Row],[奖金等级]]*表1_11[[#This Row],[绩效得分]]/100</f>
        <v>331.2</v>
      </c>
      <c r="P533" s="5">
        <f>IF(表1_11[[#This Row],[出勤率]]&gt;=1,200,0)</f>
        <v>0</v>
      </c>
      <c r="Q533" s="23">
        <f t="shared" ca="1" si="8"/>
        <v>450</v>
      </c>
      <c r="R533" s="23">
        <f>IF(表1_11[[#This Row],[中心]]="营销中心",VLOOKUP(表1_11[[#This Row],[职位]],表2[[话费补贴]:[营销中心]],2,0),VLOOKUP(表1_11[[#This Row],[职位]],表2[],3,0))</f>
        <v>300</v>
      </c>
      <c r="S533" s="23">
        <v>200</v>
      </c>
      <c r="T533" s="61">
        <f ca="1">ROUND(SUM(表1_11[[#This Row],[基本工资]],表1_11[[#This Row],[奖金]],表1_11[[#This Row],[全勤奖]:[防暑降温补贴]]),2)</f>
        <v>4806.2</v>
      </c>
      <c r="U533" s="62">
        <f ca="1">ROUND(表1_11[[#This Row],[税前应发总额]]*8%,2)</f>
        <v>384.5</v>
      </c>
      <c r="V533" s="62">
        <f ca="1">ROUND(表1_11[[#This Row],[税前应发总额]]*2%+3,2)</f>
        <v>99.12</v>
      </c>
      <c r="W533" s="62">
        <f ca="1">ROUND(表1_11[[#This Row],[税前应发总额]]*0.2%,2)</f>
        <v>9.61</v>
      </c>
      <c r="X533" s="62">
        <f ca="1">ROUND(表1_11[[#This Row],[税前应发总额]]*12%,2)</f>
        <v>576.74</v>
      </c>
      <c r="Y533" s="61">
        <f ca="1">ROUND(表1_11[[#This Row],[税前应发总额]]-SUM(表1_11[[#This Row],[养老保险]:[公积金]]),2)</f>
        <v>3736.23</v>
      </c>
      <c r="Z533" s="62">
        <f ca="1">ROUND(MAX((表1_11[[#This Row],[扣保险后工资金额]]-3500)*{3,10,20,25,30,35,45}%-{0,105,555,1005,2755,5505,13505},0),2)</f>
        <v>7.09</v>
      </c>
      <c r="AA533" s="63">
        <f ca="1">表1_11[[#This Row],[扣保险后工资金额]]-表1_11[[#This Row],[个人所得税]]</f>
        <v>3729.14</v>
      </c>
      <c r="AB533" s="53">
        <v>4374.74</v>
      </c>
      <c r="AC533" s="64">
        <f ca="1">(表1_11[[#This Row],[实发工资]]-表1_11[[#This Row],[上月对比]])/表1_11[[#This Row],[上月对比]]</f>
        <v>-0.14757448442650306</v>
      </c>
      <c r="AD533" s="65" t="s">
        <v>1587</v>
      </c>
    </row>
    <row r="534" spans="1:30">
      <c r="A534" s="42" t="s">
        <v>857</v>
      </c>
      <c r="B534" s="40" t="s">
        <v>866</v>
      </c>
      <c r="C534" s="40" t="s">
        <v>655</v>
      </c>
      <c r="D534" s="40" t="s">
        <v>882</v>
      </c>
      <c r="E534" s="41" t="s">
        <v>1544</v>
      </c>
      <c r="F534" s="5" t="s">
        <v>528</v>
      </c>
      <c r="G534" s="25">
        <v>41626</v>
      </c>
      <c r="H534" s="5" t="s">
        <v>617</v>
      </c>
      <c r="I534" s="5">
        <f>VLOOKUP(MID(表1_11[[#This Row],[工资等级]],1,1),表12[],MATCH(MID(表1_11[[#This Row],[工资等级]],2,2),表12[[#Headers],[1]:[10]],0)+1,0)</f>
        <v>2500</v>
      </c>
      <c r="J534" s="5">
        <v>25</v>
      </c>
      <c r="K534" s="27">
        <v>1.0416666666666667</v>
      </c>
      <c r="L534" s="37">
        <f>IF(表1_11[[#This Row],[出勤率]]&gt;1,1,表1_11[[#This Row],[出勤率]])*表1_11[[#This Row],[岗位工资]]</f>
        <v>2500</v>
      </c>
      <c r="M534" s="5">
        <f>LOOKUP(表1_11[[#This Row],[岗位工资]],表13[lookup],表13[奖金比率])*表1_11[[#This Row],[岗位工资]]</f>
        <v>250</v>
      </c>
      <c r="N534" s="5">
        <v>88</v>
      </c>
      <c r="O534" s="38">
        <f>表1_11[[#This Row],[奖金等级]]*表1_11[[#This Row],[绩效得分]]/100</f>
        <v>220</v>
      </c>
      <c r="P534" s="5">
        <f>IF(表1_11[[#This Row],[出勤率]]&gt;=1,200,0)</f>
        <v>200</v>
      </c>
      <c r="Q534" s="23">
        <f t="shared" ca="1" si="8"/>
        <v>200</v>
      </c>
      <c r="R534" s="23">
        <f>IF(表1_11[[#This Row],[中心]]="营销中心",VLOOKUP(表1_11[[#This Row],[职位]],表2[[话费补贴]:[营销中心]],2,0),VLOOKUP(表1_11[[#This Row],[职位]],表2[],3,0))</f>
        <v>300</v>
      </c>
      <c r="S534" s="23">
        <v>200</v>
      </c>
      <c r="T534" s="61">
        <f ca="1">ROUND(SUM(表1_11[[#This Row],[基本工资]],表1_11[[#This Row],[奖金]],表1_11[[#This Row],[全勤奖]:[防暑降温补贴]]),2)</f>
        <v>3620</v>
      </c>
      <c r="U534" s="62">
        <f ca="1">ROUND(表1_11[[#This Row],[税前应发总额]]*8%,2)</f>
        <v>289.60000000000002</v>
      </c>
      <c r="V534" s="62">
        <f ca="1">ROUND(表1_11[[#This Row],[税前应发总额]]*2%+3,2)</f>
        <v>75.400000000000006</v>
      </c>
      <c r="W534" s="62">
        <f ca="1">ROUND(表1_11[[#This Row],[税前应发总额]]*0.2%,2)</f>
        <v>7.24</v>
      </c>
      <c r="X534" s="62">
        <f ca="1">ROUND(表1_11[[#This Row],[税前应发总额]]*12%,2)</f>
        <v>434.4</v>
      </c>
      <c r="Y534" s="61">
        <f ca="1">ROUND(表1_11[[#This Row],[税前应发总额]]-SUM(表1_11[[#This Row],[养老保险]:[公积金]]),2)</f>
        <v>2813.36</v>
      </c>
      <c r="Z534" s="62">
        <f ca="1">ROUND(MAX((表1_11[[#This Row],[扣保险后工资金额]]-3500)*{3,10,20,25,30,35,45}%-{0,105,555,1005,2755,5505,13505},0),2)</f>
        <v>0</v>
      </c>
      <c r="AA534" s="63">
        <f ca="1">表1_11[[#This Row],[扣保险后工资金额]]-表1_11[[#This Row],[个人所得税]]</f>
        <v>2813.36</v>
      </c>
      <c r="AB534" s="53">
        <v>2396.0700000000002</v>
      </c>
      <c r="AC534" s="64">
        <f ca="1">(表1_11[[#This Row],[实发工资]]-表1_11[[#This Row],[上月对比]])/表1_11[[#This Row],[上月对比]]</f>
        <v>0.17415601380594053</v>
      </c>
      <c r="AD534" s="65" t="s">
        <v>1587</v>
      </c>
    </row>
    <row r="535" spans="1:30">
      <c r="A535" s="42" t="s">
        <v>857</v>
      </c>
      <c r="B535" s="40" t="s">
        <v>876</v>
      </c>
      <c r="C535" s="40" t="s">
        <v>691</v>
      </c>
      <c r="D535" s="40" t="s">
        <v>877</v>
      </c>
      <c r="E535" s="41" t="s">
        <v>1545</v>
      </c>
      <c r="F535" s="5" t="s">
        <v>529</v>
      </c>
      <c r="G535" s="25">
        <v>39837</v>
      </c>
      <c r="H535" s="5" t="s">
        <v>622</v>
      </c>
      <c r="I535" s="5">
        <f>VLOOKUP(MID(表1_11[[#This Row],[工资等级]],1,1),表12[],MATCH(MID(表1_11[[#This Row],[工资等级]],2,2),表12[[#Headers],[1]:[10]],0)+1,0)</f>
        <v>3600</v>
      </c>
      <c r="J535" s="5">
        <v>27</v>
      </c>
      <c r="K535" s="27">
        <v>1.125</v>
      </c>
      <c r="L535" s="37">
        <f>IF(表1_11[[#This Row],[出勤率]]&gt;1,1,表1_11[[#This Row],[出勤率]])*表1_11[[#This Row],[岗位工资]]</f>
        <v>3600</v>
      </c>
      <c r="M535" s="5">
        <f>LOOKUP(表1_11[[#This Row],[岗位工资]],表13[lookup],表13[奖金比率])*表1_11[[#This Row],[岗位工资]]</f>
        <v>360</v>
      </c>
      <c r="N535" s="5">
        <v>81</v>
      </c>
      <c r="O535" s="38">
        <f>表1_11[[#This Row],[奖金等级]]*表1_11[[#This Row],[绩效得分]]/100</f>
        <v>291.60000000000002</v>
      </c>
      <c r="P535" s="5">
        <f>IF(表1_11[[#This Row],[出勤率]]&gt;=1,200,0)</f>
        <v>200</v>
      </c>
      <c r="Q535" s="23">
        <f t="shared" ca="1" si="8"/>
        <v>450</v>
      </c>
      <c r="R535" s="23">
        <f>IF(表1_11[[#This Row],[中心]]="营销中心",VLOOKUP(表1_11[[#This Row],[职位]],表2[[话费补贴]:[营销中心]],2,0),VLOOKUP(表1_11[[#This Row],[职位]],表2[],3,0))</f>
        <v>300</v>
      </c>
      <c r="S535" s="23">
        <v>200</v>
      </c>
      <c r="T535" s="61">
        <f ca="1">ROUND(SUM(表1_11[[#This Row],[基本工资]],表1_11[[#This Row],[奖金]],表1_11[[#This Row],[全勤奖]:[防暑降温补贴]]),2)</f>
        <v>5041.6000000000004</v>
      </c>
      <c r="U535" s="62">
        <f ca="1">ROUND(表1_11[[#This Row],[税前应发总额]]*8%,2)</f>
        <v>403.33</v>
      </c>
      <c r="V535" s="62">
        <f ca="1">ROUND(表1_11[[#This Row],[税前应发总额]]*2%+3,2)</f>
        <v>103.83</v>
      </c>
      <c r="W535" s="62">
        <f ca="1">ROUND(表1_11[[#This Row],[税前应发总额]]*0.2%,2)</f>
        <v>10.08</v>
      </c>
      <c r="X535" s="62">
        <f ca="1">ROUND(表1_11[[#This Row],[税前应发总额]]*12%,2)</f>
        <v>604.99</v>
      </c>
      <c r="Y535" s="61">
        <f ca="1">ROUND(表1_11[[#This Row],[税前应发总额]]-SUM(表1_11[[#This Row],[养老保险]:[公积金]]),2)</f>
        <v>3919.37</v>
      </c>
      <c r="Z535" s="62">
        <f ca="1">ROUND(MAX((表1_11[[#This Row],[扣保险后工资金额]]-3500)*{3,10,20,25,30,35,45}%-{0,105,555,1005,2755,5505,13505},0),2)</f>
        <v>12.58</v>
      </c>
      <c r="AA535" s="63">
        <f ca="1">表1_11[[#This Row],[扣保险后工资金额]]-表1_11[[#This Row],[个人所得税]]</f>
        <v>3906.79</v>
      </c>
      <c r="AB535" s="53">
        <v>3597.03</v>
      </c>
      <c r="AC535" s="64">
        <f ca="1">(表1_11[[#This Row],[实发工资]]-表1_11[[#This Row],[上月对比]])/表1_11[[#This Row],[上月对比]]</f>
        <v>8.6115489723466235E-2</v>
      </c>
      <c r="AD535" s="65" t="s">
        <v>1587</v>
      </c>
    </row>
    <row r="536" spans="1:30">
      <c r="A536" s="42" t="s">
        <v>857</v>
      </c>
      <c r="B536" s="40" t="s">
        <v>883</v>
      </c>
      <c r="C536" s="40" t="s">
        <v>711</v>
      </c>
      <c r="D536" s="40" t="s">
        <v>884</v>
      </c>
      <c r="E536" s="41" t="s">
        <v>1546</v>
      </c>
      <c r="F536" s="5" t="s">
        <v>530</v>
      </c>
      <c r="G536" s="25">
        <v>41993</v>
      </c>
      <c r="H536" s="5" t="s">
        <v>618</v>
      </c>
      <c r="I536" s="5">
        <f>VLOOKUP(MID(表1_11[[#This Row],[工资等级]],1,1),表12[],MATCH(MID(表1_11[[#This Row],[工资等级]],2,2),表12[[#Headers],[1]:[10]],0)+1,0)</f>
        <v>3000</v>
      </c>
      <c r="J536" s="5">
        <v>27</v>
      </c>
      <c r="K536" s="27">
        <v>1.125</v>
      </c>
      <c r="L536" s="37">
        <f>IF(表1_11[[#This Row],[出勤率]]&gt;1,1,表1_11[[#This Row],[出勤率]])*表1_11[[#This Row],[岗位工资]]</f>
        <v>3000</v>
      </c>
      <c r="M536" s="5">
        <f>LOOKUP(表1_11[[#This Row],[岗位工资]],表13[lookup],表13[奖金比率])*表1_11[[#This Row],[岗位工资]]</f>
        <v>300</v>
      </c>
      <c r="N536" s="5">
        <v>90</v>
      </c>
      <c r="O536" s="38">
        <f>表1_11[[#This Row],[奖金等级]]*表1_11[[#This Row],[绩效得分]]/100</f>
        <v>270</v>
      </c>
      <c r="P536" s="5">
        <f>IF(表1_11[[#This Row],[出勤率]]&gt;=1,200,0)</f>
        <v>200</v>
      </c>
      <c r="Q536" s="23">
        <f t="shared" ca="1" si="8"/>
        <v>150</v>
      </c>
      <c r="R536" s="23">
        <f>IF(表1_11[[#This Row],[中心]]="营销中心",VLOOKUP(表1_11[[#This Row],[职位]],表2[[话费补贴]:[营销中心]],2,0),VLOOKUP(表1_11[[#This Row],[职位]],表2[],3,0))</f>
        <v>300</v>
      </c>
      <c r="S536" s="23">
        <v>200</v>
      </c>
      <c r="T536" s="61">
        <f ca="1">ROUND(SUM(表1_11[[#This Row],[基本工资]],表1_11[[#This Row],[奖金]],表1_11[[#This Row],[全勤奖]:[防暑降温补贴]]),2)</f>
        <v>4120</v>
      </c>
      <c r="U536" s="62">
        <f ca="1">ROUND(表1_11[[#This Row],[税前应发总额]]*8%,2)</f>
        <v>329.6</v>
      </c>
      <c r="V536" s="62">
        <f ca="1">ROUND(表1_11[[#This Row],[税前应发总额]]*2%+3,2)</f>
        <v>85.4</v>
      </c>
      <c r="W536" s="62">
        <f ca="1">ROUND(表1_11[[#This Row],[税前应发总额]]*0.2%,2)</f>
        <v>8.24</v>
      </c>
      <c r="X536" s="62">
        <f ca="1">ROUND(表1_11[[#This Row],[税前应发总额]]*12%,2)</f>
        <v>494.4</v>
      </c>
      <c r="Y536" s="61">
        <f ca="1">ROUND(表1_11[[#This Row],[税前应发总额]]-SUM(表1_11[[#This Row],[养老保险]:[公积金]]),2)</f>
        <v>3202.36</v>
      </c>
      <c r="Z536" s="62">
        <f ca="1">ROUND(MAX((表1_11[[#This Row],[扣保险后工资金额]]-3500)*{3,10,20,25,30,35,45}%-{0,105,555,1005,2755,5505,13505},0),2)</f>
        <v>0</v>
      </c>
      <c r="AA536" s="63">
        <f ca="1">表1_11[[#This Row],[扣保险后工资金额]]-表1_11[[#This Row],[个人所得税]]</f>
        <v>3202.36</v>
      </c>
      <c r="AB536" s="53">
        <v>3408.98</v>
      </c>
      <c r="AC536" s="64">
        <f ca="1">(表1_11[[#This Row],[实发工资]]-表1_11[[#This Row],[上月对比]])/表1_11[[#This Row],[上月对比]]</f>
        <v>-6.0610505195102318E-2</v>
      </c>
      <c r="AD536" s="65" t="s">
        <v>1587</v>
      </c>
    </row>
    <row r="537" spans="1:30">
      <c r="A537" s="42" t="s">
        <v>857</v>
      </c>
      <c r="B537" s="40" t="s">
        <v>866</v>
      </c>
      <c r="C537" s="40" t="s">
        <v>655</v>
      </c>
      <c r="D537" s="40" t="s">
        <v>882</v>
      </c>
      <c r="E537" s="41" t="s">
        <v>1547</v>
      </c>
      <c r="F537" s="5" t="s">
        <v>531</v>
      </c>
      <c r="G537" s="25">
        <v>39882</v>
      </c>
      <c r="H537" s="5" t="s">
        <v>610</v>
      </c>
      <c r="I537" s="5">
        <f>VLOOKUP(MID(表1_11[[#This Row],[工资等级]],1,1),表12[],MATCH(MID(表1_11[[#This Row],[工资等级]],2,2),表12[[#Headers],[1]:[10]],0)+1,0)</f>
        <v>3400</v>
      </c>
      <c r="J537" s="5">
        <v>26</v>
      </c>
      <c r="K537" s="27">
        <v>1.0833333333333333</v>
      </c>
      <c r="L537" s="37">
        <f>IF(表1_11[[#This Row],[出勤率]]&gt;1,1,表1_11[[#This Row],[出勤率]])*表1_11[[#This Row],[岗位工资]]</f>
        <v>3400</v>
      </c>
      <c r="M537" s="5">
        <f>LOOKUP(表1_11[[#This Row],[岗位工资]],表13[lookup],表13[奖金比率])*表1_11[[#This Row],[岗位工资]]</f>
        <v>340</v>
      </c>
      <c r="N537" s="5">
        <v>79</v>
      </c>
      <c r="O537" s="38">
        <f>表1_11[[#This Row],[奖金等级]]*表1_11[[#This Row],[绩效得分]]/100</f>
        <v>268.60000000000002</v>
      </c>
      <c r="P537" s="5">
        <f>IF(表1_11[[#This Row],[出勤率]]&gt;=1,200,0)</f>
        <v>200</v>
      </c>
      <c r="Q537" s="23">
        <f t="shared" ca="1" si="8"/>
        <v>400</v>
      </c>
      <c r="R537" s="23">
        <f>IF(表1_11[[#This Row],[中心]]="营销中心",VLOOKUP(表1_11[[#This Row],[职位]],表2[[话费补贴]:[营销中心]],2,0),VLOOKUP(表1_11[[#This Row],[职位]],表2[],3,0))</f>
        <v>300</v>
      </c>
      <c r="S537" s="23">
        <v>200</v>
      </c>
      <c r="T537" s="61">
        <f ca="1">ROUND(SUM(表1_11[[#This Row],[基本工资]],表1_11[[#This Row],[奖金]],表1_11[[#This Row],[全勤奖]:[防暑降温补贴]]),2)</f>
        <v>4768.6000000000004</v>
      </c>
      <c r="U537" s="62">
        <f ca="1">ROUND(表1_11[[#This Row],[税前应发总额]]*8%,2)</f>
        <v>381.49</v>
      </c>
      <c r="V537" s="62">
        <f ca="1">ROUND(表1_11[[#This Row],[税前应发总额]]*2%+3,2)</f>
        <v>98.37</v>
      </c>
      <c r="W537" s="62">
        <f ca="1">ROUND(表1_11[[#This Row],[税前应发总额]]*0.2%,2)</f>
        <v>9.5399999999999991</v>
      </c>
      <c r="X537" s="62">
        <f ca="1">ROUND(表1_11[[#This Row],[税前应发总额]]*12%,2)</f>
        <v>572.23</v>
      </c>
      <c r="Y537" s="61">
        <f ca="1">ROUND(表1_11[[#This Row],[税前应发总额]]-SUM(表1_11[[#This Row],[养老保险]:[公积金]]),2)</f>
        <v>3706.97</v>
      </c>
      <c r="Z537" s="62">
        <f ca="1">ROUND(MAX((表1_11[[#This Row],[扣保险后工资金额]]-3500)*{3,10,20,25,30,35,45}%-{0,105,555,1005,2755,5505,13505},0),2)</f>
        <v>6.21</v>
      </c>
      <c r="AA537" s="63">
        <f ca="1">表1_11[[#This Row],[扣保险后工资金额]]-表1_11[[#This Row],[个人所得税]]</f>
        <v>3700.7599999999998</v>
      </c>
      <c r="AB537" s="53">
        <v>3189.27</v>
      </c>
      <c r="AC537" s="64">
        <f ca="1">(表1_11[[#This Row],[实发工资]]-表1_11[[#This Row],[上月对比]])/表1_11[[#This Row],[上月对比]]</f>
        <v>0.16037839380171631</v>
      </c>
      <c r="AD537" s="65" t="s">
        <v>1587</v>
      </c>
    </row>
    <row r="538" spans="1:30">
      <c r="A538" s="42" t="s">
        <v>857</v>
      </c>
      <c r="B538" s="40" t="s">
        <v>885</v>
      </c>
      <c r="C538" s="40" t="s">
        <v>886</v>
      </c>
      <c r="D538" s="40" t="s">
        <v>887</v>
      </c>
      <c r="E538" s="41" t="s">
        <v>1548</v>
      </c>
      <c r="F538" s="5" t="s">
        <v>532</v>
      </c>
      <c r="G538" s="25">
        <v>38857</v>
      </c>
      <c r="H538" s="5" t="s">
        <v>610</v>
      </c>
      <c r="I538" s="5">
        <f>VLOOKUP(MID(表1_11[[#This Row],[工资等级]],1,1),表12[],MATCH(MID(表1_11[[#This Row],[工资等级]],2,2),表12[[#Headers],[1]:[10]],0)+1,0)</f>
        <v>3400</v>
      </c>
      <c r="J538" s="5">
        <v>24.5</v>
      </c>
      <c r="K538" s="27">
        <v>1.0208333333333333</v>
      </c>
      <c r="L538" s="37">
        <f>IF(表1_11[[#This Row],[出勤率]]&gt;1,1,表1_11[[#This Row],[出勤率]])*表1_11[[#This Row],[岗位工资]]</f>
        <v>3400</v>
      </c>
      <c r="M538" s="5">
        <f>LOOKUP(表1_11[[#This Row],[岗位工资]],表13[lookup],表13[奖金比率])*表1_11[[#This Row],[岗位工资]]</f>
        <v>340</v>
      </c>
      <c r="N538" s="5">
        <v>81</v>
      </c>
      <c r="O538" s="38">
        <f>表1_11[[#This Row],[奖金等级]]*表1_11[[#This Row],[绩效得分]]/100</f>
        <v>275.39999999999998</v>
      </c>
      <c r="P538" s="5">
        <f>IF(表1_11[[#This Row],[出勤率]]&gt;=1,200,0)</f>
        <v>200</v>
      </c>
      <c r="Q538" s="23">
        <f t="shared" ca="1" si="8"/>
        <v>500</v>
      </c>
      <c r="R538" s="23">
        <f>IF(表1_11[[#This Row],[中心]]="营销中心",VLOOKUP(表1_11[[#This Row],[职位]],表2[[话费补贴]:[营销中心]],2,0),VLOOKUP(表1_11[[#This Row],[职位]],表2[],3,0))</f>
        <v>300</v>
      </c>
      <c r="S538" s="23">
        <v>200</v>
      </c>
      <c r="T538" s="61">
        <f ca="1">ROUND(SUM(表1_11[[#This Row],[基本工资]],表1_11[[#This Row],[奖金]],表1_11[[#This Row],[全勤奖]:[防暑降温补贴]]),2)</f>
        <v>4875.3999999999996</v>
      </c>
      <c r="U538" s="62">
        <f ca="1">ROUND(表1_11[[#This Row],[税前应发总额]]*8%,2)</f>
        <v>390.03</v>
      </c>
      <c r="V538" s="62">
        <f ca="1">ROUND(表1_11[[#This Row],[税前应发总额]]*2%+3,2)</f>
        <v>100.51</v>
      </c>
      <c r="W538" s="62">
        <f ca="1">ROUND(表1_11[[#This Row],[税前应发总额]]*0.2%,2)</f>
        <v>9.75</v>
      </c>
      <c r="X538" s="62">
        <f ca="1">ROUND(表1_11[[#This Row],[税前应发总额]]*12%,2)</f>
        <v>585.04999999999995</v>
      </c>
      <c r="Y538" s="61">
        <f ca="1">ROUND(表1_11[[#This Row],[税前应发总额]]-SUM(表1_11[[#This Row],[养老保险]:[公积金]]),2)</f>
        <v>3790.06</v>
      </c>
      <c r="Z538" s="62">
        <f ca="1">ROUND(MAX((表1_11[[#This Row],[扣保险后工资金额]]-3500)*{3,10,20,25,30,35,45}%-{0,105,555,1005,2755,5505,13505},0),2)</f>
        <v>8.6999999999999993</v>
      </c>
      <c r="AA538" s="63">
        <f ca="1">表1_11[[#This Row],[扣保险后工资金额]]-表1_11[[#This Row],[个人所得税]]</f>
        <v>3781.36</v>
      </c>
      <c r="AB538" s="53">
        <v>4516.51</v>
      </c>
      <c r="AC538" s="64">
        <f ca="1">(表1_11[[#This Row],[实发工资]]-表1_11[[#This Row],[上月对比]])/表1_11[[#This Row],[上月对比]]</f>
        <v>-0.16276948351714046</v>
      </c>
      <c r="AD538" s="65" t="s">
        <v>1587</v>
      </c>
    </row>
    <row r="539" spans="1:30">
      <c r="A539" s="42" t="s">
        <v>857</v>
      </c>
      <c r="B539" s="40" t="s">
        <v>883</v>
      </c>
      <c r="C539" s="40" t="s">
        <v>711</v>
      </c>
      <c r="D539" s="40" t="s">
        <v>884</v>
      </c>
      <c r="E539" s="41" t="s">
        <v>1549</v>
      </c>
      <c r="F539" s="5" t="s">
        <v>284</v>
      </c>
      <c r="G539" s="25">
        <v>39437</v>
      </c>
      <c r="H539" s="5" t="s">
        <v>657</v>
      </c>
      <c r="I539" s="5">
        <f>VLOOKUP(MID(表1_11[[#This Row],[工资等级]],1,1),表12[],MATCH(MID(表1_11[[#This Row],[工资等级]],2,2),表12[[#Headers],[1]:[10]],0)+1,0)</f>
        <v>4000</v>
      </c>
      <c r="J539" s="5">
        <v>23</v>
      </c>
      <c r="K539" s="27">
        <v>0.95833333333333337</v>
      </c>
      <c r="L539" s="37">
        <f>IF(表1_11[[#This Row],[出勤率]]&gt;1,1,表1_11[[#This Row],[出勤率]])*表1_11[[#This Row],[岗位工资]]</f>
        <v>3833.3333333333335</v>
      </c>
      <c r="M539" s="5">
        <f>LOOKUP(表1_11[[#This Row],[岗位工资]],表13[lookup],表13[奖金比率])*表1_11[[#This Row],[岗位工资]]</f>
        <v>600</v>
      </c>
      <c r="N539" s="5">
        <v>91</v>
      </c>
      <c r="O539" s="38">
        <f>表1_11[[#This Row],[奖金等级]]*表1_11[[#This Row],[绩效得分]]/100</f>
        <v>546</v>
      </c>
      <c r="P539" s="5">
        <f>IF(表1_11[[#This Row],[出勤率]]&gt;=1,200,0)</f>
        <v>0</v>
      </c>
      <c r="Q539" s="23">
        <f t="shared" ca="1" si="8"/>
        <v>500</v>
      </c>
      <c r="R539" s="23">
        <f>IF(表1_11[[#This Row],[中心]]="营销中心",VLOOKUP(表1_11[[#This Row],[职位]],表2[[话费补贴]:[营销中心]],2,0),VLOOKUP(表1_11[[#This Row],[职位]],表2[],3,0))</f>
        <v>300</v>
      </c>
      <c r="S539" s="23">
        <v>200</v>
      </c>
      <c r="T539" s="61">
        <f ca="1">ROUND(SUM(表1_11[[#This Row],[基本工资]],表1_11[[#This Row],[奖金]],表1_11[[#This Row],[全勤奖]:[防暑降温补贴]]),2)</f>
        <v>5379.33</v>
      </c>
      <c r="U539" s="62">
        <f ca="1">ROUND(表1_11[[#This Row],[税前应发总额]]*8%,2)</f>
        <v>430.35</v>
      </c>
      <c r="V539" s="62">
        <f ca="1">ROUND(表1_11[[#This Row],[税前应发总额]]*2%+3,2)</f>
        <v>110.59</v>
      </c>
      <c r="W539" s="62">
        <f ca="1">ROUND(表1_11[[#This Row],[税前应发总额]]*0.2%,2)</f>
        <v>10.76</v>
      </c>
      <c r="X539" s="62">
        <f ca="1">ROUND(表1_11[[#This Row],[税前应发总额]]*12%,2)</f>
        <v>645.52</v>
      </c>
      <c r="Y539" s="61">
        <f ca="1">ROUND(表1_11[[#This Row],[税前应发总额]]-SUM(表1_11[[#This Row],[养老保险]:[公积金]]),2)</f>
        <v>4182.1099999999997</v>
      </c>
      <c r="Z539" s="62">
        <f ca="1">ROUND(MAX((表1_11[[#This Row],[扣保险后工资金额]]-3500)*{3,10,20,25,30,35,45}%-{0,105,555,1005,2755,5505,13505},0),2)</f>
        <v>20.46</v>
      </c>
      <c r="AA539" s="63">
        <f ca="1">表1_11[[#This Row],[扣保险后工资金额]]-表1_11[[#This Row],[个人所得税]]</f>
        <v>4161.6499999999996</v>
      </c>
      <c r="AB539" s="53">
        <v>3727.82</v>
      </c>
      <c r="AC539" s="64">
        <f ca="1">(表1_11[[#This Row],[实发工资]]-表1_11[[#This Row],[上月对比]])/表1_11[[#This Row],[上月对比]]</f>
        <v>0.11637632718317929</v>
      </c>
      <c r="AD539" s="65" t="s">
        <v>1587</v>
      </c>
    </row>
    <row r="540" spans="1:30">
      <c r="A540" s="42" t="s">
        <v>857</v>
      </c>
      <c r="B540" s="40" t="s">
        <v>883</v>
      </c>
      <c r="C540" s="40" t="s">
        <v>711</v>
      </c>
      <c r="D540" s="40" t="s">
        <v>884</v>
      </c>
      <c r="E540" s="41" t="s">
        <v>1550</v>
      </c>
      <c r="F540" s="5" t="s">
        <v>533</v>
      </c>
      <c r="G540" s="25">
        <v>40886</v>
      </c>
      <c r="H540" s="5" t="s">
        <v>630</v>
      </c>
      <c r="I540" s="5">
        <f>VLOOKUP(MID(表1_11[[#This Row],[工资等级]],1,1),表12[],MATCH(MID(表1_11[[#This Row],[工资等级]],2,2),表12[[#Headers],[1]:[10]],0)+1,0)</f>
        <v>2600</v>
      </c>
      <c r="J540" s="5">
        <v>26.5</v>
      </c>
      <c r="K540" s="27">
        <v>1.1041666666666667</v>
      </c>
      <c r="L540" s="37">
        <f>IF(表1_11[[#This Row],[出勤率]]&gt;1,1,表1_11[[#This Row],[出勤率]])*表1_11[[#This Row],[岗位工资]]</f>
        <v>2600</v>
      </c>
      <c r="M540" s="5">
        <f>LOOKUP(表1_11[[#This Row],[岗位工资]],表13[lookup],表13[奖金比率])*表1_11[[#This Row],[岗位工资]]</f>
        <v>260</v>
      </c>
      <c r="N540" s="5">
        <v>97</v>
      </c>
      <c r="O540" s="38">
        <f>表1_11[[#This Row],[奖金等级]]*表1_11[[#This Row],[绩效得分]]/100</f>
        <v>252.2</v>
      </c>
      <c r="P540" s="5">
        <f>IF(表1_11[[#This Row],[出勤率]]&gt;=1,200,0)</f>
        <v>200</v>
      </c>
      <c r="Q540" s="23">
        <f t="shared" ca="1" si="8"/>
        <v>300</v>
      </c>
      <c r="R540" s="23">
        <f>IF(表1_11[[#This Row],[中心]]="营销中心",VLOOKUP(表1_11[[#This Row],[职位]],表2[[话费补贴]:[营销中心]],2,0),VLOOKUP(表1_11[[#This Row],[职位]],表2[],3,0))</f>
        <v>300</v>
      </c>
      <c r="S540" s="23">
        <v>200</v>
      </c>
      <c r="T540" s="61">
        <f ca="1">ROUND(SUM(表1_11[[#This Row],[基本工资]],表1_11[[#This Row],[奖金]],表1_11[[#This Row],[全勤奖]:[防暑降温补贴]]),2)</f>
        <v>3852.2</v>
      </c>
      <c r="U540" s="62">
        <f ca="1">ROUND(表1_11[[#This Row],[税前应发总额]]*8%,2)</f>
        <v>308.18</v>
      </c>
      <c r="V540" s="62">
        <f ca="1">ROUND(表1_11[[#This Row],[税前应发总额]]*2%+3,2)</f>
        <v>80.040000000000006</v>
      </c>
      <c r="W540" s="62">
        <f ca="1">ROUND(表1_11[[#This Row],[税前应发总额]]*0.2%,2)</f>
        <v>7.7</v>
      </c>
      <c r="X540" s="62">
        <f ca="1">ROUND(表1_11[[#This Row],[税前应发总额]]*12%,2)</f>
        <v>462.26</v>
      </c>
      <c r="Y540" s="61">
        <f ca="1">ROUND(表1_11[[#This Row],[税前应发总额]]-SUM(表1_11[[#This Row],[养老保险]:[公积金]]),2)</f>
        <v>2994.02</v>
      </c>
      <c r="Z540" s="62">
        <f ca="1">ROUND(MAX((表1_11[[#This Row],[扣保险后工资金额]]-3500)*{3,10,20,25,30,35,45}%-{0,105,555,1005,2755,5505,13505},0),2)</f>
        <v>0</v>
      </c>
      <c r="AA540" s="63">
        <f ca="1">表1_11[[#This Row],[扣保险后工资金额]]-表1_11[[#This Row],[个人所得税]]</f>
        <v>2994.02</v>
      </c>
      <c r="AB540" s="53">
        <v>3133.83</v>
      </c>
      <c r="AC540" s="64">
        <f ca="1">(表1_11[[#This Row],[实发工资]]-表1_11[[#This Row],[上月对比]])/表1_11[[#This Row],[上月对比]]</f>
        <v>-4.4613141108483849E-2</v>
      </c>
      <c r="AD540" s="65" t="s">
        <v>1587</v>
      </c>
    </row>
    <row r="541" spans="1:30">
      <c r="A541" s="42" t="s">
        <v>857</v>
      </c>
      <c r="B541" s="40" t="s">
        <v>883</v>
      </c>
      <c r="C541" s="40" t="s">
        <v>711</v>
      </c>
      <c r="D541" s="40" t="s">
        <v>884</v>
      </c>
      <c r="E541" s="41" t="s">
        <v>1551</v>
      </c>
      <c r="F541" s="5" t="s">
        <v>534</v>
      </c>
      <c r="G541" s="25">
        <v>41452</v>
      </c>
      <c r="H541" s="5" t="s">
        <v>623</v>
      </c>
      <c r="I541" s="5">
        <f>VLOOKUP(MID(表1_11[[#This Row],[工资等级]],1,1),表12[],MATCH(MID(表1_11[[#This Row],[工资等级]],2,2),表12[[#Headers],[1]:[10]],0)+1,0)</f>
        <v>3800</v>
      </c>
      <c r="J541" s="5">
        <v>22.5</v>
      </c>
      <c r="K541" s="27">
        <v>0.9375</v>
      </c>
      <c r="L541" s="37">
        <f>IF(表1_11[[#This Row],[出勤率]]&gt;1,1,表1_11[[#This Row],[出勤率]])*表1_11[[#This Row],[岗位工资]]</f>
        <v>3562.5</v>
      </c>
      <c r="M541" s="5">
        <f>LOOKUP(表1_11[[#This Row],[岗位工资]],表13[lookup],表13[奖金比率])*表1_11[[#This Row],[岗位工资]]</f>
        <v>380</v>
      </c>
      <c r="N541" s="5">
        <v>98</v>
      </c>
      <c r="O541" s="38">
        <f>表1_11[[#This Row],[奖金等级]]*表1_11[[#This Row],[绩效得分]]/100</f>
        <v>372.4</v>
      </c>
      <c r="P541" s="5">
        <f>IF(表1_11[[#This Row],[出勤率]]&gt;=1,200,0)</f>
        <v>0</v>
      </c>
      <c r="Q541" s="23">
        <f t="shared" ca="1" si="8"/>
        <v>200</v>
      </c>
      <c r="R541" s="23">
        <f>IF(表1_11[[#This Row],[中心]]="营销中心",VLOOKUP(表1_11[[#This Row],[职位]],表2[[话费补贴]:[营销中心]],2,0),VLOOKUP(表1_11[[#This Row],[职位]],表2[],3,0))</f>
        <v>300</v>
      </c>
      <c r="S541" s="23">
        <v>200</v>
      </c>
      <c r="T541" s="61">
        <f ca="1">ROUND(SUM(表1_11[[#This Row],[基本工资]],表1_11[[#This Row],[奖金]],表1_11[[#This Row],[全勤奖]:[防暑降温补贴]]),2)</f>
        <v>4634.8999999999996</v>
      </c>
      <c r="U541" s="62">
        <f ca="1">ROUND(表1_11[[#This Row],[税前应发总额]]*8%,2)</f>
        <v>370.79</v>
      </c>
      <c r="V541" s="62">
        <f ca="1">ROUND(表1_11[[#This Row],[税前应发总额]]*2%+3,2)</f>
        <v>95.7</v>
      </c>
      <c r="W541" s="62">
        <f ca="1">ROUND(表1_11[[#This Row],[税前应发总额]]*0.2%,2)</f>
        <v>9.27</v>
      </c>
      <c r="X541" s="62">
        <f ca="1">ROUND(表1_11[[#This Row],[税前应发总额]]*12%,2)</f>
        <v>556.19000000000005</v>
      </c>
      <c r="Y541" s="61">
        <f ca="1">ROUND(表1_11[[#This Row],[税前应发总额]]-SUM(表1_11[[#This Row],[养老保险]:[公积金]]),2)</f>
        <v>3602.95</v>
      </c>
      <c r="Z541" s="62">
        <f ca="1">ROUND(MAX((表1_11[[#This Row],[扣保险后工资金额]]-3500)*{3,10,20,25,30,35,45}%-{0,105,555,1005,2755,5505,13505},0),2)</f>
        <v>3.09</v>
      </c>
      <c r="AA541" s="63">
        <f ca="1">表1_11[[#This Row],[扣保险后工资金额]]-表1_11[[#This Row],[个人所得税]]</f>
        <v>3599.8599999999997</v>
      </c>
      <c r="AB541" s="53">
        <v>3591.96</v>
      </c>
      <c r="AC541" s="64">
        <f ca="1">(表1_11[[#This Row],[实发工资]]-表1_11[[#This Row],[上月对比]])/表1_11[[#This Row],[上月对比]]</f>
        <v>2.1993563402709485E-3</v>
      </c>
      <c r="AD541" s="65" t="s">
        <v>1587</v>
      </c>
    </row>
    <row r="542" spans="1:30">
      <c r="A542" s="42" t="s">
        <v>857</v>
      </c>
      <c r="B542" s="40" t="s">
        <v>883</v>
      </c>
      <c r="C542" s="40" t="s">
        <v>711</v>
      </c>
      <c r="D542" s="40" t="s">
        <v>884</v>
      </c>
      <c r="E542" s="41" t="s">
        <v>1552</v>
      </c>
      <c r="F542" s="5" t="s">
        <v>535</v>
      </c>
      <c r="G542" s="25">
        <v>40059</v>
      </c>
      <c r="H542" s="5" t="s">
        <v>657</v>
      </c>
      <c r="I542" s="5">
        <f>VLOOKUP(MID(表1_11[[#This Row],[工资等级]],1,1),表12[],MATCH(MID(表1_11[[#This Row],[工资等级]],2,2),表12[[#Headers],[1]:[10]],0)+1,0)</f>
        <v>4000</v>
      </c>
      <c r="J542" s="5">
        <v>26</v>
      </c>
      <c r="K542" s="27">
        <v>1.0833333333333333</v>
      </c>
      <c r="L542" s="37">
        <f>IF(表1_11[[#This Row],[出勤率]]&gt;1,1,表1_11[[#This Row],[出勤率]])*表1_11[[#This Row],[岗位工资]]</f>
        <v>4000</v>
      </c>
      <c r="M542" s="5">
        <f>LOOKUP(表1_11[[#This Row],[岗位工资]],表13[lookup],表13[奖金比率])*表1_11[[#This Row],[岗位工资]]</f>
        <v>600</v>
      </c>
      <c r="N542" s="5">
        <v>91</v>
      </c>
      <c r="O542" s="38">
        <f>表1_11[[#This Row],[奖金等级]]*表1_11[[#This Row],[绩效得分]]/100</f>
        <v>546</v>
      </c>
      <c r="P542" s="5">
        <f>IF(表1_11[[#This Row],[出勤率]]&gt;=1,200,0)</f>
        <v>200</v>
      </c>
      <c r="Q542" s="23">
        <f t="shared" ca="1" si="8"/>
        <v>400</v>
      </c>
      <c r="R542" s="23">
        <f>IF(表1_11[[#This Row],[中心]]="营销中心",VLOOKUP(表1_11[[#This Row],[职位]],表2[[话费补贴]:[营销中心]],2,0),VLOOKUP(表1_11[[#This Row],[职位]],表2[],3,0))</f>
        <v>300</v>
      </c>
      <c r="S542" s="23">
        <v>200</v>
      </c>
      <c r="T542" s="61">
        <f ca="1">ROUND(SUM(表1_11[[#This Row],[基本工资]],表1_11[[#This Row],[奖金]],表1_11[[#This Row],[全勤奖]:[防暑降温补贴]]),2)</f>
        <v>5646</v>
      </c>
      <c r="U542" s="62">
        <f ca="1">ROUND(表1_11[[#This Row],[税前应发总额]]*8%,2)</f>
        <v>451.68</v>
      </c>
      <c r="V542" s="62">
        <f ca="1">ROUND(表1_11[[#This Row],[税前应发总额]]*2%+3,2)</f>
        <v>115.92</v>
      </c>
      <c r="W542" s="62">
        <f ca="1">ROUND(表1_11[[#This Row],[税前应发总额]]*0.2%,2)</f>
        <v>11.29</v>
      </c>
      <c r="X542" s="62">
        <f ca="1">ROUND(表1_11[[#This Row],[税前应发总额]]*12%,2)</f>
        <v>677.52</v>
      </c>
      <c r="Y542" s="61">
        <f ca="1">ROUND(表1_11[[#This Row],[税前应发总额]]-SUM(表1_11[[#This Row],[养老保险]:[公积金]]),2)</f>
        <v>4389.59</v>
      </c>
      <c r="Z542" s="62">
        <f ca="1">ROUND(MAX((表1_11[[#This Row],[扣保险后工资金额]]-3500)*{3,10,20,25,30,35,45}%-{0,105,555,1005,2755,5505,13505},0),2)</f>
        <v>26.69</v>
      </c>
      <c r="AA542" s="63">
        <f ca="1">表1_11[[#This Row],[扣保险后工资金额]]-表1_11[[#This Row],[个人所得税]]</f>
        <v>4362.9000000000005</v>
      </c>
      <c r="AB542" s="53">
        <v>4147.1000000000004</v>
      </c>
      <c r="AC542" s="64">
        <f ca="1">(表1_11[[#This Row],[实发工资]]-表1_11[[#This Row],[上月对比]])/表1_11[[#This Row],[上月对比]]</f>
        <v>5.2036362759518742E-2</v>
      </c>
      <c r="AD542" s="65" t="s">
        <v>1587</v>
      </c>
    </row>
    <row r="543" spans="1:30">
      <c r="A543" s="42" t="s">
        <v>857</v>
      </c>
      <c r="B543" s="40" t="s">
        <v>883</v>
      </c>
      <c r="C543" s="40" t="s">
        <v>711</v>
      </c>
      <c r="D543" s="40" t="s">
        <v>884</v>
      </c>
      <c r="E543" s="41" t="s">
        <v>1553</v>
      </c>
      <c r="F543" s="5" t="s">
        <v>536</v>
      </c>
      <c r="G543" s="25">
        <v>40116</v>
      </c>
      <c r="H543" s="5" t="s">
        <v>624</v>
      </c>
      <c r="I543" s="5">
        <f>VLOOKUP(MID(表1_11[[#This Row],[工资等级]],1,1),表12[],MATCH(MID(表1_11[[#This Row],[工资等级]],2,2),表12[[#Headers],[1]:[10]],0)+1,0)</f>
        <v>2800</v>
      </c>
      <c r="J543" s="5">
        <v>23</v>
      </c>
      <c r="K543" s="27">
        <v>0.95833333333333337</v>
      </c>
      <c r="L543" s="37">
        <f>IF(表1_11[[#This Row],[出勤率]]&gt;1,1,表1_11[[#This Row],[出勤率]])*表1_11[[#This Row],[岗位工资]]</f>
        <v>2683.3333333333335</v>
      </c>
      <c r="M543" s="5">
        <f>LOOKUP(表1_11[[#This Row],[岗位工资]],表13[lookup],表13[奖金比率])*表1_11[[#This Row],[岗位工资]]</f>
        <v>280</v>
      </c>
      <c r="N543" s="5">
        <v>93</v>
      </c>
      <c r="O543" s="38">
        <f>表1_11[[#This Row],[奖金等级]]*表1_11[[#This Row],[绩效得分]]/100</f>
        <v>260.39999999999998</v>
      </c>
      <c r="P543" s="5">
        <f>IF(表1_11[[#This Row],[出勤率]]&gt;=1,200,0)</f>
        <v>0</v>
      </c>
      <c r="Q543" s="23">
        <f t="shared" ca="1" si="8"/>
        <v>400</v>
      </c>
      <c r="R543" s="23">
        <f>IF(表1_11[[#This Row],[中心]]="营销中心",VLOOKUP(表1_11[[#This Row],[职位]],表2[[话费补贴]:[营销中心]],2,0),VLOOKUP(表1_11[[#This Row],[职位]],表2[],3,0))</f>
        <v>300</v>
      </c>
      <c r="S543" s="23">
        <v>200</v>
      </c>
      <c r="T543" s="61">
        <f ca="1">ROUND(SUM(表1_11[[#This Row],[基本工资]],表1_11[[#This Row],[奖金]],表1_11[[#This Row],[全勤奖]:[防暑降温补贴]]),2)</f>
        <v>3843.73</v>
      </c>
      <c r="U543" s="62">
        <f ca="1">ROUND(表1_11[[#This Row],[税前应发总额]]*8%,2)</f>
        <v>307.5</v>
      </c>
      <c r="V543" s="62">
        <f ca="1">ROUND(表1_11[[#This Row],[税前应发总额]]*2%+3,2)</f>
        <v>79.87</v>
      </c>
      <c r="W543" s="62">
        <f ca="1">ROUND(表1_11[[#This Row],[税前应发总额]]*0.2%,2)</f>
        <v>7.69</v>
      </c>
      <c r="X543" s="62">
        <f ca="1">ROUND(表1_11[[#This Row],[税前应发总额]]*12%,2)</f>
        <v>461.25</v>
      </c>
      <c r="Y543" s="61">
        <f ca="1">ROUND(表1_11[[#This Row],[税前应发总额]]-SUM(表1_11[[#This Row],[养老保险]:[公积金]]),2)</f>
        <v>2987.42</v>
      </c>
      <c r="Z543" s="62">
        <f ca="1">ROUND(MAX((表1_11[[#This Row],[扣保险后工资金额]]-3500)*{3,10,20,25,30,35,45}%-{0,105,555,1005,2755,5505,13505},0),2)</f>
        <v>0</v>
      </c>
      <c r="AA543" s="63">
        <f ca="1">表1_11[[#This Row],[扣保险后工资金额]]-表1_11[[#This Row],[个人所得税]]</f>
        <v>2987.42</v>
      </c>
      <c r="AB543" s="53">
        <v>2801.09</v>
      </c>
      <c r="AC543" s="64">
        <f ca="1">(表1_11[[#This Row],[实发工资]]-表1_11[[#This Row],[上月对比]])/表1_11[[#This Row],[上月对比]]</f>
        <v>6.6520533078194527E-2</v>
      </c>
      <c r="AD543" s="65" t="s">
        <v>1587</v>
      </c>
    </row>
    <row r="544" spans="1:30">
      <c r="A544" s="42" t="s">
        <v>857</v>
      </c>
      <c r="B544" s="40" t="s">
        <v>888</v>
      </c>
      <c r="C544" s="40" t="s">
        <v>889</v>
      </c>
      <c r="D544" s="40" t="s">
        <v>890</v>
      </c>
      <c r="E544" s="41" t="s">
        <v>1554</v>
      </c>
      <c r="F544" s="5" t="s">
        <v>537</v>
      </c>
      <c r="G544" s="25">
        <v>41617</v>
      </c>
      <c r="H544" s="5" t="s">
        <v>615</v>
      </c>
      <c r="I544" s="5">
        <f>VLOOKUP(MID(表1_11[[#This Row],[工资等级]],1,1),表12[],MATCH(MID(表1_11[[#This Row],[工资等级]],2,2),表12[[#Headers],[1]:[10]],0)+1,0)</f>
        <v>3200</v>
      </c>
      <c r="J544" s="5">
        <v>25.5</v>
      </c>
      <c r="K544" s="27">
        <v>1.0625</v>
      </c>
      <c r="L544" s="37">
        <f>IF(表1_11[[#This Row],[出勤率]]&gt;1,1,表1_11[[#This Row],[出勤率]])*表1_11[[#This Row],[岗位工资]]</f>
        <v>3200</v>
      </c>
      <c r="M544" s="5">
        <f>LOOKUP(表1_11[[#This Row],[岗位工资]],表13[lookup],表13[奖金比率])*表1_11[[#This Row],[岗位工资]]</f>
        <v>320</v>
      </c>
      <c r="N544" s="5">
        <v>80</v>
      </c>
      <c r="O544" s="38">
        <f>表1_11[[#This Row],[奖金等级]]*表1_11[[#This Row],[绩效得分]]/100</f>
        <v>256</v>
      </c>
      <c r="P544" s="5">
        <f>IF(表1_11[[#This Row],[出勤率]]&gt;=1,200,0)</f>
        <v>200</v>
      </c>
      <c r="Q544" s="23">
        <f t="shared" ca="1" si="8"/>
        <v>200</v>
      </c>
      <c r="R544" s="23">
        <f>IF(表1_11[[#This Row],[中心]]="营销中心",VLOOKUP(表1_11[[#This Row],[职位]],表2[[话费补贴]:[营销中心]],2,0),VLOOKUP(表1_11[[#This Row],[职位]],表2[],3,0))</f>
        <v>300</v>
      </c>
      <c r="S544" s="23">
        <v>200</v>
      </c>
      <c r="T544" s="61">
        <f ca="1">ROUND(SUM(表1_11[[#This Row],[基本工资]],表1_11[[#This Row],[奖金]],表1_11[[#This Row],[全勤奖]:[防暑降温补贴]]),2)</f>
        <v>4356</v>
      </c>
      <c r="U544" s="62">
        <f ca="1">ROUND(表1_11[[#This Row],[税前应发总额]]*8%,2)</f>
        <v>348.48</v>
      </c>
      <c r="V544" s="62">
        <f ca="1">ROUND(表1_11[[#This Row],[税前应发总额]]*2%+3,2)</f>
        <v>90.12</v>
      </c>
      <c r="W544" s="62">
        <f ca="1">ROUND(表1_11[[#This Row],[税前应发总额]]*0.2%,2)</f>
        <v>8.7100000000000009</v>
      </c>
      <c r="X544" s="62">
        <f ca="1">ROUND(表1_11[[#This Row],[税前应发总额]]*12%,2)</f>
        <v>522.72</v>
      </c>
      <c r="Y544" s="61">
        <f ca="1">ROUND(表1_11[[#This Row],[税前应发总额]]-SUM(表1_11[[#This Row],[养老保险]:[公积金]]),2)</f>
        <v>3385.97</v>
      </c>
      <c r="Z544" s="62">
        <f ca="1">ROUND(MAX((表1_11[[#This Row],[扣保险后工资金额]]-3500)*{3,10,20,25,30,35,45}%-{0,105,555,1005,2755,5505,13505},0),2)</f>
        <v>0</v>
      </c>
      <c r="AA544" s="63">
        <f ca="1">表1_11[[#This Row],[扣保险后工资金额]]-表1_11[[#This Row],[个人所得税]]</f>
        <v>3385.97</v>
      </c>
      <c r="AB544" s="53">
        <v>3398.13</v>
      </c>
      <c r="AC544" s="64">
        <f ca="1">(表1_11[[#This Row],[实发工资]]-表1_11[[#This Row],[上月对比]])/表1_11[[#This Row],[上月对比]]</f>
        <v>-3.5784387295366301E-3</v>
      </c>
      <c r="AD544" s="65" t="s">
        <v>1587</v>
      </c>
    </row>
    <row r="545" spans="1:30">
      <c r="A545" s="42" t="s">
        <v>857</v>
      </c>
      <c r="B545" s="40" t="s">
        <v>891</v>
      </c>
      <c r="C545" s="40" t="s">
        <v>804</v>
      </c>
      <c r="D545" s="40" t="s">
        <v>892</v>
      </c>
      <c r="E545" s="41" t="s">
        <v>1555</v>
      </c>
      <c r="F545" s="5" t="s">
        <v>538</v>
      </c>
      <c r="G545" s="25">
        <v>39451</v>
      </c>
      <c r="H545" s="5" t="s">
        <v>630</v>
      </c>
      <c r="I545" s="5">
        <f>VLOOKUP(MID(表1_11[[#This Row],[工资等级]],1,1),表12[],MATCH(MID(表1_11[[#This Row],[工资等级]],2,2),表12[[#Headers],[1]:[10]],0)+1,0)</f>
        <v>2600</v>
      </c>
      <c r="J545" s="5">
        <v>24.5</v>
      </c>
      <c r="K545" s="27">
        <v>1.0208333333333333</v>
      </c>
      <c r="L545" s="37">
        <f>IF(表1_11[[#This Row],[出勤率]]&gt;1,1,表1_11[[#This Row],[出勤率]])*表1_11[[#This Row],[岗位工资]]</f>
        <v>2600</v>
      </c>
      <c r="M545" s="5">
        <f>LOOKUP(表1_11[[#This Row],[岗位工资]],表13[lookup],表13[奖金比率])*表1_11[[#This Row],[岗位工资]]</f>
        <v>260</v>
      </c>
      <c r="N545" s="5">
        <v>84</v>
      </c>
      <c r="O545" s="38">
        <f>表1_11[[#This Row],[奖金等级]]*表1_11[[#This Row],[绩效得分]]/100</f>
        <v>218.4</v>
      </c>
      <c r="P545" s="5">
        <f>IF(表1_11[[#This Row],[出勤率]]&gt;=1,200,0)</f>
        <v>200</v>
      </c>
      <c r="Q545" s="23">
        <f t="shared" ca="1" si="8"/>
        <v>500</v>
      </c>
      <c r="R545" s="23">
        <f>IF(表1_11[[#This Row],[中心]]="营销中心",VLOOKUP(表1_11[[#This Row],[职位]],表2[[话费补贴]:[营销中心]],2,0),VLOOKUP(表1_11[[#This Row],[职位]],表2[],3,0))</f>
        <v>300</v>
      </c>
      <c r="S545" s="23">
        <v>200</v>
      </c>
      <c r="T545" s="61">
        <f ca="1">ROUND(SUM(表1_11[[#This Row],[基本工资]],表1_11[[#This Row],[奖金]],表1_11[[#This Row],[全勤奖]:[防暑降温补贴]]),2)</f>
        <v>4018.4</v>
      </c>
      <c r="U545" s="62">
        <f ca="1">ROUND(表1_11[[#This Row],[税前应发总额]]*8%,2)</f>
        <v>321.47000000000003</v>
      </c>
      <c r="V545" s="62">
        <f ca="1">ROUND(表1_11[[#This Row],[税前应发总额]]*2%+3,2)</f>
        <v>83.37</v>
      </c>
      <c r="W545" s="62">
        <f ca="1">ROUND(表1_11[[#This Row],[税前应发总额]]*0.2%,2)</f>
        <v>8.0399999999999991</v>
      </c>
      <c r="X545" s="62">
        <f ca="1">ROUND(表1_11[[#This Row],[税前应发总额]]*12%,2)</f>
        <v>482.21</v>
      </c>
      <c r="Y545" s="61">
        <f ca="1">ROUND(表1_11[[#This Row],[税前应发总额]]-SUM(表1_11[[#This Row],[养老保险]:[公积金]]),2)</f>
        <v>3123.31</v>
      </c>
      <c r="Z545" s="62">
        <f ca="1">ROUND(MAX((表1_11[[#This Row],[扣保险后工资金额]]-3500)*{3,10,20,25,30,35,45}%-{0,105,555,1005,2755,5505,13505},0),2)</f>
        <v>0</v>
      </c>
      <c r="AA545" s="63">
        <f ca="1">表1_11[[#This Row],[扣保险后工资金额]]-表1_11[[#This Row],[个人所得税]]</f>
        <v>3123.31</v>
      </c>
      <c r="AB545" s="53">
        <v>2808.66</v>
      </c>
      <c r="AC545" s="64">
        <f ca="1">(表1_11[[#This Row],[实发工资]]-表1_11[[#This Row],[上月对比]])/表1_11[[#This Row],[上月对比]]</f>
        <v>0.1120285118170231</v>
      </c>
      <c r="AD545" s="65" t="s">
        <v>1587</v>
      </c>
    </row>
    <row r="546" spans="1:30">
      <c r="A546" s="42" t="s">
        <v>857</v>
      </c>
      <c r="B546" s="40" t="s">
        <v>866</v>
      </c>
      <c r="C546" s="40" t="s">
        <v>655</v>
      </c>
      <c r="D546" s="40" t="s">
        <v>882</v>
      </c>
      <c r="E546" s="41" t="s">
        <v>1556</v>
      </c>
      <c r="F546" s="5" t="s">
        <v>539</v>
      </c>
      <c r="G546" s="25">
        <v>40015</v>
      </c>
      <c r="H546" s="5" t="s">
        <v>657</v>
      </c>
      <c r="I546" s="5">
        <f>VLOOKUP(MID(表1_11[[#This Row],[工资等级]],1,1),表12[],MATCH(MID(表1_11[[#This Row],[工资等级]],2,2),表12[[#Headers],[1]:[10]],0)+1,0)</f>
        <v>4000</v>
      </c>
      <c r="J546" s="5">
        <v>26</v>
      </c>
      <c r="K546" s="27">
        <v>1.0833333333333333</v>
      </c>
      <c r="L546" s="37">
        <f>IF(表1_11[[#This Row],[出勤率]]&gt;1,1,表1_11[[#This Row],[出勤率]])*表1_11[[#This Row],[岗位工资]]</f>
        <v>4000</v>
      </c>
      <c r="M546" s="5">
        <f>LOOKUP(表1_11[[#This Row],[岗位工资]],表13[lookup],表13[奖金比率])*表1_11[[#This Row],[岗位工资]]</f>
        <v>600</v>
      </c>
      <c r="N546" s="5">
        <v>88</v>
      </c>
      <c r="O546" s="38">
        <f>表1_11[[#This Row],[奖金等级]]*表1_11[[#This Row],[绩效得分]]/100</f>
        <v>528</v>
      </c>
      <c r="P546" s="5">
        <f>IF(表1_11[[#This Row],[出勤率]]&gt;=1,200,0)</f>
        <v>200</v>
      </c>
      <c r="Q546" s="23">
        <f t="shared" ca="1" si="8"/>
        <v>400</v>
      </c>
      <c r="R546" s="23">
        <f>IF(表1_11[[#This Row],[中心]]="营销中心",VLOOKUP(表1_11[[#This Row],[职位]],表2[[话费补贴]:[营销中心]],2,0),VLOOKUP(表1_11[[#This Row],[职位]],表2[],3,0))</f>
        <v>300</v>
      </c>
      <c r="S546" s="23">
        <v>200</v>
      </c>
      <c r="T546" s="61">
        <f ca="1">ROUND(SUM(表1_11[[#This Row],[基本工资]],表1_11[[#This Row],[奖金]],表1_11[[#This Row],[全勤奖]:[防暑降温补贴]]),2)</f>
        <v>5628</v>
      </c>
      <c r="U546" s="62">
        <f ca="1">ROUND(表1_11[[#This Row],[税前应发总额]]*8%,2)</f>
        <v>450.24</v>
      </c>
      <c r="V546" s="62">
        <f ca="1">ROUND(表1_11[[#This Row],[税前应发总额]]*2%+3,2)</f>
        <v>115.56</v>
      </c>
      <c r="W546" s="62">
        <f ca="1">ROUND(表1_11[[#This Row],[税前应发总额]]*0.2%,2)</f>
        <v>11.26</v>
      </c>
      <c r="X546" s="62">
        <f ca="1">ROUND(表1_11[[#This Row],[税前应发总额]]*12%,2)</f>
        <v>675.36</v>
      </c>
      <c r="Y546" s="61">
        <f ca="1">ROUND(表1_11[[#This Row],[税前应发总额]]-SUM(表1_11[[#This Row],[养老保险]:[公积金]]),2)</f>
        <v>4375.58</v>
      </c>
      <c r="Z546" s="62">
        <f ca="1">ROUND(MAX((表1_11[[#This Row],[扣保险后工资金额]]-3500)*{3,10,20,25,30,35,45}%-{0,105,555,1005,2755,5505,13505},0),2)</f>
        <v>26.27</v>
      </c>
      <c r="AA546" s="63">
        <f ca="1">表1_11[[#This Row],[扣保险后工资金额]]-表1_11[[#This Row],[个人所得税]]</f>
        <v>4349.3099999999995</v>
      </c>
      <c r="AB546" s="53">
        <v>3913.03</v>
      </c>
      <c r="AC546" s="64">
        <f ca="1">(表1_11[[#This Row],[实发工资]]-表1_11[[#This Row],[上月对比]])/表1_11[[#This Row],[上月对比]]</f>
        <v>0.11149416181322383</v>
      </c>
      <c r="AD546" s="65" t="s">
        <v>1587</v>
      </c>
    </row>
    <row r="547" spans="1:30">
      <c r="A547" s="42" t="s">
        <v>857</v>
      </c>
      <c r="B547" s="40" t="s">
        <v>893</v>
      </c>
      <c r="C547" s="40" t="s">
        <v>677</v>
      </c>
      <c r="D547" s="40" t="s">
        <v>894</v>
      </c>
      <c r="E547" s="41" t="s">
        <v>1557</v>
      </c>
      <c r="F547" s="5" t="s">
        <v>540</v>
      </c>
      <c r="G547" s="25">
        <v>42102</v>
      </c>
      <c r="H547" s="5" t="s">
        <v>610</v>
      </c>
      <c r="I547" s="5">
        <f>VLOOKUP(MID(表1_11[[#This Row],[工资等级]],1,1),表12[],MATCH(MID(表1_11[[#This Row],[工资等级]],2,2),表12[[#Headers],[1]:[10]],0)+1,0)</f>
        <v>3400</v>
      </c>
      <c r="J547" s="5">
        <v>21.5</v>
      </c>
      <c r="K547" s="27">
        <v>0.89583333333333337</v>
      </c>
      <c r="L547" s="37">
        <f>IF(表1_11[[#This Row],[出勤率]]&gt;1,1,表1_11[[#This Row],[出勤率]])*表1_11[[#This Row],[岗位工资]]</f>
        <v>3045.8333333333335</v>
      </c>
      <c r="M547" s="5">
        <f>LOOKUP(表1_11[[#This Row],[岗位工资]],表13[lookup],表13[奖金比率])*表1_11[[#This Row],[岗位工资]]</f>
        <v>340</v>
      </c>
      <c r="N547" s="5">
        <v>80</v>
      </c>
      <c r="O547" s="38">
        <f>表1_11[[#This Row],[奖金等级]]*表1_11[[#This Row],[绩效得分]]/100</f>
        <v>272</v>
      </c>
      <c r="P547" s="5">
        <f>IF(表1_11[[#This Row],[出勤率]]&gt;=1,200,0)</f>
        <v>0</v>
      </c>
      <c r="Q547" s="23">
        <f t="shared" ca="1" si="8"/>
        <v>100</v>
      </c>
      <c r="R547" s="23">
        <f>IF(表1_11[[#This Row],[中心]]="营销中心",VLOOKUP(表1_11[[#This Row],[职位]],表2[[话费补贴]:[营销中心]],2,0),VLOOKUP(表1_11[[#This Row],[职位]],表2[],3,0))</f>
        <v>300</v>
      </c>
      <c r="S547" s="23">
        <v>200</v>
      </c>
      <c r="T547" s="61">
        <f ca="1">ROUND(SUM(表1_11[[#This Row],[基本工资]],表1_11[[#This Row],[奖金]],表1_11[[#This Row],[全勤奖]:[防暑降温补贴]]),2)</f>
        <v>3917.83</v>
      </c>
      <c r="U547" s="62">
        <f ca="1">ROUND(表1_11[[#This Row],[税前应发总额]]*8%,2)</f>
        <v>313.43</v>
      </c>
      <c r="V547" s="62">
        <f ca="1">ROUND(表1_11[[#This Row],[税前应发总额]]*2%+3,2)</f>
        <v>81.36</v>
      </c>
      <c r="W547" s="62">
        <f ca="1">ROUND(表1_11[[#This Row],[税前应发总额]]*0.2%,2)</f>
        <v>7.84</v>
      </c>
      <c r="X547" s="62">
        <f ca="1">ROUND(表1_11[[#This Row],[税前应发总额]]*12%,2)</f>
        <v>470.14</v>
      </c>
      <c r="Y547" s="61">
        <f ca="1">ROUND(表1_11[[#This Row],[税前应发总额]]-SUM(表1_11[[#This Row],[养老保险]:[公积金]]),2)</f>
        <v>3045.06</v>
      </c>
      <c r="Z547" s="62">
        <f ca="1">ROUND(MAX((表1_11[[#This Row],[扣保险后工资金额]]-3500)*{3,10,20,25,30,35,45}%-{0,105,555,1005,2755,5505,13505},0),2)</f>
        <v>0</v>
      </c>
      <c r="AA547" s="63">
        <f ca="1">表1_11[[#This Row],[扣保险后工资金额]]-表1_11[[#This Row],[个人所得税]]</f>
        <v>3045.06</v>
      </c>
      <c r="AB547" s="53">
        <v>2820.94</v>
      </c>
      <c r="AC547" s="64">
        <f ca="1">(表1_11[[#This Row],[实发工资]]-表1_11[[#This Row],[上月对比]])/表1_11[[#This Row],[上月对比]]</f>
        <v>7.944869440682889E-2</v>
      </c>
      <c r="AD547" s="65" t="s">
        <v>1587</v>
      </c>
    </row>
    <row r="548" spans="1:30">
      <c r="A548" s="42" t="s">
        <v>857</v>
      </c>
      <c r="B548" s="40" t="s">
        <v>883</v>
      </c>
      <c r="C548" s="40" t="s">
        <v>711</v>
      </c>
      <c r="D548" s="40" t="s">
        <v>884</v>
      </c>
      <c r="E548" s="41" t="s">
        <v>1558</v>
      </c>
      <c r="F548" s="5" t="s">
        <v>541</v>
      </c>
      <c r="G548" s="25">
        <v>38566</v>
      </c>
      <c r="H548" s="5" t="s">
        <v>618</v>
      </c>
      <c r="I548" s="5">
        <f>VLOOKUP(MID(表1_11[[#This Row],[工资等级]],1,1),表12[],MATCH(MID(表1_11[[#This Row],[工资等级]],2,2),表12[[#Headers],[1]:[10]],0)+1,0)</f>
        <v>3000</v>
      </c>
      <c r="J548" s="5">
        <v>22.5</v>
      </c>
      <c r="K548" s="27">
        <v>0.9375</v>
      </c>
      <c r="L548" s="37">
        <f>IF(表1_11[[#This Row],[出勤率]]&gt;1,1,表1_11[[#This Row],[出勤率]])*表1_11[[#This Row],[岗位工资]]</f>
        <v>2812.5</v>
      </c>
      <c r="M548" s="5">
        <f>LOOKUP(表1_11[[#This Row],[岗位工资]],表13[lookup],表13[奖金比率])*表1_11[[#This Row],[岗位工资]]</f>
        <v>300</v>
      </c>
      <c r="N548" s="5">
        <v>92</v>
      </c>
      <c r="O548" s="38">
        <f>表1_11[[#This Row],[奖金等级]]*表1_11[[#This Row],[绩效得分]]/100</f>
        <v>276</v>
      </c>
      <c r="P548" s="5">
        <f>IF(表1_11[[#This Row],[出勤率]]&gt;=1,200,0)</f>
        <v>0</v>
      </c>
      <c r="Q548" s="23">
        <f t="shared" ca="1" si="8"/>
        <v>500</v>
      </c>
      <c r="R548" s="23">
        <f>IF(表1_11[[#This Row],[中心]]="营销中心",VLOOKUP(表1_11[[#This Row],[职位]],表2[[话费补贴]:[营销中心]],2,0),VLOOKUP(表1_11[[#This Row],[职位]],表2[],3,0))</f>
        <v>300</v>
      </c>
      <c r="S548" s="23">
        <v>200</v>
      </c>
      <c r="T548" s="61">
        <f ca="1">ROUND(SUM(表1_11[[#This Row],[基本工资]],表1_11[[#This Row],[奖金]],表1_11[[#This Row],[全勤奖]:[防暑降温补贴]]),2)</f>
        <v>4088.5</v>
      </c>
      <c r="U548" s="62">
        <f ca="1">ROUND(表1_11[[#This Row],[税前应发总额]]*8%,2)</f>
        <v>327.08</v>
      </c>
      <c r="V548" s="62">
        <f ca="1">ROUND(表1_11[[#This Row],[税前应发总额]]*2%+3,2)</f>
        <v>84.77</v>
      </c>
      <c r="W548" s="62">
        <f ca="1">ROUND(表1_11[[#This Row],[税前应发总额]]*0.2%,2)</f>
        <v>8.18</v>
      </c>
      <c r="X548" s="62">
        <f ca="1">ROUND(表1_11[[#This Row],[税前应发总额]]*12%,2)</f>
        <v>490.62</v>
      </c>
      <c r="Y548" s="61">
        <f ca="1">ROUND(表1_11[[#This Row],[税前应发总额]]-SUM(表1_11[[#This Row],[养老保险]:[公积金]]),2)</f>
        <v>3177.85</v>
      </c>
      <c r="Z548" s="62">
        <f ca="1">ROUND(MAX((表1_11[[#This Row],[扣保险后工资金额]]-3500)*{3,10,20,25,30,35,45}%-{0,105,555,1005,2755,5505,13505},0),2)</f>
        <v>0</v>
      </c>
      <c r="AA548" s="63">
        <f ca="1">表1_11[[#This Row],[扣保险后工资金额]]-表1_11[[#This Row],[个人所得税]]</f>
        <v>3177.85</v>
      </c>
      <c r="AB548" s="53">
        <v>3121.15</v>
      </c>
      <c r="AC548" s="64">
        <f ca="1">(表1_11[[#This Row],[实发工资]]-表1_11[[#This Row],[上月对比]])/表1_11[[#This Row],[上月对比]]</f>
        <v>1.8166380981368989E-2</v>
      </c>
      <c r="AD548" s="65" t="s">
        <v>1587</v>
      </c>
    </row>
    <row r="549" spans="1:30">
      <c r="A549" s="42" t="s">
        <v>857</v>
      </c>
      <c r="B549" s="40" t="s">
        <v>864</v>
      </c>
      <c r="C549" s="40" t="s">
        <v>793</v>
      </c>
      <c r="D549" s="40" t="s">
        <v>881</v>
      </c>
      <c r="E549" s="41" t="s">
        <v>1559</v>
      </c>
      <c r="F549" s="5" t="s">
        <v>542</v>
      </c>
      <c r="G549" s="25">
        <v>38882</v>
      </c>
      <c r="H549" s="5" t="s">
        <v>615</v>
      </c>
      <c r="I549" s="5">
        <f>VLOOKUP(MID(表1_11[[#This Row],[工资等级]],1,1),表12[],MATCH(MID(表1_11[[#This Row],[工资等级]],2,2),表12[[#Headers],[1]:[10]],0)+1,0)</f>
        <v>3200</v>
      </c>
      <c r="J549" s="5">
        <v>27.5</v>
      </c>
      <c r="K549" s="27">
        <v>1.1458333333333333</v>
      </c>
      <c r="L549" s="37">
        <f>IF(表1_11[[#This Row],[出勤率]]&gt;1,1,表1_11[[#This Row],[出勤率]])*表1_11[[#This Row],[岗位工资]]</f>
        <v>3200</v>
      </c>
      <c r="M549" s="5">
        <f>LOOKUP(表1_11[[#This Row],[岗位工资]],表13[lookup],表13[奖金比率])*表1_11[[#This Row],[岗位工资]]</f>
        <v>320</v>
      </c>
      <c r="N549" s="5">
        <v>93</v>
      </c>
      <c r="O549" s="38">
        <f>表1_11[[#This Row],[奖金等级]]*表1_11[[#This Row],[绩效得分]]/100</f>
        <v>297.60000000000002</v>
      </c>
      <c r="P549" s="5">
        <f>IF(表1_11[[#This Row],[出勤率]]&gt;=1,200,0)</f>
        <v>200</v>
      </c>
      <c r="Q549" s="23">
        <f t="shared" ca="1" si="8"/>
        <v>500</v>
      </c>
      <c r="R549" s="23">
        <f>IF(表1_11[[#This Row],[中心]]="营销中心",VLOOKUP(表1_11[[#This Row],[职位]],表2[[话费补贴]:[营销中心]],2,0),VLOOKUP(表1_11[[#This Row],[职位]],表2[],3,0))</f>
        <v>300</v>
      </c>
      <c r="S549" s="23">
        <v>200</v>
      </c>
      <c r="T549" s="61">
        <f ca="1">ROUND(SUM(表1_11[[#This Row],[基本工资]],表1_11[[#This Row],[奖金]],表1_11[[#This Row],[全勤奖]:[防暑降温补贴]]),2)</f>
        <v>4697.6000000000004</v>
      </c>
      <c r="U549" s="62">
        <f ca="1">ROUND(表1_11[[#This Row],[税前应发总额]]*8%,2)</f>
        <v>375.81</v>
      </c>
      <c r="V549" s="62">
        <f ca="1">ROUND(表1_11[[#This Row],[税前应发总额]]*2%+3,2)</f>
        <v>96.95</v>
      </c>
      <c r="W549" s="62">
        <f ca="1">ROUND(表1_11[[#This Row],[税前应发总额]]*0.2%,2)</f>
        <v>9.4</v>
      </c>
      <c r="X549" s="62">
        <f ca="1">ROUND(表1_11[[#This Row],[税前应发总额]]*12%,2)</f>
        <v>563.71</v>
      </c>
      <c r="Y549" s="61">
        <f ca="1">ROUND(表1_11[[#This Row],[税前应发总额]]-SUM(表1_11[[#This Row],[养老保险]:[公积金]]),2)</f>
        <v>3651.73</v>
      </c>
      <c r="Z549" s="62">
        <f ca="1">ROUND(MAX((表1_11[[#This Row],[扣保险后工资金额]]-3500)*{3,10,20,25,30,35,45}%-{0,105,555,1005,2755,5505,13505},0),2)</f>
        <v>4.55</v>
      </c>
      <c r="AA549" s="63">
        <f ca="1">表1_11[[#This Row],[扣保险后工资金额]]-表1_11[[#This Row],[个人所得税]]</f>
        <v>3647.18</v>
      </c>
      <c r="AB549" s="53">
        <v>4191.47</v>
      </c>
      <c r="AC549" s="64">
        <f ca="1">(表1_11[[#This Row],[实发工资]]-表1_11[[#This Row],[上月对比]])/表1_11[[#This Row],[上月对比]]</f>
        <v>-0.12985658969287633</v>
      </c>
      <c r="AD549" s="65" t="s">
        <v>1587</v>
      </c>
    </row>
    <row r="550" spans="1:30">
      <c r="A550" s="42" t="s">
        <v>857</v>
      </c>
      <c r="B550" s="40" t="s">
        <v>866</v>
      </c>
      <c r="C550" s="40" t="s">
        <v>655</v>
      </c>
      <c r="D550" s="40" t="s">
        <v>882</v>
      </c>
      <c r="E550" s="41" t="s">
        <v>1560</v>
      </c>
      <c r="F550" s="5" t="s">
        <v>543</v>
      </c>
      <c r="G550" s="25">
        <v>40804</v>
      </c>
      <c r="H550" s="5" t="s">
        <v>624</v>
      </c>
      <c r="I550" s="5">
        <f>VLOOKUP(MID(表1_11[[#This Row],[工资等级]],1,1),表12[],MATCH(MID(表1_11[[#This Row],[工资等级]],2,2),表12[[#Headers],[1]:[10]],0)+1,0)</f>
        <v>2800</v>
      </c>
      <c r="J550" s="5">
        <v>23.5</v>
      </c>
      <c r="K550" s="27">
        <v>0.97916666666666663</v>
      </c>
      <c r="L550" s="37">
        <f>IF(表1_11[[#This Row],[出勤率]]&gt;1,1,表1_11[[#This Row],[出勤率]])*表1_11[[#This Row],[岗位工资]]</f>
        <v>2741.6666666666665</v>
      </c>
      <c r="M550" s="5">
        <f>LOOKUP(表1_11[[#This Row],[岗位工资]],表13[lookup],表13[奖金比率])*表1_11[[#This Row],[岗位工资]]</f>
        <v>280</v>
      </c>
      <c r="N550" s="5">
        <v>84</v>
      </c>
      <c r="O550" s="38">
        <f>表1_11[[#This Row],[奖金等级]]*表1_11[[#This Row],[绩效得分]]/100</f>
        <v>235.2</v>
      </c>
      <c r="P550" s="5">
        <f>IF(表1_11[[#This Row],[出勤率]]&gt;=1,200,0)</f>
        <v>0</v>
      </c>
      <c r="Q550" s="23">
        <f t="shared" ca="1" si="8"/>
        <v>300</v>
      </c>
      <c r="R550" s="23">
        <f>IF(表1_11[[#This Row],[中心]]="营销中心",VLOOKUP(表1_11[[#This Row],[职位]],表2[[话费补贴]:[营销中心]],2,0),VLOOKUP(表1_11[[#This Row],[职位]],表2[],3,0))</f>
        <v>300</v>
      </c>
      <c r="S550" s="23">
        <v>200</v>
      </c>
      <c r="T550" s="61">
        <f ca="1">ROUND(SUM(表1_11[[#This Row],[基本工资]],表1_11[[#This Row],[奖金]],表1_11[[#This Row],[全勤奖]:[防暑降温补贴]]),2)</f>
        <v>3776.87</v>
      </c>
      <c r="U550" s="62">
        <f ca="1">ROUND(表1_11[[#This Row],[税前应发总额]]*8%,2)</f>
        <v>302.14999999999998</v>
      </c>
      <c r="V550" s="62">
        <f ca="1">ROUND(表1_11[[#This Row],[税前应发总额]]*2%+3,2)</f>
        <v>78.540000000000006</v>
      </c>
      <c r="W550" s="62">
        <f ca="1">ROUND(表1_11[[#This Row],[税前应发总额]]*0.2%,2)</f>
        <v>7.55</v>
      </c>
      <c r="X550" s="62">
        <f ca="1">ROUND(表1_11[[#This Row],[税前应发总额]]*12%,2)</f>
        <v>453.22</v>
      </c>
      <c r="Y550" s="61">
        <f ca="1">ROUND(表1_11[[#This Row],[税前应发总额]]-SUM(表1_11[[#This Row],[养老保险]:[公积金]]),2)</f>
        <v>2935.41</v>
      </c>
      <c r="Z550" s="62">
        <f ca="1">ROUND(MAX((表1_11[[#This Row],[扣保险后工资金额]]-3500)*{3,10,20,25,30,35,45}%-{0,105,555,1005,2755,5505,13505},0),2)</f>
        <v>0</v>
      </c>
      <c r="AA550" s="63">
        <f ca="1">表1_11[[#This Row],[扣保险后工资金额]]-表1_11[[#This Row],[个人所得税]]</f>
        <v>2935.41</v>
      </c>
      <c r="AB550" s="53">
        <v>2772.29</v>
      </c>
      <c r="AC550" s="64">
        <f ca="1">(表1_11[[#This Row],[实发工资]]-表1_11[[#This Row],[上月对比]])/表1_11[[#This Row],[上月对比]]</f>
        <v>5.8839443203993771E-2</v>
      </c>
      <c r="AD550" s="65" t="s">
        <v>1587</v>
      </c>
    </row>
    <row r="551" spans="1:30">
      <c r="A551" s="42" t="s">
        <v>857</v>
      </c>
      <c r="B551" s="40" t="s">
        <v>883</v>
      </c>
      <c r="C551" s="40" t="s">
        <v>711</v>
      </c>
      <c r="D551" s="40" t="s">
        <v>884</v>
      </c>
      <c r="E551" s="41" t="s">
        <v>1561</v>
      </c>
      <c r="F551" s="5" t="s">
        <v>544</v>
      </c>
      <c r="G551" s="25">
        <v>42326</v>
      </c>
      <c r="H551" s="5" t="s">
        <v>630</v>
      </c>
      <c r="I551" s="5">
        <f>VLOOKUP(MID(表1_11[[#This Row],[工资等级]],1,1),表12[],MATCH(MID(表1_11[[#This Row],[工资等级]],2,2),表12[[#Headers],[1]:[10]],0)+1,0)</f>
        <v>2600</v>
      </c>
      <c r="J551" s="5">
        <v>24</v>
      </c>
      <c r="K551" s="27">
        <v>1</v>
      </c>
      <c r="L551" s="37">
        <f>IF(表1_11[[#This Row],[出勤率]]&gt;1,1,表1_11[[#This Row],[出勤率]])*表1_11[[#This Row],[岗位工资]]</f>
        <v>2600</v>
      </c>
      <c r="M551" s="5">
        <f>LOOKUP(表1_11[[#This Row],[岗位工资]],表13[lookup],表13[奖金比率])*表1_11[[#This Row],[岗位工资]]</f>
        <v>260</v>
      </c>
      <c r="N551" s="5">
        <v>79</v>
      </c>
      <c r="O551" s="38">
        <f>表1_11[[#This Row],[奖金等级]]*表1_11[[#This Row],[绩效得分]]/100</f>
        <v>205.4</v>
      </c>
      <c r="P551" s="5">
        <f>IF(表1_11[[#This Row],[出勤率]]&gt;=1,200,0)</f>
        <v>200</v>
      </c>
      <c r="Q551" s="23">
        <f t="shared" ca="1" si="8"/>
        <v>100</v>
      </c>
      <c r="R551" s="23">
        <f>IF(表1_11[[#This Row],[中心]]="营销中心",VLOOKUP(表1_11[[#This Row],[职位]],表2[[话费补贴]:[营销中心]],2,0),VLOOKUP(表1_11[[#This Row],[职位]],表2[],3,0))</f>
        <v>300</v>
      </c>
      <c r="S551" s="23">
        <v>200</v>
      </c>
      <c r="T551" s="61">
        <f ca="1">ROUND(SUM(表1_11[[#This Row],[基本工资]],表1_11[[#This Row],[奖金]],表1_11[[#This Row],[全勤奖]:[防暑降温补贴]]),2)</f>
        <v>3605.4</v>
      </c>
      <c r="U551" s="62">
        <f ca="1">ROUND(表1_11[[#This Row],[税前应发总额]]*8%,2)</f>
        <v>288.43</v>
      </c>
      <c r="V551" s="62">
        <f ca="1">ROUND(表1_11[[#This Row],[税前应发总额]]*2%+3,2)</f>
        <v>75.11</v>
      </c>
      <c r="W551" s="62">
        <f ca="1">ROUND(表1_11[[#This Row],[税前应发总额]]*0.2%,2)</f>
        <v>7.21</v>
      </c>
      <c r="X551" s="62">
        <f ca="1">ROUND(表1_11[[#This Row],[税前应发总额]]*12%,2)</f>
        <v>432.65</v>
      </c>
      <c r="Y551" s="61">
        <f ca="1">ROUND(表1_11[[#This Row],[税前应发总额]]-SUM(表1_11[[#This Row],[养老保险]:[公积金]]),2)</f>
        <v>2802</v>
      </c>
      <c r="Z551" s="62">
        <f ca="1">ROUND(MAX((表1_11[[#This Row],[扣保险后工资金额]]-3500)*{3,10,20,25,30,35,45}%-{0,105,555,1005,2755,5505,13505},0),2)</f>
        <v>0</v>
      </c>
      <c r="AA551" s="63">
        <f ca="1">表1_11[[#This Row],[扣保险后工资金额]]-表1_11[[#This Row],[个人所得税]]</f>
        <v>2802</v>
      </c>
      <c r="AB551" s="53">
        <v>2575.33</v>
      </c>
      <c r="AC551" s="64">
        <f ca="1">(表1_11[[#This Row],[实发工资]]-表1_11[[#This Row],[上月对比]])/表1_11[[#This Row],[上月对比]]</f>
        <v>8.8015904757836896E-2</v>
      </c>
      <c r="AD551" s="65" t="s">
        <v>1587</v>
      </c>
    </row>
    <row r="552" spans="1:30">
      <c r="A552" s="42" t="s">
        <v>857</v>
      </c>
      <c r="B552" s="40" t="s">
        <v>883</v>
      </c>
      <c r="C552" s="40" t="s">
        <v>711</v>
      </c>
      <c r="D552" s="40" t="s">
        <v>884</v>
      </c>
      <c r="E552" s="41" t="s">
        <v>1562</v>
      </c>
      <c r="F552" s="5" t="s">
        <v>545</v>
      </c>
      <c r="G552" s="25">
        <v>42228</v>
      </c>
      <c r="H552" s="5" t="s">
        <v>657</v>
      </c>
      <c r="I552" s="5">
        <f>VLOOKUP(MID(表1_11[[#This Row],[工资等级]],1,1),表12[],MATCH(MID(表1_11[[#This Row],[工资等级]],2,2),表12[[#Headers],[1]:[10]],0)+1,0)</f>
        <v>4000</v>
      </c>
      <c r="J552" s="5">
        <v>27</v>
      </c>
      <c r="K552" s="27">
        <v>1.125</v>
      </c>
      <c r="L552" s="37">
        <f>IF(表1_11[[#This Row],[出勤率]]&gt;1,1,表1_11[[#This Row],[出勤率]])*表1_11[[#This Row],[岗位工资]]</f>
        <v>4000</v>
      </c>
      <c r="M552" s="5">
        <f>LOOKUP(表1_11[[#This Row],[岗位工资]],表13[lookup],表13[奖金比率])*表1_11[[#This Row],[岗位工资]]</f>
        <v>600</v>
      </c>
      <c r="N552" s="5">
        <v>89</v>
      </c>
      <c r="O552" s="38">
        <f>表1_11[[#This Row],[奖金等级]]*表1_11[[#This Row],[绩效得分]]/100</f>
        <v>534</v>
      </c>
      <c r="P552" s="5">
        <f>IF(表1_11[[#This Row],[出勤率]]&gt;=1,200,0)</f>
        <v>200</v>
      </c>
      <c r="Q552" s="23">
        <f t="shared" ca="1" si="8"/>
        <v>100</v>
      </c>
      <c r="R552" s="23">
        <f>IF(表1_11[[#This Row],[中心]]="营销中心",VLOOKUP(表1_11[[#This Row],[职位]],表2[[话费补贴]:[营销中心]],2,0),VLOOKUP(表1_11[[#This Row],[职位]],表2[],3,0))</f>
        <v>300</v>
      </c>
      <c r="S552" s="23">
        <v>200</v>
      </c>
      <c r="T552" s="61">
        <f ca="1">ROUND(SUM(表1_11[[#This Row],[基本工资]],表1_11[[#This Row],[奖金]],表1_11[[#This Row],[全勤奖]:[防暑降温补贴]]),2)</f>
        <v>5334</v>
      </c>
      <c r="U552" s="62">
        <f ca="1">ROUND(表1_11[[#This Row],[税前应发总额]]*8%,2)</f>
        <v>426.72</v>
      </c>
      <c r="V552" s="62">
        <f ca="1">ROUND(表1_11[[#This Row],[税前应发总额]]*2%+3,2)</f>
        <v>109.68</v>
      </c>
      <c r="W552" s="62">
        <f ca="1">ROUND(表1_11[[#This Row],[税前应发总额]]*0.2%,2)</f>
        <v>10.67</v>
      </c>
      <c r="X552" s="62">
        <f ca="1">ROUND(表1_11[[#This Row],[税前应发总额]]*12%,2)</f>
        <v>640.08000000000004</v>
      </c>
      <c r="Y552" s="61">
        <f ca="1">ROUND(表1_11[[#This Row],[税前应发总额]]-SUM(表1_11[[#This Row],[养老保险]:[公积金]]),2)</f>
        <v>4146.8500000000004</v>
      </c>
      <c r="Z552" s="62">
        <f ca="1">ROUND(MAX((表1_11[[#This Row],[扣保险后工资金额]]-3500)*{3,10,20,25,30,35,45}%-{0,105,555,1005,2755,5505,13505},0),2)</f>
        <v>19.41</v>
      </c>
      <c r="AA552" s="63">
        <f ca="1">表1_11[[#This Row],[扣保险后工资金额]]-表1_11[[#This Row],[个人所得税]]</f>
        <v>4127.4400000000005</v>
      </c>
      <c r="AB552" s="53">
        <v>3891.15</v>
      </c>
      <c r="AC552" s="64">
        <f ca="1">(表1_11[[#This Row],[实发工资]]-表1_11[[#This Row],[上月对比]])/表1_11[[#This Row],[上月对比]]</f>
        <v>6.0724978476800022E-2</v>
      </c>
      <c r="AD552" s="65" t="s">
        <v>1587</v>
      </c>
    </row>
    <row r="553" spans="1:30">
      <c r="A553" s="42" t="s">
        <v>857</v>
      </c>
      <c r="B553" s="40" t="s">
        <v>883</v>
      </c>
      <c r="C553" s="40" t="s">
        <v>711</v>
      </c>
      <c r="D553" s="40" t="s">
        <v>884</v>
      </c>
      <c r="E553" s="41" t="s">
        <v>1563</v>
      </c>
      <c r="F553" s="5" t="s">
        <v>546</v>
      </c>
      <c r="G553" s="25">
        <v>41269</v>
      </c>
      <c r="H553" s="5" t="s">
        <v>615</v>
      </c>
      <c r="I553" s="5">
        <f>VLOOKUP(MID(表1_11[[#This Row],[工资等级]],1,1),表12[],MATCH(MID(表1_11[[#This Row],[工资等级]],2,2),表12[[#Headers],[1]:[10]],0)+1,0)</f>
        <v>3200</v>
      </c>
      <c r="J553" s="5">
        <v>21.5</v>
      </c>
      <c r="K553" s="27">
        <v>0.89583333333333337</v>
      </c>
      <c r="L553" s="37">
        <f>IF(表1_11[[#This Row],[出勤率]]&gt;1,1,表1_11[[#This Row],[出勤率]])*表1_11[[#This Row],[岗位工资]]</f>
        <v>2866.666666666667</v>
      </c>
      <c r="M553" s="5">
        <f>LOOKUP(表1_11[[#This Row],[岗位工资]],表13[lookup],表13[奖金比率])*表1_11[[#This Row],[岗位工资]]</f>
        <v>320</v>
      </c>
      <c r="N553" s="5">
        <v>81</v>
      </c>
      <c r="O553" s="38">
        <f>表1_11[[#This Row],[奖金等级]]*表1_11[[#This Row],[绩效得分]]/100</f>
        <v>259.2</v>
      </c>
      <c r="P553" s="5">
        <f>IF(表1_11[[#This Row],[出勤率]]&gt;=1,200,0)</f>
        <v>0</v>
      </c>
      <c r="Q553" s="23">
        <f t="shared" ca="1" si="8"/>
        <v>250</v>
      </c>
      <c r="R553" s="23">
        <f>IF(表1_11[[#This Row],[中心]]="营销中心",VLOOKUP(表1_11[[#This Row],[职位]],表2[[话费补贴]:[营销中心]],2,0),VLOOKUP(表1_11[[#This Row],[职位]],表2[],3,0))</f>
        <v>300</v>
      </c>
      <c r="S553" s="23">
        <v>200</v>
      </c>
      <c r="T553" s="61">
        <f ca="1">ROUND(SUM(表1_11[[#This Row],[基本工资]],表1_11[[#This Row],[奖金]],表1_11[[#This Row],[全勤奖]:[防暑降温补贴]]),2)</f>
        <v>3875.87</v>
      </c>
      <c r="U553" s="62">
        <f ca="1">ROUND(表1_11[[#This Row],[税前应发总额]]*8%,2)</f>
        <v>310.07</v>
      </c>
      <c r="V553" s="62">
        <f ca="1">ROUND(表1_11[[#This Row],[税前应发总额]]*2%+3,2)</f>
        <v>80.52</v>
      </c>
      <c r="W553" s="62">
        <f ca="1">ROUND(表1_11[[#This Row],[税前应发总额]]*0.2%,2)</f>
        <v>7.75</v>
      </c>
      <c r="X553" s="62">
        <f ca="1">ROUND(表1_11[[#This Row],[税前应发总额]]*12%,2)</f>
        <v>465.1</v>
      </c>
      <c r="Y553" s="61">
        <f ca="1">ROUND(表1_11[[#This Row],[税前应发总额]]-SUM(表1_11[[#This Row],[养老保险]:[公积金]]),2)</f>
        <v>3012.43</v>
      </c>
      <c r="Z553" s="62">
        <f ca="1">ROUND(MAX((表1_11[[#This Row],[扣保险后工资金额]]-3500)*{3,10,20,25,30,35,45}%-{0,105,555,1005,2755,5505,13505},0),2)</f>
        <v>0</v>
      </c>
      <c r="AA553" s="63">
        <f ca="1">表1_11[[#This Row],[扣保险后工资金额]]-表1_11[[#This Row],[个人所得税]]</f>
        <v>3012.43</v>
      </c>
      <c r="AB553" s="53">
        <v>3186.24</v>
      </c>
      <c r="AC553" s="64">
        <f ca="1">(表1_11[[#This Row],[实发工资]]-表1_11[[#This Row],[上月对比]])/表1_11[[#This Row],[上月对比]]</f>
        <v>-5.4550190820528255E-2</v>
      </c>
      <c r="AD553" s="65" t="s">
        <v>1587</v>
      </c>
    </row>
    <row r="554" spans="1:30">
      <c r="A554" s="42" t="s">
        <v>857</v>
      </c>
      <c r="B554" s="40" t="s">
        <v>895</v>
      </c>
      <c r="C554" s="40" t="s">
        <v>825</v>
      </c>
      <c r="D554" s="40" t="s">
        <v>896</v>
      </c>
      <c r="E554" s="41" t="s">
        <v>1564</v>
      </c>
      <c r="F554" s="5" t="s">
        <v>547</v>
      </c>
      <c r="G554" s="25">
        <v>38398</v>
      </c>
      <c r="H554" s="5" t="s">
        <v>897</v>
      </c>
      <c r="I554" s="5">
        <f>VLOOKUP(MID(表1_11[[#This Row],[工资等级]],1,1),表12[],MATCH(MID(表1_11[[#This Row],[工资等级]],2,2),表12[[#Headers],[1]:[10]],0)+1,0)</f>
        <v>8500</v>
      </c>
      <c r="J554" s="5">
        <v>24.5</v>
      </c>
      <c r="K554" s="27">
        <v>1.0208333333333333</v>
      </c>
      <c r="L554" s="37">
        <f>IF(表1_11[[#This Row],[出勤率]]&gt;1,1,表1_11[[#This Row],[出勤率]])*表1_11[[#This Row],[岗位工资]]</f>
        <v>8500</v>
      </c>
      <c r="M554" s="5">
        <f>LOOKUP(表1_11[[#This Row],[岗位工资]],表13[lookup],表13[奖金比率])*表1_11[[#This Row],[岗位工资]]</f>
        <v>1700</v>
      </c>
      <c r="N554" s="5">
        <v>98</v>
      </c>
      <c r="O554" s="38">
        <f>表1_11[[#This Row],[奖金等级]]*表1_11[[#This Row],[绩效得分]]/100</f>
        <v>1666</v>
      </c>
      <c r="P554" s="5">
        <f>IF(表1_11[[#This Row],[出勤率]]&gt;=1,200,0)</f>
        <v>200</v>
      </c>
      <c r="Q554" s="23">
        <f t="shared" ca="1" si="8"/>
        <v>500</v>
      </c>
      <c r="R554" s="23">
        <f>IF(表1_11[[#This Row],[中心]]="营销中心",VLOOKUP(表1_11[[#This Row],[职位]],表2[[话费补贴]:[营销中心]],2,0),VLOOKUP(表1_11[[#This Row],[职位]],表2[],3,0))</f>
        <v>1000</v>
      </c>
      <c r="S554" s="23">
        <v>200</v>
      </c>
      <c r="T554" s="61">
        <f ca="1">ROUND(SUM(表1_11[[#This Row],[基本工资]],表1_11[[#This Row],[奖金]],表1_11[[#This Row],[全勤奖]:[防暑降温补贴]]),2)</f>
        <v>12066</v>
      </c>
      <c r="U554" s="62">
        <f ca="1">ROUND(表1_11[[#This Row],[税前应发总额]]*8%,2)</f>
        <v>965.28</v>
      </c>
      <c r="V554" s="62">
        <f ca="1">ROUND(表1_11[[#This Row],[税前应发总额]]*2%+3,2)</f>
        <v>244.32</v>
      </c>
      <c r="W554" s="62">
        <f ca="1">ROUND(表1_11[[#This Row],[税前应发总额]]*0.2%,2)</f>
        <v>24.13</v>
      </c>
      <c r="X554" s="62">
        <f ca="1">ROUND(表1_11[[#This Row],[税前应发总额]]*12%,2)</f>
        <v>1447.92</v>
      </c>
      <c r="Y554" s="61">
        <f ca="1">ROUND(表1_11[[#This Row],[税前应发总额]]-SUM(表1_11[[#This Row],[养老保险]:[公积金]]),2)</f>
        <v>9384.35</v>
      </c>
      <c r="Z554" s="62">
        <f ca="1">ROUND(MAX((表1_11[[#This Row],[扣保险后工资金额]]-3500)*{3,10,20,25,30,35,45}%-{0,105,555,1005,2755,5505,13505},0),2)</f>
        <v>621.87</v>
      </c>
      <c r="AA554" s="63">
        <f ca="1">表1_11[[#This Row],[扣保险后工资金额]]-表1_11[[#This Row],[个人所得税]]</f>
        <v>8762.48</v>
      </c>
      <c r="AB554" s="53">
        <v>9240</v>
      </c>
      <c r="AC554" s="64">
        <f ca="1">(表1_11[[#This Row],[实发工资]]-表1_11[[#This Row],[上月对比]])/表1_11[[#This Row],[上月对比]]</f>
        <v>-5.1679653679653728E-2</v>
      </c>
      <c r="AD554" s="65" t="s">
        <v>1587</v>
      </c>
    </row>
    <row r="555" spans="1:30">
      <c r="A555" s="42" t="s">
        <v>857</v>
      </c>
      <c r="B555" s="40" t="s">
        <v>895</v>
      </c>
      <c r="C555" s="40" t="s">
        <v>898</v>
      </c>
      <c r="D555" s="40" t="s">
        <v>899</v>
      </c>
      <c r="E555" s="41" t="s">
        <v>1565</v>
      </c>
      <c r="F555" s="5" t="s">
        <v>548</v>
      </c>
      <c r="G555" s="25">
        <v>40465</v>
      </c>
      <c r="H555" s="5" t="s">
        <v>605</v>
      </c>
      <c r="I555" s="5">
        <f>VLOOKUP(MID(表1_11[[#This Row],[工资等级]],1,1),表12[],MATCH(MID(表1_11[[#This Row],[工资等级]],2,2),表12[[#Headers],[1]:[10]],0)+1,0)</f>
        <v>5000</v>
      </c>
      <c r="J555" s="5">
        <v>24.5</v>
      </c>
      <c r="K555" s="27">
        <v>1.0208333333333333</v>
      </c>
      <c r="L555" s="37">
        <f>IF(表1_11[[#This Row],[出勤率]]&gt;1,1,表1_11[[#This Row],[出勤率]])*表1_11[[#This Row],[岗位工资]]</f>
        <v>5000</v>
      </c>
      <c r="M555" s="5">
        <f>LOOKUP(表1_11[[#This Row],[岗位工资]],表13[lookup],表13[奖金比率])*表1_11[[#This Row],[岗位工资]]</f>
        <v>750</v>
      </c>
      <c r="N555" s="5">
        <v>98</v>
      </c>
      <c r="O555" s="38">
        <f>表1_11[[#This Row],[奖金等级]]*表1_11[[#This Row],[绩效得分]]/100</f>
        <v>735</v>
      </c>
      <c r="P555" s="5">
        <f>IF(表1_11[[#This Row],[出勤率]]&gt;=1,200,0)</f>
        <v>200</v>
      </c>
      <c r="Q555" s="23">
        <f t="shared" ca="1" si="8"/>
        <v>350</v>
      </c>
      <c r="R555" s="23">
        <f>IF(表1_11[[#This Row],[中心]]="营销中心",VLOOKUP(表1_11[[#This Row],[职位]],表2[[话费补贴]:[营销中心]],2,0),VLOOKUP(表1_11[[#This Row],[职位]],表2[],3,0))</f>
        <v>800</v>
      </c>
      <c r="S555" s="23">
        <v>200</v>
      </c>
      <c r="T555" s="61">
        <f ca="1">ROUND(SUM(表1_11[[#This Row],[基本工资]],表1_11[[#This Row],[奖金]],表1_11[[#This Row],[全勤奖]:[防暑降温补贴]]),2)</f>
        <v>7285</v>
      </c>
      <c r="U555" s="62">
        <f ca="1">ROUND(表1_11[[#This Row],[税前应发总额]]*8%,2)</f>
        <v>582.79999999999995</v>
      </c>
      <c r="V555" s="62">
        <f ca="1">ROUND(表1_11[[#This Row],[税前应发总额]]*2%+3,2)</f>
        <v>148.69999999999999</v>
      </c>
      <c r="W555" s="62">
        <f ca="1">ROUND(表1_11[[#This Row],[税前应发总额]]*0.2%,2)</f>
        <v>14.57</v>
      </c>
      <c r="X555" s="62">
        <f ca="1">ROUND(表1_11[[#This Row],[税前应发总额]]*12%,2)</f>
        <v>874.2</v>
      </c>
      <c r="Y555" s="61">
        <f ca="1">ROUND(表1_11[[#This Row],[税前应发总额]]-SUM(表1_11[[#This Row],[养老保险]:[公积金]]),2)</f>
        <v>5664.73</v>
      </c>
      <c r="Z555" s="62">
        <f ca="1">ROUND(MAX((表1_11[[#This Row],[扣保险后工资金额]]-3500)*{3,10,20,25,30,35,45}%-{0,105,555,1005,2755,5505,13505},0),2)</f>
        <v>111.47</v>
      </c>
      <c r="AA555" s="63">
        <f ca="1">表1_11[[#This Row],[扣保险后工资金额]]-表1_11[[#This Row],[个人所得税]]</f>
        <v>5553.2599999999993</v>
      </c>
      <c r="AB555" s="53">
        <v>5612.54</v>
      </c>
      <c r="AC555" s="64">
        <f ca="1">(表1_11[[#This Row],[实发工资]]-表1_11[[#This Row],[上月对比]])/表1_11[[#This Row],[上月对比]]</f>
        <v>-1.0562062809352032E-2</v>
      </c>
      <c r="AD555" s="65" t="s">
        <v>1587</v>
      </c>
    </row>
    <row r="556" spans="1:30">
      <c r="A556" s="42" t="s">
        <v>857</v>
      </c>
      <c r="B556" s="40" t="s">
        <v>895</v>
      </c>
      <c r="C556" s="40" t="s">
        <v>832</v>
      </c>
      <c r="D556" s="40" t="s">
        <v>900</v>
      </c>
      <c r="E556" s="41" t="s">
        <v>1566</v>
      </c>
      <c r="F556" s="5" t="s">
        <v>549</v>
      </c>
      <c r="G556" s="25">
        <v>40943</v>
      </c>
      <c r="H556" s="5" t="s">
        <v>736</v>
      </c>
      <c r="I556" s="5">
        <f>VLOOKUP(MID(表1_11[[#This Row],[工资等级]],1,1),表12[],MATCH(MID(表1_11[[#This Row],[工资等级]],2,2),表12[[#Headers],[1]:[10]],0)+1,0)</f>
        <v>5000</v>
      </c>
      <c r="J556" s="5">
        <v>22</v>
      </c>
      <c r="K556" s="27">
        <v>0.91666666666666663</v>
      </c>
      <c r="L556" s="37">
        <f>IF(表1_11[[#This Row],[出勤率]]&gt;1,1,表1_11[[#This Row],[出勤率]])*表1_11[[#This Row],[岗位工资]]</f>
        <v>4583.333333333333</v>
      </c>
      <c r="M556" s="5">
        <f>LOOKUP(表1_11[[#This Row],[岗位工资]],表13[lookup],表13[奖金比率])*表1_11[[#This Row],[岗位工资]]</f>
        <v>750</v>
      </c>
      <c r="N556" s="5">
        <v>80</v>
      </c>
      <c r="O556" s="38">
        <f>表1_11[[#This Row],[奖金等级]]*表1_11[[#This Row],[绩效得分]]/100</f>
        <v>600</v>
      </c>
      <c r="P556" s="5">
        <f>IF(表1_11[[#This Row],[出勤率]]&gt;=1,200,0)</f>
        <v>0</v>
      </c>
      <c r="Q556" s="23">
        <f t="shared" ca="1" si="8"/>
        <v>300</v>
      </c>
      <c r="R556" s="23">
        <f>IF(表1_11[[#This Row],[中心]]="营销中心",VLOOKUP(表1_11[[#This Row],[职位]],表2[[话费补贴]:[营销中心]],2,0),VLOOKUP(表1_11[[#This Row],[职位]],表2[],3,0))</f>
        <v>500</v>
      </c>
      <c r="S556" s="23">
        <v>200</v>
      </c>
      <c r="T556" s="61">
        <f ca="1">ROUND(SUM(表1_11[[#This Row],[基本工资]],表1_11[[#This Row],[奖金]],表1_11[[#This Row],[全勤奖]:[防暑降温补贴]]),2)</f>
        <v>6183.33</v>
      </c>
      <c r="U556" s="62">
        <f ca="1">ROUND(表1_11[[#This Row],[税前应发总额]]*8%,2)</f>
        <v>494.67</v>
      </c>
      <c r="V556" s="62">
        <f ca="1">ROUND(表1_11[[#This Row],[税前应发总额]]*2%+3,2)</f>
        <v>126.67</v>
      </c>
      <c r="W556" s="62">
        <f ca="1">ROUND(表1_11[[#This Row],[税前应发总额]]*0.2%,2)</f>
        <v>12.37</v>
      </c>
      <c r="X556" s="62">
        <f ca="1">ROUND(表1_11[[#This Row],[税前应发总额]]*12%,2)</f>
        <v>742</v>
      </c>
      <c r="Y556" s="61">
        <f ca="1">ROUND(表1_11[[#This Row],[税前应发总额]]-SUM(表1_11[[#This Row],[养老保险]:[公积金]]),2)</f>
        <v>4807.62</v>
      </c>
      <c r="Z556" s="62">
        <f ca="1">ROUND(MAX((表1_11[[#This Row],[扣保险后工资金额]]-3500)*{3,10,20,25,30,35,45}%-{0,105,555,1005,2755,5505,13505},0),2)</f>
        <v>39.229999999999997</v>
      </c>
      <c r="AA556" s="63">
        <f ca="1">表1_11[[#This Row],[扣保险后工资金额]]-表1_11[[#This Row],[个人所得税]]</f>
        <v>4768.3900000000003</v>
      </c>
      <c r="AB556" s="53">
        <v>5158.71</v>
      </c>
      <c r="AC556" s="64">
        <f ca="1">(表1_11[[#This Row],[实发工资]]-表1_11[[#This Row],[上月对比]])/表1_11[[#This Row],[上月对比]]</f>
        <v>-7.5662326434321706E-2</v>
      </c>
      <c r="AD556" s="65" t="s">
        <v>1587</v>
      </c>
    </row>
    <row r="557" spans="1:30">
      <c r="A557" s="42" t="s">
        <v>857</v>
      </c>
      <c r="B557" s="40" t="s">
        <v>901</v>
      </c>
      <c r="C557" s="40" t="s">
        <v>827</v>
      </c>
      <c r="D557" s="40" t="s">
        <v>873</v>
      </c>
      <c r="E557" s="41" t="s">
        <v>1567</v>
      </c>
      <c r="F557" s="5" t="s">
        <v>550</v>
      </c>
      <c r="G557" s="25">
        <v>42180</v>
      </c>
      <c r="H557" s="5" t="s">
        <v>625</v>
      </c>
      <c r="I557" s="5">
        <f>VLOOKUP(MID(表1_11[[#This Row],[工资等级]],1,1),表12[],MATCH(MID(表1_11[[#This Row],[工资等级]],2,2),表12[[#Headers],[1]:[10]],0)+1,0)</f>
        <v>6000</v>
      </c>
      <c r="J557" s="5">
        <v>22</v>
      </c>
      <c r="K557" s="27">
        <v>0.91666666666666663</v>
      </c>
      <c r="L557" s="37">
        <f>IF(表1_11[[#This Row],[出勤率]]&gt;1,1,表1_11[[#This Row],[出勤率]])*表1_11[[#This Row],[岗位工资]]</f>
        <v>5500</v>
      </c>
      <c r="M557" s="5">
        <f>LOOKUP(表1_11[[#This Row],[岗位工资]],表13[lookup],表13[奖金比率])*表1_11[[#This Row],[岗位工资]]</f>
        <v>900</v>
      </c>
      <c r="N557" s="5">
        <v>81</v>
      </c>
      <c r="O557" s="38">
        <f>表1_11[[#This Row],[奖金等级]]*表1_11[[#This Row],[绩效得分]]/100</f>
        <v>729</v>
      </c>
      <c r="P557" s="5">
        <f>IF(表1_11[[#This Row],[出勤率]]&gt;=1,200,0)</f>
        <v>0</v>
      </c>
      <c r="Q557" s="23">
        <f t="shared" ca="1" si="8"/>
        <v>100</v>
      </c>
      <c r="R557" s="23">
        <f>IF(表1_11[[#This Row],[中心]]="营销中心",VLOOKUP(表1_11[[#This Row],[职位]],表2[[话费补贴]:[营销中心]],2,0),VLOOKUP(表1_11[[#This Row],[职位]],表2[],3,0))</f>
        <v>500</v>
      </c>
      <c r="S557" s="23">
        <v>200</v>
      </c>
      <c r="T557" s="61">
        <f ca="1">ROUND(SUM(表1_11[[#This Row],[基本工资]],表1_11[[#This Row],[奖金]],表1_11[[#This Row],[全勤奖]:[防暑降温补贴]]),2)</f>
        <v>7029</v>
      </c>
      <c r="U557" s="62">
        <f ca="1">ROUND(表1_11[[#This Row],[税前应发总额]]*8%,2)</f>
        <v>562.32000000000005</v>
      </c>
      <c r="V557" s="62">
        <f ca="1">ROUND(表1_11[[#This Row],[税前应发总额]]*2%+3,2)</f>
        <v>143.58000000000001</v>
      </c>
      <c r="W557" s="62">
        <f ca="1">ROUND(表1_11[[#This Row],[税前应发总额]]*0.2%,2)</f>
        <v>14.06</v>
      </c>
      <c r="X557" s="62">
        <f ca="1">ROUND(表1_11[[#This Row],[税前应发总额]]*12%,2)</f>
        <v>843.48</v>
      </c>
      <c r="Y557" s="61">
        <f ca="1">ROUND(表1_11[[#This Row],[税前应发总额]]-SUM(表1_11[[#This Row],[养老保险]:[公积金]]),2)</f>
        <v>5465.56</v>
      </c>
      <c r="Z557" s="62">
        <f ca="1">ROUND(MAX((表1_11[[#This Row],[扣保险后工资金额]]-3500)*{3,10,20,25,30,35,45}%-{0,105,555,1005,2755,5505,13505},0),2)</f>
        <v>91.56</v>
      </c>
      <c r="AA557" s="63">
        <f ca="1">表1_11[[#This Row],[扣保险后工资金额]]-表1_11[[#This Row],[个人所得税]]</f>
        <v>5374</v>
      </c>
      <c r="AB557" s="53">
        <v>5672.7</v>
      </c>
      <c r="AC557" s="64">
        <f ca="1">(表1_11[[#This Row],[实发工资]]-表1_11[[#This Row],[上月对比]])/表1_11[[#This Row],[上月对比]]</f>
        <v>-5.2655701870361525E-2</v>
      </c>
      <c r="AD557" s="65" t="s">
        <v>1587</v>
      </c>
    </row>
    <row r="558" spans="1:30">
      <c r="A558" s="42" t="s">
        <v>857</v>
      </c>
      <c r="B558" s="40" t="s">
        <v>902</v>
      </c>
      <c r="C558" s="40" t="s">
        <v>655</v>
      </c>
      <c r="D558" s="40" t="s">
        <v>882</v>
      </c>
      <c r="E558" s="41" t="s">
        <v>1568</v>
      </c>
      <c r="F558" s="5" t="s">
        <v>551</v>
      </c>
      <c r="G558" s="25">
        <v>40888</v>
      </c>
      <c r="H558" s="5" t="s">
        <v>610</v>
      </c>
      <c r="I558" s="5">
        <f>VLOOKUP(MID(表1_11[[#This Row],[工资等级]],1,1),表12[],MATCH(MID(表1_11[[#This Row],[工资等级]],2,2),表12[[#Headers],[1]:[10]],0)+1,0)</f>
        <v>3400</v>
      </c>
      <c r="J558" s="5">
        <v>21</v>
      </c>
      <c r="K558" s="27">
        <v>0.875</v>
      </c>
      <c r="L558" s="37">
        <f>IF(表1_11[[#This Row],[出勤率]]&gt;1,1,表1_11[[#This Row],[出勤率]])*表1_11[[#This Row],[岗位工资]]</f>
        <v>2975</v>
      </c>
      <c r="M558" s="5">
        <f>LOOKUP(表1_11[[#This Row],[岗位工资]],表13[lookup],表13[奖金比率])*表1_11[[#This Row],[岗位工资]]</f>
        <v>340</v>
      </c>
      <c r="N558" s="5">
        <v>84</v>
      </c>
      <c r="O558" s="38">
        <f>表1_11[[#This Row],[奖金等级]]*表1_11[[#This Row],[绩效得分]]/100</f>
        <v>285.60000000000002</v>
      </c>
      <c r="P558" s="5">
        <f>IF(表1_11[[#This Row],[出勤率]]&gt;=1,200,0)</f>
        <v>0</v>
      </c>
      <c r="Q558" s="23">
        <f t="shared" ca="1" si="8"/>
        <v>300</v>
      </c>
      <c r="R558" s="23">
        <f>IF(表1_11[[#This Row],[中心]]="营销中心",VLOOKUP(表1_11[[#This Row],[职位]],表2[[话费补贴]:[营销中心]],2,0),VLOOKUP(表1_11[[#This Row],[职位]],表2[],3,0))</f>
        <v>300</v>
      </c>
      <c r="S558" s="23">
        <v>200</v>
      </c>
      <c r="T558" s="61">
        <f ca="1">ROUND(SUM(表1_11[[#This Row],[基本工资]],表1_11[[#This Row],[奖金]],表1_11[[#This Row],[全勤奖]:[防暑降温补贴]]),2)</f>
        <v>4060.6</v>
      </c>
      <c r="U558" s="62">
        <f ca="1">ROUND(表1_11[[#This Row],[税前应发总额]]*8%,2)</f>
        <v>324.85000000000002</v>
      </c>
      <c r="V558" s="62">
        <f ca="1">ROUND(表1_11[[#This Row],[税前应发总额]]*2%+3,2)</f>
        <v>84.21</v>
      </c>
      <c r="W558" s="62">
        <f ca="1">ROUND(表1_11[[#This Row],[税前应发总额]]*0.2%,2)</f>
        <v>8.1199999999999992</v>
      </c>
      <c r="X558" s="62">
        <f ca="1">ROUND(表1_11[[#This Row],[税前应发总额]]*12%,2)</f>
        <v>487.27</v>
      </c>
      <c r="Y558" s="61">
        <f ca="1">ROUND(表1_11[[#This Row],[税前应发总额]]-SUM(表1_11[[#This Row],[养老保险]:[公积金]]),2)</f>
        <v>3156.15</v>
      </c>
      <c r="Z558" s="62">
        <f ca="1">ROUND(MAX((表1_11[[#This Row],[扣保险后工资金额]]-3500)*{3,10,20,25,30,35,45}%-{0,105,555,1005,2755,5505,13505},0),2)</f>
        <v>0</v>
      </c>
      <c r="AA558" s="63">
        <f ca="1">表1_11[[#This Row],[扣保险后工资金额]]-表1_11[[#This Row],[个人所得税]]</f>
        <v>3156.15</v>
      </c>
      <c r="AB558" s="53">
        <v>2903.96</v>
      </c>
      <c r="AC558" s="64">
        <f ca="1">(表1_11[[#This Row],[实发工资]]-表1_11[[#This Row],[上月对比]])/表1_11[[#This Row],[上月对比]]</f>
        <v>8.6843482692599089E-2</v>
      </c>
      <c r="AD558" s="65" t="s">
        <v>1587</v>
      </c>
    </row>
    <row r="559" spans="1:30">
      <c r="A559" s="42" t="s">
        <v>857</v>
      </c>
      <c r="B559" s="40" t="s">
        <v>903</v>
      </c>
      <c r="C559" s="40" t="s">
        <v>687</v>
      </c>
      <c r="D559" s="40" t="s">
        <v>904</v>
      </c>
      <c r="E559" s="41" t="s">
        <v>1569</v>
      </c>
      <c r="F559" s="5" t="s">
        <v>552</v>
      </c>
      <c r="G559" s="25">
        <v>38425</v>
      </c>
      <c r="H559" s="5" t="s">
        <v>612</v>
      </c>
      <c r="I559" s="5">
        <f>VLOOKUP(MID(表1_11[[#This Row],[工资等级]],1,1),表12[],MATCH(MID(表1_11[[#This Row],[工资等级]],2,2),表12[[#Headers],[1]:[10]],0)+1,0)</f>
        <v>2700</v>
      </c>
      <c r="J559" s="5">
        <v>25</v>
      </c>
      <c r="K559" s="27">
        <v>1.0416666666666667</v>
      </c>
      <c r="L559" s="37">
        <f>IF(表1_11[[#This Row],[出勤率]]&gt;1,1,表1_11[[#This Row],[出勤率]])*表1_11[[#This Row],[岗位工资]]</f>
        <v>2700</v>
      </c>
      <c r="M559" s="5">
        <f>LOOKUP(表1_11[[#This Row],[岗位工资]],表13[lookup],表13[奖金比率])*表1_11[[#This Row],[岗位工资]]</f>
        <v>270</v>
      </c>
      <c r="N559" s="5">
        <v>84</v>
      </c>
      <c r="O559" s="38">
        <f>表1_11[[#This Row],[奖金等级]]*表1_11[[#This Row],[绩效得分]]/100</f>
        <v>226.8</v>
      </c>
      <c r="P559" s="5">
        <f>IF(表1_11[[#This Row],[出勤率]]&gt;=1,200,0)</f>
        <v>200</v>
      </c>
      <c r="Q559" s="23">
        <f t="shared" ca="1" si="8"/>
        <v>500</v>
      </c>
      <c r="R559" s="23">
        <f>IF(表1_11[[#This Row],[中心]]="营销中心",VLOOKUP(表1_11[[#This Row],[职位]],表2[[话费补贴]:[营销中心]],2,0),VLOOKUP(表1_11[[#This Row],[职位]],表2[],3,0))</f>
        <v>300</v>
      </c>
      <c r="S559" s="23">
        <v>200</v>
      </c>
      <c r="T559" s="61">
        <f ca="1">ROUND(SUM(表1_11[[#This Row],[基本工资]],表1_11[[#This Row],[奖金]],表1_11[[#This Row],[全勤奖]:[防暑降温补贴]]),2)</f>
        <v>4126.8</v>
      </c>
      <c r="U559" s="62">
        <f ca="1">ROUND(表1_11[[#This Row],[税前应发总额]]*8%,2)</f>
        <v>330.14</v>
      </c>
      <c r="V559" s="62">
        <f ca="1">ROUND(表1_11[[#This Row],[税前应发总额]]*2%+3,2)</f>
        <v>85.54</v>
      </c>
      <c r="W559" s="62">
        <f ca="1">ROUND(表1_11[[#This Row],[税前应发总额]]*0.2%,2)</f>
        <v>8.25</v>
      </c>
      <c r="X559" s="62">
        <f ca="1">ROUND(表1_11[[#This Row],[税前应发总额]]*12%,2)</f>
        <v>495.22</v>
      </c>
      <c r="Y559" s="61">
        <f ca="1">ROUND(表1_11[[#This Row],[税前应发总额]]-SUM(表1_11[[#This Row],[养老保险]:[公积金]]),2)</f>
        <v>3207.65</v>
      </c>
      <c r="Z559" s="62">
        <f ca="1">ROUND(MAX((表1_11[[#This Row],[扣保险后工资金额]]-3500)*{3,10,20,25,30,35,45}%-{0,105,555,1005,2755,5505,13505},0),2)</f>
        <v>0</v>
      </c>
      <c r="AA559" s="63">
        <f ca="1">表1_11[[#This Row],[扣保险后工资金额]]-表1_11[[#This Row],[个人所得税]]</f>
        <v>3207.65</v>
      </c>
      <c r="AB559" s="53">
        <v>2975.3</v>
      </c>
      <c r="AC559" s="64">
        <f ca="1">(表1_11[[#This Row],[实发工资]]-表1_11[[#This Row],[上月对比]])/表1_11[[#This Row],[上月对比]]</f>
        <v>7.8092965415252208E-2</v>
      </c>
      <c r="AD559" s="65" t="s">
        <v>1587</v>
      </c>
    </row>
    <row r="560" spans="1:30">
      <c r="A560" s="42" t="s">
        <v>857</v>
      </c>
      <c r="B560" s="40" t="s">
        <v>902</v>
      </c>
      <c r="C560" s="40" t="s">
        <v>655</v>
      </c>
      <c r="D560" s="40" t="s">
        <v>882</v>
      </c>
      <c r="E560" s="41" t="s">
        <v>1570</v>
      </c>
      <c r="F560" s="5" t="s">
        <v>553</v>
      </c>
      <c r="G560" s="25">
        <v>40363</v>
      </c>
      <c r="H560" s="5" t="s">
        <v>618</v>
      </c>
      <c r="I560" s="5">
        <f>VLOOKUP(MID(表1_11[[#This Row],[工资等级]],1,1),表12[],MATCH(MID(表1_11[[#This Row],[工资等级]],2,2),表12[[#Headers],[1]:[10]],0)+1,0)</f>
        <v>3000</v>
      </c>
      <c r="J560" s="5">
        <v>22</v>
      </c>
      <c r="K560" s="27">
        <v>0.91666666666666663</v>
      </c>
      <c r="L560" s="37">
        <f>IF(表1_11[[#This Row],[出勤率]]&gt;1,1,表1_11[[#This Row],[出勤率]])*表1_11[[#This Row],[岗位工资]]</f>
        <v>2750</v>
      </c>
      <c r="M560" s="5">
        <f>LOOKUP(表1_11[[#This Row],[岗位工资]],表13[lookup],表13[奖金比率])*表1_11[[#This Row],[岗位工资]]</f>
        <v>300</v>
      </c>
      <c r="N560" s="5">
        <v>98</v>
      </c>
      <c r="O560" s="38">
        <f>表1_11[[#This Row],[奖金等级]]*表1_11[[#This Row],[绩效得分]]/100</f>
        <v>294</v>
      </c>
      <c r="P560" s="5">
        <f>IF(表1_11[[#This Row],[出勤率]]&gt;=1,200,0)</f>
        <v>0</v>
      </c>
      <c r="Q560" s="23">
        <f t="shared" ca="1" si="8"/>
        <v>350</v>
      </c>
      <c r="R560" s="23">
        <f>IF(表1_11[[#This Row],[中心]]="营销中心",VLOOKUP(表1_11[[#This Row],[职位]],表2[[话费补贴]:[营销中心]],2,0),VLOOKUP(表1_11[[#This Row],[职位]],表2[],3,0))</f>
        <v>300</v>
      </c>
      <c r="S560" s="23">
        <v>200</v>
      </c>
      <c r="T560" s="61">
        <f ca="1">ROUND(SUM(表1_11[[#This Row],[基本工资]],表1_11[[#This Row],[奖金]],表1_11[[#This Row],[全勤奖]:[防暑降温补贴]]),2)</f>
        <v>3894</v>
      </c>
      <c r="U560" s="62">
        <f ca="1">ROUND(表1_11[[#This Row],[税前应发总额]]*8%,2)</f>
        <v>311.52</v>
      </c>
      <c r="V560" s="62">
        <f ca="1">ROUND(表1_11[[#This Row],[税前应发总额]]*2%+3,2)</f>
        <v>80.88</v>
      </c>
      <c r="W560" s="62">
        <f ca="1">ROUND(表1_11[[#This Row],[税前应发总额]]*0.2%,2)</f>
        <v>7.79</v>
      </c>
      <c r="X560" s="62">
        <f ca="1">ROUND(表1_11[[#This Row],[税前应发总额]]*12%,2)</f>
        <v>467.28</v>
      </c>
      <c r="Y560" s="61">
        <f ca="1">ROUND(表1_11[[#This Row],[税前应发总额]]-SUM(表1_11[[#This Row],[养老保险]:[公积金]]),2)</f>
        <v>3026.53</v>
      </c>
      <c r="Z560" s="62">
        <f ca="1">ROUND(MAX((表1_11[[#This Row],[扣保险后工资金额]]-3500)*{3,10,20,25,30,35,45}%-{0,105,555,1005,2755,5505,13505},0),2)</f>
        <v>0</v>
      </c>
      <c r="AA560" s="63">
        <f ca="1">表1_11[[#This Row],[扣保险后工资金额]]-表1_11[[#This Row],[个人所得税]]</f>
        <v>3026.53</v>
      </c>
      <c r="AB560" s="53">
        <v>2936.96</v>
      </c>
      <c r="AC560" s="64">
        <f ca="1">(表1_11[[#This Row],[实发工资]]-表1_11[[#This Row],[上月对比]])/表1_11[[#This Row],[上月对比]]</f>
        <v>3.0497521246458978E-2</v>
      </c>
      <c r="AD560" s="65" t="s">
        <v>1587</v>
      </c>
    </row>
    <row r="561" spans="1:30">
      <c r="A561" s="42" t="s">
        <v>857</v>
      </c>
      <c r="B561" s="40" t="s">
        <v>902</v>
      </c>
      <c r="C561" s="40" t="s">
        <v>655</v>
      </c>
      <c r="D561" s="40" t="s">
        <v>882</v>
      </c>
      <c r="E561" s="41" t="s">
        <v>1571</v>
      </c>
      <c r="F561" s="5" t="s">
        <v>554</v>
      </c>
      <c r="G561" s="25">
        <v>42653</v>
      </c>
      <c r="H561" s="5" t="s">
        <v>618</v>
      </c>
      <c r="I561" s="5">
        <f>VLOOKUP(MID(表1_11[[#This Row],[工资等级]],1,1),表12[],MATCH(MID(表1_11[[#This Row],[工资等级]],2,2),表12[[#Headers],[1]:[10]],0)+1,0)</f>
        <v>3000</v>
      </c>
      <c r="J561" s="5">
        <v>22</v>
      </c>
      <c r="K561" s="27">
        <v>0.91666666666666663</v>
      </c>
      <c r="L561" s="37">
        <f>IF(表1_11[[#This Row],[出勤率]]&gt;1,1,表1_11[[#This Row],[出勤率]])*表1_11[[#This Row],[岗位工资]]</f>
        <v>2750</v>
      </c>
      <c r="M561" s="5">
        <f>LOOKUP(表1_11[[#This Row],[岗位工资]],表13[lookup],表13[奖金比率])*表1_11[[#This Row],[岗位工资]]</f>
        <v>300</v>
      </c>
      <c r="N561" s="5">
        <v>93</v>
      </c>
      <c r="O561" s="38">
        <f>表1_11[[#This Row],[奖金等级]]*表1_11[[#This Row],[绩效得分]]/100</f>
        <v>279</v>
      </c>
      <c r="P561" s="5">
        <f>IF(表1_11[[#This Row],[出勤率]]&gt;=1,200,0)</f>
        <v>0</v>
      </c>
      <c r="Q561" s="23">
        <f t="shared" ca="1" si="8"/>
        <v>50</v>
      </c>
      <c r="R561" s="23">
        <f>IF(表1_11[[#This Row],[中心]]="营销中心",VLOOKUP(表1_11[[#This Row],[职位]],表2[[话费补贴]:[营销中心]],2,0),VLOOKUP(表1_11[[#This Row],[职位]],表2[],3,0))</f>
        <v>300</v>
      </c>
      <c r="S561" s="23">
        <v>200</v>
      </c>
      <c r="T561" s="61">
        <f ca="1">ROUND(SUM(表1_11[[#This Row],[基本工资]],表1_11[[#This Row],[奖金]],表1_11[[#This Row],[全勤奖]:[防暑降温补贴]]),2)</f>
        <v>3579</v>
      </c>
      <c r="U561" s="62">
        <f ca="1">ROUND(表1_11[[#This Row],[税前应发总额]]*8%,2)</f>
        <v>286.32</v>
      </c>
      <c r="V561" s="62">
        <f ca="1">ROUND(表1_11[[#This Row],[税前应发总额]]*2%+3,2)</f>
        <v>74.58</v>
      </c>
      <c r="W561" s="62">
        <f ca="1">ROUND(表1_11[[#This Row],[税前应发总额]]*0.2%,2)</f>
        <v>7.16</v>
      </c>
      <c r="X561" s="62">
        <f ca="1">ROUND(表1_11[[#This Row],[税前应发总额]]*12%,2)</f>
        <v>429.48</v>
      </c>
      <c r="Y561" s="61">
        <f ca="1">ROUND(表1_11[[#This Row],[税前应发总额]]-SUM(表1_11[[#This Row],[养老保险]:[公积金]]),2)</f>
        <v>2781.46</v>
      </c>
      <c r="Z561" s="62">
        <f ca="1">ROUND(MAX((表1_11[[#This Row],[扣保险后工资金额]]-3500)*{3,10,20,25,30,35,45}%-{0,105,555,1005,2755,5505,13505},0),2)</f>
        <v>0</v>
      </c>
      <c r="AA561" s="63">
        <f ca="1">表1_11[[#This Row],[扣保险后工资金额]]-表1_11[[#This Row],[个人所得税]]</f>
        <v>2781.46</v>
      </c>
      <c r="AB561" s="53">
        <v>2966.5</v>
      </c>
      <c r="AC561" s="64">
        <f ca="1">(表1_11[[#This Row],[实发工资]]-表1_11[[#This Row],[上月对比]])/表1_11[[#This Row],[上月对比]]</f>
        <v>-6.2376538007753231E-2</v>
      </c>
      <c r="AD561" s="65" t="s">
        <v>1587</v>
      </c>
    </row>
    <row r="562" spans="1:30">
      <c r="A562" s="42" t="s">
        <v>857</v>
      </c>
      <c r="B562" s="40" t="s">
        <v>902</v>
      </c>
      <c r="C562" s="40" t="s">
        <v>655</v>
      </c>
      <c r="D562" s="40" t="s">
        <v>882</v>
      </c>
      <c r="E562" s="41" t="s">
        <v>1572</v>
      </c>
      <c r="F562" s="5" t="s">
        <v>555</v>
      </c>
      <c r="G562" s="25">
        <v>40524</v>
      </c>
      <c r="H562" s="5" t="s">
        <v>623</v>
      </c>
      <c r="I562" s="5">
        <f>VLOOKUP(MID(表1_11[[#This Row],[工资等级]],1,1),表12[],MATCH(MID(表1_11[[#This Row],[工资等级]],2,2),表12[[#Headers],[1]:[10]],0)+1,0)</f>
        <v>3800</v>
      </c>
      <c r="J562" s="5">
        <v>20.5</v>
      </c>
      <c r="K562" s="27">
        <v>0.85416666666666663</v>
      </c>
      <c r="L562" s="37">
        <f>IF(表1_11[[#This Row],[出勤率]]&gt;1,1,表1_11[[#This Row],[出勤率]])*表1_11[[#This Row],[岗位工资]]</f>
        <v>3245.833333333333</v>
      </c>
      <c r="M562" s="5">
        <f>LOOKUP(表1_11[[#This Row],[岗位工资]],表13[lookup],表13[奖金比率])*表1_11[[#This Row],[岗位工资]]</f>
        <v>380</v>
      </c>
      <c r="N562" s="5">
        <v>96</v>
      </c>
      <c r="O562" s="38">
        <f>表1_11[[#This Row],[奖金等级]]*表1_11[[#This Row],[绩效得分]]/100</f>
        <v>364.8</v>
      </c>
      <c r="P562" s="5">
        <f>IF(表1_11[[#This Row],[出勤率]]&gt;=1,200,0)</f>
        <v>0</v>
      </c>
      <c r="Q562" s="23">
        <f t="shared" ca="1" si="8"/>
        <v>350</v>
      </c>
      <c r="R562" s="23">
        <f>IF(表1_11[[#This Row],[中心]]="营销中心",VLOOKUP(表1_11[[#This Row],[职位]],表2[[话费补贴]:[营销中心]],2,0),VLOOKUP(表1_11[[#This Row],[职位]],表2[],3,0))</f>
        <v>300</v>
      </c>
      <c r="S562" s="23">
        <v>200</v>
      </c>
      <c r="T562" s="61">
        <f ca="1">ROUND(SUM(表1_11[[#This Row],[基本工资]],表1_11[[#This Row],[奖金]],表1_11[[#This Row],[全勤奖]:[防暑降温补贴]]),2)</f>
        <v>4460.63</v>
      </c>
      <c r="U562" s="62">
        <f ca="1">ROUND(表1_11[[#This Row],[税前应发总额]]*8%,2)</f>
        <v>356.85</v>
      </c>
      <c r="V562" s="62">
        <f ca="1">ROUND(表1_11[[#This Row],[税前应发总额]]*2%+3,2)</f>
        <v>92.21</v>
      </c>
      <c r="W562" s="62">
        <f ca="1">ROUND(表1_11[[#This Row],[税前应发总额]]*0.2%,2)</f>
        <v>8.92</v>
      </c>
      <c r="X562" s="62">
        <f ca="1">ROUND(表1_11[[#This Row],[税前应发总额]]*12%,2)</f>
        <v>535.28</v>
      </c>
      <c r="Y562" s="61">
        <f ca="1">ROUND(表1_11[[#This Row],[税前应发总额]]-SUM(表1_11[[#This Row],[养老保险]:[公积金]]),2)</f>
        <v>3467.37</v>
      </c>
      <c r="Z562" s="62">
        <f ca="1">ROUND(MAX((表1_11[[#This Row],[扣保险后工资金额]]-3500)*{3,10,20,25,30,35,45}%-{0,105,555,1005,2755,5505,13505},0),2)</f>
        <v>0</v>
      </c>
      <c r="AA562" s="63">
        <f ca="1">表1_11[[#This Row],[扣保险后工资金额]]-表1_11[[#This Row],[个人所得税]]</f>
        <v>3467.37</v>
      </c>
      <c r="AB562" s="53">
        <v>3962.9</v>
      </c>
      <c r="AC562" s="64">
        <f ca="1">(表1_11[[#This Row],[实发工资]]-表1_11[[#This Row],[上月对比]])/表1_11[[#This Row],[上月对比]]</f>
        <v>-0.12504226702667243</v>
      </c>
      <c r="AD562" s="65" t="s">
        <v>1587</v>
      </c>
    </row>
    <row r="563" spans="1:30">
      <c r="A563" s="42" t="s">
        <v>857</v>
      </c>
      <c r="B563" s="40" t="s">
        <v>895</v>
      </c>
      <c r="C563" s="40" t="s">
        <v>711</v>
      </c>
      <c r="D563" s="40" t="s">
        <v>884</v>
      </c>
      <c r="E563" s="41" t="s">
        <v>1573</v>
      </c>
      <c r="F563" s="5" t="s">
        <v>556</v>
      </c>
      <c r="G563" s="25">
        <v>41886</v>
      </c>
      <c r="H563" s="5" t="s">
        <v>630</v>
      </c>
      <c r="I563" s="5">
        <f>VLOOKUP(MID(表1_11[[#This Row],[工资等级]],1,1),表12[],MATCH(MID(表1_11[[#This Row],[工资等级]],2,2),表12[[#Headers],[1]:[10]],0)+1,0)</f>
        <v>2600</v>
      </c>
      <c r="J563" s="5">
        <v>23.5</v>
      </c>
      <c r="K563" s="27">
        <v>0.97916666666666663</v>
      </c>
      <c r="L563" s="37">
        <f>IF(表1_11[[#This Row],[出勤率]]&gt;1,1,表1_11[[#This Row],[出勤率]])*表1_11[[#This Row],[岗位工资]]</f>
        <v>2545.833333333333</v>
      </c>
      <c r="M563" s="5">
        <f>LOOKUP(表1_11[[#This Row],[岗位工资]],表13[lookup],表13[奖金比率])*表1_11[[#This Row],[岗位工资]]</f>
        <v>260</v>
      </c>
      <c r="N563" s="5">
        <v>84</v>
      </c>
      <c r="O563" s="38">
        <f>表1_11[[#This Row],[奖金等级]]*表1_11[[#This Row],[绩效得分]]/100</f>
        <v>218.4</v>
      </c>
      <c r="P563" s="5">
        <f>IF(表1_11[[#This Row],[出勤率]]&gt;=1,200,0)</f>
        <v>0</v>
      </c>
      <c r="Q563" s="23">
        <f t="shared" ca="1" si="8"/>
        <v>150</v>
      </c>
      <c r="R563" s="23">
        <f>IF(表1_11[[#This Row],[中心]]="营销中心",VLOOKUP(表1_11[[#This Row],[职位]],表2[[话费补贴]:[营销中心]],2,0),VLOOKUP(表1_11[[#This Row],[职位]],表2[],3,0))</f>
        <v>300</v>
      </c>
      <c r="S563" s="23">
        <v>200</v>
      </c>
      <c r="T563" s="61">
        <f ca="1">ROUND(SUM(表1_11[[#This Row],[基本工资]],表1_11[[#This Row],[奖金]],表1_11[[#This Row],[全勤奖]:[防暑降温补贴]]),2)</f>
        <v>3414.23</v>
      </c>
      <c r="U563" s="62">
        <f ca="1">ROUND(表1_11[[#This Row],[税前应发总额]]*8%,2)</f>
        <v>273.14</v>
      </c>
      <c r="V563" s="62">
        <f ca="1">ROUND(表1_11[[#This Row],[税前应发总额]]*2%+3,2)</f>
        <v>71.28</v>
      </c>
      <c r="W563" s="62">
        <f ca="1">ROUND(表1_11[[#This Row],[税前应发总额]]*0.2%,2)</f>
        <v>6.83</v>
      </c>
      <c r="X563" s="62">
        <f ca="1">ROUND(表1_11[[#This Row],[税前应发总额]]*12%,2)</f>
        <v>409.71</v>
      </c>
      <c r="Y563" s="61">
        <f ca="1">ROUND(表1_11[[#This Row],[税前应发总额]]-SUM(表1_11[[#This Row],[养老保险]:[公积金]]),2)</f>
        <v>2653.27</v>
      </c>
      <c r="Z563" s="62">
        <f ca="1">ROUND(MAX((表1_11[[#This Row],[扣保险后工资金额]]-3500)*{3,10,20,25,30,35,45}%-{0,105,555,1005,2755,5505,13505},0),2)</f>
        <v>0</v>
      </c>
      <c r="AA563" s="63">
        <f ca="1">表1_11[[#This Row],[扣保险后工资金额]]-表1_11[[#This Row],[个人所得税]]</f>
        <v>2653.27</v>
      </c>
      <c r="AB563" s="53">
        <v>2235.98</v>
      </c>
      <c r="AC563" s="64">
        <f ca="1">(表1_11[[#This Row],[实发工资]]-表1_11[[#This Row],[上月对比]])/表1_11[[#This Row],[上月对比]]</f>
        <v>0.18662510398125204</v>
      </c>
      <c r="AD563" s="65" t="s">
        <v>1587</v>
      </c>
    </row>
    <row r="564" spans="1:30">
      <c r="A564" s="42" t="s">
        <v>857</v>
      </c>
      <c r="B564" s="40" t="s">
        <v>895</v>
      </c>
      <c r="C564" s="40" t="s">
        <v>711</v>
      </c>
      <c r="D564" s="40" t="s">
        <v>884</v>
      </c>
      <c r="E564" s="41" t="s">
        <v>1574</v>
      </c>
      <c r="F564" s="5" t="s">
        <v>557</v>
      </c>
      <c r="G564" s="25">
        <v>42558</v>
      </c>
      <c r="H564" s="5" t="s">
        <v>610</v>
      </c>
      <c r="I564" s="5">
        <f>VLOOKUP(MID(表1_11[[#This Row],[工资等级]],1,1),表12[],MATCH(MID(表1_11[[#This Row],[工资等级]],2,2),表12[[#Headers],[1]:[10]],0)+1,0)</f>
        <v>3400</v>
      </c>
      <c r="J564" s="5">
        <v>21</v>
      </c>
      <c r="K564" s="27">
        <v>0.875</v>
      </c>
      <c r="L564" s="37">
        <f>IF(表1_11[[#This Row],[出勤率]]&gt;1,1,表1_11[[#This Row],[出勤率]])*表1_11[[#This Row],[岗位工资]]</f>
        <v>2975</v>
      </c>
      <c r="M564" s="5">
        <f>LOOKUP(表1_11[[#This Row],[岗位工资]],表13[lookup],表13[奖金比率])*表1_11[[#This Row],[岗位工资]]</f>
        <v>340</v>
      </c>
      <c r="N564" s="5">
        <v>100</v>
      </c>
      <c r="O564" s="38">
        <f>表1_11[[#This Row],[奖金等级]]*表1_11[[#This Row],[绩效得分]]/100</f>
        <v>340</v>
      </c>
      <c r="P564" s="5">
        <f>IF(表1_11[[#This Row],[出勤率]]&gt;=1,200,0)</f>
        <v>0</v>
      </c>
      <c r="Q564" s="23">
        <f t="shared" ca="1" si="8"/>
        <v>50</v>
      </c>
      <c r="R564" s="23">
        <f>IF(表1_11[[#This Row],[中心]]="营销中心",VLOOKUP(表1_11[[#This Row],[职位]],表2[[话费补贴]:[营销中心]],2,0),VLOOKUP(表1_11[[#This Row],[职位]],表2[],3,0))</f>
        <v>300</v>
      </c>
      <c r="S564" s="23">
        <v>200</v>
      </c>
      <c r="T564" s="61">
        <f ca="1">ROUND(SUM(表1_11[[#This Row],[基本工资]],表1_11[[#This Row],[奖金]],表1_11[[#This Row],[全勤奖]:[防暑降温补贴]]),2)</f>
        <v>3865</v>
      </c>
      <c r="U564" s="62">
        <f ca="1">ROUND(表1_11[[#This Row],[税前应发总额]]*8%,2)</f>
        <v>309.2</v>
      </c>
      <c r="V564" s="62">
        <f ca="1">ROUND(表1_11[[#This Row],[税前应发总额]]*2%+3,2)</f>
        <v>80.3</v>
      </c>
      <c r="W564" s="62">
        <f ca="1">ROUND(表1_11[[#This Row],[税前应发总额]]*0.2%,2)</f>
        <v>7.73</v>
      </c>
      <c r="X564" s="62">
        <f ca="1">ROUND(表1_11[[#This Row],[税前应发总额]]*12%,2)</f>
        <v>463.8</v>
      </c>
      <c r="Y564" s="61">
        <f ca="1">ROUND(表1_11[[#This Row],[税前应发总额]]-SUM(表1_11[[#This Row],[养老保险]:[公积金]]),2)</f>
        <v>3003.97</v>
      </c>
      <c r="Z564" s="62">
        <f ca="1">ROUND(MAX((表1_11[[#This Row],[扣保险后工资金额]]-3500)*{3,10,20,25,30,35,45}%-{0,105,555,1005,2755,5505,13505},0),2)</f>
        <v>0</v>
      </c>
      <c r="AA564" s="63">
        <f ca="1">表1_11[[#This Row],[扣保险后工资金额]]-表1_11[[#This Row],[个人所得税]]</f>
        <v>3003.97</v>
      </c>
      <c r="AB564" s="53">
        <v>2592.9699999999998</v>
      </c>
      <c r="AC564" s="64">
        <f ca="1">(表1_11[[#This Row],[实发工资]]-表1_11[[#This Row],[上月对比]])/表1_11[[#This Row],[上月对比]]</f>
        <v>0.15850549755685567</v>
      </c>
      <c r="AD564" s="65" t="s">
        <v>1587</v>
      </c>
    </row>
    <row r="565" spans="1:30">
      <c r="A565" s="42" t="s">
        <v>857</v>
      </c>
      <c r="B565" s="40" t="s">
        <v>902</v>
      </c>
      <c r="C565" s="40" t="s">
        <v>655</v>
      </c>
      <c r="D565" s="40" t="s">
        <v>882</v>
      </c>
      <c r="E565" s="41" t="s">
        <v>1575</v>
      </c>
      <c r="F565" s="5" t="s">
        <v>558</v>
      </c>
      <c r="G565" s="25">
        <v>42159</v>
      </c>
      <c r="H565" s="5" t="s">
        <v>610</v>
      </c>
      <c r="I565" s="5">
        <f>VLOOKUP(MID(表1_11[[#This Row],[工资等级]],1,1),表12[],MATCH(MID(表1_11[[#This Row],[工资等级]],2,2),表12[[#Headers],[1]:[10]],0)+1,0)</f>
        <v>3400</v>
      </c>
      <c r="J565" s="5">
        <v>25</v>
      </c>
      <c r="K565" s="27">
        <v>1.0416666666666667</v>
      </c>
      <c r="L565" s="37">
        <f>IF(表1_11[[#This Row],[出勤率]]&gt;1,1,表1_11[[#This Row],[出勤率]])*表1_11[[#This Row],[岗位工资]]</f>
        <v>3400</v>
      </c>
      <c r="M565" s="5">
        <f>LOOKUP(表1_11[[#This Row],[岗位工资]],表13[lookup],表13[奖金比率])*表1_11[[#This Row],[岗位工资]]</f>
        <v>340</v>
      </c>
      <c r="N565" s="5">
        <v>85</v>
      </c>
      <c r="O565" s="38">
        <f>表1_11[[#This Row],[奖金等级]]*表1_11[[#This Row],[绩效得分]]/100</f>
        <v>289</v>
      </c>
      <c r="P565" s="5">
        <f>IF(表1_11[[#This Row],[出勤率]]&gt;=1,200,0)</f>
        <v>200</v>
      </c>
      <c r="Q565" s="23">
        <f t="shared" ca="1" si="8"/>
        <v>100</v>
      </c>
      <c r="R565" s="23">
        <f>IF(表1_11[[#This Row],[中心]]="营销中心",VLOOKUP(表1_11[[#This Row],[职位]],表2[[话费补贴]:[营销中心]],2,0),VLOOKUP(表1_11[[#This Row],[职位]],表2[],3,0))</f>
        <v>300</v>
      </c>
      <c r="S565" s="23">
        <v>200</v>
      </c>
      <c r="T565" s="61">
        <f ca="1">ROUND(SUM(表1_11[[#This Row],[基本工资]],表1_11[[#This Row],[奖金]],表1_11[[#This Row],[全勤奖]:[防暑降温补贴]]),2)</f>
        <v>4489</v>
      </c>
      <c r="U565" s="62">
        <f ca="1">ROUND(表1_11[[#This Row],[税前应发总额]]*8%,2)</f>
        <v>359.12</v>
      </c>
      <c r="V565" s="62">
        <f ca="1">ROUND(表1_11[[#This Row],[税前应发总额]]*2%+3,2)</f>
        <v>92.78</v>
      </c>
      <c r="W565" s="62">
        <f ca="1">ROUND(表1_11[[#This Row],[税前应发总额]]*0.2%,2)</f>
        <v>8.98</v>
      </c>
      <c r="X565" s="62">
        <f ca="1">ROUND(表1_11[[#This Row],[税前应发总额]]*12%,2)</f>
        <v>538.67999999999995</v>
      </c>
      <c r="Y565" s="61">
        <f ca="1">ROUND(表1_11[[#This Row],[税前应发总额]]-SUM(表1_11[[#This Row],[养老保险]:[公积金]]),2)</f>
        <v>3489.44</v>
      </c>
      <c r="Z565" s="62">
        <f ca="1">ROUND(MAX((表1_11[[#This Row],[扣保险后工资金额]]-3500)*{3,10,20,25,30,35,45}%-{0,105,555,1005,2755,5505,13505},0),2)</f>
        <v>0</v>
      </c>
      <c r="AA565" s="63">
        <f ca="1">表1_11[[#This Row],[扣保险后工资金额]]-表1_11[[#This Row],[个人所得税]]</f>
        <v>3489.44</v>
      </c>
      <c r="AB565" s="53">
        <v>3421.27</v>
      </c>
      <c r="AC565" s="64">
        <f ca="1">(表1_11[[#This Row],[实发工资]]-表1_11[[#This Row],[上月对比]])/表1_11[[#This Row],[上月对比]]</f>
        <v>1.9925349358571546E-2</v>
      </c>
      <c r="AD565" s="65" t="s">
        <v>1587</v>
      </c>
    </row>
    <row r="566" spans="1:30">
      <c r="A566" s="42" t="s">
        <v>857</v>
      </c>
      <c r="B566" s="40" t="s">
        <v>905</v>
      </c>
      <c r="C566" s="40" t="s">
        <v>906</v>
      </c>
      <c r="D566" s="40" t="s">
        <v>907</v>
      </c>
      <c r="E566" s="41" t="s">
        <v>1576</v>
      </c>
      <c r="F566" s="5" t="s">
        <v>559</v>
      </c>
      <c r="G566" s="25">
        <v>40564</v>
      </c>
      <c r="H566" s="5" t="s">
        <v>630</v>
      </c>
      <c r="I566" s="5">
        <f>VLOOKUP(MID(表1_11[[#This Row],[工资等级]],1,1),表12[],MATCH(MID(表1_11[[#This Row],[工资等级]],2,2),表12[[#Headers],[1]:[10]],0)+1,0)</f>
        <v>2600</v>
      </c>
      <c r="J566" s="5">
        <v>23.5</v>
      </c>
      <c r="K566" s="27">
        <v>0.97916666666666663</v>
      </c>
      <c r="L566" s="37">
        <f>IF(表1_11[[#This Row],[出勤率]]&gt;1,1,表1_11[[#This Row],[出勤率]])*表1_11[[#This Row],[岗位工资]]</f>
        <v>2545.833333333333</v>
      </c>
      <c r="M566" s="5">
        <f>LOOKUP(表1_11[[#This Row],[岗位工资]],表13[lookup],表13[奖金比率])*表1_11[[#This Row],[岗位工资]]</f>
        <v>260</v>
      </c>
      <c r="N566" s="5">
        <v>83</v>
      </c>
      <c r="O566" s="38">
        <f>表1_11[[#This Row],[奖金等级]]*表1_11[[#This Row],[绩效得分]]/100</f>
        <v>215.8</v>
      </c>
      <c r="P566" s="5">
        <f>IF(表1_11[[#This Row],[出勤率]]&gt;=1,200,0)</f>
        <v>0</v>
      </c>
      <c r="Q566" s="23">
        <f t="shared" ca="1" si="8"/>
        <v>350</v>
      </c>
      <c r="R566" s="23">
        <f>IF(表1_11[[#This Row],[中心]]="营销中心",VLOOKUP(表1_11[[#This Row],[职位]],表2[[话费补贴]:[营销中心]],2,0),VLOOKUP(表1_11[[#This Row],[职位]],表2[],3,0))</f>
        <v>300</v>
      </c>
      <c r="S566" s="23">
        <v>200</v>
      </c>
      <c r="T566" s="61">
        <f ca="1">ROUND(SUM(表1_11[[#This Row],[基本工资]],表1_11[[#This Row],[奖金]],表1_11[[#This Row],[全勤奖]:[防暑降温补贴]]),2)</f>
        <v>3611.63</v>
      </c>
      <c r="U566" s="62">
        <f ca="1">ROUND(表1_11[[#This Row],[税前应发总额]]*8%,2)</f>
        <v>288.93</v>
      </c>
      <c r="V566" s="62">
        <f ca="1">ROUND(表1_11[[#This Row],[税前应发总额]]*2%+3,2)</f>
        <v>75.23</v>
      </c>
      <c r="W566" s="62">
        <f ca="1">ROUND(表1_11[[#This Row],[税前应发总额]]*0.2%,2)</f>
        <v>7.22</v>
      </c>
      <c r="X566" s="62">
        <f ca="1">ROUND(表1_11[[#This Row],[税前应发总额]]*12%,2)</f>
        <v>433.4</v>
      </c>
      <c r="Y566" s="61">
        <f ca="1">ROUND(表1_11[[#This Row],[税前应发总额]]-SUM(表1_11[[#This Row],[养老保险]:[公积金]]),2)</f>
        <v>2806.85</v>
      </c>
      <c r="Z566" s="62">
        <f ca="1">ROUND(MAX((表1_11[[#This Row],[扣保险后工资金额]]-3500)*{3,10,20,25,30,35,45}%-{0,105,555,1005,2755,5505,13505},0),2)</f>
        <v>0</v>
      </c>
      <c r="AA566" s="63">
        <f ca="1">表1_11[[#This Row],[扣保险后工资金额]]-表1_11[[#This Row],[个人所得税]]</f>
        <v>2806.85</v>
      </c>
      <c r="AB566" s="53">
        <v>2436.27</v>
      </c>
      <c r="AC566" s="64">
        <f ca="1">(表1_11[[#This Row],[实发工资]]-表1_11[[#This Row],[上月对比]])/表1_11[[#This Row],[上月对比]]</f>
        <v>0.15210957734569647</v>
      </c>
      <c r="AD566" s="65" t="s">
        <v>1587</v>
      </c>
    </row>
    <row r="567" spans="1:30">
      <c r="A567" s="42" t="s">
        <v>857</v>
      </c>
      <c r="B567" s="40" t="s">
        <v>573</v>
      </c>
      <c r="C567" s="40" t="s">
        <v>599</v>
      </c>
      <c r="D567" s="40" t="s">
        <v>908</v>
      </c>
      <c r="E567" s="41" t="s">
        <v>1577</v>
      </c>
      <c r="F567" s="5" t="s">
        <v>560</v>
      </c>
      <c r="G567" s="25">
        <v>42584</v>
      </c>
      <c r="H567" s="5" t="s">
        <v>622</v>
      </c>
      <c r="I567" s="5">
        <f>VLOOKUP(MID(表1_11[[#This Row],[工资等级]],1,1),表12[],MATCH(MID(表1_11[[#This Row],[工资等级]],2,2),表12[[#Headers],[1]:[10]],0)+1,0)</f>
        <v>3600</v>
      </c>
      <c r="J567" s="5">
        <v>22</v>
      </c>
      <c r="K567" s="27">
        <v>0.91666666666666663</v>
      </c>
      <c r="L567" s="37">
        <f>IF(表1_11[[#This Row],[出勤率]]&gt;1,1,表1_11[[#This Row],[出勤率]])*表1_11[[#This Row],[岗位工资]]</f>
        <v>3300</v>
      </c>
      <c r="M567" s="5">
        <f>LOOKUP(表1_11[[#This Row],[岗位工资]],表13[lookup],表13[奖金比率])*表1_11[[#This Row],[岗位工资]]</f>
        <v>360</v>
      </c>
      <c r="N567" s="5">
        <v>83</v>
      </c>
      <c r="O567" s="38">
        <f>表1_11[[#This Row],[奖金等级]]*表1_11[[#This Row],[绩效得分]]/100</f>
        <v>298.8</v>
      </c>
      <c r="P567" s="5">
        <f>IF(表1_11[[#This Row],[出勤率]]&gt;=1,200,0)</f>
        <v>0</v>
      </c>
      <c r="Q567" s="23">
        <f t="shared" ca="1" si="8"/>
        <v>50</v>
      </c>
      <c r="R567" s="23">
        <f>IF(表1_11[[#This Row],[中心]]="营销中心",VLOOKUP(表1_11[[#This Row],[职位]],表2[[话费补贴]:[营销中心]],2,0),VLOOKUP(表1_11[[#This Row],[职位]],表2[],3,0))</f>
        <v>300</v>
      </c>
      <c r="S567" s="23">
        <v>200</v>
      </c>
      <c r="T567" s="61">
        <f ca="1">ROUND(SUM(表1_11[[#This Row],[基本工资]],表1_11[[#This Row],[奖金]],表1_11[[#This Row],[全勤奖]:[防暑降温补贴]]),2)</f>
        <v>4148.8</v>
      </c>
      <c r="U567" s="62">
        <f ca="1">ROUND(表1_11[[#This Row],[税前应发总额]]*8%,2)</f>
        <v>331.9</v>
      </c>
      <c r="V567" s="62">
        <f ca="1">ROUND(表1_11[[#This Row],[税前应发总额]]*2%+3,2)</f>
        <v>85.98</v>
      </c>
      <c r="W567" s="62">
        <f ca="1">ROUND(表1_11[[#This Row],[税前应发总额]]*0.2%,2)</f>
        <v>8.3000000000000007</v>
      </c>
      <c r="X567" s="62">
        <f ca="1">ROUND(表1_11[[#This Row],[税前应发总额]]*12%,2)</f>
        <v>497.86</v>
      </c>
      <c r="Y567" s="61">
        <f ca="1">ROUND(表1_11[[#This Row],[税前应发总额]]-SUM(表1_11[[#This Row],[养老保险]:[公积金]]),2)</f>
        <v>3224.76</v>
      </c>
      <c r="Z567" s="62">
        <f ca="1">ROUND(MAX((表1_11[[#This Row],[扣保险后工资金额]]-3500)*{3,10,20,25,30,35,45}%-{0,105,555,1005,2755,5505,13505},0),2)</f>
        <v>0</v>
      </c>
      <c r="AA567" s="63">
        <f ca="1">表1_11[[#This Row],[扣保险后工资金额]]-表1_11[[#This Row],[个人所得税]]</f>
        <v>3224.76</v>
      </c>
      <c r="AB567" s="53">
        <v>3647.85</v>
      </c>
      <c r="AC567" s="64">
        <f ca="1">(表1_11[[#This Row],[实发工资]]-表1_11[[#This Row],[上月对比]])/表1_11[[#This Row],[上月对比]]</f>
        <v>-0.11598338747481385</v>
      </c>
      <c r="AD567" s="65" t="s">
        <v>1587</v>
      </c>
    </row>
    <row r="568" spans="1:30">
      <c r="A568" s="42" t="s">
        <v>857</v>
      </c>
      <c r="B568" s="40" t="s">
        <v>573</v>
      </c>
      <c r="C568" s="40" t="s">
        <v>599</v>
      </c>
      <c r="D568" s="40" t="s">
        <v>908</v>
      </c>
      <c r="E568" s="41" t="s">
        <v>1578</v>
      </c>
      <c r="F568" s="5" t="s">
        <v>561</v>
      </c>
      <c r="G568" s="25">
        <v>41941</v>
      </c>
      <c r="H568" s="5" t="s">
        <v>622</v>
      </c>
      <c r="I568" s="5">
        <f>VLOOKUP(MID(表1_11[[#This Row],[工资等级]],1,1),表12[],MATCH(MID(表1_11[[#This Row],[工资等级]],2,2),表12[[#Headers],[1]:[10]],0)+1,0)</f>
        <v>3600</v>
      </c>
      <c r="J568" s="5">
        <v>26.5</v>
      </c>
      <c r="K568" s="27">
        <v>1.1041666666666667</v>
      </c>
      <c r="L568" s="37">
        <f>IF(表1_11[[#This Row],[出勤率]]&gt;1,1,表1_11[[#This Row],[出勤率]])*表1_11[[#This Row],[岗位工资]]</f>
        <v>3600</v>
      </c>
      <c r="M568" s="5">
        <f>LOOKUP(表1_11[[#This Row],[岗位工资]],表13[lookup],表13[奖金比率])*表1_11[[#This Row],[岗位工资]]</f>
        <v>360</v>
      </c>
      <c r="N568" s="5">
        <v>83</v>
      </c>
      <c r="O568" s="38">
        <f>表1_11[[#This Row],[奖金等级]]*表1_11[[#This Row],[绩效得分]]/100</f>
        <v>298.8</v>
      </c>
      <c r="P568" s="5">
        <f>IF(表1_11[[#This Row],[出勤率]]&gt;=1,200,0)</f>
        <v>200</v>
      </c>
      <c r="Q568" s="23">
        <f t="shared" ca="1" si="8"/>
        <v>150</v>
      </c>
      <c r="R568" s="23">
        <f>IF(表1_11[[#This Row],[中心]]="营销中心",VLOOKUP(表1_11[[#This Row],[职位]],表2[[话费补贴]:[营销中心]],2,0),VLOOKUP(表1_11[[#This Row],[职位]],表2[],3,0))</f>
        <v>300</v>
      </c>
      <c r="S568" s="23">
        <v>200</v>
      </c>
      <c r="T568" s="61">
        <f ca="1">ROUND(SUM(表1_11[[#This Row],[基本工资]],表1_11[[#This Row],[奖金]],表1_11[[#This Row],[全勤奖]:[防暑降温补贴]]),2)</f>
        <v>4748.8</v>
      </c>
      <c r="U568" s="62">
        <f ca="1">ROUND(表1_11[[#This Row],[税前应发总额]]*8%,2)</f>
        <v>379.9</v>
      </c>
      <c r="V568" s="62">
        <f ca="1">ROUND(表1_11[[#This Row],[税前应发总额]]*2%+3,2)</f>
        <v>97.98</v>
      </c>
      <c r="W568" s="62">
        <f ca="1">ROUND(表1_11[[#This Row],[税前应发总额]]*0.2%,2)</f>
        <v>9.5</v>
      </c>
      <c r="X568" s="62">
        <f ca="1">ROUND(表1_11[[#This Row],[税前应发总额]]*12%,2)</f>
        <v>569.86</v>
      </c>
      <c r="Y568" s="61">
        <f ca="1">ROUND(表1_11[[#This Row],[税前应发总额]]-SUM(表1_11[[#This Row],[养老保险]:[公积金]]),2)</f>
        <v>3691.56</v>
      </c>
      <c r="Z568" s="62">
        <f ca="1">ROUND(MAX((表1_11[[#This Row],[扣保险后工资金额]]-3500)*{3,10,20,25,30,35,45}%-{0,105,555,1005,2755,5505,13505},0),2)</f>
        <v>5.75</v>
      </c>
      <c r="AA568" s="63">
        <f ca="1">表1_11[[#This Row],[扣保险后工资金额]]-表1_11[[#This Row],[个人所得税]]</f>
        <v>3685.81</v>
      </c>
      <c r="AB568" s="53">
        <v>3596.42</v>
      </c>
      <c r="AC568" s="64">
        <f ca="1">(表1_11[[#This Row],[实发工资]]-表1_11[[#This Row],[上月对比]])/表1_11[[#This Row],[上月对比]]</f>
        <v>2.4855272743450396E-2</v>
      </c>
      <c r="AD568" s="65" t="s">
        <v>1587</v>
      </c>
    </row>
    <row r="569" spans="1:30">
      <c r="A569" s="42" t="s">
        <v>857</v>
      </c>
      <c r="B569" s="40" t="s">
        <v>909</v>
      </c>
      <c r="C569" s="40" t="s">
        <v>910</v>
      </c>
      <c r="D569" s="40" t="s">
        <v>911</v>
      </c>
      <c r="E569" s="41" t="s">
        <v>1579</v>
      </c>
      <c r="F569" s="5" t="s">
        <v>562</v>
      </c>
      <c r="G569" s="25">
        <v>41297</v>
      </c>
      <c r="H569" s="5" t="s">
        <v>617</v>
      </c>
      <c r="I569" s="5">
        <f>VLOOKUP(MID(表1_11[[#This Row],[工资等级]],1,1),表12[],MATCH(MID(表1_11[[#This Row],[工资等级]],2,2),表12[[#Headers],[1]:[10]],0)+1,0)</f>
        <v>2500</v>
      </c>
      <c r="J569" s="5">
        <v>21</v>
      </c>
      <c r="K569" s="27">
        <v>0.875</v>
      </c>
      <c r="L569" s="37">
        <f>IF(表1_11[[#This Row],[出勤率]]&gt;1,1,表1_11[[#This Row],[出勤率]])*表1_11[[#This Row],[岗位工资]]</f>
        <v>2187.5</v>
      </c>
      <c r="M569" s="5">
        <f>LOOKUP(表1_11[[#This Row],[岗位工资]],表13[lookup],表13[奖金比率])*表1_11[[#This Row],[岗位工资]]</f>
        <v>250</v>
      </c>
      <c r="N569" s="5">
        <v>83</v>
      </c>
      <c r="O569" s="38">
        <f>表1_11[[#This Row],[奖金等级]]*表1_11[[#This Row],[绩效得分]]/100</f>
        <v>207.5</v>
      </c>
      <c r="P569" s="5">
        <f>IF(表1_11[[#This Row],[出勤率]]&gt;=1,200,0)</f>
        <v>0</v>
      </c>
      <c r="Q569" s="23">
        <f t="shared" ca="1" si="8"/>
        <v>250</v>
      </c>
      <c r="R569" s="23">
        <f>IF(表1_11[[#This Row],[中心]]="营销中心",VLOOKUP(表1_11[[#This Row],[职位]],表2[[话费补贴]:[营销中心]],2,0),VLOOKUP(表1_11[[#This Row],[职位]],表2[],3,0))</f>
        <v>300</v>
      </c>
      <c r="S569" s="23">
        <v>200</v>
      </c>
      <c r="T569" s="61">
        <f ca="1">ROUND(SUM(表1_11[[#This Row],[基本工资]],表1_11[[#This Row],[奖金]],表1_11[[#This Row],[全勤奖]:[防暑降温补贴]]),2)</f>
        <v>3145</v>
      </c>
      <c r="U569" s="62">
        <f ca="1">ROUND(表1_11[[#This Row],[税前应发总额]]*8%,2)</f>
        <v>251.6</v>
      </c>
      <c r="V569" s="62">
        <f ca="1">ROUND(表1_11[[#This Row],[税前应发总额]]*2%+3,2)</f>
        <v>65.900000000000006</v>
      </c>
      <c r="W569" s="62">
        <f ca="1">ROUND(表1_11[[#This Row],[税前应发总额]]*0.2%,2)</f>
        <v>6.29</v>
      </c>
      <c r="X569" s="62">
        <f ca="1">ROUND(表1_11[[#This Row],[税前应发总额]]*12%,2)</f>
        <v>377.4</v>
      </c>
      <c r="Y569" s="61">
        <f ca="1">ROUND(表1_11[[#This Row],[税前应发总额]]-SUM(表1_11[[#This Row],[养老保险]:[公积金]]),2)</f>
        <v>2443.81</v>
      </c>
      <c r="Z569" s="62">
        <f ca="1">ROUND(MAX((表1_11[[#This Row],[扣保险后工资金额]]-3500)*{3,10,20,25,30,35,45}%-{0,105,555,1005,2755,5505,13505},0),2)</f>
        <v>0</v>
      </c>
      <c r="AA569" s="63">
        <f ca="1">表1_11[[#This Row],[扣保险后工资金额]]-表1_11[[#This Row],[个人所得税]]</f>
        <v>2443.81</v>
      </c>
      <c r="AB569" s="53">
        <v>2557.83</v>
      </c>
      <c r="AC569" s="64">
        <f ca="1">(表1_11[[#This Row],[实发工资]]-表1_11[[#This Row],[上月对比]])/表1_11[[#This Row],[上月对比]]</f>
        <v>-4.4576848344104178E-2</v>
      </c>
      <c r="AD569" s="65" t="s">
        <v>1587</v>
      </c>
    </row>
    <row r="570" spans="1:30">
      <c r="A570" s="42" t="s">
        <v>857</v>
      </c>
      <c r="B570" s="40" t="s">
        <v>573</v>
      </c>
      <c r="C570" s="40" t="s">
        <v>599</v>
      </c>
      <c r="D570" s="40" t="s">
        <v>908</v>
      </c>
      <c r="E570" s="41" t="s">
        <v>1580</v>
      </c>
      <c r="F570" s="5" t="s">
        <v>563</v>
      </c>
      <c r="G570" s="25">
        <v>40450</v>
      </c>
      <c r="H570" s="5" t="s">
        <v>612</v>
      </c>
      <c r="I570" s="5">
        <f>VLOOKUP(MID(表1_11[[#This Row],[工资等级]],1,1),表12[],MATCH(MID(表1_11[[#This Row],[工资等级]],2,2),表12[[#Headers],[1]:[10]],0)+1,0)</f>
        <v>2700</v>
      </c>
      <c r="J570" s="5">
        <v>23</v>
      </c>
      <c r="K570" s="27">
        <v>0.95833333333333337</v>
      </c>
      <c r="L570" s="37">
        <f>IF(表1_11[[#This Row],[出勤率]]&gt;1,1,表1_11[[#This Row],[出勤率]])*表1_11[[#This Row],[岗位工资]]</f>
        <v>2587.5</v>
      </c>
      <c r="M570" s="5">
        <f>LOOKUP(表1_11[[#This Row],[岗位工资]],表13[lookup],表13[奖金比率])*表1_11[[#This Row],[岗位工资]]</f>
        <v>270</v>
      </c>
      <c r="N570" s="5">
        <v>99</v>
      </c>
      <c r="O570" s="38">
        <f>表1_11[[#This Row],[奖金等级]]*表1_11[[#This Row],[绩效得分]]/100</f>
        <v>267.3</v>
      </c>
      <c r="P570" s="5">
        <f>IF(表1_11[[#This Row],[出勤率]]&gt;=1,200,0)</f>
        <v>0</v>
      </c>
      <c r="Q570" s="23">
        <f t="shared" ca="1" si="8"/>
        <v>350</v>
      </c>
      <c r="R570" s="23">
        <f>IF(表1_11[[#This Row],[中心]]="营销中心",VLOOKUP(表1_11[[#This Row],[职位]],表2[[话费补贴]:[营销中心]],2,0),VLOOKUP(表1_11[[#This Row],[职位]],表2[],3,0))</f>
        <v>300</v>
      </c>
      <c r="S570" s="23">
        <v>200</v>
      </c>
      <c r="T570" s="61">
        <f ca="1">ROUND(SUM(表1_11[[#This Row],[基本工资]],表1_11[[#This Row],[奖金]],表1_11[[#This Row],[全勤奖]:[防暑降温补贴]]),2)</f>
        <v>3704.8</v>
      </c>
      <c r="U570" s="62">
        <f ca="1">ROUND(表1_11[[#This Row],[税前应发总额]]*8%,2)</f>
        <v>296.38</v>
      </c>
      <c r="V570" s="62">
        <f ca="1">ROUND(表1_11[[#This Row],[税前应发总额]]*2%+3,2)</f>
        <v>77.099999999999994</v>
      </c>
      <c r="W570" s="62">
        <f ca="1">ROUND(表1_11[[#This Row],[税前应发总额]]*0.2%,2)</f>
        <v>7.41</v>
      </c>
      <c r="X570" s="62">
        <f ca="1">ROUND(表1_11[[#This Row],[税前应发总额]]*12%,2)</f>
        <v>444.58</v>
      </c>
      <c r="Y570" s="61">
        <f ca="1">ROUND(表1_11[[#This Row],[税前应发总额]]-SUM(表1_11[[#This Row],[养老保险]:[公积金]]),2)</f>
        <v>2879.33</v>
      </c>
      <c r="Z570" s="62">
        <f ca="1">ROUND(MAX((表1_11[[#This Row],[扣保险后工资金额]]-3500)*{3,10,20,25,30,35,45}%-{0,105,555,1005,2755,5505,13505},0),2)</f>
        <v>0</v>
      </c>
      <c r="AA570" s="63">
        <f ca="1">表1_11[[#This Row],[扣保险后工资金额]]-表1_11[[#This Row],[个人所得税]]</f>
        <v>2879.33</v>
      </c>
      <c r="AB570" s="53">
        <v>3377.62</v>
      </c>
      <c r="AC570" s="64">
        <f ca="1">(表1_11[[#This Row],[实发工资]]-表1_11[[#This Row],[上月对比]])/表1_11[[#This Row],[上月对比]]</f>
        <v>-0.14752695685127395</v>
      </c>
      <c r="AD570" s="65" t="s">
        <v>1587</v>
      </c>
    </row>
    <row r="571" spans="1:30">
      <c r="A571" s="42" t="s">
        <v>857</v>
      </c>
      <c r="B571" s="40" t="s">
        <v>573</v>
      </c>
      <c r="C571" s="40" t="s">
        <v>599</v>
      </c>
      <c r="D571" s="40" t="s">
        <v>908</v>
      </c>
      <c r="E571" s="41" t="s">
        <v>1581</v>
      </c>
      <c r="F571" s="5" t="s">
        <v>564</v>
      </c>
      <c r="G571" s="25">
        <v>40117</v>
      </c>
      <c r="H571" s="5" t="s">
        <v>624</v>
      </c>
      <c r="I571" s="5">
        <f>VLOOKUP(MID(表1_11[[#This Row],[工资等级]],1,1),表12[],MATCH(MID(表1_11[[#This Row],[工资等级]],2,2),表12[[#Headers],[1]:[10]],0)+1,0)</f>
        <v>2800</v>
      </c>
      <c r="J571" s="5">
        <v>25</v>
      </c>
      <c r="K571" s="27">
        <v>1.0416666666666667</v>
      </c>
      <c r="L571" s="37">
        <f>IF(表1_11[[#This Row],[出勤率]]&gt;1,1,表1_11[[#This Row],[出勤率]])*表1_11[[#This Row],[岗位工资]]</f>
        <v>2800</v>
      </c>
      <c r="M571" s="5">
        <f>LOOKUP(表1_11[[#This Row],[岗位工资]],表13[lookup],表13[奖金比率])*表1_11[[#This Row],[岗位工资]]</f>
        <v>280</v>
      </c>
      <c r="N571" s="5">
        <v>98</v>
      </c>
      <c r="O571" s="38">
        <f>表1_11[[#This Row],[奖金等级]]*表1_11[[#This Row],[绩效得分]]/100</f>
        <v>274.39999999999998</v>
      </c>
      <c r="P571" s="5">
        <f>IF(表1_11[[#This Row],[出勤率]]&gt;=1,200,0)</f>
        <v>200</v>
      </c>
      <c r="Q571" s="23">
        <f t="shared" ca="1" si="8"/>
        <v>400</v>
      </c>
      <c r="R571" s="23">
        <f>IF(表1_11[[#This Row],[中心]]="营销中心",VLOOKUP(表1_11[[#This Row],[职位]],表2[[话费补贴]:[营销中心]],2,0),VLOOKUP(表1_11[[#This Row],[职位]],表2[],3,0))</f>
        <v>300</v>
      </c>
      <c r="S571" s="23">
        <v>200</v>
      </c>
      <c r="T571" s="61">
        <f ca="1">ROUND(SUM(表1_11[[#This Row],[基本工资]],表1_11[[#This Row],[奖金]],表1_11[[#This Row],[全勤奖]:[防暑降温补贴]]),2)</f>
        <v>4174.3999999999996</v>
      </c>
      <c r="U571" s="62">
        <f ca="1">ROUND(表1_11[[#This Row],[税前应发总额]]*8%,2)</f>
        <v>333.95</v>
      </c>
      <c r="V571" s="62">
        <f ca="1">ROUND(表1_11[[#This Row],[税前应发总额]]*2%+3,2)</f>
        <v>86.49</v>
      </c>
      <c r="W571" s="62">
        <f ca="1">ROUND(表1_11[[#This Row],[税前应发总额]]*0.2%,2)</f>
        <v>8.35</v>
      </c>
      <c r="X571" s="62">
        <f ca="1">ROUND(表1_11[[#This Row],[税前应发总额]]*12%,2)</f>
        <v>500.93</v>
      </c>
      <c r="Y571" s="61">
        <f ca="1">ROUND(表1_11[[#This Row],[税前应发总额]]-SUM(表1_11[[#This Row],[养老保险]:[公积金]]),2)</f>
        <v>3244.68</v>
      </c>
      <c r="Z571" s="62">
        <f ca="1">ROUND(MAX((表1_11[[#This Row],[扣保险后工资金额]]-3500)*{3,10,20,25,30,35,45}%-{0,105,555,1005,2755,5505,13505},0),2)</f>
        <v>0</v>
      </c>
      <c r="AA571" s="63">
        <f ca="1">表1_11[[#This Row],[扣保险后工资金额]]-表1_11[[#This Row],[个人所得税]]</f>
        <v>3244.68</v>
      </c>
      <c r="AB571" s="53">
        <v>3290.98</v>
      </c>
      <c r="AC571" s="64">
        <f ca="1">(表1_11[[#This Row],[实发工资]]-表1_11[[#This Row],[上月对比]])/表1_11[[#This Row],[上月对比]]</f>
        <v>-1.4068757634504063E-2</v>
      </c>
      <c r="AD571" s="65" t="s">
        <v>1587</v>
      </c>
    </row>
    <row r="572" spans="1:30">
      <c r="A572" s="42" t="s">
        <v>857</v>
      </c>
      <c r="B572" s="42" t="s">
        <v>912</v>
      </c>
      <c r="C572" s="40" t="s">
        <v>913</v>
      </c>
      <c r="D572" s="40" t="s">
        <v>914</v>
      </c>
      <c r="E572" s="41" t="s">
        <v>1582</v>
      </c>
      <c r="F572" s="5" t="s">
        <v>565</v>
      </c>
      <c r="G572" s="25">
        <v>38898</v>
      </c>
      <c r="H572" s="5" t="s">
        <v>600</v>
      </c>
      <c r="I572" s="5">
        <f>VLOOKUP(MID(表1_11[[#This Row],[工资等级]],1,1),表12[],MATCH(MID(表1_11[[#This Row],[工资等级]],2,2),表12[[#Headers],[1]:[10]],0)+1,0)</f>
        <v>7000</v>
      </c>
      <c r="J572" s="5">
        <v>22</v>
      </c>
      <c r="K572" s="27">
        <v>0.91666666666666663</v>
      </c>
      <c r="L572" s="37">
        <f>IF(表1_11[[#This Row],[出勤率]]&gt;1,1,表1_11[[#This Row],[出勤率]])*表1_11[[#This Row],[岗位工资]]</f>
        <v>6416.6666666666661</v>
      </c>
      <c r="M572" s="5">
        <f>LOOKUP(表1_11[[#This Row],[岗位工资]],表13[lookup],表13[奖金比率])*表1_11[[#This Row],[岗位工资]]</f>
        <v>1400</v>
      </c>
      <c r="N572" s="5">
        <v>90</v>
      </c>
      <c r="O572" s="38">
        <f>表1_11[[#This Row],[奖金等级]]*表1_11[[#This Row],[绩效得分]]/100</f>
        <v>1260</v>
      </c>
      <c r="P572" s="5">
        <f>IF(表1_11[[#This Row],[出勤率]]&gt;=1,200,0)</f>
        <v>0</v>
      </c>
      <c r="Q572" s="23">
        <f t="shared" ca="1" si="8"/>
        <v>500</v>
      </c>
      <c r="R572" s="23">
        <f>IF(表1_11[[#This Row],[中心]]="营销中心",VLOOKUP(表1_11[[#This Row],[职位]],表2[[话费补贴]:[营销中心]],2,0),VLOOKUP(表1_11[[#This Row],[职位]],表2[],3,0))</f>
        <v>800</v>
      </c>
      <c r="S572" s="23">
        <v>200</v>
      </c>
      <c r="T572" s="61">
        <f ca="1">ROUND(SUM(表1_11[[#This Row],[基本工资]],表1_11[[#This Row],[奖金]],表1_11[[#This Row],[全勤奖]:[防暑降温补贴]]),2)</f>
        <v>9176.67</v>
      </c>
      <c r="U572" s="62">
        <f ca="1">ROUND(表1_11[[#This Row],[税前应发总额]]*8%,2)</f>
        <v>734.13</v>
      </c>
      <c r="V572" s="62">
        <f ca="1">ROUND(表1_11[[#This Row],[税前应发总额]]*2%+3,2)</f>
        <v>186.53</v>
      </c>
      <c r="W572" s="62">
        <f ca="1">ROUND(表1_11[[#This Row],[税前应发总额]]*0.2%,2)</f>
        <v>18.350000000000001</v>
      </c>
      <c r="X572" s="62">
        <f ca="1">ROUND(表1_11[[#This Row],[税前应发总额]]*12%,2)</f>
        <v>1101.2</v>
      </c>
      <c r="Y572" s="61">
        <f ca="1">ROUND(表1_11[[#This Row],[税前应发总额]]-SUM(表1_11[[#This Row],[养老保险]:[公积金]]),2)</f>
        <v>7136.46</v>
      </c>
      <c r="Z572" s="62">
        <f ca="1">ROUND(MAX((表1_11[[#This Row],[扣保险后工资金额]]-3500)*{3,10,20,25,30,35,45}%-{0,105,555,1005,2755,5505,13505},0),2)</f>
        <v>258.64999999999998</v>
      </c>
      <c r="AA572" s="63">
        <f ca="1">表1_11[[#This Row],[扣保险后工资金额]]-表1_11[[#This Row],[个人所得税]]</f>
        <v>6877.81</v>
      </c>
      <c r="AB572" s="53">
        <v>7887.29</v>
      </c>
      <c r="AC572" s="64">
        <f ca="1">(表1_11[[#This Row],[实发工资]]-表1_11[[#This Row],[上月对比]])/表1_11[[#This Row],[上月对比]]</f>
        <v>-0.12798819366347625</v>
      </c>
      <c r="AD572" s="65" t="s">
        <v>1587</v>
      </c>
    </row>
    <row r="573" spans="1:30">
      <c r="A573" s="42" t="s">
        <v>857</v>
      </c>
      <c r="B573" s="42" t="s">
        <v>574</v>
      </c>
      <c r="C573" s="40" t="s">
        <v>599</v>
      </c>
      <c r="D573" s="40" t="s">
        <v>626</v>
      </c>
      <c r="E573" s="41" t="s">
        <v>1583</v>
      </c>
      <c r="F573" s="5" t="s">
        <v>566</v>
      </c>
      <c r="G573" s="25">
        <v>39842</v>
      </c>
      <c r="H573" s="5" t="s">
        <v>617</v>
      </c>
      <c r="I573" s="5">
        <f>VLOOKUP(MID(表1_11[[#This Row],[工资等级]],1,1),表12[],MATCH(MID(表1_11[[#This Row],[工资等级]],2,2),表12[[#Headers],[1]:[10]],0)+1,0)</f>
        <v>2500</v>
      </c>
      <c r="J573" s="5">
        <v>21</v>
      </c>
      <c r="K573" s="27">
        <v>0.875</v>
      </c>
      <c r="L573" s="37">
        <f>IF(表1_11[[#This Row],[出勤率]]&gt;1,1,表1_11[[#This Row],[出勤率]])*表1_11[[#This Row],[岗位工资]]</f>
        <v>2187.5</v>
      </c>
      <c r="M573" s="5">
        <f>LOOKUP(表1_11[[#This Row],[岗位工资]],表13[lookup],表13[奖金比率])*表1_11[[#This Row],[岗位工资]]</f>
        <v>250</v>
      </c>
      <c r="N573" s="5">
        <v>86</v>
      </c>
      <c r="O573" s="38">
        <f>表1_11[[#This Row],[奖金等级]]*表1_11[[#This Row],[绩效得分]]/100</f>
        <v>215</v>
      </c>
      <c r="P573" s="5">
        <f>IF(表1_11[[#This Row],[出勤率]]&gt;=1,200,0)</f>
        <v>0</v>
      </c>
      <c r="Q573" s="23">
        <f t="shared" ca="1" si="8"/>
        <v>450</v>
      </c>
      <c r="R573" s="23">
        <f>IF(表1_11[[#This Row],[中心]]="营销中心",VLOOKUP(表1_11[[#This Row],[职位]],表2[[话费补贴]:[营销中心]],2,0),VLOOKUP(表1_11[[#This Row],[职位]],表2[],3,0))</f>
        <v>300</v>
      </c>
      <c r="S573" s="23">
        <v>200</v>
      </c>
      <c r="T573" s="61">
        <f ca="1">ROUND(SUM(表1_11[[#This Row],[基本工资]],表1_11[[#This Row],[奖金]],表1_11[[#This Row],[全勤奖]:[防暑降温补贴]]),2)</f>
        <v>3352.5</v>
      </c>
      <c r="U573" s="62">
        <f ca="1">ROUND(表1_11[[#This Row],[税前应发总额]]*8%,2)</f>
        <v>268.2</v>
      </c>
      <c r="V573" s="62">
        <f ca="1">ROUND(表1_11[[#This Row],[税前应发总额]]*2%+3,2)</f>
        <v>70.05</v>
      </c>
      <c r="W573" s="62">
        <f ca="1">ROUND(表1_11[[#This Row],[税前应发总额]]*0.2%,2)</f>
        <v>6.71</v>
      </c>
      <c r="X573" s="62">
        <f ca="1">ROUND(表1_11[[#This Row],[税前应发总额]]*12%,2)</f>
        <v>402.3</v>
      </c>
      <c r="Y573" s="61">
        <f ca="1">ROUND(表1_11[[#This Row],[税前应发总额]]-SUM(表1_11[[#This Row],[养老保险]:[公积金]]),2)</f>
        <v>2605.2399999999998</v>
      </c>
      <c r="Z573" s="62">
        <f ca="1">ROUND(MAX((表1_11[[#This Row],[扣保险后工资金额]]-3500)*{3,10,20,25,30,35,45}%-{0,105,555,1005,2755,5505,13505},0),2)</f>
        <v>0</v>
      </c>
      <c r="AA573" s="63">
        <f ca="1">表1_11[[#This Row],[扣保险后工资金额]]-表1_11[[#This Row],[个人所得税]]</f>
        <v>2605.2399999999998</v>
      </c>
      <c r="AB573" s="53">
        <v>2643.46</v>
      </c>
      <c r="AC573" s="64">
        <f ca="1">(表1_11[[#This Row],[实发工资]]-表1_11[[#This Row],[上月对比]])/表1_11[[#This Row],[上月对比]]</f>
        <v>-1.4458323560787852E-2</v>
      </c>
      <c r="AD573" s="65" t="s">
        <v>1587</v>
      </c>
    </row>
    <row r="574" spans="1:30">
      <c r="A574" s="42" t="s">
        <v>857</v>
      </c>
      <c r="B574" s="42" t="s">
        <v>574</v>
      </c>
      <c r="C574" s="40" t="s">
        <v>599</v>
      </c>
      <c r="D574" s="40" t="s">
        <v>626</v>
      </c>
      <c r="E574" s="41" t="s">
        <v>1584</v>
      </c>
      <c r="F574" s="5" t="s">
        <v>567</v>
      </c>
      <c r="G574" s="25">
        <v>38497</v>
      </c>
      <c r="H574" s="5" t="s">
        <v>615</v>
      </c>
      <c r="I574" s="5">
        <f>VLOOKUP(MID(表1_11[[#This Row],[工资等级]],1,1),表12[],MATCH(MID(表1_11[[#This Row],[工资等级]],2,2),表12[[#Headers],[1]:[10]],0)+1,0)</f>
        <v>3200</v>
      </c>
      <c r="J574" s="5">
        <v>26</v>
      </c>
      <c r="K574" s="27">
        <v>1.0833333333333333</v>
      </c>
      <c r="L574" s="37">
        <f>IF(表1_11[[#This Row],[出勤率]]&gt;1,1,表1_11[[#This Row],[出勤率]])*表1_11[[#This Row],[岗位工资]]</f>
        <v>3200</v>
      </c>
      <c r="M574" s="5">
        <f>LOOKUP(表1_11[[#This Row],[岗位工资]],表13[lookup],表13[奖金比率])*表1_11[[#This Row],[岗位工资]]</f>
        <v>320</v>
      </c>
      <c r="N574" s="5">
        <v>79</v>
      </c>
      <c r="O574" s="38">
        <f>表1_11[[#This Row],[奖金等级]]*表1_11[[#This Row],[绩效得分]]/100</f>
        <v>252.8</v>
      </c>
      <c r="P574" s="5">
        <f>IF(表1_11[[#This Row],[出勤率]]&gt;=1,200,0)</f>
        <v>200</v>
      </c>
      <c r="Q574" s="23">
        <f t="shared" ca="1" si="8"/>
        <v>500</v>
      </c>
      <c r="R574" s="23">
        <f>IF(表1_11[[#This Row],[中心]]="营销中心",VLOOKUP(表1_11[[#This Row],[职位]],表2[[话费补贴]:[营销中心]],2,0),VLOOKUP(表1_11[[#This Row],[职位]],表2[],3,0))</f>
        <v>300</v>
      </c>
      <c r="S574" s="23">
        <v>200</v>
      </c>
      <c r="T574" s="61">
        <f ca="1">ROUND(SUM(表1_11[[#This Row],[基本工资]],表1_11[[#This Row],[奖金]],表1_11[[#This Row],[全勤奖]:[防暑降温补贴]]),2)</f>
        <v>4652.8</v>
      </c>
      <c r="U574" s="62">
        <f ca="1">ROUND(表1_11[[#This Row],[税前应发总额]]*8%,2)</f>
        <v>372.22</v>
      </c>
      <c r="V574" s="62">
        <f ca="1">ROUND(表1_11[[#This Row],[税前应发总额]]*2%+3,2)</f>
        <v>96.06</v>
      </c>
      <c r="W574" s="62">
        <f ca="1">ROUND(表1_11[[#This Row],[税前应发总额]]*0.2%,2)</f>
        <v>9.31</v>
      </c>
      <c r="X574" s="62">
        <f ca="1">ROUND(表1_11[[#This Row],[税前应发总额]]*12%,2)</f>
        <v>558.34</v>
      </c>
      <c r="Y574" s="61">
        <f ca="1">ROUND(表1_11[[#This Row],[税前应发总额]]-SUM(表1_11[[#This Row],[养老保险]:[公积金]]),2)</f>
        <v>3616.87</v>
      </c>
      <c r="Z574" s="62">
        <f ca="1">ROUND(MAX((表1_11[[#This Row],[扣保险后工资金额]]-3500)*{3,10,20,25,30,35,45}%-{0,105,555,1005,2755,5505,13505},0),2)</f>
        <v>3.51</v>
      </c>
      <c r="AA574" s="63">
        <f ca="1">表1_11[[#This Row],[扣保险后工资金额]]-表1_11[[#This Row],[个人所得税]]</f>
        <v>3613.3599999999997</v>
      </c>
      <c r="AB574" s="53">
        <v>3179.35</v>
      </c>
      <c r="AC574" s="64">
        <f ca="1">(表1_11[[#This Row],[实发工资]]-表1_11[[#This Row],[上月对比]])/表1_11[[#This Row],[上月对比]]</f>
        <v>0.13650903486561711</v>
      </c>
      <c r="AD574" s="65" t="s">
        <v>1587</v>
      </c>
    </row>
    <row r="575" spans="1:30">
      <c r="A575" s="42" t="s">
        <v>857</v>
      </c>
      <c r="B575" s="42" t="s">
        <v>574</v>
      </c>
      <c r="C575" s="40" t="s">
        <v>599</v>
      </c>
      <c r="D575" s="40" t="s">
        <v>626</v>
      </c>
      <c r="E575" s="41" t="s">
        <v>1585</v>
      </c>
      <c r="F575" s="5" t="s">
        <v>568</v>
      </c>
      <c r="G575" s="25">
        <v>38533</v>
      </c>
      <c r="H575" s="5" t="s">
        <v>618</v>
      </c>
      <c r="I575" s="5">
        <f>VLOOKUP(MID(表1_11[[#This Row],[工资等级]],1,1),表12[],MATCH(MID(表1_11[[#This Row],[工资等级]],2,2),表12[[#Headers],[1]:[10]],0)+1,0)</f>
        <v>3000</v>
      </c>
      <c r="J575" s="5">
        <v>21</v>
      </c>
      <c r="K575" s="27">
        <v>0.875</v>
      </c>
      <c r="L575" s="37">
        <f>IF(表1_11[[#This Row],[出勤率]]&gt;1,1,表1_11[[#This Row],[出勤率]])*表1_11[[#This Row],[岗位工资]]</f>
        <v>2625</v>
      </c>
      <c r="M575" s="5">
        <f>LOOKUP(表1_11[[#This Row],[岗位工资]],表13[lookup],表13[奖金比率])*表1_11[[#This Row],[岗位工资]]</f>
        <v>300</v>
      </c>
      <c r="N575" s="5">
        <v>93</v>
      </c>
      <c r="O575" s="38">
        <f>表1_11[[#This Row],[奖金等级]]*表1_11[[#This Row],[绩效得分]]/100</f>
        <v>279</v>
      </c>
      <c r="P575" s="5">
        <f>IF(表1_11[[#This Row],[出勤率]]&gt;=1,200,0)</f>
        <v>0</v>
      </c>
      <c r="Q575" s="23">
        <f t="shared" ca="1" si="8"/>
        <v>500</v>
      </c>
      <c r="R575" s="23">
        <f>IF(表1_11[[#This Row],[中心]]="营销中心",VLOOKUP(表1_11[[#This Row],[职位]],表2[[话费补贴]:[营销中心]],2,0),VLOOKUP(表1_11[[#This Row],[职位]],表2[],3,0))</f>
        <v>300</v>
      </c>
      <c r="S575" s="23">
        <v>200</v>
      </c>
      <c r="T575" s="61">
        <f ca="1">ROUND(SUM(表1_11[[#This Row],[基本工资]],表1_11[[#This Row],[奖金]],表1_11[[#This Row],[全勤奖]:[防暑降温补贴]]),2)</f>
        <v>3904</v>
      </c>
      <c r="U575" s="62">
        <f ca="1">ROUND(表1_11[[#This Row],[税前应发总额]]*8%,2)</f>
        <v>312.32</v>
      </c>
      <c r="V575" s="62">
        <f ca="1">ROUND(表1_11[[#This Row],[税前应发总额]]*2%+3,2)</f>
        <v>81.08</v>
      </c>
      <c r="W575" s="62">
        <f ca="1">ROUND(表1_11[[#This Row],[税前应发总额]]*0.2%,2)</f>
        <v>7.81</v>
      </c>
      <c r="X575" s="62">
        <f ca="1">ROUND(表1_11[[#This Row],[税前应发总额]]*12%,2)</f>
        <v>468.48</v>
      </c>
      <c r="Y575" s="61">
        <f ca="1">ROUND(表1_11[[#This Row],[税前应发总额]]-SUM(表1_11[[#This Row],[养老保险]:[公积金]]),2)</f>
        <v>3034.31</v>
      </c>
      <c r="Z575" s="62">
        <f ca="1">ROUND(MAX((表1_11[[#This Row],[扣保险后工资金额]]-3500)*{3,10,20,25,30,35,45}%-{0,105,555,1005,2755,5505,13505},0),2)</f>
        <v>0</v>
      </c>
      <c r="AA575" s="63">
        <f ca="1">表1_11[[#This Row],[扣保险后工资金额]]-表1_11[[#This Row],[个人所得税]]</f>
        <v>3034.31</v>
      </c>
      <c r="AB575" s="53">
        <v>3494.83</v>
      </c>
      <c r="AC575" s="64">
        <f ca="1">(表1_11[[#This Row],[实发工资]]-表1_11[[#This Row],[上月对比]])/表1_11[[#This Row],[上月对比]]</f>
        <v>-0.13177178861346617</v>
      </c>
      <c r="AD575" s="65" t="s">
        <v>1587</v>
      </c>
    </row>
  </sheetData>
  <phoneticPr fontId="3" type="noConversion"/>
  <conditionalFormatting sqref="C2:C39 C50:C59 C42:C47 C70:C213 C221:C339 C344:C404 C409:C458 C461:C553 C560:C575">
    <cfRule type="cellIs" dxfId="104" priority="40" operator="equal">
      <formula>"员工"</formula>
    </cfRule>
    <cfRule type="cellIs" dxfId="103" priority="41" operator="equal">
      <formula>"总监"</formula>
    </cfRule>
  </conditionalFormatting>
  <conditionalFormatting sqref="D33:D34">
    <cfRule type="cellIs" dxfId="102" priority="38" operator="equal">
      <formula>"员工"</formula>
    </cfRule>
    <cfRule type="cellIs" dxfId="101" priority="39" operator="equal">
      <formula>"总监"</formula>
    </cfRule>
  </conditionalFormatting>
  <conditionalFormatting sqref="C48:C49 D48">
    <cfRule type="cellIs" dxfId="100" priority="36" operator="equal">
      <formula>"员工"</formula>
    </cfRule>
    <cfRule type="cellIs" dxfId="99" priority="37" operator="equal">
      <formula>"总监"</formula>
    </cfRule>
  </conditionalFormatting>
  <conditionalFormatting sqref="D49">
    <cfRule type="cellIs" dxfId="98" priority="34" operator="equal">
      <formula>"员工"</formula>
    </cfRule>
    <cfRule type="cellIs" dxfId="97" priority="35" operator="equal">
      <formula>"总监"</formula>
    </cfRule>
  </conditionalFormatting>
  <conditionalFormatting sqref="C40:C41">
    <cfRule type="cellIs" dxfId="96" priority="32" operator="equal">
      <formula>"员工"</formula>
    </cfRule>
    <cfRule type="cellIs" dxfId="95" priority="33" operator="equal">
      <formula>"总监"</formula>
    </cfRule>
  </conditionalFormatting>
  <conditionalFormatting sqref="D41">
    <cfRule type="cellIs" dxfId="94" priority="30" operator="equal">
      <formula>"员工"</formula>
    </cfRule>
    <cfRule type="cellIs" dxfId="93" priority="31" operator="equal">
      <formula>"总监"</formula>
    </cfRule>
  </conditionalFormatting>
  <conditionalFormatting sqref="D60 C60:C69">
    <cfRule type="cellIs" dxfId="92" priority="28" operator="equal">
      <formula>"员工"</formula>
    </cfRule>
    <cfRule type="cellIs" dxfId="91" priority="29" operator="equal">
      <formula>"总监"</formula>
    </cfRule>
  </conditionalFormatting>
  <conditionalFormatting sqref="D61">
    <cfRule type="cellIs" dxfId="90" priority="26" operator="equal">
      <formula>"员工"</formula>
    </cfRule>
    <cfRule type="cellIs" dxfId="89" priority="27" operator="equal">
      <formula>"总监"</formula>
    </cfRule>
  </conditionalFormatting>
  <conditionalFormatting sqref="C214">
    <cfRule type="cellIs" dxfId="88" priority="24" operator="equal">
      <formula>"员工"</formula>
    </cfRule>
    <cfRule type="cellIs" dxfId="87" priority="25" operator="equal">
      <formula>"总监"</formula>
    </cfRule>
  </conditionalFormatting>
  <conditionalFormatting sqref="D215 C215:C224">
    <cfRule type="cellIs" dxfId="86" priority="22" operator="equal">
      <formula>"员工"</formula>
    </cfRule>
    <cfRule type="cellIs" dxfId="85" priority="23" operator="equal">
      <formula>"总监"</formula>
    </cfRule>
  </conditionalFormatting>
  <conditionalFormatting sqref="D216">
    <cfRule type="cellIs" dxfId="84" priority="20" operator="equal">
      <formula>"员工"</formula>
    </cfRule>
    <cfRule type="cellIs" dxfId="83" priority="21" operator="equal">
      <formula>"总监"</formula>
    </cfRule>
  </conditionalFormatting>
  <conditionalFormatting sqref="C340">
    <cfRule type="cellIs" dxfId="82" priority="18" operator="equal">
      <formula>"员工"</formula>
    </cfRule>
    <cfRule type="cellIs" dxfId="81" priority="19" operator="equal">
      <formula>"总监"</formula>
    </cfRule>
  </conditionalFormatting>
  <conditionalFormatting sqref="D341 C341:C346">
    <cfRule type="cellIs" dxfId="80" priority="16" operator="equal">
      <formula>"员工"</formula>
    </cfRule>
    <cfRule type="cellIs" dxfId="79" priority="17" operator="equal">
      <formula>"总监"</formula>
    </cfRule>
  </conditionalFormatting>
  <conditionalFormatting sqref="D342">
    <cfRule type="cellIs" dxfId="78" priority="14" operator="equal">
      <formula>"员工"</formula>
    </cfRule>
    <cfRule type="cellIs" dxfId="77" priority="15" operator="equal">
      <formula>"总监"</formula>
    </cfRule>
  </conditionalFormatting>
  <conditionalFormatting sqref="D405 C405:C408">
    <cfRule type="cellIs" dxfId="76" priority="12" operator="equal">
      <formula>"员工"</formula>
    </cfRule>
    <cfRule type="cellIs" dxfId="75" priority="13" operator="equal">
      <formula>"总监"</formula>
    </cfRule>
  </conditionalFormatting>
  <conditionalFormatting sqref="D406:D408">
    <cfRule type="cellIs" dxfId="74" priority="10" operator="equal">
      <formula>"员工"</formula>
    </cfRule>
    <cfRule type="cellIs" dxfId="73" priority="11" operator="equal">
      <formula>"总监"</formula>
    </cfRule>
  </conditionalFormatting>
  <conditionalFormatting sqref="C459:C460">
    <cfRule type="cellIs" dxfId="72" priority="8" operator="equal">
      <formula>"员工"</formula>
    </cfRule>
    <cfRule type="cellIs" dxfId="71" priority="9" operator="equal">
      <formula>"总监"</formula>
    </cfRule>
  </conditionalFormatting>
  <conditionalFormatting sqref="C554">
    <cfRule type="cellIs" dxfId="70" priority="6" operator="equal">
      <formula>"员工"</formula>
    </cfRule>
    <cfRule type="cellIs" dxfId="69" priority="7" operator="equal">
      <formula>"总监"</formula>
    </cfRule>
  </conditionalFormatting>
  <conditionalFormatting sqref="C555:C557 C559">
    <cfRule type="cellIs" dxfId="68" priority="4" operator="equal">
      <formula>"员工"</formula>
    </cfRule>
    <cfRule type="cellIs" dxfId="67" priority="5" operator="equal">
      <formula>"总监"</formula>
    </cfRule>
  </conditionalFormatting>
  <conditionalFormatting sqref="C558">
    <cfRule type="cellIs" dxfId="66" priority="2" operator="equal">
      <formula>"员工"</formula>
    </cfRule>
    <cfRule type="cellIs" dxfId="65" priority="3" operator="equal">
      <formula>"总监"</formula>
    </cfRule>
  </conditionalFormatting>
  <conditionalFormatting sqref="F2:F575">
    <cfRule type="duplicateValues" dxfId="64" priority="42"/>
  </conditionalFormatting>
  <conditionalFormatting sqref="AC2:AC575">
    <cfRule type="iconSet" priority="1">
      <iconSet>
        <cfvo type="percent" val="0"/>
        <cfvo type="num" val="-1"/>
        <cfvo type="num" val="0" gte="0"/>
      </iconSet>
    </cfRule>
  </conditionalFormatting>
  <hyperlinks>
    <hyperlink ref="AD2" r:id="rId1"/>
    <hyperlink ref="AD3:AD575" r:id="rId2" display="2318855130@qq.com"/>
  </hyperlinks>
  <pageMargins left="0.7" right="0.7" top="0.75" bottom="0.75" header="0.3" footer="0.3"/>
  <pageSetup paperSize="9" orientation="portrait" r:id="rId3"/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G20" sqref="G20"/>
    </sheetView>
  </sheetViews>
  <sheetFormatPr defaultRowHeight="14.25"/>
  <cols>
    <col min="1" max="1" width="12.25" style="55" bestFit="1" customWidth="1"/>
    <col min="2" max="2" width="10.25" style="55" bestFit="1" customWidth="1"/>
    <col min="3" max="3" width="8.125" style="55" bestFit="1" customWidth="1"/>
    <col min="4" max="4" width="10.25" style="55" bestFit="1" customWidth="1"/>
    <col min="5" max="6" width="9" style="55"/>
    <col min="7" max="7" width="8.5" style="55" bestFit="1" customWidth="1"/>
    <col min="8" max="11" width="7.5" style="55" bestFit="1" customWidth="1"/>
    <col min="12" max="12" width="9.625" style="55" bestFit="1" customWidth="1"/>
    <col min="13" max="13" width="8.5" style="55" bestFit="1" customWidth="1"/>
  </cols>
  <sheetData>
    <row r="1" spans="1:13">
      <c r="A1" s="44" t="s">
        <v>997</v>
      </c>
      <c r="B1" s="44" t="s">
        <v>961</v>
      </c>
      <c r="C1" s="44" t="s">
        <v>962</v>
      </c>
      <c r="D1" s="44" t="s">
        <v>963</v>
      </c>
      <c r="E1" s="44" t="s">
        <v>964</v>
      </c>
      <c r="F1" s="44" t="s">
        <v>965</v>
      </c>
      <c r="G1" s="44" t="s">
        <v>966</v>
      </c>
      <c r="H1" s="47" t="s">
        <v>961</v>
      </c>
      <c r="I1" s="47" t="s">
        <v>962</v>
      </c>
      <c r="J1" s="47" t="s">
        <v>963</v>
      </c>
      <c r="K1" s="47" t="s">
        <v>964</v>
      </c>
      <c r="L1" s="47" t="s">
        <v>965</v>
      </c>
      <c r="M1" s="47" t="s">
        <v>966</v>
      </c>
    </row>
    <row r="2" spans="1:13">
      <c r="A2" s="44" t="s">
        <v>960</v>
      </c>
      <c r="B2" s="44" t="s">
        <v>968</v>
      </c>
      <c r="C2" s="44" t="s">
        <v>968</v>
      </c>
      <c r="D2" s="44" t="s">
        <v>968</v>
      </c>
      <c r="E2" s="44" t="s">
        <v>968</v>
      </c>
      <c r="F2" s="44" t="s">
        <v>968</v>
      </c>
      <c r="G2" s="44" t="s">
        <v>968</v>
      </c>
      <c r="H2" s="47" t="s">
        <v>967</v>
      </c>
      <c r="I2" s="47" t="s">
        <v>967</v>
      </c>
      <c r="J2" s="47" t="s">
        <v>967</v>
      </c>
      <c r="K2" s="47" t="s">
        <v>967</v>
      </c>
      <c r="L2" s="47" t="s">
        <v>967</v>
      </c>
      <c r="M2" s="47" t="s">
        <v>967</v>
      </c>
    </row>
    <row r="3" spans="1:13">
      <c r="A3" s="50" t="s">
        <v>969</v>
      </c>
      <c r="B3" s="51">
        <v>0.08</v>
      </c>
      <c r="C3" s="50" t="s">
        <v>970</v>
      </c>
      <c r="D3" s="52">
        <v>2E-3</v>
      </c>
      <c r="E3" s="50" t="s">
        <v>971</v>
      </c>
      <c r="F3" s="50" t="s">
        <v>971</v>
      </c>
      <c r="G3" s="51">
        <v>0.12</v>
      </c>
      <c r="H3" s="51">
        <v>0.2</v>
      </c>
      <c r="I3" s="51">
        <v>0.1</v>
      </c>
      <c r="J3" s="51">
        <v>0.01</v>
      </c>
      <c r="K3" s="52">
        <v>8.0000000000000002E-3</v>
      </c>
      <c r="L3" s="51">
        <v>0.01</v>
      </c>
      <c r="M3" s="51">
        <v>0.12</v>
      </c>
    </row>
    <row r="4" spans="1:13">
      <c r="A4" s="44" t="s">
        <v>972</v>
      </c>
      <c r="B4" s="45">
        <v>0.08</v>
      </c>
      <c r="C4" s="45">
        <v>0.02</v>
      </c>
      <c r="D4" s="46">
        <v>5.0000000000000001E-3</v>
      </c>
      <c r="E4" s="44" t="s">
        <v>971</v>
      </c>
      <c r="F4" s="44" t="s">
        <v>971</v>
      </c>
      <c r="G4" s="45">
        <v>7.0000000000000007E-2</v>
      </c>
      <c r="H4" s="48">
        <v>0.21</v>
      </c>
      <c r="I4" s="48">
        <v>0.11</v>
      </c>
      <c r="J4" s="49">
        <v>1.4999999999999999E-2</v>
      </c>
      <c r="K4" s="48">
        <v>0.01</v>
      </c>
      <c r="L4" s="49">
        <v>5.0000000000000001E-3</v>
      </c>
      <c r="M4" s="48">
        <v>7.0000000000000007E-2</v>
      </c>
    </row>
    <row r="5" spans="1:13">
      <c r="A5" s="44" t="s">
        <v>973</v>
      </c>
      <c r="B5" s="45">
        <v>0.08</v>
      </c>
      <c r="C5" s="45">
        <v>0.02</v>
      </c>
      <c r="D5" s="46">
        <v>5.0000000000000001E-3</v>
      </c>
      <c r="E5" s="44" t="s">
        <v>971</v>
      </c>
      <c r="F5" s="44" t="s">
        <v>971</v>
      </c>
      <c r="G5" s="44" t="s">
        <v>974</v>
      </c>
      <c r="H5" s="48">
        <v>0.12</v>
      </c>
      <c r="I5" s="48">
        <v>7.0000000000000007E-2</v>
      </c>
      <c r="J5" s="49">
        <v>1.4999999999999999E-2</v>
      </c>
      <c r="K5" s="49">
        <v>8.5000000000000006E-3</v>
      </c>
      <c r="L5" s="49">
        <v>5.0000000000000001E-3</v>
      </c>
      <c r="M5" s="47" t="s">
        <v>974</v>
      </c>
    </row>
    <row r="6" spans="1:13">
      <c r="A6" s="44" t="s">
        <v>975</v>
      </c>
      <c r="B6" s="45">
        <v>0.08</v>
      </c>
      <c r="C6" s="45">
        <v>0.02</v>
      </c>
      <c r="D6" s="45">
        <v>0.01</v>
      </c>
      <c r="E6" s="44" t="s">
        <v>976</v>
      </c>
      <c r="F6" s="44" t="s">
        <v>976</v>
      </c>
      <c r="G6" s="44" t="s">
        <v>974</v>
      </c>
      <c r="H6" s="48">
        <v>0.2</v>
      </c>
      <c r="I6" s="48">
        <v>0.08</v>
      </c>
      <c r="J6" s="48">
        <v>0.01</v>
      </c>
      <c r="K6" s="49">
        <v>8.0000000000000002E-3</v>
      </c>
      <c r="L6" s="49">
        <v>5.0000000000000001E-3</v>
      </c>
      <c r="M6" s="47" t="s">
        <v>974</v>
      </c>
    </row>
    <row r="7" spans="1:13">
      <c r="A7" s="44" t="s">
        <v>977</v>
      </c>
      <c r="B7" s="45">
        <v>0.08</v>
      </c>
      <c r="C7" s="44" t="s">
        <v>978</v>
      </c>
      <c r="D7" s="45">
        <v>0.01</v>
      </c>
      <c r="E7" s="44" t="s">
        <v>976</v>
      </c>
      <c r="F7" s="44" t="s">
        <v>976</v>
      </c>
      <c r="G7" s="45">
        <v>0.08</v>
      </c>
      <c r="H7" s="48">
        <v>0.2</v>
      </c>
      <c r="I7" s="48">
        <v>0.09</v>
      </c>
      <c r="J7" s="48">
        <v>0.02</v>
      </c>
      <c r="K7" s="49">
        <v>8.0000000000000002E-3</v>
      </c>
      <c r="L7" s="49">
        <v>5.0000000000000001E-3</v>
      </c>
      <c r="M7" s="48">
        <v>0.08</v>
      </c>
    </row>
    <row r="8" spans="1:13">
      <c r="A8" s="44" t="s">
        <v>979</v>
      </c>
      <c r="B8" s="45">
        <v>0.08</v>
      </c>
      <c r="C8" s="45">
        <v>0.02</v>
      </c>
      <c r="D8" s="45">
        <v>0.01</v>
      </c>
      <c r="E8" s="44" t="s">
        <v>976</v>
      </c>
      <c r="F8" s="44" t="s">
        <v>976</v>
      </c>
      <c r="G8" s="45">
        <v>0.11</v>
      </c>
      <c r="H8" s="48">
        <v>0.2</v>
      </c>
      <c r="I8" s="48">
        <v>0.1</v>
      </c>
      <c r="J8" s="48">
        <v>0.02</v>
      </c>
      <c r="K8" s="49">
        <v>8.0000000000000002E-3</v>
      </c>
      <c r="L8" s="47" t="s">
        <v>980</v>
      </c>
      <c r="M8" s="48">
        <v>0.11</v>
      </c>
    </row>
    <row r="9" spans="1:13">
      <c r="A9" s="44" t="s">
        <v>981</v>
      </c>
      <c r="B9" s="45">
        <v>0.08</v>
      </c>
      <c r="C9" s="44" t="s">
        <v>982</v>
      </c>
      <c r="D9" s="45">
        <v>0.01</v>
      </c>
      <c r="E9" s="44" t="s">
        <v>976</v>
      </c>
      <c r="F9" s="44" t="s">
        <v>976</v>
      </c>
      <c r="G9" s="45">
        <v>0.12</v>
      </c>
      <c r="H9" s="48">
        <v>0.14000000000000001</v>
      </c>
      <c r="I9" s="49">
        <v>0.115</v>
      </c>
      <c r="J9" s="48">
        <v>0.02</v>
      </c>
      <c r="K9" s="49">
        <v>6.0000000000000001E-3</v>
      </c>
      <c r="L9" s="47" t="s">
        <v>983</v>
      </c>
      <c r="M9" s="48">
        <v>0.12</v>
      </c>
    </row>
    <row r="10" spans="1:13">
      <c r="A10" s="44" t="s">
        <v>984</v>
      </c>
      <c r="B10" s="45">
        <v>0.08</v>
      </c>
      <c r="C10" s="44" t="s">
        <v>985</v>
      </c>
      <c r="D10" s="45">
        <v>0.01</v>
      </c>
      <c r="E10" s="44" t="s">
        <v>976</v>
      </c>
      <c r="F10" s="44" t="s">
        <v>976</v>
      </c>
      <c r="G10" s="45">
        <v>0.1</v>
      </c>
      <c r="H10" s="48">
        <v>0.2</v>
      </c>
      <c r="I10" s="48">
        <v>7.0000000000000007E-2</v>
      </c>
      <c r="J10" s="48">
        <v>0.02</v>
      </c>
      <c r="K10" s="49">
        <v>5.0000000000000001E-3</v>
      </c>
      <c r="L10" s="48">
        <v>0.01</v>
      </c>
      <c r="M10" s="48">
        <v>0.1</v>
      </c>
    </row>
    <row r="11" spans="1:13">
      <c r="A11" s="44" t="s">
        <v>986</v>
      </c>
      <c r="B11" s="45">
        <v>0.08</v>
      </c>
      <c r="C11" s="44" t="s">
        <v>987</v>
      </c>
      <c r="D11" s="45">
        <v>0.01</v>
      </c>
      <c r="E11" s="44" t="s">
        <v>976</v>
      </c>
      <c r="F11" s="44" t="s">
        <v>976</v>
      </c>
      <c r="G11" s="45">
        <v>0.06</v>
      </c>
      <c r="H11" s="48">
        <v>0.2</v>
      </c>
      <c r="I11" s="48">
        <v>7.0000000000000007E-2</v>
      </c>
      <c r="J11" s="48">
        <v>0.02</v>
      </c>
      <c r="K11" s="49">
        <v>5.0000000000000001E-3</v>
      </c>
      <c r="L11" s="49">
        <v>6.0000000000000001E-3</v>
      </c>
      <c r="M11" s="48">
        <v>0.1</v>
      </c>
    </row>
    <row r="12" spans="1:13">
      <c r="A12" s="44" t="s">
        <v>988</v>
      </c>
      <c r="B12" s="45">
        <v>0.08</v>
      </c>
      <c r="C12" s="44" t="s">
        <v>982</v>
      </c>
      <c r="D12" s="45">
        <v>0.01</v>
      </c>
      <c r="E12" s="44" t="s">
        <v>976</v>
      </c>
      <c r="F12" s="44" t="s">
        <v>976</v>
      </c>
      <c r="G12" s="45">
        <v>0.08</v>
      </c>
      <c r="H12" s="48">
        <v>0.2</v>
      </c>
      <c r="I12" s="48">
        <v>0.08</v>
      </c>
      <c r="J12" s="48">
        <v>0.02</v>
      </c>
      <c r="K12" s="49">
        <v>8.0000000000000002E-3</v>
      </c>
      <c r="L12" s="49">
        <v>5.0000000000000001E-3</v>
      </c>
      <c r="M12" s="48">
        <v>0.08</v>
      </c>
    </row>
    <row r="13" spans="1:13">
      <c r="A13" s="44" t="s">
        <v>989</v>
      </c>
      <c r="B13" s="45">
        <v>0.08</v>
      </c>
      <c r="C13" s="44" t="s">
        <v>990</v>
      </c>
      <c r="D13" s="45">
        <v>0.01</v>
      </c>
      <c r="E13" s="44" t="s">
        <v>976</v>
      </c>
      <c r="F13" s="44" t="s">
        <v>976</v>
      </c>
      <c r="G13" s="45">
        <v>0.12</v>
      </c>
      <c r="H13" s="48">
        <v>0.18</v>
      </c>
      <c r="I13" s="48">
        <v>0.08</v>
      </c>
      <c r="J13" s="48">
        <v>0.01</v>
      </c>
      <c r="K13" s="49">
        <v>7.0000000000000001E-3</v>
      </c>
      <c r="L13" s="47" t="s">
        <v>991</v>
      </c>
      <c r="M13" s="48">
        <v>0.12</v>
      </c>
    </row>
    <row r="14" spans="1:13">
      <c r="A14" s="44" t="s">
        <v>992</v>
      </c>
      <c r="B14" s="45">
        <v>0.08</v>
      </c>
      <c r="C14" s="45">
        <v>0.02</v>
      </c>
      <c r="D14" s="45">
        <v>0.01</v>
      </c>
      <c r="E14" s="44" t="s">
        <v>976</v>
      </c>
      <c r="F14" s="44" t="s">
        <v>976</v>
      </c>
      <c r="G14" s="44" t="s">
        <v>993</v>
      </c>
      <c r="H14" s="48">
        <v>0.2</v>
      </c>
      <c r="I14" s="48">
        <v>0.08</v>
      </c>
      <c r="J14" s="48">
        <v>0.02</v>
      </c>
      <c r="K14" s="49">
        <v>7.0000000000000001E-3</v>
      </c>
      <c r="L14" s="49">
        <v>5.0000000000000001E-3</v>
      </c>
      <c r="M14" s="47" t="s">
        <v>993</v>
      </c>
    </row>
    <row r="15" spans="1:13">
      <c r="A15" s="44" t="s">
        <v>994</v>
      </c>
      <c r="B15" s="45">
        <v>0.2</v>
      </c>
      <c r="C15" s="45">
        <v>0.02</v>
      </c>
      <c r="D15" s="45">
        <v>0.01</v>
      </c>
      <c r="E15" s="44" t="s">
        <v>976</v>
      </c>
      <c r="F15" s="44" t="s">
        <v>976</v>
      </c>
      <c r="G15" s="44" t="s">
        <v>996</v>
      </c>
      <c r="H15" s="48">
        <v>0.2</v>
      </c>
      <c r="I15" s="49">
        <v>7.4999999999999997E-2</v>
      </c>
      <c r="J15" s="48">
        <v>0.02</v>
      </c>
      <c r="K15" s="49">
        <v>6.0000000000000001E-3</v>
      </c>
      <c r="L15" s="49">
        <v>6.0000000000000001E-3</v>
      </c>
      <c r="M15" s="47" t="s">
        <v>995</v>
      </c>
    </row>
    <row r="18" spans="1:9">
      <c r="A18" s="54" t="s">
        <v>1001</v>
      </c>
      <c r="B18" s="54" t="s">
        <v>1002</v>
      </c>
      <c r="C18" s="54" t="s">
        <v>1003</v>
      </c>
      <c r="D18" s="54" t="s">
        <v>1004</v>
      </c>
    </row>
    <row r="19" spans="1:9">
      <c r="A19" s="56">
        <v>0</v>
      </c>
      <c r="B19" s="56">
        <v>1500</v>
      </c>
      <c r="C19" s="56">
        <v>0.03</v>
      </c>
      <c r="D19" s="56">
        <v>0</v>
      </c>
      <c r="F19" s="57" t="s">
        <v>1005</v>
      </c>
      <c r="G19" s="58" t="s">
        <v>1006</v>
      </c>
      <c r="H19" s="58" t="s">
        <v>1007</v>
      </c>
      <c r="I19"/>
    </row>
    <row r="20" spans="1:9">
      <c r="A20" s="56">
        <v>1500</v>
      </c>
      <c r="B20" s="56">
        <v>4500</v>
      </c>
      <c r="C20" s="56">
        <v>0.1</v>
      </c>
      <c r="D20" s="56">
        <f>ROUND((C20-C19)*(B19-A19),2)</f>
        <v>105</v>
      </c>
      <c r="F20" s="59">
        <v>5001</v>
      </c>
      <c r="G20" s="60">
        <f>ROUND(MAX((F20-3500)*{3,10,20,25,30,35,45}%-{0,105,555,1005,2755,5505,13505},0),2)</f>
        <v>45.1</v>
      </c>
      <c r="H20" s="58">
        <f>F20-G20</f>
        <v>4955.8999999999996</v>
      </c>
      <c r="I20"/>
    </row>
    <row r="21" spans="1:9">
      <c r="A21" s="56">
        <v>4500</v>
      </c>
      <c r="B21" s="56">
        <v>9000</v>
      </c>
      <c r="C21" s="56">
        <v>0.2</v>
      </c>
      <c r="D21" s="56">
        <f>ROUND((B19-A19)*(C21-C19)+(B20-A20)*(C21-C20),2)</f>
        <v>555</v>
      </c>
    </row>
    <row r="22" spans="1:9">
      <c r="A22" s="56">
        <v>9000</v>
      </c>
      <c r="B22" s="56">
        <v>35000</v>
      </c>
      <c r="C22" s="56">
        <v>0.25</v>
      </c>
      <c r="D22" s="56">
        <f>ROUND((B19-A19)*(C22-C19)+(B20-A20)*(C22-C20)+(B21-A21)*(C22-C21),2)</f>
        <v>1005</v>
      </c>
    </row>
    <row r="23" spans="1:9">
      <c r="A23" s="56">
        <v>35000</v>
      </c>
      <c r="B23" s="56">
        <v>55000</v>
      </c>
      <c r="C23" s="56">
        <v>0.3</v>
      </c>
      <c r="D23" s="56">
        <f>ROUND((B19-A19)*(C23-C19)+(B20-A20)*(C23-C20)+(B21-A21)*(C23-C21)+(B22-A22)*(C23-C22),2)</f>
        <v>2755</v>
      </c>
    </row>
    <row r="24" spans="1:9">
      <c r="A24" s="56">
        <v>55000</v>
      </c>
      <c r="B24" s="56">
        <v>80000</v>
      </c>
      <c r="C24" s="56">
        <v>0.35</v>
      </c>
      <c r="D24" s="56">
        <f>ROUND((B19-A19)*(C24-C19)+(B20-A20)*(C24-C20)+(B21-A21)*(C24-C21)+(B22-A22)*(C24-C22)+(B23-A23)*(C24-C23),2)</f>
        <v>5505</v>
      </c>
    </row>
    <row r="25" spans="1:9">
      <c r="A25" s="56">
        <v>80000</v>
      </c>
      <c r="B25" s="56"/>
      <c r="C25" s="56">
        <v>0.45</v>
      </c>
      <c r="D25" s="56">
        <f>ROUND((B19-A19)*(C25-C19)+(B20-A20)*(C25-C20)+(B21-A21)*(C25-C21)+(B22-A22)*(C25-C22)+(B23-A23)*(C25-C23)+(B24-A24)*(C25-C24),2)</f>
        <v>13505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G9" sqref="G9"/>
    </sheetView>
  </sheetViews>
  <sheetFormatPr defaultRowHeight="14.25"/>
  <cols>
    <col min="1" max="1" width="9.25" customWidth="1"/>
    <col min="3" max="3" width="12" style="6" bestFit="1" customWidth="1"/>
    <col min="7" max="7" width="10.25" customWidth="1"/>
    <col min="17" max="17" width="11.5" bestFit="1" customWidth="1"/>
  </cols>
  <sheetData>
    <row r="1" spans="1:17" ht="16.5">
      <c r="A1" s="3" t="s">
        <v>916</v>
      </c>
      <c r="B1" s="3" t="s">
        <v>917</v>
      </c>
      <c r="D1" s="7" t="s">
        <v>917</v>
      </c>
      <c r="E1" s="8" t="s">
        <v>918</v>
      </c>
      <c r="F1" s="8" t="s">
        <v>919</v>
      </c>
      <c r="G1" s="8" t="s">
        <v>920</v>
      </c>
      <c r="H1" s="8" t="s">
        <v>921</v>
      </c>
      <c r="I1" s="8" t="s">
        <v>922</v>
      </c>
      <c r="J1" s="8" t="s">
        <v>923</v>
      </c>
      <c r="K1" s="8" t="s">
        <v>924</v>
      </c>
      <c r="L1" s="8" t="s">
        <v>925</v>
      </c>
      <c r="M1" s="8" t="s">
        <v>926</v>
      </c>
      <c r="N1" s="9" t="s">
        <v>927</v>
      </c>
      <c r="P1" s="10"/>
      <c r="Q1" s="11" t="s">
        <v>928</v>
      </c>
    </row>
    <row r="2" spans="1:17" ht="16.5">
      <c r="A2" s="4" t="s">
        <v>608</v>
      </c>
      <c r="B2" s="4" t="s">
        <v>929</v>
      </c>
      <c r="D2" s="12" t="s">
        <v>930</v>
      </c>
      <c r="E2" s="11">
        <v>2500</v>
      </c>
      <c r="F2" s="11">
        <v>2600</v>
      </c>
      <c r="G2" s="11">
        <v>2700</v>
      </c>
      <c r="H2" s="11">
        <v>2800</v>
      </c>
      <c r="I2" s="11">
        <v>3000</v>
      </c>
      <c r="J2" s="11">
        <v>3200</v>
      </c>
      <c r="K2" s="11">
        <v>3400</v>
      </c>
      <c r="L2" s="11">
        <v>3600</v>
      </c>
      <c r="M2" s="11">
        <v>3800</v>
      </c>
      <c r="N2" s="11">
        <v>4000</v>
      </c>
      <c r="P2" s="13"/>
      <c r="Q2" s="11" t="s">
        <v>931</v>
      </c>
    </row>
    <row r="3" spans="1:17" ht="16.5">
      <c r="A3" s="4" t="s">
        <v>603</v>
      </c>
      <c r="B3" s="4" t="s">
        <v>932</v>
      </c>
      <c r="D3" s="12" t="s">
        <v>933</v>
      </c>
      <c r="E3" s="11">
        <v>3500</v>
      </c>
      <c r="F3" s="11">
        <v>3600</v>
      </c>
      <c r="G3" s="11">
        <v>3700</v>
      </c>
      <c r="H3" s="11">
        <v>3800</v>
      </c>
      <c r="I3" s="11">
        <v>4000</v>
      </c>
      <c r="J3" s="11">
        <v>4300</v>
      </c>
      <c r="K3" s="11">
        <v>4500</v>
      </c>
      <c r="L3" s="11">
        <v>4800</v>
      </c>
      <c r="M3" s="11">
        <v>5000</v>
      </c>
      <c r="N3" s="11">
        <v>6000</v>
      </c>
      <c r="P3" s="14"/>
      <c r="Q3" s="11" t="s">
        <v>934</v>
      </c>
    </row>
    <row r="4" spans="1:17" ht="16.5">
      <c r="A4" s="4" t="s">
        <v>611</v>
      </c>
      <c r="B4" s="4" t="s">
        <v>933</v>
      </c>
      <c r="D4" s="12" t="s">
        <v>932</v>
      </c>
      <c r="E4" s="11">
        <v>5000</v>
      </c>
      <c r="F4" s="11">
        <v>5300</v>
      </c>
      <c r="G4" s="11">
        <v>5500</v>
      </c>
      <c r="H4" s="11">
        <v>6000</v>
      </c>
      <c r="I4" s="11">
        <v>6500</v>
      </c>
      <c r="J4" s="11">
        <v>7000</v>
      </c>
      <c r="K4" s="11">
        <v>7500</v>
      </c>
      <c r="L4" s="11">
        <v>8000</v>
      </c>
      <c r="M4" s="11">
        <v>8500</v>
      </c>
      <c r="N4" s="11">
        <v>9000</v>
      </c>
      <c r="P4" s="15"/>
      <c r="Q4" s="11" t="s">
        <v>935</v>
      </c>
    </row>
    <row r="5" spans="1:17" ht="16.5">
      <c r="A5" s="4" t="s">
        <v>609</v>
      </c>
      <c r="B5" s="4" t="s">
        <v>930</v>
      </c>
      <c r="D5" s="16" t="s">
        <v>929</v>
      </c>
      <c r="E5" s="17">
        <v>7500</v>
      </c>
      <c r="F5" s="17">
        <v>8000</v>
      </c>
      <c r="G5" s="17">
        <v>8500</v>
      </c>
      <c r="H5" s="17">
        <v>9000</v>
      </c>
      <c r="I5" s="17">
        <v>10000</v>
      </c>
      <c r="J5" s="17">
        <v>11000</v>
      </c>
      <c r="K5" s="17">
        <v>12000</v>
      </c>
      <c r="L5" s="17">
        <v>13000</v>
      </c>
      <c r="M5" s="17">
        <v>14000</v>
      </c>
      <c r="N5" s="17">
        <v>15000</v>
      </c>
      <c r="P5" s="18"/>
      <c r="Q5" s="11" t="s">
        <v>936</v>
      </c>
    </row>
    <row r="7" spans="1:17" ht="16.5">
      <c r="A7" s="19" t="s">
        <v>937</v>
      </c>
      <c r="B7" s="19" t="s">
        <v>938</v>
      </c>
      <c r="C7" s="20" t="s">
        <v>939</v>
      </c>
      <c r="E7" s="30" t="s">
        <v>956</v>
      </c>
      <c r="F7" s="31" t="s">
        <v>955</v>
      </c>
      <c r="G7" s="32" t="s">
        <v>957</v>
      </c>
    </row>
    <row r="8" spans="1:17" ht="16.5">
      <c r="A8" s="21">
        <v>2500</v>
      </c>
      <c r="B8" s="21">
        <v>0</v>
      </c>
      <c r="C8" s="22">
        <v>0.1</v>
      </c>
      <c r="E8" s="29" t="s">
        <v>952</v>
      </c>
      <c r="F8" s="28">
        <v>1000</v>
      </c>
      <c r="G8" s="28">
        <v>800</v>
      </c>
    </row>
    <row r="9" spans="1:17" ht="16.5">
      <c r="A9" s="21">
        <v>2600</v>
      </c>
      <c r="B9" s="21">
        <f t="shared" ref="B9:B38" si="0">A8</f>
        <v>2500</v>
      </c>
      <c r="C9" s="22">
        <v>0.1</v>
      </c>
      <c r="E9" s="29" t="s">
        <v>953</v>
      </c>
      <c r="F9" s="28">
        <v>800</v>
      </c>
      <c r="G9" s="28">
        <v>500</v>
      </c>
    </row>
    <row r="10" spans="1:17" ht="16.5">
      <c r="A10" s="21">
        <v>2700</v>
      </c>
      <c r="B10" s="21">
        <f t="shared" si="0"/>
        <v>2600</v>
      </c>
      <c r="C10" s="22">
        <v>0.1</v>
      </c>
      <c r="E10" s="29" t="s">
        <v>668</v>
      </c>
      <c r="F10" s="28">
        <v>500</v>
      </c>
      <c r="G10" s="34">
        <v>300</v>
      </c>
    </row>
    <row r="11" spans="1:17" ht="16.5">
      <c r="A11" s="21">
        <v>2800</v>
      </c>
      <c r="B11" s="21">
        <f t="shared" si="0"/>
        <v>2700</v>
      </c>
      <c r="C11" s="22">
        <v>0.1</v>
      </c>
      <c r="E11" s="33" t="s">
        <v>954</v>
      </c>
      <c r="F11" s="34">
        <v>300</v>
      </c>
      <c r="G11" s="35">
        <v>0</v>
      </c>
    </row>
    <row r="12" spans="1:17" ht="16.5">
      <c r="A12" s="21">
        <v>3000</v>
      </c>
      <c r="B12" s="21">
        <f t="shared" si="0"/>
        <v>2800</v>
      </c>
      <c r="C12" s="22">
        <v>0.1</v>
      </c>
    </row>
    <row r="13" spans="1:17" ht="16.5">
      <c r="A13" s="21">
        <v>3200</v>
      </c>
      <c r="B13" s="21">
        <f t="shared" si="0"/>
        <v>3000</v>
      </c>
      <c r="C13" s="22">
        <v>0.1</v>
      </c>
    </row>
    <row r="14" spans="1:17" ht="16.5">
      <c r="A14" s="21">
        <v>3400</v>
      </c>
      <c r="B14" s="21">
        <f t="shared" si="0"/>
        <v>3200</v>
      </c>
      <c r="C14" s="22">
        <v>0.1</v>
      </c>
    </row>
    <row r="15" spans="1:17" ht="16.5">
      <c r="A15" s="21">
        <v>3500</v>
      </c>
      <c r="B15" s="21">
        <f t="shared" si="0"/>
        <v>3400</v>
      </c>
      <c r="C15" s="22">
        <v>0.1</v>
      </c>
    </row>
    <row r="16" spans="1:17" ht="16.5">
      <c r="A16" s="21">
        <v>3600</v>
      </c>
      <c r="B16" s="21">
        <f t="shared" si="0"/>
        <v>3500</v>
      </c>
      <c r="C16" s="22">
        <v>0.1</v>
      </c>
    </row>
    <row r="17" spans="1:3" ht="16.5">
      <c r="A17" s="21">
        <v>3700</v>
      </c>
      <c r="B17" s="21">
        <f t="shared" si="0"/>
        <v>3600</v>
      </c>
      <c r="C17" s="22">
        <v>0.1</v>
      </c>
    </row>
    <row r="18" spans="1:3" ht="16.5">
      <c r="A18" s="21">
        <v>3800</v>
      </c>
      <c r="B18" s="21">
        <f t="shared" si="0"/>
        <v>3700</v>
      </c>
      <c r="C18" s="22">
        <v>0.1</v>
      </c>
    </row>
    <row r="19" spans="1:3" ht="16.5">
      <c r="A19" s="21">
        <v>4000</v>
      </c>
      <c r="B19" s="21">
        <f t="shared" si="0"/>
        <v>3800</v>
      </c>
      <c r="C19" s="22">
        <v>0.1</v>
      </c>
    </row>
    <row r="20" spans="1:3" ht="16.5">
      <c r="A20" s="21">
        <v>4300</v>
      </c>
      <c r="B20" s="21">
        <f t="shared" si="0"/>
        <v>4000</v>
      </c>
      <c r="C20" s="22">
        <v>0.15</v>
      </c>
    </row>
    <row r="21" spans="1:3" ht="16.5">
      <c r="A21" s="21">
        <v>4500</v>
      </c>
      <c r="B21" s="21">
        <f t="shared" si="0"/>
        <v>4300</v>
      </c>
      <c r="C21" s="22">
        <v>0.15</v>
      </c>
    </row>
    <row r="22" spans="1:3" ht="16.5">
      <c r="A22" s="21">
        <v>4800</v>
      </c>
      <c r="B22" s="21">
        <f t="shared" si="0"/>
        <v>4500</v>
      </c>
      <c r="C22" s="22">
        <v>0.15</v>
      </c>
    </row>
    <row r="23" spans="1:3" ht="16.5">
      <c r="A23" s="21">
        <v>5000</v>
      </c>
      <c r="B23" s="21">
        <f t="shared" si="0"/>
        <v>4800</v>
      </c>
      <c r="C23" s="22">
        <v>0.15</v>
      </c>
    </row>
    <row r="24" spans="1:3" ht="16.5">
      <c r="A24" s="21">
        <v>5300</v>
      </c>
      <c r="B24" s="21">
        <f t="shared" si="0"/>
        <v>5000</v>
      </c>
      <c r="C24" s="22">
        <v>0.15</v>
      </c>
    </row>
    <row r="25" spans="1:3" ht="16.5">
      <c r="A25" s="21">
        <v>5500</v>
      </c>
      <c r="B25" s="21">
        <f t="shared" si="0"/>
        <v>5300</v>
      </c>
      <c r="C25" s="22">
        <v>0.15</v>
      </c>
    </row>
    <row r="26" spans="1:3" ht="16.5">
      <c r="A26" s="21">
        <v>6000</v>
      </c>
      <c r="B26" s="21">
        <f t="shared" si="0"/>
        <v>5500</v>
      </c>
      <c r="C26" s="22">
        <v>0.15</v>
      </c>
    </row>
    <row r="27" spans="1:3" ht="16.5">
      <c r="A27" s="21">
        <v>6500</v>
      </c>
      <c r="B27" s="21">
        <f t="shared" si="0"/>
        <v>6000</v>
      </c>
      <c r="C27" s="22">
        <v>0.15</v>
      </c>
    </row>
    <row r="28" spans="1:3" ht="16.5">
      <c r="A28" s="21">
        <v>7000</v>
      </c>
      <c r="B28" s="21">
        <f t="shared" si="0"/>
        <v>6500</v>
      </c>
      <c r="C28" s="22">
        <v>0.2</v>
      </c>
    </row>
    <row r="29" spans="1:3" ht="16.5">
      <c r="A29" s="21">
        <v>7500</v>
      </c>
      <c r="B29" s="21">
        <f t="shared" si="0"/>
        <v>7000</v>
      </c>
      <c r="C29" s="22">
        <v>0.2</v>
      </c>
    </row>
    <row r="30" spans="1:3" ht="16.5">
      <c r="A30" s="21">
        <v>8000</v>
      </c>
      <c r="B30" s="21">
        <f t="shared" si="0"/>
        <v>7500</v>
      </c>
      <c r="C30" s="22">
        <v>0.2</v>
      </c>
    </row>
    <row r="31" spans="1:3" ht="16.5">
      <c r="A31" s="21">
        <v>8500</v>
      </c>
      <c r="B31" s="21">
        <f t="shared" si="0"/>
        <v>8000</v>
      </c>
      <c r="C31" s="22">
        <v>0.2</v>
      </c>
    </row>
    <row r="32" spans="1:3" ht="16.5">
      <c r="A32" s="21">
        <v>9000</v>
      </c>
      <c r="B32" s="21">
        <f t="shared" si="0"/>
        <v>8500</v>
      </c>
      <c r="C32" s="22">
        <v>0.2</v>
      </c>
    </row>
    <row r="33" spans="1:3" ht="16.5">
      <c r="A33" s="21">
        <v>10000</v>
      </c>
      <c r="B33" s="21">
        <f t="shared" si="0"/>
        <v>9000</v>
      </c>
      <c r="C33" s="22">
        <v>0.25</v>
      </c>
    </row>
    <row r="34" spans="1:3" ht="16.5">
      <c r="A34" s="21">
        <v>11000</v>
      </c>
      <c r="B34" s="21">
        <f t="shared" si="0"/>
        <v>10000</v>
      </c>
      <c r="C34" s="22">
        <v>0.25</v>
      </c>
    </row>
    <row r="35" spans="1:3" ht="16.5">
      <c r="A35" s="21">
        <v>12000</v>
      </c>
      <c r="B35" s="21">
        <f t="shared" si="0"/>
        <v>11000</v>
      </c>
      <c r="C35" s="22">
        <v>0.25</v>
      </c>
    </row>
    <row r="36" spans="1:3" ht="16.5">
      <c r="A36" s="21">
        <v>13000</v>
      </c>
      <c r="B36" s="21">
        <f t="shared" si="0"/>
        <v>12000</v>
      </c>
      <c r="C36" s="22">
        <v>0.25</v>
      </c>
    </row>
    <row r="37" spans="1:3" ht="16.5">
      <c r="A37" s="21">
        <v>14000</v>
      </c>
      <c r="B37" s="21">
        <f t="shared" si="0"/>
        <v>13000</v>
      </c>
      <c r="C37" s="22">
        <v>0.3</v>
      </c>
    </row>
    <row r="38" spans="1:3" ht="16.5">
      <c r="A38" s="21">
        <v>15000</v>
      </c>
      <c r="B38" s="21">
        <f t="shared" si="0"/>
        <v>14000</v>
      </c>
      <c r="C38" s="22">
        <v>0.3</v>
      </c>
    </row>
  </sheetData>
  <phoneticPr fontId="3" type="noConversion"/>
  <conditionalFormatting sqref="E2:N5">
    <cfRule type="cellIs" dxfId="31" priority="1" operator="greaterThan">
      <formula>9999</formula>
    </cfRule>
    <cfRule type="cellIs" dxfId="30" priority="2" operator="greaterThan">
      <formula>8001</formula>
    </cfRule>
    <cfRule type="cellIs" dxfId="29" priority="3" operator="greaterThan">
      <formula>5001</formula>
    </cfRule>
    <cfRule type="cellIs" dxfId="28" priority="4" operator="greaterThan">
      <formula>3499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工资一览表</vt:lpstr>
      <vt:lpstr>保险</vt:lpstr>
      <vt:lpstr>岗位及工资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2018-03-03T18:57:58Z</dcterms:modified>
</cp:coreProperties>
</file>