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a\Desktop\"/>
    </mc:Choice>
  </mc:AlternateContent>
  <xr:revisionPtr revIDLastSave="0" documentId="8_{B0911906-4DD3-4218-909C-BFB43FD0B1CB}" xr6:coauthVersionLast="47" xr6:coauthVersionMax="47" xr10:uidLastSave="{00000000-0000-0000-0000-000000000000}"/>
  <bookViews>
    <workbookView xWindow="-108" yWindow="-108" windowWidth="23256" windowHeight="12576" firstSheet="1" activeTab="5" xr2:uid="{7CF74159-6C01-447C-83FF-8DB86B877C3A}"/>
  </bookViews>
  <sheets>
    <sheet name="Credit Rating" sheetId="1" r:id="rId1"/>
    <sheet name="Structural Model" sheetId="2" r:id="rId2"/>
    <sheet name=" UFCE Analysis" sheetId="3" r:id="rId3"/>
    <sheet name="Working Capital Analysis" sheetId="4" r:id="rId4"/>
    <sheet name="Z-Score Calculation" sheetId="5" r:id="rId5"/>
    <sheet name="Credit Rating of Airline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3" i="5" l="1"/>
  <c r="I52" i="5"/>
  <c r="I51" i="5"/>
  <c r="I50" i="5"/>
  <c r="I49" i="5"/>
  <c r="I48" i="5"/>
  <c r="I46" i="5"/>
  <c r="I45" i="5"/>
  <c r="I44" i="5"/>
  <c r="I43" i="5"/>
  <c r="I42" i="5"/>
  <c r="I41" i="5"/>
  <c r="I39" i="5"/>
  <c r="I38" i="5"/>
  <c r="I37" i="5"/>
  <c r="I36" i="5"/>
  <c r="I35" i="5"/>
  <c r="I34" i="5"/>
  <c r="I32" i="5"/>
  <c r="I31" i="5"/>
  <c r="I30" i="5"/>
  <c r="I29" i="5"/>
  <c r="I28" i="5"/>
  <c r="I27" i="5"/>
  <c r="I25" i="5"/>
  <c r="I24" i="5"/>
  <c r="I23" i="5"/>
  <c r="I22" i="5"/>
  <c r="I21" i="5"/>
  <c r="I20" i="5"/>
  <c r="I18" i="5"/>
  <c r="I17" i="5"/>
  <c r="I16" i="5"/>
  <c r="I15" i="5"/>
  <c r="I14" i="5"/>
  <c r="I13" i="5"/>
  <c r="I10" i="5"/>
  <c r="I9" i="5"/>
  <c r="I8" i="5"/>
  <c r="I7" i="5"/>
  <c r="I6" i="5"/>
  <c r="I5" i="5"/>
  <c r="C12" i="4"/>
  <c r="C10" i="4"/>
  <c r="D9" i="4"/>
  <c r="D8" i="4"/>
  <c r="D10" i="4" s="1"/>
  <c r="C6" i="4"/>
  <c r="D5" i="4"/>
  <c r="D4" i="4"/>
  <c r="D6" i="4" s="1"/>
  <c r="D12" i="4" s="1"/>
  <c r="C14" i="3"/>
  <c r="G8" i="3"/>
  <c r="C19" i="3" s="1"/>
  <c r="C6" i="3"/>
  <c r="C8" i="3" s="1"/>
  <c r="C16" i="3" s="1"/>
  <c r="C18" i="3" s="1"/>
  <c r="B11" i="2"/>
  <c r="B8" i="2"/>
  <c r="B7" i="2"/>
  <c r="B9" i="2" s="1"/>
  <c r="C20" i="3" l="1"/>
  <c r="C21" i="3" s="1"/>
  <c r="B12" i="2"/>
  <c r="B10" i="2"/>
  <c r="B14" i="2" l="1"/>
  <c r="B15" i="2" s="1"/>
  <c r="B13" i="2"/>
</calcChain>
</file>

<file path=xl/sharedStrings.xml><?xml version="1.0" encoding="utf-8"?>
<sst xmlns="http://schemas.openxmlformats.org/spreadsheetml/2006/main" count="140" uniqueCount="116">
  <si>
    <t>Name of the Company</t>
  </si>
  <si>
    <t>PD (% per year)</t>
  </si>
  <si>
    <t>EL</t>
  </si>
  <si>
    <t>PVEL</t>
  </si>
  <si>
    <t>A</t>
  </si>
  <si>
    <t>B</t>
  </si>
  <si>
    <t>C</t>
  </si>
  <si>
    <t>D</t>
  </si>
  <si>
    <t>Rank the Companies in terms of the different credit measures. Do they give the same ranking? Which measure would you use and why?</t>
  </si>
  <si>
    <t>Solution</t>
  </si>
  <si>
    <t>Ranking</t>
  </si>
  <si>
    <t>Least</t>
  </si>
  <si>
    <t>Most</t>
  </si>
  <si>
    <t>A bond portfolio manager has $100,000 to invest in a bond portfolio. He collects the followng information from the credit
 analysis department</t>
  </si>
  <si>
    <t>Firm Value (A)</t>
  </si>
  <si>
    <t>FV of Debt (K)</t>
  </si>
  <si>
    <r>
      <t>Ex. Return (</t>
    </r>
    <r>
      <rPr>
        <sz val="11"/>
        <color theme="1"/>
        <rFont val="Calibri"/>
        <family val="2"/>
      </rPr>
      <t>μ)</t>
    </r>
  </si>
  <si>
    <t>risk-free rate ®</t>
  </si>
  <si>
    <t>Time (T)</t>
  </si>
  <si>
    <r>
      <t>Volatility (</t>
    </r>
    <r>
      <rPr>
        <sz val="11"/>
        <color theme="1"/>
        <rFont val="Calibri"/>
        <family val="2"/>
      </rPr>
      <t>σ)</t>
    </r>
  </si>
  <si>
    <t>Numerator</t>
  </si>
  <si>
    <t>Denominator</t>
  </si>
  <si>
    <t xml:space="preserve"> (e2)</t>
  </si>
  <si>
    <t>PD N(-e2)</t>
  </si>
  <si>
    <t xml:space="preserve"> (e1)</t>
  </si>
  <si>
    <t>PD N(-e1)</t>
  </si>
  <si>
    <t>Exp Loss</t>
  </si>
  <si>
    <t>PV Exp Loss</t>
  </si>
  <si>
    <t>difference</t>
  </si>
  <si>
    <t>INR MM</t>
  </si>
  <si>
    <t>FY17</t>
  </si>
  <si>
    <t>Computing EBID</t>
  </si>
  <si>
    <t>Exports</t>
  </si>
  <si>
    <t>Item</t>
  </si>
  <si>
    <t>Manufacturing Expenses</t>
  </si>
  <si>
    <t>Net Income</t>
  </si>
  <si>
    <t>Other Income/Expenses</t>
  </si>
  <si>
    <t>Interest</t>
  </si>
  <si>
    <t>Net FCY Inflow/Outflow</t>
  </si>
  <si>
    <t>Lease rental</t>
  </si>
  <si>
    <t>Hedging against revenues or expenses</t>
  </si>
  <si>
    <t>Depreciation</t>
  </si>
  <si>
    <t>Unhedged inflow/Outflow</t>
  </si>
  <si>
    <t>EBID</t>
  </si>
  <si>
    <t>Borrowings</t>
  </si>
  <si>
    <t>Short term borrowings</t>
  </si>
  <si>
    <t>Long term borrowings maturing this year</t>
  </si>
  <si>
    <t>Hedging against borrowings</t>
  </si>
  <si>
    <t>Unhedged Borrowings</t>
  </si>
  <si>
    <t>Unhedged Foreign Currency Exposure</t>
  </si>
  <si>
    <t>Volatility</t>
  </si>
  <si>
    <t>Likely Loss</t>
  </si>
  <si>
    <t>Likely Loss as  of EBID</t>
  </si>
  <si>
    <t>Provisioning (% as per UFCE guidelines)</t>
  </si>
  <si>
    <t>USD</t>
  </si>
  <si>
    <t>INR</t>
  </si>
  <si>
    <t>USD MM</t>
  </si>
  <si>
    <t>Current Assets</t>
  </si>
  <si>
    <t>Current Liabilities</t>
  </si>
  <si>
    <t>WC Gap</t>
  </si>
  <si>
    <t>External Short Term Borrowings</t>
  </si>
  <si>
    <t>Inter-Company Borrowings</t>
  </si>
  <si>
    <t>Total Short Term Borrowings</t>
  </si>
  <si>
    <t>Net WC Gap</t>
  </si>
  <si>
    <t>Fund Based Amount Allocated &lt; $12.2MM</t>
  </si>
  <si>
    <t>Altman's Z-score for major U.S carriers</t>
  </si>
  <si>
    <t>X1</t>
  </si>
  <si>
    <t>X2</t>
  </si>
  <si>
    <t>X3</t>
  </si>
  <si>
    <t>X4</t>
  </si>
  <si>
    <t>X5</t>
  </si>
  <si>
    <t>Z Score</t>
  </si>
  <si>
    <t>Name of the airline</t>
  </si>
  <si>
    <t>Year</t>
  </si>
  <si>
    <t>Working capital/ Total assets</t>
  </si>
  <si>
    <t>Retained Earnings (Accumulated Deficit)/Total Assets</t>
  </si>
  <si>
    <t>EBIT/Total Assets</t>
  </si>
  <si>
    <t>Market Value of Equity/Total Liabilities</t>
  </si>
  <si>
    <t>Sales/Total Assets</t>
  </si>
  <si>
    <t>Market value of Equity as of Dec 31 (in Billions)</t>
  </si>
  <si>
    <t>Z-score = 1.2 X1+ 1.4X2+ 3.3 X3+ 0.6 X4+ 1.0 X5</t>
  </si>
  <si>
    <t>Delta Airlines Inc</t>
  </si>
  <si>
    <t>Note: EBIT from operations excludes special charges. Z-values for the six consecutive years were less than 1.81 (high probability of bankruptcy)</t>
  </si>
  <si>
    <t>United Continental Holdings, INC</t>
  </si>
  <si>
    <t>AMR corporation (American Airlines)</t>
  </si>
  <si>
    <t>Note: EBIT from operations excludes special charges. Z-values for the six consecutive years were less than 1.81 (high probability of bankruptcy). AMR filed for bankruptcy in 2011</t>
  </si>
  <si>
    <t>U.S airways group (U.S airways)</t>
  </si>
  <si>
    <t>EBIT from operations excludes special items and goodwill impairment. Z-values for the last three years were less, but close to 1.81 (Relatively less probability of bankruptcy)</t>
  </si>
  <si>
    <t>Southwest Airlines Co.</t>
  </si>
  <si>
    <t>Note: EBIT from operations excludes special items. Z-values were both higher and a bit less that 1.81 ( Grey zone, neither safe, nor high possibility of bankruptcy)</t>
  </si>
  <si>
    <t>Jet blue Airways Corp.</t>
  </si>
  <si>
    <t>Note: EBIT is from ongoing operations and excludes non-recurring items. Z-values for six successive years were less than 1.81 (high probability of bankruptcy)</t>
  </si>
  <si>
    <t>Alaska Air Group, INC</t>
  </si>
  <si>
    <t>Note: EBIT from ongoing operations excludes special charges. Z-values most of the years presented were below, but coming close to 1.81, except 2012 when it exceeds 1.81. (relatively low probability of bankruptcy)</t>
  </si>
  <si>
    <t>Airline Name</t>
  </si>
  <si>
    <t>Credit rating</t>
  </si>
  <si>
    <t>Description</t>
  </si>
  <si>
    <t>Rating date</t>
  </si>
  <si>
    <t>American Airlines Group, Inc (AMR Corporation and U.S Airways Group)</t>
  </si>
  <si>
    <t>More vulnerable to adverse business, financial and economic conditions but currently has the capacity to meet financial commitments.</t>
  </si>
  <si>
    <t>09 Dec. 2013</t>
  </si>
  <si>
    <t>United Continental Holdings, Inc</t>
  </si>
  <si>
    <t>24. Sep. 2010</t>
  </si>
  <si>
    <t>JetBlue Airways Corp.</t>
  </si>
  <si>
    <t>13.Sep.2013</t>
  </si>
  <si>
    <t>Delta Air Lines</t>
  </si>
  <si>
    <t>BB-</t>
  </si>
  <si>
    <t>Less vulnerable in the near-term but faces major ongoing uncertainties to adverse business, financial and economic conditions.</t>
  </si>
  <si>
    <t>18 Dec. 2013</t>
  </si>
  <si>
    <t>Alaska Air Group Inc.</t>
  </si>
  <si>
    <t>BB+</t>
  </si>
  <si>
    <t>Considered highest speculative grade by market participants. Least vulnerable to adverse business, financial and economic conditions.</t>
  </si>
  <si>
    <t>17.Dec. 2013</t>
  </si>
  <si>
    <t>BBB-</t>
  </si>
  <si>
    <t>Considered lowest investment grade by market participants. Adequate capacity to meet financial commitments but highly subject to adverse economic conditions.</t>
  </si>
  <si>
    <t>02. May.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</si>
</sst>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[$$-409]#,##0.00"/>
    <numFmt numFmtId="165" formatCode="0.0%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9" fontId="0" fillId="0" borderId="0" xfId="0" applyNumberFormat="1"/>
    <xf numFmtId="165" fontId="0" fillId="0" borderId="0" xfId="2" applyNumberFormat="1" applyFont="1"/>
    <xf numFmtId="2" fontId="0" fillId="0" borderId="0" xfId="0" applyNumberFormat="1"/>
    <xf numFmtId="0" fontId="4" fillId="0" borderId="0" xfId="0" applyFont="1"/>
    <xf numFmtId="166" fontId="0" fillId="0" borderId="0" xfId="0" applyNumberFormat="1"/>
    <xf numFmtId="165" fontId="0" fillId="0" borderId="0" xfId="0" applyNumberFormat="1"/>
    <xf numFmtId="165" fontId="0" fillId="0" borderId="0" xfId="2" applyNumberFormat="1" applyFont="1" applyBorder="1"/>
    <xf numFmtId="165" fontId="0" fillId="0" borderId="0" xfId="2" applyNumberFormat="1" applyFont="1" applyBorder="1" applyAlignment="1">
      <alignment horizontal="right"/>
    </xf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horizontal="center" wrapText="1"/>
    </xf>
    <xf numFmtId="0" fontId="0" fillId="3" borderId="0" xfId="0" applyFill="1" applyAlignment="1">
      <alignment wrapText="1"/>
    </xf>
    <xf numFmtId="0" fontId="0" fillId="3" borderId="11" xfId="0" applyFill="1" applyBorder="1"/>
    <xf numFmtId="2" fontId="0" fillId="0" borderId="12" xfId="0" applyNumberFormat="1" applyBorder="1"/>
    <xf numFmtId="2" fontId="0" fillId="0" borderId="12" xfId="0" applyNumberFormat="1" applyBorder="1" applyAlignment="1">
      <alignment wrapText="1"/>
    </xf>
    <xf numFmtId="0" fontId="0" fillId="0" borderId="10" xfId="0" applyBorder="1"/>
    <xf numFmtId="2" fontId="0" fillId="0" borderId="7" xfId="0" applyNumberFormat="1" applyBorder="1"/>
    <xf numFmtId="3" fontId="0" fillId="3" borderId="11" xfId="0" applyNumberFormat="1" applyFill="1" applyBorder="1"/>
    <xf numFmtId="3" fontId="0" fillId="0" borderId="10" xfId="0" applyNumberFormat="1" applyBorder="1"/>
    <xf numFmtId="0" fontId="0" fillId="3" borderId="12" xfId="0" applyFill="1" applyBorder="1"/>
    <xf numFmtId="0" fontId="0" fillId="3" borderId="7" xfId="0" applyFill="1" applyBorder="1"/>
    <xf numFmtId="0" fontId="0" fillId="0" borderId="7" xfId="0" applyBorder="1"/>
    <xf numFmtId="3" fontId="0" fillId="0" borderId="7" xfId="0" applyNumberFormat="1" applyBorder="1"/>
    <xf numFmtId="0" fontId="0" fillId="3" borderId="5" xfId="0" applyFill="1" applyBorder="1"/>
    <xf numFmtId="0" fontId="0" fillId="3" borderId="13" xfId="0" applyFill="1" applyBorder="1"/>
    <xf numFmtId="0" fontId="0" fillId="3" borderId="6" xfId="0" applyFill="1" applyBorder="1"/>
    <xf numFmtId="0" fontId="0" fillId="3" borderId="5" xfId="0" applyFill="1" applyBorder="1" applyAlignment="1">
      <alignment vertical="center" wrapText="1"/>
    </xf>
    <xf numFmtId="0" fontId="0" fillId="0" borderId="13" xfId="0" applyBorder="1" applyAlignment="1">
      <alignment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wrapText="1"/>
    </xf>
    <xf numFmtId="0" fontId="0" fillId="3" borderId="3" xfId="0" applyFill="1" applyBorder="1" applyAlignment="1">
      <alignment vertical="center"/>
    </xf>
    <xf numFmtId="0" fontId="0" fillId="0" borderId="14" xfId="0" applyBorder="1" applyAlignment="1">
      <alignment wrapText="1"/>
    </xf>
    <xf numFmtId="0" fontId="0" fillId="3" borderId="8" xfId="0" applyFill="1" applyBorder="1" applyAlignment="1">
      <alignment vertical="center"/>
    </xf>
    <xf numFmtId="0" fontId="0" fillId="0" borderId="9" xfId="0" applyBorder="1" applyAlignment="1">
      <alignment wrapText="1"/>
    </xf>
    <xf numFmtId="0" fontId="0" fillId="0" borderId="9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0" xfId="1" applyNumberFormat="1" applyFont="1" applyAlignment="1">
      <alignment horizontal="left" vertical="center" wrapText="1"/>
    </xf>
    <xf numFmtId="0" fontId="0" fillId="2" borderId="0" xfId="0" applyFill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wrapText="1"/>
    </xf>
  </cellXfs>
  <cellStyles count="3">
    <cellStyle name="Currency" xfId="1" builtinId="4"/>
    <cellStyle name="Normal" xfId="0" builtinId="0"/>
    <cellStyle name="Percent" xfId="2" builtinId="5"/>
  </cellStyles>
  <dxfs count="2">
    <dxf>
      <numFmt numFmtId="166" formatCode="0.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A16125-B884-4755-9324-34CC910C2C98}" name="Table1" displayName="Table1" ref="B2:C21" totalsRowShown="0" tableBorderDxfId="1">
  <tableColumns count="2">
    <tableColumn id="1" xr3:uid="{0B202DD4-D706-4407-A2D0-7EB7B391192A}" name="INR MM"/>
    <tableColumn id="2" xr3:uid="{B6962A26-849E-426B-AE2E-88852517F56C}" name="FY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05DF06-7FE0-46FB-B312-16F4B8547CE9}" name="Table2" displayName="Table2" ref="F3:G8" totalsRowShown="0">
  <tableColumns count="2">
    <tableColumn id="1" xr3:uid="{A55DCD23-A352-4AA0-A9DC-1E8998291106}" name="Item"/>
    <tableColumn id="2" xr3:uid="{3D0A73EC-52AA-4132-88FC-CC821A632396}" name="INR M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54D236-9A41-490A-95C4-04A03B3BAF72}" name="Table3" displayName="Table3" ref="B3:D12" totalsRowShown="0">
  <tableColumns count="3">
    <tableColumn id="1" xr3:uid="{00ADCCD2-EB82-485C-9B6A-633674373E05}" name="Item"/>
    <tableColumn id="2" xr3:uid="{F770D524-BAEF-4263-99A7-43208512E0BC}" name="INR MM"/>
    <tableColumn id="3" xr3:uid="{B3C04BEC-BEE1-49A4-A231-4431192A33DF}" name="USD M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D2903-D4DE-4FAD-95A8-55F13426EF2E}">
  <dimension ref="A1:F16"/>
  <sheetViews>
    <sheetView workbookViewId="0">
      <selection activeCell="B18" sqref="B18"/>
    </sheetView>
  </sheetViews>
  <sheetFormatPr defaultRowHeight="14.4" x14ac:dyDescent="0.3"/>
  <cols>
    <col min="2" max="2" width="60.5546875" customWidth="1"/>
    <col min="3" max="3" width="13.44140625" bestFit="1" customWidth="1"/>
  </cols>
  <sheetData>
    <row r="1" spans="1:6" ht="49.2" customHeight="1" x14ac:dyDescent="0.3">
      <c r="A1" s="46" t="s">
        <v>13</v>
      </c>
      <c r="B1" s="46"/>
      <c r="C1" s="46"/>
      <c r="D1" s="46"/>
      <c r="E1" s="46"/>
      <c r="F1" s="46"/>
    </row>
    <row r="2" spans="1:6" ht="14.4" customHeight="1" x14ac:dyDescent="0.3"/>
    <row r="3" spans="1:6" ht="14.4" customHeight="1" x14ac:dyDescent="0.3">
      <c r="B3" t="s">
        <v>0</v>
      </c>
      <c r="C3" t="s">
        <v>1</v>
      </c>
      <c r="D3" t="s">
        <v>2</v>
      </c>
      <c r="E3" t="s">
        <v>3</v>
      </c>
    </row>
    <row r="4" spans="1:6" x14ac:dyDescent="0.3">
      <c r="B4" t="s">
        <v>4</v>
      </c>
      <c r="C4">
        <v>1.2</v>
      </c>
      <c r="D4" s="1">
        <v>15</v>
      </c>
      <c r="E4">
        <v>13.5</v>
      </c>
    </row>
    <row r="5" spans="1:6" x14ac:dyDescent="0.3">
      <c r="B5" t="s">
        <v>5</v>
      </c>
      <c r="C5">
        <v>0.8</v>
      </c>
      <c r="D5" s="1">
        <v>20</v>
      </c>
      <c r="E5">
        <v>14</v>
      </c>
    </row>
    <row r="6" spans="1:6" x14ac:dyDescent="0.3">
      <c r="B6" t="s">
        <v>6</v>
      </c>
      <c r="C6">
        <v>2.2000000000000002</v>
      </c>
      <c r="D6" s="1">
        <v>37</v>
      </c>
      <c r="E6">
        <v>32</v>
      </c>
    </row>
    <row r="7" spans="1:6" x14ac:dyDescent="0.3">
      <c r="B7" t="s">
        <v>7</v>
      </c>
      <c r="C7">
        <v>0.1</v>
      </c>
      <c r="D7" s="1">
        <v>1</v>
      </c>
      <c r="E7">
        <v>0.75</v>
      </c>
    </row>
    <row r="9" spans="1:6" x14ac:dyDescent="0.3">
      <c r="B9" t="s">
        <v>8</v>
      </c>
    </row>
    <row r="11" spans="1:6" x14ac:dyDescent="0.3">
      <c r="A11" s="2" t="s">
        <v>9</v>
      </c>
    </row>
    <row r="12" spans="1:6" x14ac:dyDescent="0.3">
      <c r="B12" t="s">
        <v>10</v>
      </c>
      <c r="C12" t="s">
        <v>1</v>
      </c>
      <c r="D12" t="s">
        <v>2</v>
      </c>
      <c r="E12" t="s">
        <v>3</v>
      </c>
    </row>
    <row r="13" spans="1:6" x14ac:dyDescent="0.3">
      <c r="B13" t="s">
        <v>11</v>
      </c>
      <c r="C13" s="3" t="s">
        <v>7</v>
      </c>
      <c r="D13" s="3" t="s">
        <v>7</v>
      </c>
      <c r="E13" s="3" t="s">
        <v>7</v>
      </c>
    </row>
    <row r="14" spans="1:6" x14ac:dyDescent="0.3">
      <c r="C14" s="3" t="s">
        <v>5</v>
      </c>
      <c r="D14" s="3" t="s">
        <v>4</v>
      </c>
      <c r="E14" s="3" t="s">
        <v>4</v>
      </c>
    </row>
    <row r="15" spans="1:6" x14ac:dyDescent="0.3">
      <c r="C15" s="3" t="s">
        <v>4</v>
      </c>
      <c r="D15" s="3" t="s">
        <v>5</v>
      </c>
      <c r="E15" s="3" t="s">
        <v>5</v>
      </c>
    </row>
    <row r="16" spans="1:6" x14ac:dyDescent="0.3">
      <c r="B16" t="s">
        <v>12</v>
      </c>
      <c r="C16" s="3" t="s">
        <v>6</v>
      </c>
      <c r="D16" s="3" t="s">
        <v>6</v>
      </c>
      <c r="E16" s="3" t="s">
        <v>6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E818-5B44-460C-860B-10F08E2290EE}">
  <dimension ref="A1:B15"/>
  <sheetViews>
    <sheetView workbookViewId="0">
      <selection activeCell="J15" sqref="J15"/>
    </sheetView>
  </sheetViews>
  <sheetFormatPr defaultRowHeight="14.4" x14ac:dyDescent="0.3"/>
  <cols>
    <col min="1" max="1" width="13.109375" bestFit="1" customWidth="1"/>
  </cols>
  <sheetData>
    <row r="1" spans="1:2" x14ac:dyDescent="0.3">
      <c r="A1" t="s">
        <v>14</v>
      </c>
      <c r="B1">
        <v>1000</v>
      </c>
    </row>
    <row r="2" spans="1:2" x14ac:dyDescent="0.3">
      <c r="A2" t="s">
        <v>15</v>
      </c>
      <c r="B2">
        <v>700</v>
      </c>
    </row>
    <row r="3" spans="1:2" x14ac:dyDescent="0.3">
      <c r="A3" t="s">
        <v>16</v>
      </c>
      <c r="B3" s="4">
        <v>0.03</v>
      </c>
    </row>
    <row r="4" spans="1:2" x14ac:dyDescent="0.3">
      <c r="A4" t="s">
        <v>17</v>
      </c>
      <c r="B4" s="4">
        <v>0.01</v>
      </c>
    </row>
    <row r="5" spans="1:2" x14ac:dyDescent="0.3">
      <c r="A5" t="s">
        <v>18</v>
      </c>
      <c r="B5">
        <v>1</v>
      </c>
    </row>
    <row r="6" spans="1:2" x14ac:dyDescent="0.3">
      <c r="A6" t="s">
        <v>19</v>
      </c>
      <c r="B6" s="4">
        <v>0.3</v>
      </c>
    </row>
    <row r="7" spans="1:2" x14ac:dyDescent="0.3">
      <c r="A7" t="s">
        <v>20</v>
      </c>
      <c r="B7" s="5">
        <f>LN(B1/B2)+(B3-0.5*(B6^2))*B5</f>
        <v>0.34167494393873238</v>
      </c>
    </row>
    <row r="8" spans="1:2" x14ac:dyDescent="0.3">
      <c r="A8" t="s">
        <v>21</v>
      </c>
      <c r="B8" s="5">
        <f>B6*(B5^0.5)</f>
        <v>0.3</v>
      </c>
    </row>
    <row r="9" spans="1:2" x14ac:dyDescent="0.3">
      <c r="A9" t="s">
        <v>22</v>
      </c>
      <c r="B9" s="6">
        <f>B7/B8</f>
        <v>1.1389164797957747</v>
      </c>
    </row>
    <row r="10" spans="1:2" x14ac:dyDescent="0.3">
      <c r="A10" t="s">
        <v>23</v>
      </c>
      <c r="B10" s="5">
        <f>NORMSDIST(-B9)</f>
        <v>0.12736899567253065</v>
      </c>
    </row>
    <row r="11" spans="1:2" x14ac:dyDescent="0.3">
      <c r="A11" t="s">
        <v>24</v>
      </c>
      <c r="B11" s="6">
        <f>B9+B6*(B5^0.5)</f>
        <v>1.4389164797957747</v>
      </c>
    </row>
    <row r="12" spans="1:2" x14ac:dyDescent="0.3">
      <c r="A12" t="s">
        <v>25</v>
      </c>
      <c r="B12" s="5">
        <f>NORMSDIST(-B11)</f>
        <v>7.5087093871837221E-2</v>
      </c>
    </row>
    <row r="13" spans="1:2" x14ac:dyDescent="0.3">
      <c r="A13" t="s">
        <v>26</v>
      </c>
      <c r="B13" s="6">
        <f>B2*B10-B1*(EXP(B3*B5))*B12</f>
        <v>11.784460649143469</v>
      </c>
    </row>
    <row r="14" spans="1:2" x14ac:dyDescent="0.3">
      <c r="A14" t="s">
        <v>27</v>
      </c>
      <c r="B14" s="6">
        <f>B2*EXP(-B4*B5)*B10-B1*B12</f>
        <v>13.184063221434016</v>
      </c>
    </row>
    <row r="15" spans="1:2" x14ac:dyDescent="0.3">
      <c r="A15" t="s">
        <v>28</v>
      </c>
      <c r="B15" s="6">
        <f>B14-B13</f>
        <v>1.3996025722905472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6BEEC-6F76-4F70-8440-C25D3E1EB75A}">
  <dimension ref="B2:G21"/>
  <sheetViews>
    <sheetView workbookViewId="0">
      <selection activeCell="G26" sqref="G26"/>
    </sheetView>
  </sheetViews>
  <sheetFormatPr defaultRowHeight="14.4" x14ac:dyDescent="0.3"/>
  <cols>
    <col min="2" max="2" width="34.44140625" bestFit="1" customWidth="1"/>
  </cols>
  <sheetData>
    <row r="2" spans="2:7" x14ac:dyDescent="0.3">
      <c r="B2" t="s">
        <v>29</v>
      </c>
      <c r="C2" t="s">
        <v>30</v>
      </c>
      <c r="F2" s="7" t="s">
        <v>31</v>
      </c>
    </row>
    <row r="3" spans="2:7" x14ac:dyDescent="0.3">
      <c r="B3" t="s">
        <v>32</v>
      </c>
      <c r="C3" s="8">
        <v>266</v>
      </c>
      <c r="F3" t="s">
        <v>33</v>
      </c>
      <c r="G3" t="s">
        <v>29</v>
      </c>
    </row>
    <row r="4" spans="2:7" x14ac:dyDescent="0.3">
      <c r="B4" t="s">
        <v>34</v>
      </c>
      <c r="C4" s="8">
        <v>-1364</v>
      </c>
      <c r="F4" t="s">
        <v>35</v>
      </c>
      <c r="G4">
        <v>3689</v>
      </c>
    </row>
    <row r="5" spans="2:7" x14ac:dyDescent="0.3">
      <c r="B5" t="s">
        <v>36</v>
      </c>
      <c r="C5" s="8">
        <v>-736</v>
      </c>
      <c r="F5" t="s">
        <v>37</v>
      </c>
      <c r="G5">
        <v>66</v>
      </c>
    </row>
    <row r="6" spans="2:7" x14ac:dyDescent="0.3">
      <c r="B6" t="s">
        <v>38</v>
      </c>
      <c r="C6" s="8">
        <f>SUM(C3:C5)</f>
        <v>-1834</v>
      </c>
      <c r="F6" t="s">
        <v>39</v>
      </c>
      <c r="G6">
        <v>102</v>
      </c>
    </row>
    <row r="7" spans="2:7" x14ac:dyDescent="0.3">
      <c r="B7" t="s">
        <v>40</v>
      </c>
      <c r="C7" s="8">
        <v>401</v>
      </c>
      <c r="F7" t="s">
        <v>41</v>
      </c>
      <c r="G7">
        <v>89</v>
      </c>
    </row>
    <row r="8" spans="2:7" x14ac:dyDescent="0.3">
      <c r="B8" t="s">
        <v>42</v>
      </c>
      <c r="C8" s="8">
        <f>SUM(C6:C7)</f>
        <v>-1433</v>
      </c>
      <c r="F8" t="s">
        <v>43</v>
      </c>
      <c r="G8">
        <f>SUM(G4:G7)</f>
        <v>3946</v>
      </c>
    </row>
    <row r="9" spans="2:7" x14ac:dyDescent="0.3">
      <c r="C9" s="8"/>
    </row>
    <row r="10" spans="2:7" x14ac:dyDescent="0.3">
      <c r="B10" s="2" t="s">
        <v>44</v>
      </c>
      <c r="C10" s="8"/>
    </row>
    <row r="11" spans="2:7" x14ac:dyDescent="0.3">
      <c r="B11" t="s">
        <v>45</v>
      </c>
      <c r="C11" s="8">
        <v>398</v>
      </c>
    </row>
    <row r="12" spans="2:7" x14ac:dyDescent="0.3">
      <c r="B12" t="s">
        <v>46</v>
      </c>
      <c r="C12" s="8">
        <v>0</v>
      </c>
    </row>
    <row r="13" spans="2:7" x14ac:dyDescent="0.3">
      <c r="B13" t="s">
        <v>47</v>
      </c>
      <c r="C13" s="8">
        <v>-102</v>
      </c>
    </row>
    <row r="14" spans="2:7" x14ac:dyDescent="0.3">
      <c r="B14" t="s">
        <v>48</v>
      </c>
      <c r="C14" s="8">
        <f>SUM(C11:C13)</f>
        <v>296</v>
      </c>
    </row>
    <row r="15" spans="2:7" x14ac:dyDescent="0.3">
      <c r="C15" s="8"/>
    </row>
    <row r="16" spans="2:7" x14ac:dyDescent="0.3">
      <c r="B16" t="s">
        <v>49</v>
      </c>
      <c r="C16" s="8">
        <f>C8-C14</f>
        <v>-1729</v>
      </c>
    </row>
    <row r="17" spans="2:3" x14ac:dyDescent="0.3">
      <c r="B17" t="s">
        <v>50</v>
      </c>
      <c r="C17" s="9">
        <v>0.125</v>
      </c>
    </row>
    <row r="18" spans="2:3" x14ac:dyDescent="0.3">
      <c r="B18" t="s">
        <v>51</v>
      </c>
      <c r="C18" s="8">
        <f>-C17*C16</f>
        <v>216.125</v>
      </c>
    </row>
    <row r="19" spans="2:3" x14ac:dyDescent="0.3">
      <c r="B19" t="s">
        <v>43</v>
      </c>
      <c r="C19">
        <f>G8</f>
        <v>3946</v>
      </c>
    </row>
    <row r="20" spans="2:3" x14ac:dyDescent="0.3">
      <c r="B20" t="s">
        <v>52</v>
      </c>
      <c r="C20" s="10">
        <f>C18/C19</f>
        <v>5.477065382665991E-2</v>
      </c>
    </row>
    <row r="21" spans="2:3" x14ac:dyDescent="0.3">
      <c r="B21" t="s">
        <v>53</v>
      </c>
      <c r="C21" s="11" t="str">
        <f>IF(C20&lt;0.15,"0.0%",IF(C20&lt;0.3,"0.2%",IF(C20&lt;0.5,"0.4%",IF(C20&lt;0.75,"0.6%",IF(C20&gt;75,"0.8%")))))</f>
        <v>0.0%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85461-3421-4B5C-BACD-3277C52E9DD8}">
  <dimension ref="B2:G14"/>
  <sheetViews>
    <sheetView workbookViewId="0">
      <selection activeCell="K19" sqref="K19"/>
    </sheetView>
  </sheetViews>
  <sheetFormatPr defaultRowHeight="14.4" x14ac:dyDescent="0.3"/>
  <sheetData>
    <row r="2" spans="2:7" x14ac:dyDescent="0.3">
      <c r="E2" t="s">
        <v>54</v>
      </c>
      <c r="F2">
        <v>64.88</v>
      </c>
      <c r="G2" t="s">
        <v>55</v>
      </c>
    </row>
    <row r="3" spans="2:7" x14ac:dyDescent="0.3">
      <c r="B3" t="s">
        <v>33</v>
      </c>
      <c r="C3" t="s">
        <v>29</v>
      </c>
      <c r="D3" t="s">
        <v>56</v>
      </c>
    </row>
    <row r="4" spans="2:7" x14ac:dyDescent="0.3">
      <c r="B4" t="s">
        <v>57</v>
      </c>
      <c r="C4">
        <v>5365</v>
      </c>
      <c r="D4" s="8">
        <f>5365/F2</f>
        <v>82.691122071516645</v>
      </c>
    </row>
    <row r="5" spans="2:7" x14ac:dyDescent="0.3">
      <c r="B5" t="s">
        <v>58</v>
      </c>
      <c r="C5">
        <v>4263</v>
      </c>
      <c r="D5" s="8">
        <f>4263/F2</f>
        <v>65.705918618988903</v>
      </c>
    </row>
    <row r="6" spans="2:7" x14ac:dyDescent="0.3">
      <c r="B6" t="s">
        <v>59</v>
      </c>
      <c r="C6">
        <f>C4-C5</f>
        <v>1102</v>
      </c>
      <c r="D6" s="8">
        <f>D4-D5</f>
        <v>16.985203452527742</v>
      </c>
    </row>
    <row r="7" spans="2:7" x14ac:dyDescent="0.3">
      <c r="D7" s="8"/>
    </row>
    <row r="8" spans="2:7" x14ac:dyDescent="0.3">
      <c r="B8" t="s">
        <v>60</v>
      </c>
      <c r="C8">
        <v>235</v>
      </c>
      <c r="D8" s="8">
        <f>235/F2</f>
        <v>3.6220715166461162</v>
      </c>
    </row>
    <row r="9" spans="2:7" x14ac:dyDescent="0.3">
      <c r="B9" t="s">
        <v>61</v>
      </c>
      <c r="C9">
        <v>75</v>
      </c>
      <c r="D9" s="8">
        <f>75/F2</f>
        <v>1.1559802712700371</v>
      </c>
    </row>
    <row r="10" spans="2:7" x14ac:dyDescent="0.3">
      <c r="B10" t="s">
        <v>62</v>
      </c>
      <c r="C10">
        <f>SUM(C8:C9)</f>
        <v>310</v>
      </c>
      <c r="D10" s="8">
        <f>SUM(D8:D9)</f>
        <v>4.7780517879161533</v>
      </c>
    </row>
    <row r="11" spans="2:7" x14ac:dyDescent="0.3">
      <c r="D11" s="8"/>
    </row>
    <row r="12" spans="2:7" x14ac:dyDescent="0.3">
      <c r="B12" t="s">
        <v>63</v>
      </c>
      <c r="C12">
        <f>C6-C10</f>
        <v>792</v>
      </c>
      <c r="D12" s="8">
        <f>D6-D10</f>
        <v>12.207151664611589</v>
      </c>
    </row>
    <row r="14" spans="2:7" x14ac:dyDescent="0.3">
      <c r="B14" s="47" t="s">
        <v>64</v>
      </c>
      <c r="C14" s="47"/>
      <c r="D14" s="47"/>
    </row>
  </sheetData>
  <mergeCells count="1">
    <mergeCell ref="B14:D14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3CC7F-77E0-4A3D-8774-B1C49A043575}">
  <dimension ref="B2:J54"/>
  <sheetViews>
    <sheetView workbookViewId="0">
      <selection activeCell="L18" sqref="L18"/>
    </sheetView>
  </sheetViews>
  <sheetFormatPr defaultRowHeight="14.4" x14ac:dyDescent="0.3"/>
  <cols>
    <col min="2" max="2" width="31.109375" bestFit="1" customWidth="1"/>
    <col min="10" max="10" width="8.44140625" bestFit="1" customWidth="1"/>
  </cols>
  <sheetData>
    <row r="2" spans="2:10" x14ac:dyDescent="0.3">
      <c r="B2" s="48" t="s">
        <v>65</v>
      </c>
      <c r="C2" s="48"/>
      <c r="D2" s="48"/>
      <c r="E2" s="48"/>
      <c r="F2" s="48"/>
      <c r="G2" s="48"/>
      <c r="H2" s="48"/>
      <c r="I2" s="48"/>
      <c r="J2" s="48"/>
    </row>
    <row r="3" spans="2:10" x14ac:dyDescent="0.3">
      <c r="B3" s="15"/>
      <c r="C3" s="16"/>
      <c r="D3" s="16" t="s">
        <v>66</v>
      </c>
      <c r="E3" s="16" t="s">
        <v>67</v>
      </c>
      <c r="F3" s="16" t="s">
        <v>68</v>
      </c>
      <c r="G3" s="16" t="s">
        <v>69</v>
      </c>
      <c r="H3" s="16" t="s">
        <v>70</v>
      </c>
      <c r="I3" s="16"/>
      <c r="J3" s="17" t="s">
        <v>71</v>
      </c>
    </row>
    <row r="4" spans="2:10" ht="100.8" x14ac:dyDescent="0.3">
      <c r="B4" s="18" t="s">
        <v>72</v>
      </c>
      <c r="C4" s="19" t="s">
        <v>73</v>
      </c>
      <c r="D4" s="20" t="s">
        <v>74</v>
      </c>
      <c r="E4" s="20" t="s">
        <v>75</v>
      </c>
      <c r="F4" s="20" t="s">
        <v>76</v>
      </c>
      <c r="G4" s="21" t="s">
        <v>77</v>
      </c>
      <c r="H4" s="19" t="s">
        <v>78</v>
      </c>
      <c r="I4" s="21" t="s">
        <v>79</v>
      </c>
      <c r="J4" s="21" t="s">
        <v>80</v>
      </c>
    </row>
    <row r="5" spans="2:10" x14ac:dyDescent="0.3">
      <c r="B5" s="22" t="s">
        <v>81</v>
      </c>
      <c r="C5" s="13">
        <v>2007</v>
      </c>
      <c r="D5" s="23">
        <v>-4.2000000000000003E-2</v>
      </c>
      <c r="E5" s="24">
        <v>0.01</v>
      </c>
      <c r="F5" s="23">
        <v>3.4000000000000002E-2</v>
      </c>
      <c r="G5" s="23">
        <v>0.19500000000000001</v>
      </c>
      <c r="H5" s="23">
        <v>0.59099999999999997</v>
      </c>
      <c r="I5" s="6">
        <f>4348/(1000)</f>
        <v>4.3479999999999999</v>
      </c>
      <c r="J5" s="23">
        <v>0.78</v>
      </c>
    </row>
    <row r="6" spans="2:10" x14ac:dyDescent="0.3">
      <c r="B6" s="22"/>
      <c r="C6" s="25">
        <v>2008</v>
      </c>
      <c r="D6" s="26">
        <v>-4.7E-2</v>
      </c>
      <c r="E6" s="26">
        <v>-0.191</v>
      </c>
      <c r="F6" s="26">
        <v>3.0000000000000001E-3</v>
      </c>
      <c r="G6" s="26">
        <v>0.18</v>
      </c>
      <c r="H6" s="26">
        <v>0.503</v>
      </c>
      <c r="I6" s="6">
        <f>7965/(1000)</f>
        <v>7.9649999999999999</v>
      </c>
      <c r="J6" s="26">
        <v>0.3</v>
      </c>
    </row>
    <row r="7" spans="2:10" x14ac:dyDescent="0.3">
      <c r="B7" s="22"/>
      <c r="C7" s="25">
        <v>2009</v>
      </c>
      <c r="D7" s="26">
        <v>-4.1000000000000002E-2</v>
      </c>
      <c r="E7" s="26">
        <v>-0.22500000000000001</v>
      </c>
      <c r="F7" s="26">
        <v>2E-3</v>
      </c>
      <c r="G7" s="26">
        <v>0.20499999999999999</v>
      </c>
      <c r="H7" s="26">
        <v>0.64100000000000001</v>
      </c>
      <c r="I7" s="6">
        <f>8922/(1000)</f>
        <v>8.9220000000000006</v>
      </c>
      <c r="J7" s="26">
        <v>0.41</v>
      </c>
    </row>
    <row r="8" spans="2:10" x14ac:dyDescent="0.3">
      <c r="B8" s="22"/>
      <c r="C8" s="25">
        <v>2010</v>
      </c>
      <c r="D8" s="26">
        <v>-9.4E-2</v>
      </c>
      <c r="E8" s="26">
        <v>-0.214</v>
      </c>
      <c r="F8" s="26">
        <v>6.2E-2</v>
      </c>
      <c r="G8" s="26">
        <v>0.249</v>
      </c>
      <c r="H8" s="26">
        <v>0.73499999999999999</v>
      </c>
      <c r="I8" s="6">
        <f>10521/(1000)</f>
        <v>10.521000000000001</v>
      </c>
      <c r="J8" s="26">
        <v>0</v>
      </c>
    </row>
    <row r="9" spans="2:10" x14ac:dyDescent="0.3">
      <c r="B9" s="22"/>
      <c r="C9" s="25">
        <v>2011</v>
      </c>
      <c r="D9" s="26">
        <v>-0.114</v>
      </c>
      <c r="E9" s="26">
        <v>-0.193</v>
      </c>
      <c r="F9" s="26">
        <v>5.0999999999999997E-2</v>
      </c>
      <c r="G9" s="26">
        <v>0.152</v>
      </c>
      <c r="H9" s="26">
        <v>0.80700000000000005</v>
      </c>
      <c r="I9" s="6">
        <f>6836/(1000)</f>
        <v>6.8360000000000003</v>
      </c>
      <c r="J9" s="26">
        <v>0.6</v>
      </c>
    </row>
    <row r="10" spans="2:10" x14ac:dyDescent="0.3">
      <c r="B10" s="22"/>
      <c r="C10" s="25">
        <v>2012</v>
      </c>
      <c r="D10" s="26">
        <v>-0.112</v>
      </c>
      <c r="E10" s="26">
        <v>-0.16600000000000001</v>
      </c>
      <c r="F10" s="26">
        <v>5.8999999999999997E-2</v>
      </c>
      <c r="G10" s="26">
        <v>0.216</v>
      </c>
      <c r="H10" s="26">
        <v>0.82299999999999995</v>
      </c>
      <c r="I10" s="6">
        <f>10101/(1000)</f>
        <v>10.101000000000001</v>
      </c>
      <c r="J10" s="26">
        <v>0.78</v>
      </c>
    </row>
    <row r="11" spans="2:10" x14ac:dyDescent="0.3">
      <c r="B11" s="27"/>
      <c r="C11" s="25" t="s">
        <v>82</v>
      </c>
      <c r="D11" s="26"/>
      <c r="E11" s="26"/>
      <c r="F11" s="26"/>
      <c r="G11" s="26"/>
      <c r="H11" s="26"/>
      <c r="I11" s="26"/>
      <c r="J11" s="26"/>
    </row>
    <row r="12" spans="2:10" x14ac:dyDescent="0.3">
      <c r="B12" s="22"/>
      <c r="C12" s="28"/>
      <c r="D12" s="26"/>
      <c r="E12" s="26"/>
      <c r="F12" s="26"/>
      <c r="G12" s="26"/>
      <c r="H12" s="26"/>
      <c r="I12" s="26"/>
      <c r="J12" s="26"/>
    </row>
    <row r="13" spans="2:10" x14ac:dyDescent="0.3">
      <c r="B13" s="22" t="s">
        <v>83</v>
      </c>
      <c r="C13" s="25">
        <v>2007</v>
      </c>
      <c r="D13" s="26">
        <v>-7.8E-2</v>
      </c>
      <c r="E13" s="26">
        <v>6.0000000000000001E-3</v>
      </c>
      <c r="F13" s="26">
        <v>3.7999999999999999E-2</v>
      </c>
      <c r="G13" s="26">
        <v>0.19500000000000001</v>
      </c>
      <c r="H13" s="26">
        <v>0.83199999999999996</v>
      </c>
      <c r="I13" s="6">
        <f>4172/(1000)</f>
        <v>4.1719999999999997</v>
      </c>
      <c r="J13" s="26">
        <v>0.99</v>
      </c>
    </row>
    <row r="14" spans="2:10" x14ac:dyDescent="0.3">
      <c r="B14" s="22"/>
      <c r="C14" s="25">
        <v>2008</v>
      </c>
      <c r="D14" s="26">
        <v>-0.124</v>
      </c>
      <c r="E14" s="26">
        <v>-0.27300000000000002</v>
      </c>
      <c r="F14" s="26">
        <v>-5.5E-2</v>
      </c>
      <c r="G14" s="26">
        <v>7.0999999999999994E-2</v>
      </c>
      <c r="H14" s="26">
        <v>1.0369999999999999</v>
      </c>
      <c r="I14" s="6">
        <f>1543/(1000)</f>
        <v>1.5429999999999999</v>
      </c>
      <c r="J14" s="26">
        <v>0.37</v>
      </c>
    </row>
    <row r="15" spans="2:10" x14ac:dyDescent="0.3">
      <c r="B15" s="22"/>
      <c r="C15" s="25">
        <v>2009</v>
      </c>
      <c r="D15" s="26">
        <v>-7.2999999999999995E-2</v>
      </c>
      <c r="E15" s="26">
        <v>-0.31900000000000001</v>
      </c>
      <c r="F15" s="26">
        <v>-1.7999999999999999E-2</v>
      </c>
      <c r="G15" s="26">
        <v>0.10100000000000001</v>
      </c>
      <c r="H15" s="26">
        <v>0.874</v>
      </c>
      <c r="I15" s="6">
        <f>2169/(1000)</f>
        <v>2.169</v>
      </c>
      <c r="J15" s="26">
        <v>0.34</v>
      </c>
    </row>
    <row r="16" spans="2:10" x14ac:dyDescent="0.3">
      <c r="B16" s="22"/>
      <c r="C16" s="25">
        <v>2010</v>
      </c>
      <c r="D16" s="26">
        <v>-1.4999999999999999E-2</v>
      </c>
      <c r="E16" s="26">
        <v>-0.14399999999999999</v>
      </c>
      <c r="F16" s="26">
        <v>4.2000000000000003E-2</v>
      </c>
      <c r="G16" s="26">
        <v>0.20599999999999999</v>
      </c>
      <c r="H16" s="26">
        <v>0.58899999999999997</v>
      </c>
      <c r="I16" s="6">
        <f>7813/(1000)</f>
        <v>7.8129999999999997</v>
      </c>
      <c r="J16" s="26">
        <v>0.63</v>
      </c>
    </row>
    <row r="17" spans="2:10" x14ac:dyDescent="0.3">
      <c r="B17" s="22"/>
      <c r="C17" s="25">
        <v>2011</v>
      </c>
      <c r="D17" s="26">
        <v>-0.01</v>
      </c>
      <c r="E17" s="26">
        <v>-0.128</v>
      </c>
      <c r="F17" s="26">
        <v>6.0999999999999999E-2</v>
      </c>
      <c r="G17" s="26">
        <v>0.17299999999999999</v>
      </c>
      <c r="H17" s="26">
        <v>0.97699999999999998</v>
      </c>
      <c r="I17" s="6">
        <f>6246/(1000)</f>
        <v>6.2460000000000004</v>
      </c>
      <c r="J17" s="26">
        <v>1.0900000000000001</v>
      </c>
    </row>
    <row r="18" spans="2:10" x14ac:dyDescent="0.3">
      <c r="B18" s="22"/>
      <c r="C18" s="25">
        <v>2012</v>
      </c>
      <c r="D18" s="26">
        <v>-7.3999999999999996E-2</v>
      </c>
      <c r="E18" s="26">
        <v>-0.14799999999999999</v>
      </c>
      <c r="F18" s="26">
        <v>3.5999999999999997E-2</v>
      </c>
      <c r="G18" s="26">
        <v>0.20899999999999999</v>
      </c>
      <c r="H18" s="26">
        <v>0.98699999999999999</v>
      </c>
      <c r="I18" s="6">
        <f>7762/(1000)</f>
        <v>7.7619999999999996</v>
      </c>
      <c r="J18" s="26">
        <v>0.94</v>
      </c>
    </row>
    <row r="19" spans="2:10" x14ac:dyDescent="0.3">
      <c r="B19" s="22"/>
      <c r="C19" s="28" t="s">
        <v>82</v>
      </c>
      <c r="D19" s="26"/>
      <c r="E19" s="26"/>
      <c r="F19" s="26"/>
      <c r="G19" s="26"/>
      <c r="H19" s="26"/>
      <c r="I19" s="6"/>
      <c r="J19" s="26"/>
    </row>
    <row r="20" spans="2:10" x14ac:dyDescent="0.3">
      <c r="B20" s="22" t="s">
        <v>84</v>
      </c>
      <c r="C20" s="25">
        <v>2007</v>
      </c>
      <c r="D20" s="26">
        <v>-4.3999999999999997E-2</v>
      </c>
      <c r="E20" s="26">
        <v>-4.9000000000000002E-2</v>
      </c>
      <c r="F20" s="26">
        <v>3.5999999999999997E-2</v>
      </c>
      <c r="G20" s="26">
        <v>0.13500000000000001</v>
      </c>
      <c r="H20" s="26">
        <v>0.80300000000000005</v>
      </c>
      <c r="I20" s="6">
        <f>3493/(1000)</f>
        <v>3.4929999999999999</v>
      </c>
      <c r="J20" s="26">
        <v>0.88</v>
      </c>
    </row>
    <row r="21" spans="2:10" x14ac:dyDescent="0.3">
      <c r="B21" s="22"/>
      <c r="C21" s="25">
        <v>2008</v>
      </c>
      <c r="D21" s="26">
        <v>-0.13600000000000001</v>
      </c>
      <c r="E21" s="26">
        <v>-0.14599999999999999</v>
      </c>
      <c r="F21" s="26">
        <v>-2.7E-2</v>
      </c>
      <c r="G21" s="26">
        <v>0.106</v>
      </c>
      <c r="H21" s="26">
        <v>0.94399999999999995</v>
      </c>
      <c r="I21" s="6">
        <f>2977/(1000)</f>
        <v>2.9769999999999999</v>
      </c>
      <c r="J21" s="26">
        <v>0.55000000000000004</v>
      </c>
    </row>
    <row r="22" spans="2:10" x14ac:dyDescent="0.3">
      <c r="B22" s="22"/>
      <c r="C22" s="25">
        <v>2009</v>
      </c>
      <c r="D22" s="26">
        <v>-4.2999999999999997E-2</v>
      </c>
      <c r="E22" s="26">
        <v>-0.20200000000000001</v>
      </c>
      <c r="F22" s="26">
        <v>-3.3000000000000002E-2</v>
      </c>
      <c r="G22" s="26">
        <v>8.8999999999999996E-2</v>
      </c>
      <c r="H22" s="26">
        <v>0.78300000000000003</v>
      </c>
      <c r="I22" s="6">
        <f>2574/(1000)</f>
        <v>2.5739999999999998</v>
      </c>
      <c r="J22" s="26">
        <v>0.39</v>
      </c>
    </row>
    <row r="23" spans="2:10" x14ac:dyDescent="0.3">
      <c r="B23" s="22"/>
      <c r="C23" s="25">
        <v>2010</v>
      </c>
      <c r="D23" s="26">
        <v>-7.6999999999999999E-2</v>
      </c>
      <c r="E23" s="26">
        <v>-0.223</v>
      </c>
      <c r="F23" s="26">
        <v>1.2E-2</v>
      </c>
      <c r="G23" s="26">
        <v>8.8999999999999996E-2</v>
      </c>
      <c r="H23" s="26">
        <v>0.88400000000000001</v>
      </c>
      <c r="I23" s="6">
        <f>2594/(1000)</f>
        <v>2.5939999999999999</v>
      </c>
      <c r="J23" s="26">
        <v>0.56999999999999995</v>
      </c>
    </row>
    <row r="24" spans="2:10" x14ac:dyDescent="0.3">
      <c r="B24" s="22"/>
      <c r="C24" s="25">
        <v>2011</v>
      </c>
      <c r="D24" s="26">
        <v>-7.9000000000000001E-2</v>
      </c>
      <c r="E24" s="26">
        <v>-0.318</v>
      </c>
      <c r="F24" s="26">
        <v>-1.4E-2</v>
      </c>
      <c r="G24" s="26">
        <v>4.0000000000000001E-3</v>
      </c>
      <c r="H24" s="26">
        <v>1.0049999999999999</v>
      </c>
      <c r="I24" s="6">
        <f>117/(1000)</f>
        <v>0.11700000000000001</v>
      </c>
      <c r="J24" s="26">
        <v>0.42</v>
      </c>
    </row>
    <row r="25" spans="2:10" x14ac:dyDescent="0.3">
      <c r="B25" s="22"/>
      <c r="C25" s="25">
        <v>2012</v>
      </c>
      <c r="D25" s="26">
        <v>-9.5000000000000001E-2</v>
      </c>
      <c r="E25" s="26">
        <v>-0.40200000000000002</v>
      </c>
      <c r="F25" s="26">
        <v>2.1000000000000001E-2</v>
      </c>
      <c r="G25" s="26">
        <v>8.9999999999999993E-3</v>
      </c>
      <c r="H25" s="26">
        <v>1.0569999999999999</v>
      </c>
      <c r="I25" s="6">
        <f>268/(1000)</f>
        <v>0.26800000000000002</v>
      </c>
      <c r="J25" s="26">
        <v>0.45</v>
      </c>
    </row>
    <row r="26" spans="2:10" x14ac:dyDescent="0.3">
      <c r="B26" s="22"/>
      <c r="C26" s="25" t="s">
        <v>85</v>
      </c>
      <c r="D26" s="26"/>
      <c r="E26" s="26"/>
      <c r="F26" s="26"/>
      <c r="G26" s="26"/>
      <c r="H26" s="26"/>
      <c r="I26" s="6"/>
      <c r="J26" s="26"/>
    </row>
    <row r="27" spans="2:10" x14ac:dyDescent="0.3">
      <c r="B27" s="22" t="s">
        <v>86</v>
      </c>
      <c r="C27" s="25">
        <v>2007</v>
      </c>
      <c r="D27" s="26">
        <v>9.9000000000000005E-2</v>
      </c>
      <c r="E27" s="26">
        <v>-1.2E-2</v>
      </c>
      <c r="F27" s="26">
        <v>7.9000000000000001E-2</v>
      </c>
      <c r="G27" s="26">
        <v>0.20499999999999999</v>
      </c>
      <c r="H27" s="26">
        <v>1.4550000000000001</v>
      </c>
      <c r="I27" s="6">
        <f>1353/(1000)</f>
        <v>1.353</v>
      </c>
      <c r="J27" s="26">
        <v>1.94</v>
      </c>
    </row>
    <row r="28" spans="2:10" x14ac:dyDescent="0.3">
      <c r="B28" s="22"/>
      <c r="C28" s="25">
        <v>2008</v>
      </c>
      <c r="D28" s="26">
        <v>-8.6999999999999994E-2</v>
      </c>
      <c r="E28" s="26">
        <v>-0.32400000000000001</v>
      </c>
      <c r="F28" s="26">
        <v>-0.153</v>
      </c>
      <c r="G28" s="26">
        <v>0.114</v>
      </c>
      <c r="H28" s="26">
        <v>1.68</v>
      </c>
      <c r="I28" s="6">
        <f>881/(1000)</f>
        <v>0.88100000000000001</v>
      </c>
      <c r="J28" s="26">
        <v>0.69</v>
      </c>
    </row>
    <row r="29" spans="2:10" x14ac:dyDescent="0.3">
      <c r="B29" s="22"/>
      <c r="C29" s="25">
        <v>2009</v>
      </c>
      <c r="D29" s="26">
        <v>-6.0999999999999999E-2</v>
      </c>
      <c r="E29" s="26">
        <v>-0.34100000000000003</v>
      </c>
      <c r="F29" s="26">
        <v>2.3E-2</v>
      </c>
      <c r="G29" s="26">
        <v>0.1</v>
      </c>
      <c r="H29" s="26">
        <v>1.403</v>
      </c>
      <c r="I29" s="6">
        <f>779/(1000)</f>
        <v>0.77900000000000003</v>
      </c>
      <c r="J29" s="26">
        <v>0.99</v>
      </c>
    </row>
    <row r="30" spans="2:10" x14ac:dyDescent="0.3">
      <c r="B30" s="22"/>
      <c r="C30" s="25">
        <v>2010</v>
      </c>
      <c r="D30" s="26">
        <v>8.9999999999999993E-3</v>
      </c>
      <c r="E30" s="26">
        <v>-0.26200000000000001</v>
      </c>
      <c r="F30" s="26">
        <v>0.10100000000000001</v>
      </c>
      <c r="G30" s="26">
        <v>0.21</v>
      </c>
      <c r="H30" s="26">
        <v>1.5229999999999999</v>
      </c>
      <c r="I30" s="6">
        <f>1622/(1000)</f>
        <v>1.6220000000000001</v>
      </c>
      <c r="J30" s="26">
        <v>1.62</v>
      </c>
    </row>
    <row r="31" spans="2:10" x14ac:dyDescent="0.3">
      <c r="B31" s="22"/>
      <c r="C31" s="25">
        <v>2011</v>
      </c>
      <c r="D31" s="26">
        <v>-1.2999999999999999E-2</v>
      </c>
      <c r="E31" s="26">
        <v>-0.23699999999999999</v>
      </c>
      <c r="F31" s="26">
        <v>5.3999999999999999E-2</v>
      </c>
      <c r="G31" s="26">
        <v>0.1</v>
      </c>
      <c r="H31" s="26">
        <v>1.5660000000000001</v>
      </c>
      <c r="I31" s="6">
        <f>821/(1000)</f>
        <v>0.82099999999999995</v>
      </c>
      <c r="J31" s="26">
        <v>1.46</v>
      </c>
    </row>
    <row r="32" spans="2:10" x14ac:dyDescent="0.3">
      <c r="B32" s="22"/>
      <c r="C32" s="25">
        <v>2012</v>
      </c>
      <c r="D32" s="26">
        <v>0.03</v>
      </c>
      <c r="E32" s="26">
        <v>-0.14299999999999999</v>
      </c>
      <c r="F32" s="26">
        <v>9.5000000000000001E-2</v>
      </c>
      <c r="G32" s="26">
        <v>0.25600000000000001</v>
      </c>
      <c r="H32" s="26">
        <v>1.472</v>
      </c>
      <c r="I32" s="6">
        <f>2201/(1000)</f>
        <v>2.2010000000000001</v>
      </c>
      <c r="J32" s="26">
        <v>1.77</v>
      </c>
    </row>
    <row r="33" spans="2:10" x14ac:dyDescent="0.3">
      <c r="B33" s="22"/>
      <c r="C33" s="25" t="s">
        <v>87</v>
      </c>
      <c r="D33" s="26"/>
      <c r="E33" s="26"/>
      <c r="F33" s="26"/>
      <c r="G33" s="26"/>
      <c r="H33" s="26"/>
      <c r="I33" s="6"/>
      <c r="J33" s="26"/>
    </row>
    <row r="34" spans="2:10" x14ac:dyDescent="0.3">
      <c r="B34" s="22" t="s">
        <v>88</v>
      </c>
      <c r="C34" s="25">
        <v>2007</v>
      </c>
      <c r="D34" s="26">
        <v>-2.4E-2</v>
      </c>
      <c r="E34" s="26">
        <v>0.28499999999999998</v>
      </c>
      <c r="F34" s="26">
        <v>4.7E-2</v>
      </c>
      <c r="G34" s="26">
        <v>0.91200000000000003</v>
      </c>
      <c r="H34" s="26">
        <v>0.58799999999999997</v>
      </c>
      <c r="I34" s="6">
        <f>8967/(1000)</f>
        <v>8.9670000000000005</v>
      </c>
      <c r="J34" s="26">
        <v>1.66</v>
      </c>
    </row>
    <row r="35" spans="2:10" x14ac:dyDescent="0.3">
      <c r="B35" s="22"/>
      <c r="C35" s="25">
        <v>2008</v>
      </c>
      <c r="D35" s="26">
        <v>-1.0999999999999999E-2</v>
      </c>
      <c r="E35" s="26">
        <v>0.35</v>
      </c>
      <c r="F35" s="26">
        <v>3.2000000000000001E-2</v>
      </c>
      <c r="G35" s="26">
        <v>0.7</v>
      </c>
      <c r="H35" s="26">
        <v>0.78400000000000003</v>
      </c>
      <c r="I35" s="6">
        <f>6379/(1000)</f>
        <v>6.3789999999999996</v>
      </c>
      <c r="J35" s="26">
        <v>1.79</v>
      </c>
    </row>
    <row r="36" spans="2:10" x14ac:dyDescent="0.3">
      <c r="B36" s="22"/>
      <c r="C36" s="25">
        <v>2009</v>
      </c>
      <c r="D36" s="26">
        <v>4.5999999999999999E-2</v>
      </c>
      <c r="E36" s="26">
        <v>0.34799999999999998</v>
      </c>
      <c r="F36" s="26">
        <v>1.7999999999999999E-2</v>
      </c>
      <c r="G36" s="26">
        <v>0.96299999999999997</v>
      </c>
      <c r="H36" s="26">
        <v>0.72499999999999998</v>
      </c>
      <c r="I36" s="6">
        <f>8492/(1000)</f>
        <v>8.4920000000000009</v>
      </c>
      <c r="J36" s="26">
        <v>1.91</v>
      </c>
    </row>
    <row r="37" spans="2:10" x14ac:dyDescent="0.3">
      <c r="B37" s="22"/>
      <c r="C37" s="25">
        <v>2010</v>
      </c>
      <c r="D37" s="26">
        <v>6.3E-2</v>
      </c>
      <c r="E37" s="26">
        <v>0.34899999999999998</v>
      </c>
      <c r="F37" s="26">
        <v>6.4000000000000001E-2</v>
      </c>
      <c r="G37" s="26">
        <v>1.0509999999999999</v>
      </c>
      <c r="H37" s="26">
        <v>0.78300000000000003</v>
      </c>
      <c r="I37" s="6">
        <f>9696/(1000)</f>
        <v>9.6959999999999997</v>
      </c>
      <c r="J37" s="26">
        <v>2.19</v>
      </c>
    </row>
    <row r="38" spans="2:10" x14ac:dyDescent="0.3">
      <c r="B38" s="22"/>
      <c r="C38" s="25">
        <v>2011</v>
      </c>
      <c r="D38" s="26">
        <v>-0.01</v>
      </c>
      <c r="E38" s="26">
        <v>0.29899999999999999</v>
      </c>
      <c r="F38" s="26">
        <v>4.5999999999999999E-2</v>
      </c>
      <c r="G38" s="26">
        <v>0.59099999999999997</v>
      </c>
      <c r="H38" s="26">
        <v>0.86699999999999999</v>
      </c>
      <c r="I38" s="6">
        <f>6617/(1000)</f>
        <v>6.617</v>
      </c>
      <c r="J38" s="26">
        <v>1.78</v>
      </c>
    </row>
    <row r="39" spans="2:10" x14ac:dyDescent="0.3">
      <c r="B39" s="22"/>
      <c r="C39" s="25">
        <v>2012</v>
      </c>
      <c r="D39" s="26">
        <v>-2.3E-2</v>
      </c>
      <c r="E39" s="26">
        <v>0.31</v>
      </c>
      <c r="F39" s="26">
        <v>4.2999999999999997E-2</v>
      </c>
      <c r="G39" s="26">
        <v>0.64400000000000002</v>
      </c>
      <c r="H39" s="26">
        <v>0.91900000000000004</v>
      </c>
      <c r="I39" s="6">
        <f>7475/(1000)</f>
        <v>7.4749999999999996</v>
      </c>
      <c r="J39" s="26">
        <v>1.86</v>
      </c>
    </row>
    <row r="40" spans="2:10" x14ac:dyDescent="0.3">
      <c r="B40" s="22"/>
      <c r="C40" s="25" t="s">
        <v>89</v>
      </c>
      <c r="D40" s="26"/>
      <c r="E40" s="26"/>
      <c r="F40" s="26"/>
      <c r="G40" s="26"/>
      <c r="H40" s="26"/>
      <c r="I40" s="6"/>
      <c r="J40" s="26"/>
    </row>
    <row r="41" spans="2:10" x14ac:dyDescent="0.3">
      <c r="B41" s="22" t="s">
        <v>90</v>
      </c>
      <c r="C41" s="25">
        <v>2007</v>
      </c>
      <c r="D41" s="26">
        <v>-2.5000000000000001E-2</v>
      </c>
      <c r="E41" s="26">
        <v>2.9000000000000001E-2</v>
      </c>
      <c r="F41" s="26">
        <v>0.03</v>
      </c>
      <c r="G41" s="26">
        <v>0.23499999999999999</v>
      </c>
      <c r="H41" s="26">
        <v>0.50800000000000001</v>
      </c>
      <c r="I41" s="6">
        <f>1074/(1000)</f>
        <v>1.0740000000000001</v>
      </c>
      <c r="J41" s="26">
        <v>0.76</v>
      </c>
    </row>
    <row r="42" spans="2:10" x14ac:dyDescent="0.3">
      <c r="B42" s="22"/>
      <c r="C42" s="25">
        <v>2008</v>
      </c>
      <c r="D42" s="26">
        <v>-0.02</v>
      </c>
      <c r="E42" s="26">
        <v>0.01</v>
      </c>
      <c r="F42" s="26">
        <v>1.9E-2</v>
      </c>
      <c r="G42" s="26">
        <v>0.40600000000000003</v>
      </c>
      <c r="H42" s="26">
        <v>0.56299999999999994</v>
      </c>
      <c r="I42" s="6">
        <f>1931/(1000)</f>
        <v>1.931</v>
      </c>
      <c r="J42" s="26">
        <v>0.86</v>
      </c>
    </row>
    <row r="43" spans="2:10" x14ac:dyDescent="0.3">
      <c r="B43" s="22"/>
      <c r="C43" s="25">
        <v>2009</v>
      </c>
      <c r="D43" s="26">
        <v>5.8000000000000003E-2</v>
      </c>
      <c r="E43" s="26">
        <v>1.9E-2</v>
      </c>
      <c r="F43" s="26">
        <v>4.3999999999999997E-2</v>
      </c>
      <c r="G43" s="26">
        <v>0.317</v>
      </c>
      <c r="H43" s="26">
        <v>0.503</v>
      </c>
      <c r="I43" s="6">
        <f>1586/(1000)</f>
        <v>1.5860000000000001</v>
      </c>
      <c r="J43" s="26">
        <v>0.93</v>
      </c>
    </row>
    <row r="44" spans="2:10" x14ac:dyDescent="0.3">
      <c r="B44" s="22"/>
      <c r="C44" s="25">
        <v>2010</v>
      </c>
      <c r="D44" s="26">
        <v>0.04</v>
      </c>
      <c r="E44" s="26">
        <v>3.3000000000000002E-2</v>
      </c>
      <c r="F44" s="26">
        <v>5.0999999999999997E-2</v>
      </c>
      <c r="G44" s="26">
        <v>0.39500000000000002</v>
      </c>
      <c r="H44" s="26">
        <v>0.57299999999999995</v>
      </c>
      <c r="I44" s="6">
        <f>1950/(1000)</f>
        <v>1.95</v>
      </c>
      <c r="J44" s="26">
        <v>1.07</v>
      </c>
    </row>
    <row r="45" spans="2:10" x14ac:dyDescent="0.3">
      <c r="B45" s="22"/>
      <c r="C45" s="25">
        <v>2011</v>
      </c>
      <c r="D45" s="26">
        <v>3.1E-2</v>
      </c>
      <c r="E45" s="26">
        <v>4.2999999999999997E-2</v>
      </c>
      <c r="F45" s="26">
        <v>4.5999999999999999E-2</v>
      </c>
      <c r="G45" s="26">
        <v>0.27600000000000002</v>
      </c>
      <c r="H45" s="26">
        <v>0.63700000000000001</v>
      </c>
      <c r="I45" s="6">
        <f>1466/(1000)</f>
        <v>1.466</v>
      </c>
      <c r="J45" s="26">
        <v>1.05</v>
      </c>
    </row>
    <row r="46" spans="2:10" x14ac:dyDescent="0.3">
      <c r="B46" s="22"/>
      <c r="C46" s="25">
        <v>2012</v>
      </c>
      <c r="D46" s="26">
        <v>-7.1999999999999995E-2</v>
      </c>
      <c r="E46" s="26">
        <v>6.0999999999999999E-2</v>
      </c>
      <c r="F46" s="26">
        <v>5.2999999999999999E-2</v>
      </c>
      <c r="G46" s="26">
        <v>0.31</v>
      </c>
      <c r="H46" s="26">
        <v>0.70499999999999996</v>
      </c>
      <c r="I46" s="6">
        <f>1607/(1000)</f>
        <v>1.607</v>
      </c>
      <c r="J46" s="26">
        <v>1.07</v>
      </c>
    </row>
    <row r="47" spans="2:10" x14ac:dyDescent="0.3">
      <c r="B47" s="22"/>
      <c r="C47" s="25" t="s">
        <v>91</v>
      </c>
      <c r="D47" s="26"/>
      <c r="E47" s="26"/>
      <c r="F47" s="26"/>
      <c r="G47" s="26"/>
      <c r="H47" s="26"/>
      <c r="I47" s="6"/>
      <c r="J47" s="26"/>
    </row>
    <row r="48" spans="2:10" x14ac:dyDescent="0.3">
      <c r="B48" s="22" t="s">
        <v>92</v>
      </c>
      <c r="C48" s="25">
        <v>2007</v>
      </c>
      <c r="D48" s="26">
        <v>4.0000000000000001E-3</v>
      </c>
      <c r="E48" s="26">
        <v>7.2999999999999995E-2</v>
      </c>
      <c r="F48" s="26">
        <v>0.05</v>
      </c>
      <c r="G48" s="26">
        <v>0.13700000000000001</v>
      </c>
      <c r="H48" s="26">
        <v>0.78100000000000003</v>
      </c>
      <c r="I48" s="6">
        <f>475/(1000)</f>
        <v>0.47499999999999998</v>
      </c>
      <c r="J48" s="26">
        <v>1.1399999999999999</v>
      </c>
    </row>
    <row r="49" spans="2:10" x14ac:dyDescent="0.3">
      <c r="B49" s="22"/>
      <c r="C49" s="25">
        <v>2008</v>
      </c>
      <c r="D49" s="26">
        <v>3.1E-2</v>
      </c>
      <c r="E49" s="26">
        <v>0.04</v>
      </c>
      <c r="F49" s="26">
        <v>-1.7999999999999999E-2</v>
      </c>
      <c r="G49" s="26">
        <v>0.127</v>
      </c>
      <c r="H49" s="26">
        <v>0.75700000000000001</v>
      </c>
      <c r="I49" s="6">
        <f>529/(1000)</f>
        <v>0.52900000000000003</v>
      </c>
      <c r="J49" s="26">
        <v>0.87</v>
      </c>
    </row>
    <row r="50" spans="2:10" x14ac:dyDescent="0.3">
      <c r="B50" s="22"/>
      <c r="C50" s="25">
        <v>2009</v>
      </c>
      <c r="D50" s="26">
        <v>7.2999999999999995E-2</v>
      </c>
      <c r="E50" s="26">
        <v>6.3E-2</v>
      </c>
      <c r="F50" s="26">
        <v>6.2E-2</v>
      </c>
      <c r="G50" s="26">
        <v>0.14899999999999999</v>
      </c>
      <c r="H50" s="26">
        <v>0.68</v>
      </c>
      <c r="I50" s="6">
        <f>615/(1000)</f>
        <v>0.61499999999999999</v>
      </c>
      <c r="J50" s="26">
        <v>1.1499999999999999</v>
      </c>
    </row>
    <row r="51" spans="2:10" x14ac:dyDescent="0.3">
      <c r="B51" s="22"/>
      <c r="C51" s="25">
        <v>2010</v>
      </c>
      <c r="D51" s="26">
        <v>4.7E-2</v>
      </c>
      <c r="E51" s="26">
        <v>0.113</v>
      </c>
      <c r="F51" s="26">
        <v>9.6000000000000002E-2</v>
      </c>
      <c r="G51" s="26">
        <v>0.26100000000000001</v>
      </c>
      <c r="H51" s="26">
        <v>0.76400000000000001</v>
      </c>
      <c r="I51" s="6">
        <f>1020/(1000)</f>
        <v>1.02</v>
      </c>
      <c r="J51" s="26">
        <v>1.45</v>
      </c>
    </row>
    <row r="52" spans="2:10" x14ac:dyDescent="0.3">
      <c r="B52" s="22"/>
      <c r="C52" s="25">
        <v>2011</v>
      </c>
      <c r="D52" s="26">
        <v>1.7000000000000001E-2</v>
      </c>
      <c r="E52" s="26">
        <v>0.157</v>
      </c>
      <c r="F52" s="26">
        <v>9.4E-2</v>
      </c>
      <c r="G52" s="26">
        <v>0.66800000000000004</v>
      </c>
      <c r="H52" s="26">
        <v>0.83599999999999997</v>
      </c>
      <c r="I52" s="6">
        <f>2665/(1000)</f>
        <v>2.665</v>
      </c>
      <c r="J52" s="26">
        <v>1.79</v>
      </c>
    </row>
    <row r="53" spans="2:10" x14ac:dyDescent="0.3">
      <c r="B53" s="29"/>
      <c r="C53" s="25">
        <v>2012</v>
      </c>
      <c r="D53" s="26">
        <v>4.2999999999999997E-2</v>
      </c>
      <c r="E53" s="26">
        <v>0.20499999999999999</v>
      </c>
      <c r="F53" s="26">
        <v>9.7000000000000003E-2</v>
      </c>
      <c r="G53" s="26">
        <v>0.74199999999999999</v>
      </c>
      <c r="H53" s="26">
        <v>0.84599999999999997</v>
      </c>
      <c r="I53" s="6">
        <f>3029/(1000)</f>
        <v>3.0289999999999999</v>
      </c>
      <c r="J53" s="26">
        <v>1.95</v>
      </c>
    </row>
    <row r="54" spans="2:10" x14ac:dyDescent="0.3">
      <c r="B54" s="30"/>
      <c r="C54" s="25" t="s">
        <v>93</v>
      </c>
      <c r="D54" s="31"/>
      <c r="E54" s="31"/>
      <c r="F54" s="31"/>
      <c r="G54" s="31"/>
      <c r="H54" s="31"/>
      <c r="I54" s="32"/>
      <c r="J54" s="31"/>
    </row>
  </sheetData>
  <mergeCells count="1">
    <mergeCell ref="B2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DECD0-7149-4123-84F1-03BCBBA2F93C}">
  <dimension ref="B3:E9"/>
  <sheetViews>
    <sheetView tabSelected="1" zoomScale="115" zoomScaleNormal="115" workbookViewId="0">
      <selection activeCell="I6" sqref="I6"/>
    </sheetView>
  </sheetViews>
  <sheetFormatPr defaultRowHeight="14.4" x14ac:dyDescent="0.3"/>
  <cols>
    <col min="2" max="2" width="27.44140625" bestFit="1" customWidth="1"/>
    <col min="4" max="4" width="41.33203125" customWidth="1"/>
    <col min="5" max="5" width="12.5546875" bestFit="1" customWidth="1"/>
  </cols>
  <sheetData>
    <row r="3" spans="2:5" x14ac:dyDescent="0.3">
      <c r="B3" s="33" t="s">
        <v>94</v>
      </c>
      <c r="C3" s="34" t="s">
        <v>95</v>
      </c>
      <c r="D3" s="34" t="s">
        <v>96</v>
      </c>
      <c r="E3" s="35" t="s">
        <v>97</v>
      </c>
    </row>
    <row r="4" spans="2:5" ht="43.2" x14ac:dyDescent="0.3">
      <c r="B4" s="36" t="s">
        <v>98</v>
      </c>
      <c r="C4" s="37" t="s">
        <v>5</v>
      </c>
      <c r="D4" s="49" t="s">
        <v>99</v>
      </c>
      <c r="E4" s="14" t="s">
        <v>100</v>
      </c>
    </row>
    <row r="5" spans="2:5" x14ac:dyDescent="0.3">
      <c r="B5" s="38" t="s">
        <v>101</v>
      </c>
      <c r="C5" s="39" t="s">
        <v>5</v>
      </c>
      <c r="D5" s="50"/>
      <c r="E5" s="12" t="s">
        <v>102</v>
      </c>
    </row>
    <row r="6" spans="2:5" x14ac:dyDescent="0.3">
      <c r="B6" s="40" t="s">
        <v>103</v>
      </c>
      <c r="C6" s="41" t="s">
        <v>5</v>
      </c>
      <c r="D6" s="51"/>
      <c r="E6" s="13" t="s">
        <v>104</v>
      </c>
    </row>
    <row r="7" spans="2:5" ht="43.2" x14ac:dyDescent="0.3">
      <c r="B7" s="42" t="s">
        <v>105</v>
      </c>
      <c r="C7" s="43" t="s">
        <v>106</v>
      </c>
      <c r="D7" s="44" t="s">
        <v>107</v>
      </c>
      <c r="E7" s="25" t="s">
        <v>108</v>
      </c>
    </row>
    <row r="8" spans="2:5" ht="43.2" x14ac:dyDescent="0.3">
      <c r="B8" s="42" t="s">
        <v>109</v>
      </c>
      <c r="C8" s="43" t="s">
        <v>110</v>
      </c>
      <c r="D8" s="44" t="s">
        <v>111</v>
      </c>
      <c r="E8" s="25" t="s">
        <v>112</v>
      </c>
    </row>
    <row r="9" spans="2:5" ht="57.6" x14ac:dyDescent="0.3">
      <c r="B9" s="40" t="s">
        <v>88</v>
      </c>
      <c r="C9" s="41" t="s">
        <v>113</v>
      </c>
      <c r="D9" s="45" t="s">
        <v>114</v>
      </c>
      <c r="E9" s="13" t="s">
        <v>115</v>
      </c>
    </row>
  </sheetData>
  <mergeCells count="1">
    <mergeCell ref="D4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Credit Rating</vt:lpstr>
      <vt:lpstr>Structural Model</vt:lpstr>
      <vt:lpstr> UFCE Analysis</vt:lpstr>
      <vt:lpstr>Working Capital Analysis</vt:lpstr>
      <vt:lpstr>Z-Score Calculation</vt:lpstr>
      <vt:lpstr>Credit Rating of Airlines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</dc:creator>
  <cp:lastModifiedBy>Shloka Vinayotavkar</cp:lastModifiedBy>
  <dcterms:created xsi:type="dcterms:W3CDTF">2022-03-08T12:35:10Z</dcterms:created>
  <dcterms:modified xsi:type="dcterms:W3CDTF">2022-03-08T13:33:52Z</dcterms:modified>
</cp:coreProperties>
</file>