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31173ebab5d1ef4d/Desktop/"/>
    </mc:Choice>
  </mc:AlternateContent>
  <xr:revisionPtr revIDLastSave="17" documentId="8_{5776DBBF-5055-41E3-A859-0C945D69B7EB}" xr6:coauthVersionLast="45" xr6:coauthVersionMax="45" xr10:uidLastSave="{4781CEFD-AD10-4E8E-8791-15B6B2C229FF}"/>
  <bookViews>
    <workbookView xWindow="-110" yWindow="-110" windowWidth="19420" windowHeight="10420" activeTab="1" xr2:uid="{00000000-000D-0000-FFFF-FFFF00000000}"/>
  </bookViews>
  <sheets>
    <sheet name="Sheet1" sheetId="1" r:id="rId1"/>
    <sheet name="WACC" sheetId="2" r:id="rId2"/>
    <sheet name="DCF" sheetId="4" r:id="rId3"/>
    <sheet name="Terminal Value" sheetId="3" r:id="rId4"/>
    <sheet name="NWC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4" i="5"/>
  <c r="E4" i="4"/>
  <c r="D4" i="5" s="1"/>
  <c r="D22" i="4"/>
  <c r="D10" i="4"/>
  <c r="D6" i="4"/>
  <c r="D8" i="4" s="1"/>
  <c r="D12" i="4" s="1"/>
  <c r="D56" i="3" l="1"/>
  <c r="D16" i="4"/>
  <c r="E26" i="4"/>
  <c r="F4" i="4"/>
  <c r="E6" i="4"/>
  <c r="E10" i="4"/>
  <c r="E8" i="4"/>
  <c r="E12" i="4" s="1"/>
  <c r="D20" i="4" l="1"/>
  <c r="D24" i="4" s="1"/>
  <c r="E14" i="4" s="1"/>
  <c r="E22" i="4" s="1"/>
  <c r="D18" i="4"/>
  <c r="G4" i="4"/>
  <c r="F10" i="4"/>
  <c r="F6" i="4"/>
  <c r="F8" i="4"/>
  <c r="E4" i="5"/>
  <c r="F26" i="4" s="1"/>
  <c r="E16" i="4" l="1"/>
  <c r="E18" i="4" s="1"/>
  <c r="E20" i="4" s="1"/>
  <c r="E24" i="4" s="1"/>
  <c r="H4" i="4"/>
  <c r="G6" i="4"/>
  <c r="G8" i="4" s="1"/>
  <c r="F4" i="5"/>
  <c r="G26" i="4" s="1"/>
  <c r="G10" i="4"/>
  <c r="F12" i="4"/>
  <c r="F14" i="4" l="1"/>
  <c r="F22" i="4" s="1"/>
  <c r="E28" i="4"/>
  <c r="I4" i="4"/>
  <c r="G4" i="5"/>
  <c r="H26" i="4" s="1"/>
  <c r="H10" i="4"/>
  <c r="H6" i="4"/>
  <c r="H8" i="4" s="1"/>
  <c r="G12" i="4"/>
  <c r="F16" i="4"/>
  <c r="H12" i="4" l="1"/>
  <c r="F18" i="4"/>
  <c r="F20" i="4" s="1"/>
  <c r="J4" i="4"/>
  <c r="I10" i="4"/>
  <c r="I6" i="4"/>
  <c r="I8" i="4" s="1"/>
  <c r="H4" i="5"/>
  <c r="I26" i="4" s="1"/>
  <c r="I12" i="4" l="1"/>
  <c r="F24" i="4"/>
  <c r="G14" i="4" s="1"/>
  <c r="K4" i="4"/>
  <c r="J10" i="4"/>
  <c r="J6" i="4"/>
  <c r="J8" i="4" s="1"/>
  <c r="I4" i="5"/>
  <c r="J26" i="4" s="1"/>
  <c r="J12" i="4" l="1"/>
  <c r="G22" i="4"/>
  <c r="G16" i="4"/>
  <c r="G18" i="4" s="1"/>
  <c r="G20" i="4" s="1"/>
  <c r="L4" i="4"/>
  <c r="K10" i="4"/>
  <c r="J4" i="5"/>
  <c r="K26" i="4" s="1"/>
  <c r="K6" i="4"/>
  <c r="K8" i="4" s="1"/>
  <c r="K12" i="4" s="1"/>
  <c r="F28" i="4"/>
  <c r="G24" i="4" l="1"/>
  <c r="H14" i="4" s="1"/>
  <c r="M4" i="4"/>
  <c r="K4" i="5"/>
  <c r="L26" i="4" s="1"/>
  <c r="L10" i="4"/>
  <c r="L6" i="4"/>
  <c r="L8" i="4" s="1"/>
  <c r="L12" i="4" l="1"/>
  <c r="H22" i="4"/>
  <c r="H16" i="4"/>
  <c r="H18" i="4" s="1"/>
  <c r="H20" i="4" s="1"/>
  <c r="N4" i="4"/>
  <c r="L4" i="5"/>
  <c r="M26" i="4" s="1"/>
  <c r="M10" i="4"/>
  <c r="M6" i="4"/>
  <c r="M8" i="4" s="1"/>
  <c r="G28" i="4"/>
  <c r="M12" i="4" l="1"/>
  <c r="N10" i="4"/>
  <c r="N6" i="4"/>
  <c r="N8" i="4" s="1"/>
  <c r="M4" i="5"/>
  <c r="N26" i="4" s="1"/>
  <c r="H24" i="4"/>
  <c r="I14" i="4" s="1"/>
  <c r="N12" i="4" l="1"/>
  <c r="H28" i="4"/>
  <c r="I22" i="4"/>
  <c r="I16" i="4"/>
  <c r="I18" i="4" s="1"/>
  <c r="I20" i="4" s="1"/>
  <c r="I24" i="4" l="1"/>
  <c r="J14" i="4" s="1"/>
  <c r="I28" i="4" l="1"/>
  <c r="J22" i="4"/>
  <c r="J16" i="4"/>
  <c r="J18" i="4" s="1"/>
  <c r="J20" i="4" s="1"/>
  <c r="J24" i="4" l="1"/>
  <c r="K14" i="4" s="1"/>
  <c r="J28" i="4" l="1"/>
  <c r="K22" i="4"/>
  <c r="K16" i="4"/>
  <c r="K18" i="4" s="1"/>
  <c r="K20" i="4" s="1"/>
  <c r="K24" i="4" l="1"/>
  <c r="L14" i="4" s="1"/>
  <c r="L22" i="4" l="1"/>
  <c r="L16" i="4"/>
  <c r="L18" i="4" s="1"/>
  <c r="L20" i="4" s="1"/>
  <c r="K28" i="4"/>
  <c r="L24" i="4" l="1"/>
  <c r="M14" i="4" s="1"/>
  <c r="L28" i="4"/>
  <c r="M22" i="4" l="1"/>
  <c r="M16" i="4"/>
  <c r="M18" i="4" s="1"/>
  <c r="M20" i="4" s="1"/>
  <c r="M24" i="4" l="1"/>
  <c r="N14" i="4" s="1"/>
  <c r="M28" i="4"/>
  <c r="N16" i="4" l="1"/>
  <c r="N22" i="4"/>
  <c r="N18" i="4" l="1"/>
  <c r="N20" i="4" s="1"/>
  <c r="N24" i="4" l="1"/>
  <c r="N28" i="4"/>
  <c r="D8" i="3" l="1"/>
  <c r="F28" i="3" l="1"/>
  <c r="F16" i="3"/>
  <c r="D13" i="2" l="1"/>
  <c r="D17" i="2" s="1"/>
  <c r="C78" i="2"/>
  <c r="C79" i="2" s="1"/>
  <c r="C7" i="2" s="1"/>
  <c r="L75" i="2"/>
  <c r="M74" i="2"/>
  <c r="M75" i="2" s="1"/>
  <c r="L74" i="2"/>
  <c r="L76" i="2" s="1"/>
  <c r="C41" i="2"/>
  <c r="C42" i="2" s="1"/>
  <c r="C6" i="2" s="1"/>
  <c r="D7" i="2" l="1"/>
  <c r="E7" i="2" s="1"/>
  <c r="D6" i="2"/>
  <c r="E6" i="2" s="1"/>
  <c r="M76" i="2"/>
  <c r="N76" i="2" s="1"/>
  <c r="N75" i="2"/>
  <c r="AD74" i="2"/>
  <c r="AC74" i="2"/>
  <c r="AC75" i="2" s="1"/>
  <c r="E8" i="2" l="1"/>
  <c r="AD75" i="2"/>
  <c r="AD76" i="2" s="1"/>
  <c r="AC76" i="2"/>
  <c r="N30" i="4" l="1"/>
  <c r="N32" i="4" s="1"/>
  <c r="J30" i="4"/>
  <c r="J32" i="4" s="1"/>
  <c r="F30" i="4"/>
  <c r="F32" i="4" s="1"/>
  <c r="M30" i="4"/>
  <c r="M32" i="4" s="1"/>
  <c r="I30" i="4"/>
  <c r="I32" i="4" s="1"/>
  <c r="E30" i="4"/>
  <c r="E32" i="4" s="1"/>
  <c r="D10" i="3"/>
  <c r="L30" i="4"/>
  <c r="L32" i="4" s="1"/>
  <c r="H30" i="4"/>
  <c r="H32" i="4" s="1"/>
  <c r="K30" i="4"/>
  <c r="K32" i="4" s="1"/>
  <c r="G30" i="4"/>
  <c r="G32" i="4" s="1"/>
  <c r="E9" i="2"/>
  <c r="AE76" i="2"/>
  <c r="F29" i="3" l="1"/>
  <c r="F31" i="3" s="1"/>
  <c r="F17" i="3"/>
  <c r="F19" i="3" s="1"/>
  <c r="E34" i="4" s="1"/>
  <c r="P32" i="4"/>
  <c r="E36" i="4" s="1"/>
  <c r="E39" i="4" s="1"/>
  <c r="E43" i="4" s="1"/>
  <c r="E47" i="4" s="1"/>
</calcChain>
</file>

<file path=xl/sharedStrings.xml><?xml version="1.0" encoding="utf-8"?>
<sst xmlns="http://schemas.openxmlformats.org/spreadsheetml/2006/main" count="116" uniqueCount="93">
  <si>
    <t>WACC</t>
  </si>
  <si>
    <t>Source of Capital</t>
  </si>
  <si>
    <t>Weights</t>
  </si>
  <si>
    <t>Inputs</t>
  </si>
  <si>
    <t>Cost of Equity=</t>
  </si>
  <si>
    <t>Variations</t>
  </si>
  <si>
    <t>Risk Free rate of return + [Beta x (Market rate of return - Risk free rate of return)]</t>
  </si>
  <si>
    <t>- Rate of Interest on debt</t>
  </si>
  <si>
    <t>- tax rate</t>
  </si>
  <si>
    <t>Cost of Debt=</t>
  </si>
  <si>
    <t>Rate of Interest x (1 - tax rate)</t>
  </si>
  <si>
    <t>Eg</t>
  </si>
  <si>
    <t>Less: Interest</t>
  </si>
  <si>
    <t>EBIT</t>
  </si>
  <si>
    <t>NPBT</t>
  </si>
  <si>
    <t>Less: Tax</t>
  </si>
  <si>
    <t>NPAT</t>
  </si>
  <si>
    <t>With Debt</t>
  </si>
  <si>
    <t>Without Debt</t>
  </si>
  <si>
    <r>
      <t>Debt (</t>
    </r>
    <r>
      <rPr>
        <sz val="14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d)</t>
    </r>
  </si>
  <si>
    <r>
      <t>Equity (</t>
    </r>
    <r>
      <rPr>
        <sz val="14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e)</t>
    </r>
  </si>
  <si>
    <t>Cost</t>
  </si>
  <si>
    <t>Weighted Average</t>
  </si>
  <si>
    <t>A</t>
  </si>
  <si>
    <t>B</t>
  </si>
  <si>
    <t>(A x B)</t>
  </si>
  <si>
    <r>
      <t>Calculating Cost of Equity (</t>
    </r>
    <r>
      <rPr>
        <b/>
        <sz val="14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e)- CAPM Model</t>
    </r>
  </si>
  <si>
    <t>Calculating Terminal Value using Gordon Formula</t>
  </si>
  <si>
    <t>Gordon Formula</t>
  </si>
  <si>
    <t>FCFFn (1 + Growth rate)</t>
  </si>
  <si>
    <t>WACC - Growth Rate</t>
  </si>
  <si>
    <t>Terminal value (Growth Perpetuity)=</t>
  </si>
  <si>
    <t>Terminal value (No Growth Perpetuity)=</t>
  </si>
  <si>
    <t>Calculating Terminal Value using Price Multiple (P/E)</t>
  </si>
  <si>
    <t>Terminal Value=</t>
  </si>
  <si>
    <t>EBITDA x Multiple</t>
  </si>
  <si>
    <t>Revenues</t>
  </si>
  <si>
    <t>Less: COGS</t>
  </si>
  <si>
    <t>Gross Profit</t>
  </si>
  <si>
    <t>Less: S &amp; A Expenses</t>
  </si>
  <si>
    <t>EBITDA</t>
  </si>
  <si>
    <t>FCFF</t>
  </si>
  <si>
    <t>NOPAT</t>
  </si>
  <si>
    <t>Less: Capital Expenditure</t>
  </si>
  <si>
    <t>Actual Value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</si>
  <si>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</si>
  <si>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</si>
  <si>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</si>
  <si>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</si>
  <si>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</si>
  <si>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</si>
  <si>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</si>
  <si>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</si>
  <si>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</si>
  <si>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</si>
  <si>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Discounting Factor</t>
  </si>
  <si>
    <t>Present Value of FCFF</t>
  </si>
  <si>
    <t>Present Value of Terminal Value</t>
  </si>
  <si>
    <t>Total Present Value of Company operations</t>
  </si>
  <si>
    <t>Plus Current Assets</t>
  </si>
  <si>
    <t>Intrinsic Value</t>
  </si>
  <si>
    <t>No of Shares o/s</t>
  </si>
  <si>
    <t>Itrinsic Value per share</t>
  </si>
  <si>
    <t>Market Value Per share</t>
  </si>
  <si>
    <t>Conclusion</t>
  </si>
  <si>
    <t>- Risk free rate =</t>
  </si>
  <si>
    <t>- Beta=</t>
  </si>
  <si>
    <t>- Market Rate of Return=</t>
  </si>
  <si>
    <t>Market Risk premium=</t>
  </si>
  <si>
    <t>Market Return - Risk free rate of return</t>
  </si>
  <si>
    <t>Current Capital Structure</t>
  </si>
  <si>
    <t>Equity Capital</t>
  </si>
  <si>
    <t>Reserves and Surplus</t>
  </si>
  <si>
    <t>Current o/s Debt</t>
  </si>
  <si>
    <t>Total Equity Capital</t>
  </si>
  <si>
    <t>Less: Depreciation</t>
  </si>
  <si>
    <t>Add: Depreciation</t>
  </si>
  <si>
    <t>Net Working Capital</t>
  </si>
  <si>
    <t>Growth %</t>
  </si>
  <si>
    <t>- FCFFn</t>
  </si>
  <si>
    <t>-Growth Rate</t>
  </si>
  <si>
    <t>- WACC</t>
  </si>
  <si>
    <r>
      <t>Calculating Cost of Debt (</t>
    </r>
    <r>
      <rPr>
        <b/>
        <sz val="14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d)</t>
    </r>
  </si>
  <si>
    <t>Discounted Cash Flow Valuation</t>
  </si>
  <si>
    <t>Calculating Weighted Average Cost of Capital (WACC)</t>
  </si>
  <si>
    <t>Risk Free Return Plus Equity Risk Premium</t>
  </si>
  <si>
    <t>Cost of Debt after Tax=</t>
  </si>
  <si>
    <t>100000 share of Rs. 10 each</t>
  </si>
  <si>
    <t>Discounting Rate</t>
  </si>
  <si>
    <t>FCFF10 (1 + Growth rate)</t>
  </si>
  <si>
    <t>Present Value of Terminal value (Growth Perpetuity)=</t>
  </si>
  <si>
    <t>PV o fTerminal value (No Growth Perpetuity)=</t>
  </si>
  <si>
    <t>Less Net working capital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</si>
</sst>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9" fontId="0" fillId="0" borderId="0" xfId="0" applyNumberFormat="1"/>
    <xf numFmtId="10" fontId="0" fillId="0" borderId="0" xfId="1" applyNumberFormat="1" applyFont="1"/>
    <xf numFmtId="10" fontId="0" fillId="0" borderId="1" xfId="0" applyNumberFormat="1" applyBorder="1"/>
    <xf numFmtId="2" fontId="0" fillId="0" borderId="0" xfId="0" applyNumberFormat="1"/>
    <xf numFmtId="0" fontId="0" fillId="0" borderId="0" xfId="0" applyBorder="1"/>
    <xf numFmtId="0" fontId="2" fillId="0" borderId="1" xfId="0" applyFont="1" applyBorder="1" applyAlignment="1">
      <alignment wrapText="1"/>
    </xf>
    <xf numFmtId="0" fontId="6" fillId="0" borderId="1" xfId="2" applyFont="1" applyBorder="1" applyAlignment="1">
      <alignment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4" xfId="0" applyFont="1" applyFill="1" applyBorder="1"/>
    <xf numFmtId="0" fontId="7" fillId="0" borderId="0" xfId="0" applyFont="1"/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1" xfId="3" applyNumberFormat="1" applyFont="1" applyBorder="1"/>
    <xf numFmtId="166" fontId="0" fillId="0" borderId="0" xfId="3" applyNumberFormat="1" applyFont="1"/>
    <xf numFmtId="166" fontId="0" fillId="0" borderId="2" xfId="3" applyNumberFormat="1" applyFont="1" applyBorder="1" applyAlignment="1">
      <alignment horizontal="center"/>
    </xf>
    <xf numFmtId="166" fontId="2" fillId="0" borderId="0" xfId="3" applyNumberFormat="1" applyFont="1"/>
    <xf numFmtId="166" fontId="2" fillId="0" borderId="1" xfId="3" applyNumberFormat="1" applyFont="1" applyBorder="1"/>
    <xf numFmtId="166" fontId="2" fillId="0" borderId="0" xfId="3" applyNumberFormat="1" applyFont="1" applyFill="1"/>
    <xf numFmtId="166" fontId="2" fillId="2" borderId="1" xfId="3" applyNumberFormat="1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41</xdr:row>
      <xdr:rowOff>104775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43600" y="805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3"/>
  <sheetViews>
    <sheetView workbookViewId="0">
      <selection activeCell="D4" sqref="D4"/>
    </sheetView>
  </sheetViews>
  <sheetFormatPr defaultRowHeight="14.5" x14ac:dyDescent="0.35"/>
  <sheetData>
    <row r="3" spans="4:9" ht="26" x14ac:dyDescent="0.6">
      <c r="D3" s="23" t="s">
        <v>83</v>
      </c>
      <c r="E3" s="23"/>
      <c r="F3" s="23"/>
      <c r="G3" s="23"/>
      <c r="H3" s="23"/>
      <c r="I3" s="23"/>
    </row>
    <row r="6" spans="4:9" x14ac:dyDescent="0.35">
      <c r="E6" s="2"/>
    </row>
    <row r="7" spans="4:9" x14ac:dyDescent="0.35">
      <c r="E7" s="2"/>
    </row>
    <row r="8" spans="4:9" x14ac:dyDescent="0.35">
      <c r="E8" s="2"/>
    </row>
    <row r="9" spans="4:9" x14ac:dyDescent="0.35">
      <c r="E9" s="2"/>
    </row>
    <row r="10" spans="4:9" x14ac:dyDescent="0.35">
      <c r="E10" s="2"/>
    </row>
    <row r="11" spans="4:9" x14ac:dyDescent="0.35">
      <c r="E11" s="2"/>
    </row>
    <row r="12" spans="4:9" x14ac:dyDescent="0.35">
      <c r="E12" s="2"/>
    </row>
    <row r="13" spans="4:9" x14ac:dyDescent="0.35">
      <c r="E13" s="2"/>
    </row>
  </sheetData>
  <mergeCells count="1">
    <mergeCell ref="D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106"/>
  <sheetViews>
    <sheetView tabSelected="1" topLeftCell="A5" workbookViewId="0">
      <selection activeCell="D13" sqref="D13:D19"/>
    </sheetView>
  </sheetViews>
  <sheetFormatPr defaultRowHeight="14.5" x14ac:dyDescent="0.35"/>
  <cols>
    <col min="2" max="2" width="22.7265625" customWidth="1"/>
    <col min="4" max="4" width="12.1796875" bestFit="1" customWidth="1"/>
    <col min="5" max="5" width="17.7265625" bestFit="1" customWidth="1"/>
    <col min="7" max="7" width="11.453125" customWidth="1"/>
    <col min="11" max="11" width="13.7265625" customWidth="1"/>
    <col min="12" max="13" width="11.26953125" customWidth="1"/>
  </cols>
  <sheetData>
    <row r="2" spans="2:6" x14ac:dyDescent="0.35">
      <c r="B2" s="18" t="s">
        <v>84</v>
      </c>
    </row>
    <row r="4" spans="2:6" x14ac:dyDescent="0.35">
      <c r="B4" s="5" t="s">
        <v>1</v>
      </c>
      <c r="C4" s="5" t="s">
        <v>21</v>
      </c>
      <c r="D4" s="5" t="s">
        <v>2</v>
      </c>
      <c r="E4" s="5" t="s">
        <v>22</v>
      </c>
    </row>
    <row r="5" spans="2:6" x14ac:dyDescent="0.35">
      <c r="B5" s="5"/>
      <c r="C5" s="5" t="s">
        <v>23</v>
      </c>
      <c r="D5" s="5" t="s">
        <v>24</v>
      </c>
      <c r="E5" s="5" t="s">
        <v>25</v>
      </c>
    </row>
    <row r="6" spans="2:6" ht="18.5" x14ac:dyDescent="0.45">
      <c r="B6" s="1" t="s">
        <v>20</v>
      </c>
      <c r="C6" s="10">
        <f>C42</f>
        <v>0.184</v>
      </c>
      <c r="D6" s="1">
        <f>D17/(D17+D19)</f>
        <v>0.625</v>
      </c>
      <c r="E6" s="4">
        <f>C6*D6</f>
        <v>0.11499999999999999</v>
      </c>
    </row>
    <row r="7" spans="2:6" ht="18.5" x14ac:dyDescent="0.45">
      <c r="B7" s="1" t="s">
        <v>19</v>
      </c>
      <c r="C7" s="10">
        <f>C79</f>
        <v>5.5999999999999994E-2</v>
      </c>
      <c r="D7" s="1">
        <f>D19/(D17+D19)</f>
        <v>0.375</v>
      </c>
      <c r="E7" s="4">
        <f>C7*D7</f>
        <v>2.0999999999999998E-2</v>
      </c>
    </row>
    <row r="8" spans="2:6" x14ac:dyDescent="0.35">
      <c r="B8" s="6" t="s">
        <v>0</v>
      </c>
      <c r="C8" s="6"/>
      <c r="D8" s="7"/>
      <c r="E8" s="5">
        <f>E7+E6</f>
        <v>0.13599999999999998</v>
      </c>
    </row>
    <row r="9" spans="2:6" x14ac:dyDescent="0.35">
      <c r="B9" s="19" t="s">
        <v>0</v>
      </c>
      <c r="C9" s="19"/>
      <c r="D9" s="19"/>
      <c r="E9" s="20">
        <f>E8</f>
        <v>0.13599999999999998</v>
      </c>
      <c r="F9" s="2" t="s">
        <v>88</v>
      </c>
    </row>
    <row r="11" spans="2:6" x14ac:dyDescent="0.35">
      <c r="B11" s="2" t="s">
        <v>70</v>
      </c>
    </row>
    <row r="13" spans="2:6" x14ac:dyDescent="0.35">
      <c r="B13" t="s">
        <v>71</v>
      </c>
      <c r="D13" s="28">
        <f>100000*10</f>
        <v>1000000</v>
      </c>
    </row>
    <row r="14" spans="2:6" x14ac:dyDescent="0.35">
      <c r="B14" t="s">
        <v>87</v>
      </c>
      <c r="D14" s="28"/>
    </row>
    <row r="15" spans="2:6" x14ac:dyDescent="0.35">
      <c r="B15" t="s">
        <v>72</v>
      </c>
      <c r="D15" s="28">
        <v>4000000</v>
      </c>
    </row>
    <row r="16" spans="2:6" x14ac:dyDescent="0.35">
      <c r="D16" s="28"/>
    </row>
    <row r="17" spans="2:4" x14ac:dyDescent="0.35">
      <c r="B17" t="s">
        <v>74</v>
      </c>
      <c r="D17" s="28">
        <f>D15+D13</f>
        <v>5000000</v>
      </c>
    </row>
    <row r="18" spans="2:4" x14ac:dyDescent="0.35">
      <c r="D18" s="28"/>
    </row>
    <row r="19" spans="2:4" x14ac:dyDescent="0.35">
      <c r="B19" t="s">
        <v>73</v>
      </c>
      <c r="D19" s="28">
        <v>3000000</v>
      </c>
    </row>
    <row r="33" spans="2:6" ht="18.5" x14ac:dyDescent="0.45">
      <c r="B33" s="2" t="s">
        <v>26</v>
      </c>
    </row>
    <row r="35" spans="2:6" x14ac:dyDescent="0.35">
      <c r="B35" s="2" t="s">
        <v>3</v>
      </c>
      <c r="F35" t="s">
        <v>85</v>
      </c>
    </row>
    <row r="36" spans="2:6" x14ac:dyDescent="0.35">
      <c r="B36" s="3" t="s">
        <v>65</v>
      </c>
      <c r="D36" s="8">
        <v>0.04</v>
      </c>
    </row>
    <row r="37" spans="2:6" x14ac:dyDescent="0.35">
      <c r="B37" s="3" t="s">
        <v>66</v>
      </c>
      <c r="D37">
        <v>1.8</v>
      </c>
    </row>
    <row r="38" spans="2:6" x14ac:dyDescent="0.35">
      <c r="B38" s="3" t="s">
        <v>67</v>
      </c>
      <c r="D38" s="8">
        <v>0.12</v>
      </c>
    </row>
    <row r="39" spans="2:6" x14ac:dyDescent="0.35">
      <c r="B39" s="3"/>
    </row>
    <row r="40" spans="2:6" x14ac:dyDescent="0.35">
      <c r="B40" t="s">
        <v>4</v>
      </c>
      <c r="C40" t="s">
        <v>6</v>
      </c>
    </row>
    <row r="41" spans="2:6" x14ac:dyDescent="0.35">
      <c r="B41" t="s">
        <v>4</v>
      </c>
      <c r="C41" s="3">
        <f xml:space="preserve"> D36+(D37*(D38-D36))</f>
        <v>0.184</v>
      </c>
    </row>
    <row r="42" spans="2:6" x14ac:dyDescent="0.35">
      <c r="B42" t="s">
        <v>4</v>
      </c>
      <c r="C42" s="9">
        <f>C41</f>
        <v>0.184</v>
      </c>
    </row>
    <row r="45" spans="2:6" x14ac:dyDescent="0.35">
      <c r="B45" s="2" t="s">
        <v>5</v>
      </c>
    </row>
    <row r="46" spans="2:6" x14ac:dyDescent="0.35">
      <c r="B46" t="s">
        <v>68</v>
      </c>
      <c r="D46" t="s">
        <v>69</v>
      </c>
    </row>
    <row r="70" spans="2:31" ht="18.5" x14ac:dyDescent="0.45">
      <c r="B70" s="2" t="s">
        <v>82</v>
      </c>
    </row>
    <row r="71" spans="2:31" x14ac:dyDescent="0.35">
      <c r="J71" t="s">
        <v>11</v>
      </c>
      <c r="K71" s="1"/>
      <c r="L71" s="1" t="s">
        <v>17</v>
      </c>
      <c r="M71" s="1" t="s">
        <v>18</v>
      </c>
    </row>
    <row r="72" spans="2:31" x14ac:dyDescent="0.35">
      <c r="B72" t="s">
        <v>3</v>
      </c>
      <c r="K72" s="1" t="s">
        <v>13</v>
      </c>
      <c r="L72" s="1">
        <v>1000000</v>
      </c>
      <c r="M72" s="1">
        <v>1000000</v>
      </c>
      <c r="AC72">
        <v>1000000</v>
      </c>
      <c r="AD72">
        <v>1000000</v>
      </c>
    </row>
    <row r="73" spans="2:31" x14ac:dyDescent="0.35">
      <c r="B73" s="3" t="s">
        <v>7</v>
      </c>
      <c r="D73" s="8">
        <v>0.08</v>
      </c>
      <c r="K73" s="1" t="s">
        <v>12</v>
      </c>
      <c r="L73" s="1">
        <v>300000</v>
      </c>
      <c r="M73" s="1">
        <v>0</v>
      </c>
      <c r="AC73">
        <v>0</v>
      </c>
      <c r="AD73">
        <v>200000</v>
      </c>
    </row>
    <row r="74" spans="2:31" x14ac:dyDescent="0.35">
      <c r="B74" s="3" t="s">
        <v>8</v>
      </c>
      <c r="D74" s="8">
        <v>0.3</v>
      </c>
      <c r="K74" s="1" t="s">
        <v>14</v>
      </c>
      <c r="L74" s="1">
        <f>L72-L73</f>
        <v>700000</v>
      </c>
      <c r="M74" s="1">
        <f>M72-M73</f>
        <v>1000000</v>
      </c>
      <c r="AC74">
        <f>AC72-AC73</f>
        <v>1000000</v>
      </c>
      <c r="AD74">
        <f>AD72-AD73</f>
        <v>800000</v>
      </c>
    </row>
    <row r="75" spans="2:31" x14ac:dyDescent="0.35">
      <c r="K75" s="1" t="s">
        <v>15</v>
      </c>
      <c r="L75" s="1">
        <f>L74*0.3</f>
        <v>210000</v>
      </c>
      <c r="M75" s="1">
        <f>M74*0.3</f>
        <v>300000</v>
      </c>
      <c r="N75">
        <f>M75-L75</f>
        <v>90000</v>
      </c>
      <c r="AC75">
        <f>AC74*0.3</f>
        <v>300000</v>
      </c>
      <c r="AD75">
        <f>AD74*0.3</f>
        <v>240000</v>
      </c>
    </row>
    <row r="76" spans="2:31" x14ac:dyDescent="0.35">
      <c r="K76" s="1" t="s">
        <v>16</v>
      </c>
      <c r="L76" s="1">
        <f>L74-L75</f>
        <v>490000</v>
      </c>
      <c r="M76" s="1">
        <f>M74-M75</f>
        <v>700000</v>
      </c>
      <c r="N76">
        <f>M76-L76</f>
        <v>210000</v>
      </c>
      <c r="AC76">
        <f>AC74-AC75</f>
        <v>700000</v>
      </c>
      <c r="AD76">
        <f>AD74-AD75</f>
        <v>560000</v>
      </c>
      <c r="AE76">
        <f>AC76-AD76</f>
        <v>140000</v>
      </c>
    </row>
    <row r="77" spans="2:31" x14ac:dyDescent="0.35">
      <c r="B77" t="s">
        <v>9</v>
      </c>
      <c r="C77" t="s">
        <v>10</v>
      </c>
    </row>
    <row r="78" spans="2:31" x14ac:dyDescent="0.35">
      <c r="B78" t="s">
        <v>9</v>
      </c>
      <c r="C78">
        <f>D73*(1-0.3)</f>
        <v>5.5999999999999994E-2</v>
      </c>
    </row>
    <row r="79" spans="2:31" x14ac:dyDescent="0.35">
      <c r="B79" t="s">
        <v>86</v>
      </c>
      <c r="C79" s="9">
        <f>C78</f>
        <v>5.5999999999999994E-2</v>
      </c>
    </row>
    <row r="105" spans="2:2" x14ac:dyDescent="0.35">
      <c r="B105" s="3"/>
    </row>
    <row r="106" spans="2:2" x14ac:dyDescent="0.35">
      <c r="B106" s="3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P55"/>
  <sheetViews>
    <sheetView topLeftCell="B33" zoomScale="115" zoomScaleNormal="115" workbookViewId="0">
      <selection activeCell="G41" sqref="G41"/>
    </sheetView>
  </sheetViews>
  <sheetFormatPr defaultRowHeight="14.5" x14ac:dyDescent="0.35"/>
  <cols>
    <col min="3" max="3" width="20.81640625" customWidth="1"/>
    <col min="4" max="5" width="14.08984375" bestFit="1" customWidth="1"/>
    <col min="6" max="6" width="12.81640625" customWidth="1"/>
    <col min="7" max="8" width="11.453125" bestFit="1" customWidth="1"/>
    <col min="9" max="9" width="14.08984375" bestFit="1" customWidth="1"/>
    <col min="10" max="10" width="11.453125" bestFit="1" customWidth="1"/>
    <col min="11" max="14" width="14.08984375" bestFit="1" customWidth="1"/>
  </cols>
  <sheetData>
    <row r="2" spans="3:15" x14ac:dyDescent="0.35">
      <c r="C2" s="1"/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5" t="s">
        <v>51</v>
      </c>
      <c r="L2" s="5" t="s">
        <v>52</v>
      </c>
      <c r="M2" s="5" t="s">
        <v>53</v>
      </c>
      <c r="N2" s="5" t="s">
        <v>54</v>
      </c>
      <c r="O2" s="12"/>
    </row>
    <row r="3" spans="3:15" x14ac:dyDescent="0.35">
      <c r="C3" s="1"/>
      <c r="D3" s="1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12"/>
    </row>
    <row r="4" spans="3:15" x14ac:dyDescent="0.35">
      <c r="C4" s="7" t="s">
        <v>36</v>
      </c>
      <c r="D4" s="27">
        <v>10000000</v>
      </c>
      <c r="E4" s="27">
        <f>D4*(1+E5)</f>
        <v>11500000</v>
      </c>
      <c r="F4" s="27">
        <f t="shared" ref="F4:N4" si="0">E4*(1+F5)</f>
        <v>13224999.999999998</v>
      </c>
      <c r="G4" s="27">
        <f t="shared" si="0"/>
        <v>14812000</v>
      </c>
      <c r="H4" s="27">
        <f t="shared" si="0"/>
        <v>16589440.000000002</v>
      </c>
      <c r="I4" s="27">
        <f t="shared" si="0"/>
        <v>18248384.000000004</v>
      </c>
      <c r="J4" s="27">
        <f t="shared" si="0"/>
        <v>20073222.400000006</v>
      </c>
      <c r="K4" s="27">
        <f t="shared" si="0"/>
        <v>21277615.744000006</v>
      </c>
      <c r="L4" s="27">
        <f t="shared" si="0"/>
        <v>22341496.531200007</v>
      </c>
      <c r="M4" s="27">
        <f t="shared" si="0"/>
        <v>23458571.357760008</v>
      </c>
      <c r="N4" s="27">
        <f t="shared" si="0"/>
        <v>24631499.925648011</v>
      </c>
      <c r="O4" s="12"/>
    </row>
    <row r="5" spans="3:15" x14ac:dyDescent="0.35">
      <c r="C5" s="1" t="s">
        <v>78</v>
      </c>
      <c r="D5" s="27"/>
      <c r="E5" s="27">
        <v>0.15</v>
      </c>
      <c r="F5" s="27">
        <v>0.15</v>
      </c>
      <c r="G5" s="27">
        <v>0.12</v>
      </c>
      <c r="H5" s="27">
        <v>0.12</v>
      </c>
      <c r="I5" s="27">
        <v>0.1</v>
      </c>
      <c r="J5" s="27">
        <v>0.1</v>
      </c>
      <c r="K5" s="27">
        <v>0.06</v>
      </c>
      <c r="L5" s="27">
        <v>0.05</v>
      </c>
      <c r="M5" s="27">
        <v>0.05</v>
      </c>
      <c r="N5" s="27">
        <v>0.05</v>
      </c>
      <c r="O5" s="12"/>
    </row>
    <row r="6" spans="3:15" x14ac:dyDescent="0.35">
      <c r="C6" s="7" t="s">
        <v>37</v>
      </c>
      <c r="D6" s="27">
        <f>D4*0.75</f>
        <v>7500000</v>
      </c>
      <c r="E6" s="27">
        <f t="shared" ref="E6:N6" si="1">E4*0.75</f>
        <v>8625000</v>
      </c>
      <c r="F6" s="27">
        <f t="shared" si="1"/>
        <v>9918749.9999999981</v>
      </c>
      <c r="G6" s="27">
        <f t="shared" si="1"/>
        <v>11109000</v>
      </c>
      <c r="H6" s="27">
        <f t="shared" si="1"/>
        <v>12442080.000000002</v>
      </c>
      <c r="I6" s="27">
        <f t="shared" si="1"/>
        <v>13686288.000000004</v>
      </c>
      <c r="J6" s="27">
        <f t="shared" si="1"/>
        <v>15054916.800000004</v>
      </c>
      <c r="K6" s="27">
        <f t="shared" si="1"/>
        <v>15958211.808000006</v>
      </c>
      <c r="L6" s="27">
        <f t="shared" si="1"/>
        <v>16756122.398400005</v>
      </c>
      <c r="M6" s="27">
        <f t="shared" si="1"/>
        <v>17593928.518320005</v>
      </c>
      <c r="N6" s="27">
        <f t="shared" si="1"/>
        <v>18473624.94423601</v>
      </c>
      <c r="O6" s="12"/>
    </row>
    <row r="7" spans="3:15" x14ac:dyDescent="0.35">
      <c r="C7" s="1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12"/>
    </row>
    <row r="8" spans="3:15" x14ac:dyDescent="0.35">
      <c r="C8" s="7" t="s">
        <v>38</v>
      </c>
      <c r="D8" s="27">
        <f>D4-D6</f>
        <v>2500000</v>
      </c>
      <c r="E8" s="27">
        <f>E4-E6</f>
        <v>2875000</v>
      </c>
      <c r="F8" s="27">
        <f t="shared" ref="F8:N8" si="2">F4-F6</f>
        <v>3306250</v>
      </c>
      <c r="G8" s="27">
        <f t="shared" si="2"/>
        <v>3703000</v>
      </c>
      <c r="H8" s="27">
        <f t="shared" si="2"/>
        <v>4147360</v>
      </c>
      <c r="I8" s="27">
        <f t="shared" si="2"/>
        <v>4562096</v>
      </c>
      <c r="J8" s="27">
        <f t="shared" si="2"/>
        <v>5018305.6000000015</v>
      </c>
      <c r="K8" s="27">
        <f t="shared" si="2"/>
        <v>5319403.9360000007</v>
      </c>
      <c r="L8" s="27">
        <f t="shared" si="2"/>
        <v>5585374.1328000017</v>
      </c>
      <c r="M8" s="27">
        <f t="shared" si="2"/>
        <v>5864642.839440003</v>
      </c>
      <c r="N8" s="27">
        <f t="shared" si="2"/>
        <v>6157874.981412001</v>
      </c>
      <c r="O8" s="12"/>
    </row>
    <row r="9" spans="3:15" x14ac:dyDescent="0.35">
      <c r="C9" s="1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12"/>
    </row>
    <row r="10" spans="3:15" x14ac:dyDescent="0.35">
      <c r="C10" s="13" t="s">
        <v>39</v>
      </c>
      <c r="D10" s="27">
        <f>D4*0.1</f>
        <v>1000000</v>
      </c>
      <c r="E10" s="27">
        <f>E4*0.1</f>
        <v>1150000</v>
      </c>
      <c r="F10" s="27">
        <f t="shared" ref="F10:N10" si="3">F4*0.1</f>
        <v>1322500</v>
      </c>
      <c r="G10" s="27">
        <f t="shared" si="3"/>
        <v>1481200</v>
      </c>
      <c r="H10" s="27">
        <f t="shared" si="3"/>
        <v>1658944.0000000002</v>
      </c>
      <c r="I10" s="27">
        <f t="shared" si="3"/>
        <v>1824838.4000000004</v>
      </c>
      <c r="J10" s="27">
        <f t="shared" si="3"/>
        <v>2007322.2400000007</v>
      </c>
      <c r="K10" s="27">
        <f t="shared" si="3"/>
        <v>2127761.5744000007</v>
      </c>
      <c r="L10" s="27">
        <f t="shared" si="3"/>
        <v>2234149.6531200008</v>
      </c>
      <c r="M10" s="27">
        <f t="shared" si="3"/>
        <v>2345857.135776001</v>
      </c>
      <c r="N10" s="27">
        <f t="shared" si="3"/>
        <v>2463149.9925648011</v>
      </c>
      <c r="O10" s="12"/>
    </row>
    <row r="11" spans="3:15" x14ac:dyDescent="0.35">
      <c r="C11" s="1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12"/>
    </row>
    <row r="12" spans="3:15" x14ac:dyDescent="0.35">
      <c r="C12" s="7" t="s">
        <v>40</v>
      </c>
      <c r="D12" s="27">
        <f>D8-D10</f>
        <v>1500000</v>
      </c>
      <c r="E12" s="27">
        <f>E8-E10</f>
        <v>1725000</v>
      </c>
      <c r="F12" s="27">
        <f t="shared" ref="F12:N12" si="4">F8-F10</f>
        <v>1983750</v>
      </c>
      <c r="G12" s="27">
        <f t="shared" si="4"/>
        <v>2221800</v>
      </c>
      <c r="H12" s="27">
        <f t="shared" si="4"/>
        <v>2488416</v>
      </c>
      <c r="I12" s="27">
        <f t="shared" si="4"/>
        <v>2737257.5999999996</v>
      </c>
      <c r="J12" s="27">
        <f t="shared" si="4"/>
        <v>3010983.3600000008</v>
      </c>
      <c r="K12" s="27">
        <f t="shared" si="4"/>
        <v>3191642.3615999999</v>
      </c>
      <c r="L12" s="27">
        <f t="shared" si="4"/>
        <v>3351224.4796800008</v>
      </c>
      <c r="M12" s="27">
        <f t="shared" si="4"/>
        <v>3518785.703664002</v>
      </c>
      <c r="N12" s="27">
        <f t="shared" si="4"/>
        <v>3694724.9888471998</v>
      </c>
      <c r="O12" s="12"/>
    </row>
    <row r="13" spans="3:15" x14ac:dyDescent="0.35">
      <c r="C13" s="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12"/>
    </row>
    <row r="14" spans="3:15" x14ac:dyDescent="0.35">
      <c r="C14" s="13" t="s">
        <v>75</v>
      </c>
      <c r="D14" s="27">
        <v>500000</v>
      </c>
      <c r="E14" s="27">
        <f>D14*0.9+(D24*0.1)</f>
        <v>464000</v>
      </c>
      <c r="F14" s="27">
        <f t="shared" ref="F14:N14" si="5">E14*0.9+(E24*0.1)</f>
        <v>435254</v>
      </c>
      <c r="G14" s="27">
        <f t="shared" si="5"/>
        <v>413407.54400000005</v>
      </c>
      <c r="H14" s="27">
        <f t="shared" si="5"/>
        <v>397384.2839840001</v>
      </c>
      <c r="I14" s="27">
        <f t="shared" si="5"/>
        <v>386920.29960982408</v>
      </c>
      <c r="J14" s="27">
        <f t="shared" si="5"/>
        <v>381132.99185430416</v>
      </c>
      <c r="K14" s="27">
        <f t="shared" si="5"/>
        <v>379837.59782291349</v>
      </c>
      <c r="L14" s="27">
        <f t="shared" si="5"/>
        <v>381219.10473350133</v>
      </c>
      <c r="M14" s="27">
        <f t="shared" si="5"/>
        <v>384677.26950940216</v>
      </c>
      <c r="N14" s="27">
        <f t="shared" si="5"/>
        <v>390087.06063662638</v>
      </c>
      <c r="O14" s="12"/>
    </row>
    <row r="15" spans="3:15" x14ac:dyDescent="0.35">
      <c r="C15" s="1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12"/>
    </row>
    <row r="16" spans="3:15" x14ac:dyDescent="0.35">
      <c r="C16" s="7" t="s">
        <v>13</v>
      </c>
      <c r="D16" s="27">
        <f>D12-D14</f>
        <v>1000000</v>
      </c>
      <c r="E16" s="27">
        <f>E12-E14</f>
        <v>1261000</v>
      </c>
      <c r="F16" s="27">
        <f t="shared" ref="F16:N16" si="6">F12-F14</f>
        <v>1548496</v>
      </c>
      <c r="G16" s="27">
        <f t="shared" si="6"/>
        <v>1808392.456</v>
      </c>
      <c r="H16" s="27">
        <f t="shared" si="6"/>
        <v>2091031.7160159999</v>
      </c>
      <c r="I16" s="27">
        <f t="shared" si="6"/>
        <v>2350337.3003901755</v>
      </c>
      <c r="J16" s="27">
        <f t="shared" si="6"/>
        <v>2629850.3681456968</v>
      </c>
      <c r="K16" s="27">
        <f t="shared" si="6"/>
        <v>2811804.7637770865</v>
      </c>
      <c r="L16" s="27">
        <f t="shared" si="6"/>
        <v>2970005.3749464992</v>
      </c>
      <c r="M16" s="27">
        <f t="shared" si="6"/>
        <v>3134108.4341545999</v>
      </c>
      <c r="N16" s="27">
        <f t="shared" si="6"/>
        <v>3304637.9282105733</v>
      </c>
      <c r="O16" s="12"/>
    </row>
    <row r="17" spans="3:16" x14ac:dyDescent="0.35">
      <c r="C17" s="1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12"/>
    </row>
    <row r="18" spans="3:16" x14ac:dyDescent="0.35">
      <c r="C18" s="7" t="s">
        <v>15</v>
      </c>
      <c r="D18" s="27">
        <f>D16*0.3</f>
        <v>300000</v>
      </c>
      <c r="E18" s="27">
        <f>E16*0.3</f>
        <v>378300</v>
      </c>
      <c r="F18" s="27">
        <f t="shared" ref="F18:N18" si="7">F16*0.3</f>
        <v>464548.8</v>
      </c>
      <c r="G18" s="27">
        <f t="shared" si="7"/>
        <v>542517.73679999996</v>
      </c>
      <c r="H18" s="27">
        <f t="shared" si="7"/>
        <v>627309.51480479992</v>
      </c>
      <c r="I18" s="27">
        <f t="shared" si="7"/>
        <v>705101.19011705264</v>
      </c>
      <c r="J18" s="27">
        <f t="shared" si="7"/>
        <v>788955.11044370907</v>
      </c>
      <c r="K18" s="27">
        <f t="shared" si="7"/>
        <v>843541.42913312593</v>
      </c>
      <c r="L18" s="27">
        <f t="shared" si="7"/>
        <v>891001.61248394975</v>
      </c>
      <c r="M18" s="27">
        <f t="shared" si="7"/>
        <v>940232.5302463799</v>
      </c>
      <c r="N18" s="27">
        <f t="shared" si="7"/>
        <v>991391.37846317189</v>
      </c>
      <c r="O18" s="12"/>
    </row>
    <row r="19" spans="3:16" x14ac:dyDescent="0.35">
      <c r="C19" s="1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12"/>
    </row>
    <row r="20" spans="3:16" x14ac:dyDescent="0.35">
      <c r="C20" s="7" t="s">
        <v>42</v>
      </c>
      <c r="D20" s="27">
        <f>D16-D18</f>
        <v>700000</v>
      </c>
      <c r="E20" s="27">
        <f>E16-E18</f>
        <v>882700</v>
      </c>
      <c r="F20" s="27">
        <f t="shared" ref="F20:N20" si="8">F16-F18</f>
        <v>1083947.2</v>
      </c>
      <c r="G20" s="27">
        <f t="shared" si="8"/>
        <v>1265874.7192000002</v>
      </c>
      <c r="H20" s="27">
        <f t="shared" si="8"/>
        <v>1463722.2012112001</v>
      </c>
      <c r="I20" s="27">
        <f t="shared" si="8"/>
        <v>1645236.1102731228</v>
      </c>
      <c r="J20" s="27">
        <f t="shared" si="8"/>
        <v>1840895.2577019879</v>
      </c>
      <c r="K20" s="27">
        <f t="shared" si="8"/>
        <v>1968263.3346439605</v>
      </c>
      <c r="L20" s="27">
        <f t="shared" si="8"/>
        <v>2079003.7624625494</v>
      </c>
      <c r="M20" s="27">
        <f t="shared" si="8"/>
        <v>2193875.9039082201</v>
      </c>
      <c r="N20" s="27">
        <f t="shared" si="8"/>
        <v>2313246.5497474014</v>
      </c>
      <c r="O20" s="12"/>
    </row>
    <row r="21" spans="3:16" x14ac:dyDescent="0.35">
      <c r="C21" s="1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3:16" x14ac:dyDescent="0.35">
      <c r="C22" s="13" t="s">
        <v>76</v>
      </c>
      <c r="D22" s="27">
        <f>D14</f>
        <v>500000</v>
      </c>
      <c r="E22" s="27">
        <f>E14</f>
        <v>464000</v>
      </c>
      <c r="F22" s="27">
        <f t="shared" ref="F22:N22" si="9">F14</f>
        <v>435254</v>
      </c>
      <c r="G22" s="27">
        <f t="shared" si="9"/>
        <v>413407.54400000005</v>
      </c>
      <c r="H22" s="27">
        <f t="shared" si="9"/>
        <v>397384.2839840001</v>
      </c>
      <c r="I22" s="27">
        <f t="shared" si="9"/>
        <v>386920.29960982408</v>
      </c>
      <c r="J22" s="27">
        <f t="shared" si="9"/>
        <v>381132.99185430416</v>
      </c>
      <c r="K22" s="27">
        <f t="shared" si="9"/>
        <v>379837.59782291349</v>
      </c>
      <c r="L22" s="27">
        <f t="shared" si="9"/>
        <v>381219.10473350133</v>
      </c>
      <c r="M22" s="27">
        <f t="shared" si="9"/>
        <v>384677.26950940216</v>
      </c>
      <c r="N22" s="27">
        <f t="shared" si="9"/>
        <v>390087.06063662638</v>
      </c>
    </row>
    <row r="23" spans="3:16" x14ac:dyDescent="0.35">
      <c r="C23" s="1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3:16" ht="29" x14ac:dyDescent="0.35">
      <c r="C24" s="13" t="s">
        <v>43</v>
      </c>
      <c r="D24" s="27">
        <f>D20*0.2</f>
        <v>140000</v>
      </c>
      <c r="E24" s="27">
        <f>E20*0.2</f>
        <v>176540</v>
      </c>
      <c r="F24" s="27">
        <f t="shared" ref="F24:N24" si="10">F20*0.2</f>
        <v>216789.44</v>
      </c>
      <c r="G24" s="27">
        <f t="shared" si="10"/>
        <v>253174.94384000005</v>
      </c>
      <c r="H24" s="27">
        <f t="shared" si="10"/>
        <v>292744.44024224003</v>
      </c>
      <c r="I24" s="27">
        <f t="shared" si="10"/>
        <v>329047.22205462458</v>
      </c>
      <c r="J24" s="27">
        <f t="shared" si="10"/>
        <v>368179.05154039757</v>
      </c>
      <c r="K24" s="27">
        <f t="shared" si="10"/>
        <v>393652.66692879214</v>
      </c>
      <c r="L24" s="27">
        <f t="shared" si="10"/>
        <v>415800.7524925099</v>
      </c>
      <c r="M24" s="27">
        <f t="shared" si="10"/>
        <v>438775.18078164407</v>
      </c>
      <c r="N24" s="27">
        <f t="shared" si="10"/>
        <v>462649.30994948029</v>
      </c>
    </row>
    <row r="25" spans="3:16" x14ac:dyDescent="0.35">
      <c r="C25" s="1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3:16" ht="29" x14ac:dyDescent="0.35">
      <c r="C26" s="14" t="s">
        <v>92</v>
      </c>
      <c r="D26" s="27"/>
      <c r="E26" s="27">
        <f>NWC!D4-NWC!C4</f>
        <v>450000</v>
      </c>
      <c r="F26" s="27">
        <f>NWC!E4-NWC!D4</f>
        <v>517499.99999999907</v>
      </c>
      <c r="G26" s="27">
        <f>NWC!F4-NWC!E4</f>
        <v>476100.00000000093</v>
      </c>
      <c r="H26" s="27">
        <f>NWC!G4-NWC!F4</f>
        <v>533232</v>
      </c>
      <c r="I26" s="27">
        <f>NWC!H4-NWC!G4</f>
        <v>497683.20000000112</v>
      </c>
      <c r="J26" s="27">
        <f>NWC!I4-NWC!H4</f>
        <v>547451.52000000048</v>
      </c>
      <c r="K26" s="27">
        <f>NWC!J4-NWC!I4</f>
        <v>361318.00320000015</v>
      </c>
      <c r="L26" s="27">
        <f>NWC!K4-NWC!J4</f>
        <v>319164.23615999985</v>
      </c>
      <c r="M26" s="27">
        <f>NWC!L4-NWC!K4</f>
        <v>335122.44796800055</v>
      </c>
      <c r="N26" s="27">
        <f>NWC!M4-NWC!L4</f>
        <v>351878.57036640123</v>
      </c>
    </row>
    <row r="27" spans="3:16" x14ac:dyDescent="0.35">
      <c r="C27" s="1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3:16" x14ac:dyDescent="0.35">
      <c r="C28" s="7" t="s">
        <v>41</v>
      </c>
      <c r="D28" s="31"/>
      <c r="E28" s="31">
        <f>E20+E22-E24-E26</f>
        <v>720160</v>
      </c>
      <c r="F28" s="31">
        <f t="shared" ref="F28:N28" si="11">F20+F22-F24-F26</f>
        <v>784911.76000000094</v>
      </c>
      <c r="G28" s="31">
        <f t="shared" si="11"/>
        <v>950007.31935999915</v>
      </c>
      <c r="H28" s="31">
        <f t="shared" si="11"/>
        <v>1035130.0449529602</v>
      </c>
      <c r="I28" s="31">
        <f t="shared" si="11"/>
        <v>1205425.9878283213</v>
      </c>
      <c r="J28" s="31">
        <f t="shared" si="11"/>
        <v>1306397.6780158938</v>
      </c>
      <c r="K28" s="31">
        <f t="shared" si="11"/>
        <v>1593130.2623380816</v>
      </c>
      <c r="L28" s="31">
        <f t="shared" si="11"/>
        <v>1725257.8785435408</v>
      </c>
      <c r="M28" s="31">
        <f t="shared" si="11"/>
        <v>1804655.5446679778</v>
      </c>
      <c r="N28" s="31">
        <f t="shared" si="11"/>
        <v>1888805.7300681463</v>
      </c>
    </row>
    <row r="29" spans="3:16" x14ac:dyDescent="0.35">
      <c r="C29" s="1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3:16" x14ac:dyDescent="0.35">
      <c r="C30" s="1" t="s">
        <v>55</v>
      </c>
      <c r="D30" s="27"/>
      <c r="E30" s="27">
        <f>1/(1+WACC!$E$8)^E3</f>
        <v>0.88028169014084512</v>
      </c>
      <c r="F30" s="27">
        <f>1/(1+WACC!$E$8)^F3</f>
        <v>0.77489585399722283</v>
      </c>
      <c r="G30" s="27">
        <f>1/(1+WACC!$E$8)^G3</f>
        <v>0.68212663203980894</v>
      </c>
      <c r="H30" s="27">
        <f>1/(1+WACC!$E$8)^H3</f>
        <v>0.60046358454208537</v>
      </c>
      <c r="I30" s="27">
        <f>1/(1+WACC!$E$8)^I3</f>
        <v>0.52857709906873718</v>
      </c>
      <c r="J30" s="27">
        <f>1/(1+WACC!$E$8)^J3</f>
        <v>0.46529674213797284</v>
      </c>
      <c r="K30" s="27">
        <f>1/(1+WACC!$E$8)^K3</f>
        <v>0.40959220258624379</v>
      </c>
      <c r="L30" s="27">
        <f>1/(1+WACC!$E$8)^L3</f>
        <v>0.36055651636113006</v>
      </c>
      <c r="M30" s="27">
        <f>1/(1+WACC!$E$8)^M3</f>
        <v>0.31739129961367085</v>
      </c>
      <c r="N30" s="27">
        <f>1/(1+WACC!$E$8)^N3</f>
        <v>0.27939374965992153</v>
      </c>
    </row>
    <row r="31" spans="3:16" x14ac:dyDescent="0.35">
      <c r="C31" s="1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3:16" x14ac:dyDescent="0.35">
      <c r="C32" s="7" t="s">
        <v>56</v>
      </c>
      <c r="D32" s="31"/>
      <c r="E32" s="31">
        <f>E28*E30</f>
        <v>633943.661971831</v>
      </c>
      <c r="F32" s="31">
        <f t="shared" ref="F32:N32" si="12">F28*F30</f>
        <v>608224.8685776639</v>
      </c>
      <c r="G32" s="31">
        <f t="shared" si="12"/>
        <v>648025.29316820344</v>
      </c>
      <c r="H32" s="31">
        <f t="shared" si="12"/>
        <v>621557.89725966449</v>
      </c>
      <c r="I32" s="31">
        <f t="shared" si="12"/>
        <v>637160.57178836095</v>
      </c>
      <c r="J32" s="31">
        <f t="shared" si="12"/>
        <v>607862.58351740777</v>
      </c>
      <c r="K32" s="31">
        <f t="shared" si="12"/>
        <v>652533.73315785523</v>
      </c>
      <c r="L32" s="31">
        <f t="shared" si="12"/>
        <v>622052.97051225277</v>
      </c>
      <c r="M32" s="31">
        <f t="shared" si="12"/>
        <v>572781.96867718652</v>
      </c>
      <c r="N32" s="31">
        <f t="shared" si="12"/>
        <v>527720.51530288497</v>
      </c>
      <c r="P32" s="17">
        <f>SUM(E32:N32)</f>
        <v>6131864.063933312</v>
      </c>
    </row>
    <row r="34" spans="3:5" x14ac:dyDescent="0.35">
      <c r="C34" s="2" t="s">
        <v>57</v>
      </c>
      <c r="D34" s="2"/>
      <c r="E34" s="30">
        <f>'Terminal Value'!F19</f>
        <v>23061000.192692488</v>
      </c>
    </row>
    <row r="35" spans="3:5" x14ac:dyDescent="0.35">
      <c r="C35" s="2"/>
      <c r="D35" s="2"/>
      <c r="E35" s="30"/>
    </row>
    <row r="36" spans="3:5" ht="26.25" customHeight="1" x14ac:dyDescent="0.35">
      <c r="C36" s="24" t="s">
        <v>58</v>
      </c>
      <c r="D36" s="24"/>
      <c r="E36" s="30">
        <f>P32+E34</f>
        <v>29192864.256625801</v>
      </c>
    </row>
    <row r="37" spans="3:5" x14ac:dyDescent="0.35">
      <c r="C37" s="2" t="s">
        <v>59</v>
      </c>
      <c r="D37" s="2"/>
      <c r="E37" s="32">
        <v>3000000</v>
      </c>
    </row>
    <row r="38" spans="3:5" x14ac:dyDescent="0.35">
      <c r="C38" s="2"/>
      <c r="D38" s="2"/>
      <c r="E38" s="30"/>
    </row>
    <row r="39" spans="3:5" x14ac:dyDescent="0.35">
      <c r="C39" s="2" t="s">
        <v>60</v>
      </c>
      <c r="D39" s="2"/>
      <c r="E39" s="30">
        <f>E36+E37</f>
        <v>32192864.256625801</v>
      </c>
    </row>
    <row r="40" spans="3:5" x14ac:dyDescent="0.35">
      <c r="C40" s="2"/>
      <c r="D40" s="2"/>
      <c r="E40" s="30"/>
    </row>
    <row r="41" spans="3:5" x14ac:dyDescent="0.35">
      <c r="C41" s="2" t="s">
        <v>61</v>
      </c>
      <c r="D41" s="2"/>
      <c r="E41" s="30">
        <v>100000</v>
      </c>
    </row>
    <row r="42" spans="3:5" x14ac:dyDescent="0.35">
      <c r="C42" s="2"/>
      <c r="D42" s="2"/>
      <c r="E42" s="30"/>
    </row>
    <row r="43" spans="3:5" x14ac:dyDescent="0.35">
      <c r="C43" s="2" t="s">
        <v>62</v>
      </c>
      <c r="D43" s="2"/>
      <c r="E43" s="30">
        <f>E39/E41</f>
        <v>321.92864256625802</v>
      </c>
    </row>
    <row r="44" spans="3:5" x14ac:dyDescent="0.35">
      <c r="C44" s="2"/>
      <c r="D44" s="2"/>
      <c r="E44" s="30"/>
    </row>
    <row r="45" spans="3:5" x14ac:dyDescent="0.35">
      <c r="C45" s="2" t="s">
        <v>63</v>
      </c>
      <c r="D45" s="2"/>
      <c r="E45" s="30">
        <v>750</v>
      </c>
    </row>
    <row r="46" spans="3:5" x14ac:dyDescent="0.35">
      <c r="C46" s="2"/>
      <c r="D46" s="2"/>
      <c r="E46" s="30"/>
    </row>
    <row r="47" spans="3:5" x14ac:dyDescent="0.35">
      <c r="C47" s="2" t="s">
        <v>64</v>
      </c>
      <c r="D47" s="2"/>
      <c r="E47" s="33" t="str">
        <f>IF(E43&lt;E45,"SELL","BUY")</f>
        <v>SELL</v>
      </c>
    </row>
    <row r="55" spans="4:4" x14ac:dyDescent="0.35">
      <c r="D55" s="21"/>
    </row>
  </sheetData>
  <mergeCells count="1">
    <mergeCell ref="C36:D36"/>
  </mergeCells>
  <conditionalFormatting sqref="E2:H2">
    <cfRule type="duplicateValues" dxfId="3" priority="2"/>
  </conditionalFormatting>
  <conditionalFormatting sqref="I2:N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56"/>
  <sheetViews>
    <sheetView topLeftCell="A9" zoomScale="130" zoomScaleNormal="130" workbookViewId="0">
      <selection activeCell="G17" sqref="G17"/>
    </sheetView>
  </sheetViews>
  <sheetFormatPr defaultRowHeight="14.5" x14ac:dyDescent="0.35"/>
  <cols>
    <col min="4" max="4" width="12.54296875" customWidth="1"/>
    <col min="6" max="6" width="13.26953125" customWidth="1"/>
  </cols>
  <sheetData>
    <row r="3" spans="2:8" x14ac:dyDescent="0.35">
      <c r="B3" s="18" t="s">
        <v>27</v>
      </c>
    </row>
    <row r="5" spans="2:8" x14ac:dyDescent="0.35">
      <c r="B5" s="2" t="s">
        <v>28</v>
      </c>
    </row>
    <row r="7" spans="2:8" x14ac:dyDescent="0.35">
      <c r="B7" s="2" t="s">
        <v>3</v>
      </c>
    </row>
    <row r="8" spans="2:8" x14ac:dyDescent="0.35">
      <c r="B8" s="3" t="s">
        <v>79</v>
      </c>
      <c r="D8" s="28">
        <f>DCF!N28</f>
        <v>1888805.7300681463</v>
      </c>
    </row>
    <row r="9" spans="2:8" x14ac:dyDescent="0.35">
      <c r="B9" s="3" t="s">
        <v>80</v>
      </c>
      <c r="D9" s="11">
        <f>DCF!N5</f>
        <v>0.05</v>
      </c>
    </row>
    <row r="10" spans="2:8" x14ac:dyDescent="0.35">
      <c r="B10" s="3" t="s">
        <v>81</v>
      </c>
      <c r="D10">
        <f>WACC!E8</f>
        <v>0.13599999999999998</v>
      </c>
    </row>
    <row r="13" spans="2:8" x14ac:dyDescent="0.35">
      <c r="B13" t="s">
        <v>31</v>
      </c>
      <c r="F13" s="25" t="s">
        <v>89</v>
      </c>
      <c r="G13" s="25"/>
      <c r="H13" s="25"/>
    </row>
    <row r="14" spans="2:8" x14ac:dyDescent="0.35">
      <c r="F14" s="26" t="s">
        <v>30</v>
      </c>
      <c r="G14" s="26"/>
      <c r="H14" s="26"/>
    </row>
    <row r="16" spans="2:8" x14ac:dyDescent="0.35">
      <c r="B16" t="s">
        <v>31</v>
      </c>
      <c r="F16" s="29">
        <f>D8*(1+D9)</f>
        <v>1983246.0165715537</v>
      </c>
    </row>
    <row r="17" spans="2:8" x14ac:dyDescent="0.35">
      <c r="F17" s="16">
        <f>D10-D9</f>
        <v>8.5999999999999979E-2</v>
      </c>
    </row>
    <row r="19" spans="2:8" x14ac:dyDescent="0.35">
      <c r="B19" s="2" t="s">
        <v>90</v>
      </c>
      <c r="C19" s="2"/>
      <c r="D19" s="2"/>
      <c r="E19" s="2"/>
      <c r="F19" s="30">
        <f>F16/F17</f>
        <v>23061000.192692488</v>
      </c>
    </row>
    <row r="25" spans="2:8" x14ac:dyDescent="0.35">
      <c r="B25" t="s">
        <v>32</v>
      </c>
      <c r="F25" s="25" t="s">
        <v>29</v>
      </c>
      <c r="G25" s="25"/>
      <c r="H25" s="25"/>
    </row>
    <row r="26" spans="2:8" x14ac:dyDescent="0.35">
      <c r="F26" s="26" t="s">
        <v>30</v>
      </c>
      <c r="G26" s="26"/>
      <c r="H26" s="26"/>
    </row>
    <row r="28" spans="2:8" x14ac:dyDescent="0.35">
      <c r="B28" t="s">
        <v>32</v>
      </c>
      <c r="F28" s="22">
        <f>D8*(1+0)</f>
        <v>1888805.7300681463</v>
      </c>
    </row>
    <row r="29" spans="2:8" x14ac:dyDescent="0.35">
      <c r="F29" s="15">
        <f>D10-0</f>
        <v>0.13599999999999998</v>
      </c>
    </row>
    <row r="31" spans="2:8" x14ac:dyDescent="0.35">
      <c r="B31" s="2" t="s">
        <v>91</v>
      </c>
      <c r="C31" s="2"/>
      <c r="D31" s="2"/>
      <c r="E31" s="2"/>
      <c r="F31" s="2">
        <f>F28/F29</f>
        <v>13888277.426971665</v>
      </c>
    </row>
    <row r="51" spans="2:4" x14ac:dyDescent="0.35">
      <c r="B51" s="2" t="s">
        <v>33</v>
      </c>
    </row>
    <row r="54" spans="2:4" x14ac:dyDescent="0.35">
      <c r="B54" t="s">
        <v>34</v>
      </c>
      <c r="D54" t="s">
        <v>35</v>
      </c>
    </row>
    <row r="56" spans="2:4" x14ac:dyDescent="0.35">
      <c r="B56" s="2" t="s">
        <v>34</v>
      </c>
      <c r="C56" s="2"/>
      <c r="D56" s="2">
        <f>DCF!D12*17</f>
        <v>25500000</v>
      </c>
    </row>
  </sheetData>
  <mergeCells count="4">
    <mergeCell ref="F13:H13"/>
    <mergeCell ref="F14:H14"/>
    <mergeCell ref="F25:H25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"/>
  <sheetViews>
    <sheetView workbookViewId="0">
      <selection activeCell="C4" sqref="C4:M4"/>
    </sheetView>
  </sheetViews>
  <sheetFormatPr defaultRowHeight="14.5" x14ac:dyDescent="0.35"/>
  <cols>
    <col min="2" max="2" width="19.1796875" customWidth="1"/>
    <col min="3" max="3" width="12.26953125" customWidth="1"/>
    <col min="4" max="13" width="12.1796875" bestFit="1" customWidth="1"/>
  </cols>
  <sheetData>
    <row r="2" spans="2:13" x14ac:dyDescent="0.35">
      <c r="B2" s="1"/>
      <c r="C2" s="7" t="s">
        <v>44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51</v>
      </c>
      <c r="K2" s="7" t="s">
        <v>52</v>
      </c>
      <c r="L2" s="7" t="s">
        <v>53</v>
      </c>
      <c r="M2" s="7" t="s">
        <v>54</v>
      </c>
    </row>
    <row r="3" spans="2:13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35">
      <c r="B4" s="1" t="s">
        <v>77</v>
      </c>
      <c r="C4" s="27">
        <f>DCF!D4*0.3</f>
        <v>3000000</v>
      </c>
      <c r="D4" s="27">
        <f>DCF!E4*0.3</f>
        <v>3450000</v>
      </c>
      <c r="E4" s="27">
        <f>DCF!F4*0.3</f>
        <v>3967499.9999999991</v>
      </c>
      <c r="F4" s="27">
        <f>DCF!G4*0.3</f>
        <v>4443600</v>
      </c>
      <c r="G4" s="27">
        <f>DCF!H4*0.3</f>
        <v>4976832</v>
      </c>
      <c r="H4" s="27">
        <f>DCF!I4*0.3</f>
        <v>5474515.2000000011</v>
      </c>
      <c r="I4" s="27">
        <f>DCF!J4*0.3</f>
        <v>6021966.7200000016</v>
      </c>
      <c r="J4" s="27">
        <f>DCF!K4*0.3</f>
        <v>6383284.7232000018</v>
      </c>
      <c r="K4" s="27">
        <f>DCF!L4*0.3</f>
        <v>6702448.9593600016</v>
      </c>
      <c r="L4" s="27">
        <f>DCF!M4*0.3</f>
        <v>7037571.4073280022</v>
      </c>
      <c r="M4" s="27">
        <f>DCF!N4*0.3</f>
        <v>7389449.9776944034</v>
      </c>
    </row>
  </sheetData>
  <conditionalFormatting sqref="D2:G2">
    <cfRule type="duplicateValues" dxfId="1" priority="2"/>
  </conditionalFormatting>
  <conditionalFormatting sqref="H2:M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WACC</vt:lpstr>
      <vt:lpstr>DCF</vt:lpstr>
      <vt:lpstr>Terminal Value</vt:lpstr>
      <vt:lpstr>NWC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Tina Bhadekar</cp:lastModifiedBy>
  <dcterms:created xsi:type="dcterms:W3CDTF">2017-09-02T14:15:15Z</dcterms:created>
  <dcterms:modified xsi:type="dcterms:W3CDTF">2020-12-10T05:45:25Z</dcterms:modified>
</cp:coreProperties>
</file>