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31173ebab5d1ef4d/Desktop/Financial Modelling/"/>
    </mc:Choice>
  </mc:AlternateContent>
  <xr:revisionPtr revIDLastSave="0" documentId="8_{53F80E24-FAD5-46B6-918F-D0D595633B0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S" sheetId="1" r:id="rId1"/>
    <sheet name="BS" sheetId="2" r:id="rId2"/>
    <sheet name="CF" sheetId="3" r:id="rId3"/>
    <sheet name="NASH" sheetId="4" r:id="rId4"/>
    <sheet name="PBC" sheetId="5" r:id="rId5"/>
    <sheet name="HCV" sheetId="6" r:id="rId6"/>
  </sheets>
  <calcPr calcId="191029" calcMode="autoNoTable" iterate="1" calcOnSave="0"/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L36" i="2"/>
  <c r="M36" i="2"/>
  <c r="B36" i="2"/>
  <c r="Q29" i="3"/>
  <c r="Q43" i="3"/>
  <c r="AA35" i="3"/>
  <c r="Q35" i="3" s="1"/>
  <c r="Q37" i="3"/>
  <c r="R37" i="3" s="1"/>
  <c r="S37" i="3" s="1"/>
  <c r="T37" i="3" s="1"/>
  <c r="U37" i="3" s="1"/>
  <c r="V37" i="3" s="1"/>
  <c r="W37" i="3" s="1"/>
  <c r="X37" i="3" s="1"/>
  <c r="Y37" i="3" s="1"/>
  <c r="Z37" i="3" s="1"/>
  <c r="N31" i="2"/>
  <c r="O31" i="2" s="1"/>
  <c r="AA31" i="2"/>
  <c r="P31" i="2" l="1"/>
  <c r="R35" i="3"/>
  <c r="Q39" i="3"/>
  <c r="P35" i="3"/>
  <c r="Q31" i="2"/>
  <c r="Z22" i="3"/>
  <c r="Y22" i="3"/>
  <c r="X22" i="3"/>
  <c r="W22" i="3"/>
  <c r="V22" i="3"/>
  <c r="U22" i="3"/>
  <c r="T22" i="3"/>
  <c r="S22" i="3"/>
  <c r="R22" i="3"/>
  <c r="P22" i="3"/>
  <c r="O22" i="3"/>
  <c r="N22" i="3"/>
  <c r="Q22" i="3" s="1"/>
  <c r="M24" i="1"/>
  <c r="C48" i="3"/>
  <c r="D48" i="3"/>
  <c r="E48" i="3"/>
  <c r="G48" i="3"/>
  <c r="H48" i="3"/>
  <c r="I48" i="3"/>
  <c r="J48" i="3"/>
  <c r="L48" i="3"/>
  <c r="M48" i="3"/>
  <c r="B48" i="3"/>
  <c r="M66" i="3"/>
  <c r="L66" i="3"/>
  <c r="J66" i="3"/>
  <c r="I66" i="3"/>
  <c r="H66" i="3"/>
  <c r="G66" i="3"/>
  <c r="E66" i="3"/>
  <c r="D66" i="3"/>
  <c r="C66" i="3"/>
  <c r="B66" i="3"/>
  <c r="H65" i="3"/>
  <c r="I65" i="3"/>
  <c r="J65" i="3"/>
  <c r="L65" i="3"/>
  <c r="M65" i="3"/>
  <c r="G65" i="3"/>
  <c r="R31" i="2" l="1"/>
  <c r="S35" i="3"/>
  <c r="R39" i="3"/>
  <c r="P39" i="3"/>
  <c r="O35" i="3"/>
  <c r="O5" i="2"/>
  <c r="N5" i="2"/>
  <c r="N28" i="3" s="1"/>
  <c r="N11" i="2"/>
  <c r="O11" i="2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C63" i="2"/>
  <c r="C62" i="2"/>
  <c r="C60" i="2"/>
  <c r="P59" i="3"/>
  <c r="O59" i="3"/>
  <c r="O61" i="3"/>
  <c r="P61" i="3" s="1"/>
  <c r="R61" i="3" s="1"/>
  <c r="S61" i="3" s="1"/>
  <c r="T61" i="3" s="1"/>
  <c r="U61" i="3" s="1"/>
  <c r="V61" i="3" s="1"/>
  <c r="W61" i="3" s="1"/>
  <c r="X61" i="3" s="1"/>
  <c r="Y61" i="3" s="1"/>
  <c r="Z61" i="3" s="1"/>
  <c r="O55" i="3"/>
  <c r="P55" i="3" s="1"/>
  <c r="C52" i="3"/>
  <c r="C63" i="3"/>
  <c r="D52" i="3" s="1"/>
  <c r="D63" i="3"/>
  <c r="E63" i="3"/>
  <c r="F63" i="3"/>
  <c r="H63" i="3"/>
  <c r="I52" i="3" s="1"/>
  <c r="I63" i="3"/>
  <c r="J52" i="3" s="1"/>
  <c r="J63" i="3"/>
  <c r="K52" i="3" s="1"/>
  <c r="M63" i="3"/>
  <c r="N52" i="3" s="1"/>
  <c r="E52" i="3"/>
  <c r="C57" i="3"/>
  <c r="D57" i="3"/>
  <c r="I58" i="3" s="1"/>
  <c r="E57" i="3"/>
  <c r="E59" i="3" s="1"/>
  <c r="H57" i="3"/>
  <c r="H59" i="3" s="1"/>
  <c r="I57" i="3"/>
  <c r="I59" i="3" s="1"/>
  <c r="J57" i="3"/>
  <c r="J59" i="3" s="1"/>
  <c r="M57" i="3"/>
  <c r="M54" i="3"/>
  <c r="J54" i="3"/>
  <c r="I54" i="3"/>
  <c r="H54" i="3"/>
  <c r="E54" i="3"/>
  <c r="D54" i="3"/>
  <c r="C54" i="3"/>
  <c r="Q55" i="3" l="1"/>
  <c r="R55" i="3" s="1"/>
  <c r="S55" i="3" s="1"/>
  <c r="T55" i="3" s="1"/>
  <c r="U55" i="3" s="1"/>
  <c r="V55" i="3" s="1"/>
  <c r="W55" i="3" s="1"/>
  <c r="X55" i="3" s="1"/>
  <c r="Y55" i="3" s="1"/>
  <c r="Z55" i="3" s="1"/>
  <c r="T35" i="3"/>
  <c r="S39" i="3"/>
  <c r="O39" i="3"/>
  <c r="N35" i="3"/>
  <c r="N39" i="3" s="1"/>
  <c r="S31" i="2"/>
  <c r="Q59" i="3"/>
  <c r="R59" i="3" s="1"/>
  <c r="S59" i="3" s="1"/>
  <c r="T59" i="3" s="1"/>
  <c r="U59" i="3" s="1"/>
  <c r="P5" i="2"/>
  <c r="O28" i="3"/>
  <c r="N54" i="3"/>
  <c r="N8" i="3" s="1"/>
  <c r="J55" i="3"/>
  <c r="E55" i="3"/>
  <c r="M58" i="3"/>
  <c r="I55" i="3"/>
  <c r="D55" i="3"/>
  <c r="H58" i="3"/>
  <c r="J58" i="3"/>
  <c r="C59" i="3"/>
  <c r="M59" i="3"/>
  <c r="D59" i="3"/>
  <c r="I61" i="3"/>
  <c r="D61" i="3"/>
  <c r="C55" i="3"/>
  <c r="H52" i="3"/>
  <c r="E61" i="3"/>
  <c r="J61" i="3"/>
  <c r="C61" i="3"/>
  <c r="F52" i="3"/>
  <c r="O13" i="2"/>
  <c r="O15" i="3" s="1"/>
  <c r="N13" i="2"/>
  <c r="N15" i="3" s="1"/>
  <c r="R26" i="2"/>
  <c r="R23" i="3" s="1"/>
  <c r="Q26" i="2"/>
  <c r="Q23" i="3" s="1"/>
  <c r="J57" i="2"/>
  <c r="I57" i="2"/>
  <c r="H57" i="2"/>
  <c r="G57" i="2"/>
  <c r="Q57" i="2" s="1"/>
  <c r="P22" i="2"/>
  <c r="P27" i="2" s="1"/>
  <c r="V59" i="3" l="1"/>
  <c r="S26" i="2"/>
  <c r="P13" i="2"/>
  <c r="Q5" i="2"/>
  <c r="P28" i="3"/>
  <c r="T31" i="2"/>
  <c r="U35" i="3"/>
  <c r="T39" i="3"/>
  <c r="W59" i="3"/>
  <c r="H61" i="3"/>
  <c r="H55" i="3"/>
  <c r="L53" i="2"/>
  <c r="H53" i="2"/>
  <c r="D53" i="2"/>
  <c r="L52" i="2"/>
  <c r="H52" i="2"/>
  <c r="D52" i="2"/>
  <c r="L48" i="2"/>
  <c r="H48" i="2"/>
  <c r="D48" i="2"/>
  <c r="J42" i="2"/>
  <c r="J46" i="2" s="1"/>
  <c r="L46" i="2"/>
  <c r="G46" i="2"/>
  <c r="C46" i="2"/>
  <c r="M43" i="2"/>
  <c r="M47" i="2" s="1"/>
  <c r="L43" i="2"/>
  <c r="L47" i="2" s="1"/>
  <c r="K43" i="2"/>
  <c r="J43" i="2"/>
  <c r="J47" i="2" s="1"/>
  <c r="O47" i="2" s="1"/>
  <c r="I43" i="2"/>
  <c r="I47" i="2" s="1"/>
  <c r="N47" i="2" s="1"/>
  <c r="H43" i="2"/>
  <c r="H47" i="2" s="1"/>
  <c r="G43" i="2"/>
  <c r="G53" i="2" s="1"/>
  <c r="F43" i="2"/>
  <c r="F47" i="2" s="1"/>
  <c r="E43" i="2"/>
  <c r="E47" i="2" s="1"/>
  <c r="D43" i="2"/>
  <c r="D47" i="2" s="1"/>
  <c r="C43" i="2"/>
  <c r="C53" i="2" s="1"/>
  <c r="B43" i="2"/>
  <c r="B47" i="2" s="1"/>
  <c r="C42" i="2"/>
  <c r="C48" i="2" s="1"/>
  <c r="D42" i="2"/>
  <c r="D46" i="2" s="1"/>
  <c r="E42" i="2"/>
  <c r="E46" i="2" s="1"/>
  <c r="F42" i="2"/>
  <c r="F46" i="2" s="1"/>
  <c r="G42" i="2"/>
  <c r="G48" i="2" s="1"/>
  <c r="H42" i="2"/>
  <c r="H46" i="2" s="1"/>
  <c r="I42" i="2"/>
  <c r="I46" i="2" s="1"/>
  <c r="K42" i="2"/>
  <c r="L42" i="2"/>
  <c r="M42" i="2"/>
  <c r="M48" i="2" s="1"/>
  <c r="B42" i="2"/>
  <c r="B46" i="2" s="1"/>
  <c r="N48" i="2" l="1"/>
  <c r="G47" i="2"/>
  <c r="M46" i="2"/>
  <c r="E48" i="2"/>
  <c r="I48" i="2"/>
  <c r="E52" i="2"/>
  <c r="I52" i="2"/>
  <c r="N52" i="2" s="1"/>
  <c r="M52" i="2"/>
  <c r="E53" i="2"/>
  <c r="I53" i="2"/>
  <c r="M53" i="2"/>
  <c r="U31" i="2"/>
  <c r="S23" i="3"/>
  <c r="T26" i="2"/>
  <c r="N53" i="2"/>
  <c r="Q13" i="2"/>
  <c r="P15" i="3"/>
  <c r="B48" i="2"/>
  <c r="Q48" i="2" s="1"/>
  <c r="F48" i="2"/>
  <c r="J48" i="2"/>
  <c r="B52" i="2"/>
  <c r="F52" i="2"/>
  <c r="J52" i="2"/>
  <c r="B53" i="2"/>
  <c r="F53" i="2"/>
  <c r="J53" i="2"/>
  <c r="C47" i="2"/>
  <c r="C52" i="2"/>
  <c r="G52" i="2"/>
  <c r="V35" i="3"/>
  <c r="U39" i="3"/>
  <c r="R5" i="2"/>
  <c r="Q28" i="3"/>
  <c r="X59" i="3"/>
  <c r="C43" i="3"/>
  <c r="D43" i="3"/>
  <c r="E43" i="3"/>
  <c r="F43" i="3"/>
  <c r="F42" i="3"/>
  <c r="F39" i="3"/>
  <c r="F38" i="3"/>
  <c r="F37" i="3"/>
  <c r="F36" i="3"/>
  <c r="F35" i="3"/>
  <c r="F34" i="3"/>
  <c r="F31" i="3"/>
  <c r="F30" i="3"/>
  <c r="F57" i="3" s="1"/>
  <c r="F59" i="3" s="1"/>
  <c r="F29" i="3"/>
  <c r="F28" i="3"/>
  <c r="F25" i="3"/>
  <c r="F23" i="3"/>
  <c r="F22" i="3"/>
  <c r="F21" i="3"/>
  <c r="F20" i="3"/>
  <c r="F19" i="3"/>
  <c r="F18" i="3"/>
  <c r="F17" i="3"/>
  <c r="F15" i="3"/>
  <c r="F14" i="3"/>
  <c r="F13" i="3"/>
  <c r="F12" i="3"/>
  <c r="F11" i="3"/>
  <c r="F10" i="3"/>
  <c r="F9" i="3"/>
  <c r="F8" i="3"/>
  <c r="F54" i="3" s="1"/>
  <c r="F7" i="3"/>
  <c r="F5" i="3"/>
  <c r="M26" i="2"/>
  <c r="K35" i="2"/>
  <c r="K36" i="2" s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53" i="2" s="1"/>
  <c r="K19" i="2"/>
  <c r="K18" i="2"/>
  <c r="K52" i="2" s="1"/>
  <c r="K14" i="2"/>
  <c r="K13" i="2"/>
  <c r="K12" i="2"/>
  <c r="K48" i="2" s="1"/>
  <c r="K10" i="2"/>
  <c r="K63" i="3" s="1"/>
  <c r="M52" i="3" s="1"/>
  <c r="K9" i="2"/>
  <c r="K7" i="2"/>
  <c r="K47" i="2" s="1"/>
  <c r="K6" i="2"/>
  <c r="K46" i="2" s="1"/>
  <c r="J37" i="2"/>
  <c r="I37" i="2"/>
  <c r="H37" i="2"/>
  <c r="J26" i="2"/>
  <c r="O26" i="2" s="1"/>
  <c r="I26" i="2"/>
  <c r="N26" i="2" s="1"/>
  <c r="N23" i="3" s="1"/>
  <c r="H26" i="2"/>
  <c r="M15" i="3"/>
  <c r="K42" i="3"/>
  <c r="K39" i="3"/>
  <c r="K37" i="3"/>
  <c r="K35" i="3"/>
  <c r="K25" i="3"/>
  <c r="K23" i="3"/>
  <c r="K22" i="3"/>
  <c r="K21" i="3"/>
  <c r="K20" i="3"/>
  <c r="K19" i="3"/>
  <c r="K18" i="3"/>
  <c r="K17" i="3"/>
  <c r="K16" i="3"/>
  <c r="K14" i="3"/>
  <c r="K13" i="3"/>
  <c r="K12" i="3"/>
  <c r="K9" i="3"/>
  <c r="K8" i="3"/>
  <c r="K54" i="3" s="1"/>
  <c r="K7" i="3"/>
  <c r="K5" i="3"/>
  <c r="J43" i="3"/>
  <c r="K38" i="3"/>
  <c r="J31" i="3"/>
  <c r="K31" i="3" s="1"/>
  <c r="K30" i="3"/>
  <c r="K57" i="3" s="1"/>
  <c r="K29" i="3"/>
  <c r="K28" i="3"/>
  <c r="J24" i="3"/>
  <c r="K36" i="3"/>
  <c r="K34" i="3"/>
  <c r="I24" i="3"/>
  <c r="H15" i="3"/>
  <c r="K11" i="3"/>
  <c r="K10" i="3"/>
  <c r="H24" i="3"/>
  <c r="S5" i="2" l="1"/>
  <c r="R28" i="3"/>
  <c r="Q52" i="2"/>
  <c r="O52" i="2"/>
  <c r="P23" i="3"/>
  <c r="O23" i="3"/>
  <c r="U26" i="2"/>
  <c r="T23" i="3"/>
  <c r="K66" i="3"/>
  <c r="K65" i="3"/>
  <c r="K48" i="3"/>
  <c r="Q53" i="2"/>
  <c r="R13" i="2"/>
  <c r="Q15" i="3"/>
  <c r="O53" i="2"/>
  <c r="M55" i="3"/>
  <c r="M61" i="3"/>
  <c r="F48" i="3"/>
  <c r="F66" i="3"/>
  <c r="W35" i="3"/>
  <c r="V39" i="3"/>
  <c r="V31" i="2"/>
  <c r="Y59" i="3"/>
  <c r="K58" i="3"/>
  <c r="K59" i="3"/>
  <c r="F44" i="3"/>
  <c r="K55" i="3"/>
  <c r="K61" i="3"/>
  <c r="F55" i="3"/>
  <c r="F61" i="3"/>
  <c r="I15" i="3"/>
  <c r="K15" i="3" s="1"/>
  <c r="M44" i="3"/>
  <c r="N43" i="3" s="1"/>
  <c r="M24" i="3"/>
  <c r="N26" i="1"/>
  <c r="O26" i="1" s="1"/>
  <c r="Q42" i="1"/>
  <c r="Q25" i="1" s="1"/>
  <c r="B47" i="1"/>
  <c r="H46" i="1"/>
  <c r="M42" i="1"/>
  <c r="N42" i="1" s="1"/>
  <c r="L42" i="1"/>
  <c r="L46" i="1" s="1"/>
  <c r="K42" i="1"/>
  <c r="K46" i="1" s="1"/>
  <c r="J42" i="1"/>
  <c r="J46" i="1" s="1"/>
  <c r="I42" i="1"/>
  <c r="I46" i="1" s="1"/>
  <c r="H42" i="1"/>
  <c r="G42" i="1"/>
  <c r="G46" i="1" s="1"/>
  <c r="F42" i="1"/>
  <c r="F46" i="1" s="1"/>
  <c r="E42" i="1"/>
  <c r="E46" i="1" s="1"/>
  <c r="D42" i="1"/>
  <c r="D46" i="1" s="1"/>
  <c r="C42" i="1"/>
  <c r="C46" i="1" s="1"/>
  <c r="B42" i="1"/>
  <c r="B46" i="1" s="1"/>
  <c r="O42" i="1" l="1"/>
  <c r="N46" i="1"/>
  <c r="N25" i="1"/>
  <c r="P26" i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W31" i="2"/>
  <c r="V26" i="2"/>
  <c r="U23" i="3"/>
  <c r="M46" i="1"/>
  <c r="Q46" i="1"/>
  <c r="S13" i="2"/>
  <c r="R15" i="3"/>
  <c r="R42" i="1"/>
  <c r="X35" i="3"/>
  <c r="W39" i="3"/>
  <c r="T5" i="2"/>
  <c r="S28" i="3"/>
  <c r="Z59" i="3"/>
  <c r="M19" i="1"/>
  <c r="Q18" i="1"/>
  <c r="N17" i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P16" i="1"/>
  <c r="P19" i="1" s="1"/>
  <c r="O16" i="1"/>
  <c r="O19" i="1" s="1"/>
  <c r="N16" i="1"/>
  <c r="N19" i="1" s="1"/>
  <c r="M38" i="2"/>
  <c r="L38" i="2"/>
  <c r="Q38" i="2" s="1"/>
  <c r="K38" i="2"/>
  <c r="J38" i="2"/>
  <c r="I38" i="2"/>
  <c r="H38" i="2"/>
  <c r="G38" i="2"/>
  <c r="F38" i="2"/>
  <c r="E38" i="2"/>
  <c r="D38" i="2"/>
  <c r="C38" i="2"/>
  <c r="F37" i="2"/>
  <c r="E37" i="2"/>
  <c r="D37" i="2"/>
  <c r="C37" i="2"/>
  <c r="K37" i="2"/>
  <c r="B37" i="2"/>
  <c r="B39" i="2" s="1"/>
  <c r="W26" i="2" l="1"/>
  <c r="V23" i="3"/>
  <c r="Y35" i="3"/>
  <c r="X39" i="3"/>
  <c r="R46" i="1"/>
  <c r="R25" i="1"/>
  <c r="S42" i="1"/>
  <c r="X31" i="2"/>
  <c r="T13" i="2"/>
  <c r="S15" i="3"/>
  <c r="U5" i="2"/>
  <c r="T28" i="3"/>
  <c r="P42" i="1"/>
  <c r="O25" i="1"/>
  <c r="O46" i="1"/>
  <c r="J39" i="2"/>
  <c r="F39" i="2"/>
  <c r="C39" i="2"/>
  <c r="K39" i="2"/>
  <c r="D39" i="2"/>
  <c r="H39" i="2"/>
  <c r="E39" i="2"/>
  <c r="I39" i="2"/>
  <c r="R38" i="2"/>
  <c r="Q16" i="1"/>
  <c r="Q19" i="1" s="1"/>
  <c r="G37" i="2"/>
  <c r="G39" i="2" s="1"/>
  <c r="L37" i="2"/>
  <c r="L39" i="2" s="1"/>
  <c r="M37" i="2"/>
  <c r="M39" i="2" s="1"/>
  <c r="AA12" i="1"/>
  <c r="Q12" i="1" s="1"/>
  <c r="AA11" i="1"/>
  <c r="Q11" i="1" s="1"/>
  <c r="Q43" i="2" s="1"/>
  <c r="B29" i="6"/>
  <c r="C31" i="1"/>
  <c r="C32" i="1" s="1"/>
  <c r="D31" i="1"/>
  <c r="D32" i="1" s="1"/>
  <c r="E31" i="1"/>
  <c r="F31" i="1"/>
  <c r="G31" i="1"/>
  <c r="G32" i="1" s="1"/>
  <c r="H31" i="1"/>
  <c r="I31" i="1"/>
  <c r="J31" i="1"/>
  <c r="K31" i="1"/>
  <c r="K32" i="1" s="1"/>
  <c r="L31" i="1"/>
  <c r="M31" i="1"/>
  <c r="M32" i="1" s="1"/>
  <c r="E32" i="1"/>
  <c r="F32" i="1"/>
  <c r="H32" i="1"/>
  <c r="I32" i="1"/>
  <c r="J32" i="1"/>
  <c r="L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B31" i="1"/>
  <c r="B32" i="1" s="1"/>
  <c r="B38" i="1"/>
  <c r="B37" i="1"/>
  <c r="B36" i="1"/>
  <c r="B35" i="1"/>
  <c r="B34" i="1"/>
  <c r="B33" i="1"/>
  <c r="T42" i="1" l="1"/>
  <c r="S25" i="1"/>
  <c r="S46" i="1"/>
  <c r="R39" i="2"/>
  <c r="Q39" i="2"/>
  <c r="P46" i="1"/>
  <c r="P25" i="1"/>
  <c r="U13" i="2"/>
  <c r="T15" i="3"/>
  <c r="Z35" i="3"/>
  <c r="Z39" i="3" s="1"/>
  <c r="Y39" i="3"/>
  <c r="Q20" i="2"/>
  <c r="Q21" i="3" s="1"/>
  <c r="Q18" i="2"/>
  <c r="V5" i="2"/>
  <c r="U28" i="3"/>
  <c r="Y31" i="2"/>
  <c r="X26" i="2"/>
  <c r="W23" i="3"/>
  <c r="P12" i="1"/>
  <c r="R12" i="1"/>
  <c r="O12" i="1"/>
  <c r="N12" i="1"/>
  <c r="N11" i="1"/>
  <c r="R11" i="1"/>
  <c r="R43" i="2" s="1"/>
  <c r="Q13" i="1"/>
  <c r="O11" i="1"/>
  <c r="O43" i="2" s="1"/>
  <c r="AA39" i="2"/>
  <c r="R16" i="1"/>
  <c r="R19" i="1" s="1"/>
  <c r="S38" i="2"/>
  <c r="P11" i="1"/>
  <c r="P43" i="2" s="1"/>
  <c r="AA35" i="6"/>
  <c r="Z35" i="6"/>
  <c r="Y35" i="6"/>
  <c r="X35" i="6"/>
  <c r="W35" i="6"/>
  <c r="V35" i="6"/>
  <c r="U35" i="6"/>
  <c r="T35" i="6"/>
  <c r="S35" i="6"/>
  <c r="R35" i="6"/>
  <c r="M35" i="6"/>
  <c r="S34" i="6"/>
  <c r="M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B23" i="6"/>
  <c r="W26" i="6" s="1"/>
  <c r="X26" i="6" s="1"/>
  <c r="Y26" i="6" s="1"/>
  <c r="Z26" i="6" s="1"/>
  <c r="AA26" i="6" s="1"/>
  <c r="H27" i="6"/>
  <c r="B24" i="6"/>
  <c r="M26" i="6" s="1"/>
  <c r="R26" i="6" s="1"/>
  <c r="S26" i="6" s="1"/>
  <c r="T26" i="6" s="1"/>
  <c r="U26" i="6" s="1"/>
  <c r="P52" i="2" l="1"/>
  <c r="P53" i="2"/>
  <c r="R20" i="2"/>
  <c r="R21" i="3" s="1"/>
  <c r="R18" i="2"/>
  <c r="Y26" i="2"/>
  <c r="X23" i="3"/>
  <c r="W5" i="2"/>
  <c r="V28" i="3"/>
  <c r="O18" i="2"/>
  <c r="O20" i="2"/>
  <c r="Z31" i="2"/>
  <c r="V13" i="2"/>
  <c r="U15" i="3"/>
  <c r="N43" i="2"/>
  <c r="Q20" i="3"/>
  <c r="Q22" i="2"/>
  <c r="Q27" i="2" s="1"/>
  <c r="U42" i="1"/>
  <c r="T25" i="1"/>
  <c r="T46" i="1"/>
  <c r="N39" i="2"/>
  <c r="O39" i="2" s="1"/>
  <c r="P39" i="2" s="1"/>
  <c r="P13" i="1"/>
  <c r="P7" i="3" s="1"/>
  <c r="R13" i="1"/>
  <c r="R7" i="3" s="1"/>
  <c r="S11" i="1"/>
  <c r="S12" i="1"/>
  <c r="S16" i="1"/>
  <c r="S19" i="1" s="1"/>
  <c r="T38" i="2"/>
  <c r="O13" i="1"/>
  <c r="O7" i="3" s="1"/>
  <c r="N13" i="1"/>
  <c r="N7" i="3" s="1"/>
  <c r="Q7" i="3" s="1"/>
  <c r="AA36" i="6"/>
  <c r="AA37" i="6" s="1"/>
  <c r="AA39" i="6" s="1"/>
  <c r="AA41" i="6" s="1"/>
  <c r="M36" i="6"/>
  <c r="M37" i="6" s="1"/>
  <c r="M39" i="6" s="1"/>
  <c r="M41" i="6" s="1"/>
  <c r="Y36" i="6"/>
  <c r="Y37" i="6" s="1"/>
  <c r="Y39" i="6" s="1"/>
  <c r="Y41" i="6" s="1"/>
  <c r="R36" i="6"/>
  <c r="R37" i="6" s="1"/>
  <c r="R39" i="6" s="1"/>
  <c r="R41" i="6" s="1"/>
  <c r="V36" i="6"/>
  <c r="V37" i="6" s="1"/>
  <c r="V39" i="6" s="1"/>
  <c r="V41" i="6" s="1"/>
  <c r="Z36" i="6"/>
  <c r="Z37" i="6" s="1"/>
  <c r="Z39" i="6" s="1"/>
  <c r="Z41" i="6" s="1"/>
  <c r="T36" i="6"/>
  <c r="T37" i="6" s="1"/>
  <c r="T39" i="6" s="1"/>
  <c r="T41" i="6" s="1"/>
  <c r="X36" i="6"/>
  <c r="X37" i="6" s="1"/>
  <c r="X39" i="6" s="1"/>
  <c r="X41" i="6" s="1"/>
  <c r="U36" i="6"/>
  <c r="U37" i="6" s="1"/>
  <c r="U39" i="6" s="1"/>
  <c r="U41" i="6" s="1"/>
  <c r="S36" i="6"/>
  <c r="S37" i="6" s="1"/>
  <c r="S39" i="6" s="1"/>
  <c r="S41" i="6" s="1"/>
  <c r="W36" i="6"/>
  <c r="W37" i="6" s="1"/>
  <c r="W39" i="6" s="1"/>
  <c r="W41" i="6" s="1"/>
  <c r="O26" i="6"/>
  <c r="N26" i="6"/>
  <c r="Q26" i="6"/>
  <c r="P26" i="6"/>
  <c r="M27" i="6"/>
  <c r="N27" i="6" s="1"/>
  <c r="D19" i="6"/>
  <c r="I19" i="6"/>
  <c r="E19" i="6"/>
  <c r="J19" i="6"/>
  <c r="F19" i="6"/>
  <c r="K19" i="6"/>
  <c r="S43" i="2" l="1"/>
  <c r="X5" i="2"/>
  <c r="W28" i="3"/>
  <c r="V42" i="1"/>
  <c r="U25" i="1"/>
  <c r="U46" i="1"/>
  <c r="P21" i="3"/>
  <c r="R20" i="3"/>
  <c r="R22" i="2"/>
  <c r="R27" i="2" s="1"/>
  <c r="N18" i="2"/>
  <c r="N20" i="2"/>
  <c r="N21" i="3" s="1"/>
  <c r="W13" i="2"/>
  <c r="V15" i="3"/>
  <c r="P20" i="3"/>
  <c r="O22" i="2"/>
  <c r="O27" i="2" s="1"/>
  <c r="Z26" i="2"/>
  <c r="Z23" i="3" s="1"/>
  <c r="Y23" i="3"/>
  <c r="O27" i="6"/>
  <c r="N28" i="6"/>
  <c r="N29" i="6" s="1"/>
  <c r="N31" i="6" s="1"/>
  <c r="U38" i="2"/>
  <c r="T16" i="1"/>
  <c r="T19" i="1" s="1"/>
  <c r="T12" i="1"/>
  <c r="S13" i="1"/>
  <c r="S7" i="3" s="1"/>
  <c r="T11" i="1"/>
  <c r="J18" i="5"/>
  <c r="K18" i="5"/>
  <c r="L18" i="5"/>
  <c r="M18" i="5"/>
  <c r="N18" i="5"/>
  <c r="O18" i="5"/>
  <c r="P18" i="5"/>
  <c r="Q18" i="5"/>
  <c r="R18" i="5"/>
  <c r="S18" i="5"/>
  <c r="I18" i="5"/>
  <c r="J16" i="5"/>
  <c r="K16" i="5"/>
  <c r="L16" i="5"/>
  <c r="M16" i="5"/>
  <c r="N16" i="5"/>
  <c r="O16" i="5"/>
  <c r="P16" i="5"/>
  <c r="Q16" i="5"/>
  <c r="R16" i="5"/>
  <c r="S16" i="5"/>
  <c r="I16" i="5"/>
  <c r="S15" i="5"/>
  <c r="R15" i="5"/>
  <c r="Q15" i="5"/>
  <c r="P15" i="5"/>
  <c r="O15" i="5"/>
  <c r="N15" i="5"/>
  <c r="M15" i="5"/>
  <c r="L15" i="5"/>
  <c r="K15" i="5"/>
  <c r="J15" i="5"/>
  <c r="V14" i="5"/>
  <c r="I14" i="5" s="1"/>
  <c r="I12" i="5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6" i="5"/>
  <c r="N20" i="3" l="1"/>
  <c r="N22" i="2"/>
  <c r="N27" i="2" s="1"/>
  <c r="T43" i="2"/>
  <c r="X13" i="2"/>
  <c r="W15" i="3"/>
  <c r="Y5" i="2"/>
  <c r="X28" i="3"/>
  <c r="O20" i="3"/>
  <c r="O21" i="3"/>
  <c r="W42" i="1"/>
  <c r="V46" i="1"/>
  <c r="V25" i="1"/>
  <c r="S20" i="2"/>
  <c r="S21" i="3" s="1"/>
  <c r="S18" i="2"/>
  <c r="V38" i="2"/>
  <c r="U16" i="1"/>
  <c r="U19" i="1" s="1"/>
  <c r="I17" i="5"/>
  <c r="U12" i="1"/>
  <c r="O17" i="6"/>
  <c r="J14" i="5"/>
  <c r="T13" i="1"/>
  <c r="T7" i="3" s="1"/>
  <c r="O28" i="6"/>
  <c r="P27" i="6"/>
  <c r="V4" i="5"/>
  <c r="Q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20" i="2" l="1"/>
  <c r="T21" i="3" s="1"/>
  <c r="T18" i="2"/>
  <c r="S20" i="3"/>
  <c r="S22" i="2"/>
  <c r="S27" i="2" s="1"/>
  <c r="Z5" i="2"/>
  <c r="Z28" i="3" s="1"/>
  <c r="Y28" i="3"/>
  <c r="X42" i="1"/>
  <c r="W25" i="1"/>
  <c r="W46" i="1"/>
  <c r="Y13" i="2"/>
  <c r="X15" i="3"/>
  <c r="K14" i="5"/>
  <c r="J17" i="5"/>
  <c r="V12" i="1"/>
  <c r="W38" i="2"/>
  <c r="V16" i="1"/>
  <c r="V19" i="1" s="1"/>
  <c r="R27" i="6"/>
  <c r="S27" i="6" s="1"/>
  <c r="T27" i="6" s="1"/>
  <c r="U27" i="6" s="1"/>
  <c r="V27" i="6" s="1"/>
  <c r="W27" i="6" s="1"/>
  <c r="X27" i="6" s="1"/>
  <c r="Y27" i="6" s="1"/>
  <c r="Z27" i="6" s="1"/>
  <c r="AA27" i="6" s="1"/>
  <c r="Q27" i="6"/>
  <c r="O19" i="6"/>
  <c r="N4" i="1" s="1"/>
  <c r="B4" i="5"/>
  <c r="B5" i="5" s="1"/>
  <c r="B7" i="5" s="1"/>
  <c r="B9" i="5" s="1"/>
  <c r="B11" i="5" s="1"/>
  <c r="F4" i="5"/>
  <c r="F5" i="5" s="1"/>
  <c r="F7" i="5" s="1"/>
  <c r="F9" i="5" s="1"/>
  <c r="F11" i="5" s="1"/>
  <c r="J4" i="5"/>
  <c r="J5" i="5" s="1"/>
  <c r="J7" i="5" s="1"/>
  <c r="J9" i="5" s="1"/>
  <c r="J11" i="5" s="1"/>
  <c r="J13" i="5" s="1"/>
  <c r="N4" i="5"/>
  <c r="N5" i="5" s="1"/>
  <c r="N7" i="5" s="1"/>
  <c r="N9" i="5" s="1"/>
  <c r="N11" i="5" s="1"/>
  <c r="N13" i="5" s="1"/>
  <c r="R4" i="5"/>
  <c r="C4" i="5"/>
  <c r="C5" i="5" s="1"/>
  <c r="C7" i="5" s="1"/>
  <c r="C9" i="5" s="1"/>
  <c r="C11" i="5" s="1"/>
  <c r="G4" i="5"/>
  <c r="G5" i="5" s="1"/>
  <c r="G7" i="5" s="1"/>
  <c r="G9" i="5" s="1"/>
  <c r="G11" i="5" s="1"/>
  <c r="K4" i="5"/>
  <c r="K5" i="5" s="1"/>
  <c r="K7" i="5" s="1"/>
  <c r="K9" i="5" s="1"/>
  <c r="K11" i="5" s="1"/>
  <c r="K13" i="5" s="1"/>
  <c r="O4" i="5"/>
  <c r="S4" i="5"/>
  <c r="S5" i="5" s="1"/>
  <c r="S7" i="5" s="1"/>
  <c r="S9" i="5" s="1"/>
  <c r="S11" i="5" s="1"/>
  <c r="S13" i="5" s="1"/>
  <c r="Q5" i="5"/>
  <c r="Q7" i="5" s="1"/>
  <c r="Q9" i="5" s="1"/>
  <c r="Q11" i="5" s="1"/>
  <c r="Q13" i="5" s="1"/>
  <c r="D4" i="5"/>
  <c r="D5" i="5" s="1"/>
  <c r="D7" i="5" s="1"/>
  <c r="D9" i="5" s="1"/>
  <c r="D11" i="5" s="1"/>
  <c r="H4" i="5"/>
  <c r="H5" i="5" s="1"/>
  <c r="H7" i="5" s="1"/>
  <c r="H9" i="5" s="1"/>
  <c r="H11" i="5" s="1"/>
  <c r="L4" i="5"/>
  <c r="L5" i="5" s="1"/>
  <c r="L7" i="5" s="1"/>
  <c r="L9" i="5" s="1"/>
  <c r="L11" i="5" s="1"/>
  <c r="L13" i="5" s="1"/>
  <c r="P4" i="5"/>
  <c r="P5" i="5" s="1"/>
  <c r="P7" i="5" s="1"/>
  <c r="P9" i="5" s="1"/>
  <c r="P11" i="5" s="1"/>
  <c r="P13" i="5" s="1"/>
  <c r="R5" i="5"/>
  <c r="R7" i="5" s="1"/>
  <c r="R9" i="5" s="1"/>
  <c r="R11" i="5" s="1"/>
  <c r="R13" i="5" s="1"/>
  <c r="E4" i="5"/>
  <c r="E5" i="5" s="1"/>
  <c r="E7" i="5" s="1"/>
  <c r="E9" i="5" s="1"/>
  <c r="E11" i="5" s="1"/>
  <c r="I4" i="5"/>
  <c r="I5" i="5" s="1"/>
  <c r="I7" i="5" s="1"/>
  <c r="I9" i="5" s="1"/>
  <c r="I11" i="5" s="1"/>
  <c r="I13" i="5" s="1"/>
  <c r="I19" i="5" s="1"/>
  <c r="U6" i="1" s="1"/>
  <c r="M4" i="5"/>
  <c r="M5" i="5" s="1"/>
  <c r="M7" i="5" s="1"/>
  <c r="M9" i="5" s="1"/>
  <c r="M11" i="5" s="1"/>
  <c r="M13" i="5" s="1"/>
  <c r="O5" i="5"/>
  <c r="O7" i="5" s="1"/>
  <c r="O9" i="5" s="1"/>
  <c r="O11" i="5" s="1"/>
  <c r="O13" i="5" s="1"/>
  <c r="S13" i="4"/>
  <c r="R13" i="4"/>
  <c r="Q13" i="4"/>
  <c r="P13" i="4"/>
  <c r="O13" i="4"/>
  <c r="N13" i="4"/>
  <c r="M13" i="4"/>
  <c r="J13" i="4"/>
  <c r="K13" i="4" s="1"/>
  <c r="L13" i="4" s="1"/>
  <c r="I13" i="4"/>
  <c r="T20" i="3" l="1"/>
  <c r="T22" i="2"/>
  <c r="T27" i="2" s="1"/>
  <c r="J19" i="5"/>
  <c r="V6" i="1" s="1"/>
  <c r="Z13" i="2"/>
  <c r="Z15" i="3" s="1"/>
  <c r="Y15" i="3"/>
  <c r="Y42" i="1"/>
  <c r="X25" i="1"/>
  <c r="X46" i="1"/>
  <c r="N8" i="1"/>
  <c r="W12" i="1"/>
  <c r="X38" i="2"/>
  <c r="W16" i="1"/>
  <c r="W19" i="1" s="1"/>
  <c r="L14" i="5"/>
  <c r="K17" i="5"/>
  <c r="K19" i="5" s="1"/>
  <c r="W6" i="1" s="1"/>
  <c r="C11" i="4"/>
  <c r="D11" i="4"/>
  <c r="E11" i="4"/>
  <c r="F11" i="4"/>
  <c r="G11" i="4"/>
  <c r="H11" i="4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B11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19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7" i="4"/>
  <c r="B18" i="4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C16" i="4"/>
  <c r="C15" i="4" s="1"/>
  <c r="C13" i="4"/>
  <c r="D13" i="4"/>
  <c r="E13" i="4"/>
  <c r="F13" i="4"/>
  <c r="G13" i="4"/>
  <c r="H13" i="4"/>
  <c r="B13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B6" i="4"/>
  <c r="B7" i="4" s="1"/>
  <c r="V4" i="4"/>
  <c r="M4" i="4" s="1"/>
  <c r="D3" i="4"/>
  <c r="E3" i="4" s="1"/>
  <c r="L24" i="3"/>
  <c r="K24" i="3" s="1"/>
  <c r="G24" i="3"/>
  <c r="F24" i="3" s="1"/>
  <c r="B24" i="3"/>
  <c r="N57" i="3" l="1"/>
  <c r="N63" i="3" s="1"/>
  <c r="N42" i="2"/>
  <c r="Z42" i="1"/>
  <c r="Y25" i="1"/>
  <c r="Y46" i="1"/>
  <c r="M14" i="5"/>
  <c r="L17" i="5"/>
  <c r="L19" i="5" s="1"/>
  <c r="X6" i="1" s="1"/>
  <c r="N14" i="1"/>
  <c r="N34" i="1"/>
  <c r="N33" i="1"/>
  <c r="Y38" i="2"/>
  <c r="X16" i="1"/>
  <c r="X19" i="1" s="1"/>
  <c r="X12" i="1"/>
  <c r="O4" i="4"/>
  <c r="J4" i="4"/>
  <c r="D7" i="4"/>
  <c r="E4" i="4"/>
  <c r="E5" i="4" s="1"/>
  <c r="F3" i="4"/>
  <c r="E7" i="4"/>
  <c r="F4" i="4"/>
  <c r="K4" i="4"/>
  <c r="Q4" i="4"/>
  <c r="P4" i="4"/>
  <c r="L4" i="4"/>
  <c r="H4" i="4"/>
  <c r="D4" i="4"/>
  <c r="D5" i="4" s="1"/>
  <c r="D8" i="4" s="1"/>
  <c r="D10" i="4" s="1"/>
  <c r="D12" i="4" s="1"/>
  <c r="D14" i="4" s="1"/>
  <c r="B4" i="4"/>
  <c r="B5" i="4" s="1"/>
  <c r="B8" i="4" s="1"/>
  <c r="B10" i="4" s="1"/>
  <c r="B12" i="4" s="1"/>
  <c r="B14" i="4" s="1"/>
  <c r="G4" i="4"/>
  <c r="R4" i="4"/>
  <c r="C4" i="4"/>
  <c r="C5" i="4" s="1"/>
  <c r="C8" i="4" s="1"/>
  <c r="C10" i="4" s="1"/>
  <c r="C12" i="4" s="1"/>
  <c r="C14" i="4" s="1"/>
  <c r="I4" i="4"/>
  <c r="N4" i="4"/>
  <c r="S4" i="4"/>
  <c r="C18" i="4"/>
  <c r="D15" i="4"/>
  <c r="Z46" i="1" l="1"/>
  <c r="Z25" i="1"/>
  <c r="N7" i="2"/>
  <c r="N12" i="2"/>
  <c r="N6" i="2"/>
  <c r="N10" i="2"/>
  <c r="N30" i="3" s="1"/>
  <c r="N31" i="3" s="1"/>
  <c r="O52" i="3"/>
  <c r="E8" i="4"/>
  <c r="E10" i="4" s="1"/>
  <c r="E12" i="4" s="1"/>
  <c r="E14" i="4" s="1"/>
  <c r="Y12" i="1"/>
  <c r="N20" i="1"/>
  <c r="N35" i="1"/>
  <c r="Z38" i="2"/>
  <c r="Z16" i="1" s="1"/>
  <c r="Z19" i="1" s="1"/>
  <c r="Y16" i="1"/>
  <c r="Y19" i="1" s="1"/>
  <c r="N14" i="5"/>
  <c r="M17" i="5"/>
  <c r="M19" i="5" s="1"/>
  <c r="Y6" i="1" s="1"/>
  <c r="D18" i="4"/>
  <c r="E15" i="4"/>
  <c r="F7" i="4"/>
  <c r="F5" i="4"/>
  <c r="F8" i="4" s="1"/>
  <c r="F10" i="4" s="1"/>
  <c r="F12" i="4" s="1"/>
  <c r="F14" i="4" s="1"/>
  <c r="G3" i="4"/>
  <c r="O54" i="3" l="1"/>
  <c r="O8" i="3" s="1"/>
  <c r="N9" i="3"/>
  <c r="N19" i="3"/>
  <c r="N17" i="3"/>
  <c r="N36" i="1"/>
  <c r="N21" i="1"/>
  <c r="Z12" i="1"/>
  <c r="O14" i="5"/>
  <c r="N17" i="5"/>
  <c r="N19" i="5" s="1"/>
  <c r="Z6" i="1" s="1"/>
  <c r="F15" i="4"/>
  <c r="E18" i="4"/>
  <c r="H3" i="4"/>
  <c r="G5" i="4"/>
  <c r="G7" i="4"/>
  <c r="N24" i="3" l="1"/>
  <c r="N24" i="1"/>
  <c r="N22" i="1"/>
  <c r="P14" i="5"/>
  <c r="O17" i="5"/>
  <c r="O19" i="5" s="1"/>
  <c r="G8" i="4"/>
  <c r="G10" i="4" s="1"/>
  <c r="G12" i="4" s="1"/>
  <c r="G14" i="4" s="1"/>
  <c r="H5" i="4"/>
  <c r="H7" i="4"/>
  <c r="I3" i="4"/>
  <c r="F18" i="4"/>
  <c r="G15" i="4"/>
  <c r="N5" i="3" l="1"/>
  <c r="N25" i="3" s="1"/>
  <c r="N42" i="3" s="1"/>
  <c r="N44" i="3" s="1"/>
  <c r="N33" i="2"/>
  <c r="N38" i="1"/>
  <c r="N23" i="1"/>
  <c r="Q14" i="5"/>
  <c r="P17" i="5"/>
  <c r="P19" i="5" s="1"/>
  <c r="H8" i="4"/>
  <c r="H10" i="4" s="1"/>
  <c r="H12" i="4" s="1"/>
  <c r="H14" i="4" s="1"/>
  <c r="J3" i="4"/>
  <c r="I7" i="4"/>
  <c r="I5" i="4"/>
  <c r="G18" i="4"/>
  <c r="H15" i="4"/>
  <c r="I8" i="4" l="1"/>
  <c r="I10" i="4" s="1"/>
  <c r="I12" i="4" s="1"/>
  <c r="I14" i="4" s="1"/>
  <c r="N34" i="2"/>
  <c r="N35" i="2" s="1"/>
  <c r="N36" i="2" s="1"/>
  <c r="O43" i="3"/>
  <c r="N4" i="2"/>
  <c r="N9" i="2" s="1"/>
  <c r="N14" i="2" s="1"/>
  <c r="R14" i="5"/>
  <c r="Q17" i="5"/>
  <c r="Q19" i="5" s="1"/>
  <c r="I15" i="4"/>
  <c r="H18" i="4"/>
  <c r="J7" i="4"/>
  <c r="J5" i="4"/>
  <c r="K3" i="4"/>
  <c r="S14" i="5" l="1"/>
  <c r="S17" i="5" s="1"/>
  <c r="S19" i="5" s="1"/>
  <c r="R17" i="5"/>
  <c r="R19" i="5" s="1"/>
  <c r="J8" i="4"/>
  <c r="J10" i="4" s="1"/>
  <c r="J12" i="4" s="1"/>
  <c r="J14" i="4" s="1"/>
  <c r="K7" i="4"/>
  <c r="K5" i="4"/>
  <c r="L3" i="4"/>
  <c r="J15" i="4"/>
  <c r="I18" i="4"/>
  <c r="I21" i="4" s="1"/>
  <c r="U5" i="1" s="1"/>
  <c r="K8" i="4" l="1"/>
  <c r="K10" i="4" s="1"/>
  <c r="K12" i="4" s="1"/>
  <c r="K14" i="4" s="1"/>
  <c r="M3" i="4"/>
  <c r="L7" i="4"/>
  <c r="L5" i="4"/>
  <c r="J18" i="4"/>
  <c r="J21" i="4" s="1"/>
  <c r="V5" i="1" s="1"/>
  <c r="K15" i="4"/>
  <c r="L8" i="4" l="1"/>
  <c r="L10" i="4" s="1"/>
  <c r="L12" i="4" s="1"/>
  <c r="L14" i="4" s="1"/>
  <c r="K18" i="4"/>
  <c r="K21" i="4" s="1"/>
  <c r="W5" i="1" s="1"/>
  <c r="L15" i="4"/>
  <c r="N3" i="4"/>
  <c r="M7" i="4"/>
  <c r="M5" i="4"/>
  <c r="N7" i="4" l="1"/>
  <c r="N5" i="4"/>
  <c r="N8" i="4" s="1"/>
  <c r="N10" i="4" s="1"/>
  <c r="N12" i="4" s="1"/>
  <c r="N14" i="4" s="1"/>
  <c r="O3" i="4"/>
  <c r="L18" i="4"/>
  <c r="L21" i="4" s="1"/>
  <c r="X5" i="1" s="1"/>
  <c r="M15" i="4"/>
  <c r="M8" i="4"/>
  <c r="M10" i="4" s="1"/>
  <c r="M12" i="4" s="1"/>
  <c r="M14" i="4" s="1"/>
  <c r="O7" i="4" l="1"/>
  <c r="O5" i="4"/>
  <c r="P3" i="4"/>
  <c r="N15" i="4"/>
  <c r="M18" i="4"/>
  <c r="M21" i="4" s="1"/>
  <c r="Y5" i="1" s="1"/>
  <c r="O8" i="4" l="1"/>
  <c r="O10" i="4" s="1"/>
  <c r="O12" i="4" s="1"/>
  <c r="O14" i="4" s="1"/>
  <c r="P5" i="4"/>
  <c r="P7" i="4"/>
  <c r="Q3" i="4"/>
  <c r="N18" i="4"/>
  <c r="N21" i="4" s="1"/>
  <c r="Z5" i="1" s="1"/>
  <c r="O15" i="4"/>
  <c r="P8" i="4" l="1"/>
  <c r="P10" i="4" s="1"/>
  <c r="P12" i="4" s="1"/>
  <c r="P14" i="4" s="1"/>
  <c r="O18" i="4"/>
  <c r="O21" i="4" s="1"/>
  <c r="P15" i="4"/>
  <c r="R3" i="4"/>
  <c r="Q7" i="4"/>
  <c r="Q5" i="4"/>
  <c r="R7" i="4" l="1"/>
  <c r="R5" i="4"/>
  <c r="S3" i="4"/>
  <c r="P18" i="4"/>
  <c r="P21" i="4" s="1"/>
  <c r="Q15" i="4"/>
  <c r="Q8" i="4"/>
  <c r="Q10" i="4" s="1"/>
  <c r="Q12" i="4" s="1"/>
  <c r="Q14" i="4" s="1"/>
  <c r="S7" i="4" l="1"/>
  <c r="S5" i="4"/>
  <c r="R8" i="4"/>
  <c r="R10" i="4" s="1"/>
  <c r="R12" i="4" s="1"/>
  <c r="R14" i="4" s="1"/>
  <c r="R15" i="4"/>
  <c r="Q18" i="4"/>
  <c r="Q21" i="4" s="1"/>
  <c r="R18" i="4" l="1"/>
  <c r="R21" i="4" s="1"/>
  <c r="S15" i="4"/>
  <c r="S18" i="4" s="1"/>
  <c r="S8" i="4"/>
  <c r="S10" i="4" s="1"/>
  <c r="S12" i="4" s="1"/>
  <c r="S14" i="4" s="1"/>
  <c r="S21" i="4" s="1"/>
  <c r="O29" i="6"/>
  <c r="O31" i="6" s="1"/>
  <c r="P28" i="6"/>
  <c r="P29" i="6" s="1"/>
  <c r="P31" i="6" s="1"/>
  <c r="Q28" i="6"/>
  <c r="Q29" i="6" s="1"/>
  <c r="Q31" i="6" s="1"/>
  <c r="R28" i="6"/>
  <c r="R29" i="6" s="1"/>
  <c r="S28" i="6"/>
  <c r="S29" i="6" s="1"/>
  <c r="S31" i="6" s="1"/>
  <c r="T28" i="6"/>
  <c r="U28" i="6"/>
  <c r="V28" i="6"/>
  <c r="V29" i="6" s="1"/>
  <c r="V31" i="6" s="1"/>
  <c r="W28" i="6"/>
  <c r="W29" i="6" s="1"/>
  <c r="W31" i="6" s="1"/>
  <c r="X28" i="6"/>
  <c r="X29" i="6" s="1"/>
  <c r="X31" i="6" s="1"/>
  <c r="Y28" i="6"/>
  <c r="Y29" i="6" s="1"/>
  <c r="Y31" i="6" s="1"/>
  <c r="Z28" i="6"/>
  <c r="Z29" i="6" s="1"/>
  <c r="Z31" i="6" s="1"/>
  <c r="AA28" i="6"/>
  <c r="AA29" i="6" s="1"/>
  <c r="AA31" i="6" s="1"/>
  <c r="AA17" i="6" s="1"/>
  <c r="T29" i="6"/>
  <c r="U29" i="6"/>
  <c r="U31" i="6" s="1"/>
  <c r="T31" i="6"/>
  <c r="X17" i="6" l="1"/>
  <c r="X19" i="6" s="1"/>
  <c r="W4" i="1" s="1"/>
  <c r="W8" i="1" s="1"/>
  <c r="W17" i="6"/>
  <c r="W19" i="6" s="1"/>
  <c r="V4" i="1" s="1"/>
  <c r="V8" i="1" s="1"/>
  <c r="AA19" i="6"/>
  <c r="Z4" i="1" s="1"/>
  <c r="Z8" i="1" s="1"/>
  <c r="Z17" i="6"/>
  <c r="Z19" i="6" s="1"/>
  <c r="Y4" i="1" s="1"/>
  <c r="Y8" i="1" s="1"/>
  <c r="U17" i="6"/>
  <c r="U19" i="6" s="1"/>
  <c r="T4" i="1" s="1"/>
  <c r="T8" i="1" s="1"/>
  <c r="Y17" i="6"/>
  <c r="Y19" i="6" s="1"/>
  <c r="X4" i="1" s="1"/>
  <c r="X8" i="1" s="1"/>
  <c r="V17" i="6"/>
  <c r="V19" i="6" s="1"/>
  <c r="U4" i="1" s="1"/>
  <c r="U8" i="1" s="1"/>
  <c r="T17" i="6"/>
  <c r="T19" i="6" s="1"/>
  <c r="S4" i="1" s="1"/>
  <c r="S8" i="1" s="1"/>
  <c r="Q17" i="6"/>
  <c r="Q19" i="6" s="1"/>
  <c r="P4" i="1" s="1"/>
  <c r="P8" i="1" s="1"/>
  <c r="S17" i="6"/>
  <c r="S19" i="6" s="1"/>
  <c r="R4" i="1" s="1"/>
  <c r="R8" i="1" s="1"/>
  <c r="P17" i="6"/>
  <c r="R31" i="6"/>
  <c r="Y9" i="1" l="1"/>
  <c r="Y42" i="2"/>
  <c r="Y57" i="3"/>
  <c r="U9" i="1"/>
  <c r="U11" i="1" s="1"/>
  <c r="U57" i="3"/>
  <c r="U42" i="2"/>
  <c r="X9" i="1"/>
  <c r="X42" i="2"/>
  <c r="X57" i="3"/>
  <c r="Z9" i="1"/>
  <c r="Z42" i="2"/>
  <c r="Z57" i="3"/>
  <c r="P57" i="3"/>
  <c r="P42" i="2"/>
  <c r="V9" i="1"/>
  <c r="V57" i="3"/>
  <c r="V42" i="2"/>
  <c r="R57" i="3"/>
  <c r="R42" i="2"/>
  <c r="S57" i="3"/>
  <c r="S42" i="2"/>
  <c r="T57" i="3"/>
  <c r="T42" i="2"/>
  <c r="W9" i="1"/>
  <c r="W42" i="2"/>
  <c r="W57" i="3"/>
  <c r="U33" i="1"/>
  <c r="U34" i="1"/>
  <c r="R14" i="1"/>
  <c r="R33" i="1"/>
  <c r="R34" i="1"/>
  <c r="X34" i="1"/>
  <c r="P14" i="1"/>
  <c r="P33" i="1"/>
  <c r="P34" i="1"/>
  <c r="V34" i="1"/>
  <c r="S14" i="1"/>
  <c r="S34" i="1"/>
  <c r="S33" i="1"/>
  <c r="T14" i="1"/>
  <c r="T33" i="1"/>
  <c r="T34" i="1"/>
  <c r="W34" i="1"/>
  <c r="Y34" i="1"/>
  <c r="P19" i="6"/>
  <c r="O4" i="1" s="1"/>
  <c r="R17" i="6"/>
  <c r="R19" i="6" s="1"/>
  <c r="Z34" i="1"/>
  <c r="V11" i="1" l="1"/>
  <c r="U43" i="2"/>
  <c r="U13" i="1"/>
  <c r="T12" i="2"/>
  <c r="U9" i="3" s="1"/>
  <c r="T6" i="2"/>
  <c r="T7" i="2"/>
  <c r="Z12" i="2"/>
  <c r="Z7" i="2"/>
  <c r="Z6" i="2"/>
  <c r="U12" i="2"/>
  <c r="U6" i="2"/>
  <c r="V17" i="3" s="1"/>
  <c r="U7" i="2"/>
  <c r="Y12" i="2"/>
  <c r="Y6" i="2"/>
  <c r="Z17" i="3" s="1"/>
  <c r="Y7" i="2"/>
  <c r="X12" i="2"/>
  <c r="Y9" i="3" s="1"/>
  <c r="X6" i="2"/>
  <c r="X7" i="2"/>
  <c r="R12" i="2"/>
  <c r="S9" i="3" s="1"/>
  <c r="R7" i="2"/>
  <c r="S19" i="3" s="1"/>
  <c r="R6" i="2"/>
  <c r="W7" i="2"/>
  <c r="X19" i="3" s="1"/>
  <c r="W12" i="2"/>
  <c r="W6" i="2"/>
  <c r="X17" i="3" s="1"/>
  <c r="S7" i="2"/>
  <c r="T19" i="3" s="1"/>
  <c r="S12" i="2"/>
  <c r="S6" i="2"/>
  <c r="T17" i="3" s="1"/>
  <c r="T24" i="3" s="1"/>
  <c r="V7" i="2"/>
  <c r="W19" i="3" s="1"/>
  <c r="V12" i="2"/>
  <c r="V6" i="2"/>
  <c r="P20" i="1"/>
  <c r="P36" i="1" s="1"/>
  <c r="P35" i="1"/>
  <c r="O8" i="1"/>
  <c r="Q4" i="1"/>
  <c r="S20" i="1"/>
  <c r="S36" i="1" s="1"/>
  <c r="S35" i="1"/>
  <c r="R20" i="1"/>
  <c r="R36" i="1" s="1"/>
  <c r="R35" i="1"/>
  <c r="T20" i="1"/>
  <c r="T36" i="1" s="1"/>
  <c r="T35" i="1"/>
  <c r="Q8" i="1"/>
  <c r="Q42" i="2" s="1"/>
  <c r="Q12" i="2" l="1"/>
  <c r="Q6" i="2"/>
  <c r="Q7" i="2"/>
  <c r="U7" i="3"/>
  <c r="U14" i="1"/>
  <c r="W17" i="3"/>
  <c r="T9" i="3"/>
  <c r="Y19" i="3"/>
  <c r="V9" i="3"/>
  <c r="U19" i="3"/>
  <c r="U20" i="2"/>
  <c r="U21" i="3" s="1"/>
  <c r="U18" i="2"/>
  <c r="V19" i="3"/>
  <c r="X9" i="3"/>
  <c r="Z19" i="3"/>
  <c r="O57" i="3"/>
  <c r="O63" i="3" s="1"/>
  <c r="O42" i="2"/>
  <c r="W9" i="3"/>
  <c r="S17" i="3"/>
  <c r="S24" i="3" s="1"/>
  <c r="Y17" i="3"/>
  <c r="Z9" i="3"/>
  <c r="U17" i="3"/>
  <c r="W11" i="1"/>
  <c r="V43" i="2"/>
  <c r="V13" i="1"/>
  <c r="V33" i="1"/>
  <c r="R21" i="1"/>
  <c r="R22" i="1" s="1"/>
  <c r="R5" i="3" s="1"/>
  <c r="O14" i="1"/>
  <c r="O34" i="1"/>
  <c r="O33" i="1"/>
  <c r="Q14" i="1"/>
  <c r="Q34" i="1"/>
  <c r="Q33" i="1"/>
  <c r="T21" i="1"/>
  <c r="T22" i="1" s="1"/>
  <c r="T5" i="3" s="1"/>
  <c r="S21" i="1"/>
  <c r="S22" i="1" s="1"/>
  <c r="S5" i="3" s="1"/>
  <c r="P22" i="1"/>
  <c r="P5" i="3" s="1"/>
  <c r="V7" i="3" l="1"/>
  <c r="V14" i="1"/>
  <c r="O6" i="2"/>
  <c r="O12" i="2"/>
  <c r="O7" i="2"/>
  <c r="R17" i="3"/>
  <c r="R24" i="3" s="1"/>
  <c r="Q17" i="3"/>
  <c r="Q24" i="3" s="1"/>
  <c r="P6" i="2"/>
  <c r="P46" i="2" s="1"/>
  <c r="X11" i="1"/>
  <c r="W43" i="2"/>
  <c r="W13" i="1"/>
  <c r="W33" i="1"/>
  <c r="U20" i="3"/>
  <c r="U24" i="3" s="1"/>
  <c r="U22" i="2"/>
  <c r="U27" i="2" s="1"/>
  <c r="Q19" i="3"/>
  <c r="R19" i="3"/>
  <c r="P7" i="2"/>
  <c r="P47" i="2" s="1"/>
  <c r="V20" i="2"/>
  <c r="V21" i="3" s="1"/>
  <c r="V18" i="2"/>
  <c r="O10" i="2"/>
  <c r="O30" i="3" s="1"/>
  <c r="O31" i="3" s="1"/>
  <c r="P52" i="3"/>
  <c r="U35" i="1"/>
  <c r="U20" i="1"/>
  <c r="R9" i="3"/>
  <c r="Q9" i="3"/>
  <c r="P12" i="2"/>
  <c r="P48" i="2" s="1"/>
  <c r="T23" i="1"/>
  <c r="T38" i="1"/>
  <c r="P38" i="1"/>
  <c r="P23" i="1"/>
  <c r="R23" i="1"/>
  <c r="R38" i="1"/>
  <c r="S38" i="1"/>
  <c r="S23" i="1"/>
  <c r="Q20" i="1"/>
  <c r="Q36" i="1" s="1"/>
  <c r="Q35" i="1"/>
  <c r="O20" i="1"/>
  <c r="O35" i="1"/>
  <c r="U36" i="1" l="1"/>
  <c r="U21" i="1"/>
  <c r="U22" i="1" s="1"/>
  <c r="V20" i="3"/>
  <c r="V24" i="3" s="1"/>
  <c r="V22" i="2"/>
  <c r="V27" i="2" s="1"/>
  <c r="P19" i="3"/>
  <c r="O19" i="3"/>
  <c r="W7" i="3"/>
  <c r="W14" i="1"/>
  <c r="P9" i="3"/>
  <c r="O9" i="3"/>
  <c r="Y11" i="1"/>
  <c r="X43" i="2"/>
  <c r="X13" i="1"/>
  <c r="X33" i="1"/>
  <c r="V35" i="1"/>
  <c r="V20" i="1"/>
  <c r="P54" i="3"/>
  <c r="P8" i="3" s="1"/>
  <c r="Q8" i="3" s="1"/>
  <c r="P63" i="3"/>
  <c r="W18" i="2"/>
  <c r="W20" i="2"/>
  <c r="W21" i="3" s="1"/>
  <c r="P17" i="3"/>
  <c r="P24" i="3" s="1"/>
  <c r="P25" i="3" s="1"/>
  <c r="O17" i="3"/>
  <c r="O24" i="3" s="1"/>
  <c r="O36" i="1"/>
  <c r="O21" i="1"/>
  <c r="Q21" i="1" s="1"/>
  <c r="Q22" i="1" s="1"/>
  <c r="Q5" i="3"/>
  <c r="Q25" i="3" s="1"/>
  <c r="R52" i="3" l="1"/>
  <c r="P10" i="2"/>
  <c r="U23" i="1"/>
  <c r="U38" i="1"/>
  <c r="U5" i="3"/>
  <c r="X7" i="3"/>
  <c r="X14" i="1"/>
  <c r="V36" i="1"/>
  <c r="V21" i="1"/>
  <c r="V22" i="1" s="1"/>
  <c r="X18" i="2"/>
  <c r="X20" i="2"/>
  <c r="X21" i="3" s="1"/>
  <c r="W20" i="1"/>
  <c r="W35" i="1"/>
  <c r="W22" i="2"/>
  <c r="W27" i="2" s="1"/>
  <c r="W20" i="3"/>
  <c r="W24" i="3" s="1"/>
  <c r="Z11" i="1"/>
  <c r="Y43" i="2"/>
  <c r="Y13" i="1"/>
  <c r="Y33" i="1"/>
  <c r="O22" i="1"/>
  <c r="Q38" i="1"/>
  <c r="Q23" i="1"/>
  <c r="Y7" i="3" l="1"/>
  <c r="Y14" i="1"/>
  <c r="X22" i="2"/>
  <c r="X27" i="2" s="1"/>
  <c r="X20" i="3"/>
  <c r="X24" i="3" s="1"/>
  <c r="Y20" i="2"/>
  <c r="Y21" i="3" s="1"/>
  <c r="Y18" i="2"/>
  <c r="V5" i="3"/>
  <c r="V23" i="1"/>
  <c r="V38" i="1"/>
  <c r="O5" i="3"/>
  <c r="O25" i="3" s="1"/>
  <c r="O42" i="3" s="1"/>
  <c r="O44" i="3" s="1"/>
  <c r="O33" i="2"/>
  <c r="Z43" i="2"/>
  <c r="Z13" i="1"/>
  <c r="Z33" i="1"/>
  <c r="W36" i="1"/>
  <c r="W21" i="1"/>
  <c r="W22" i="1" s="1"/>
  <c r="P30" i="3"/>
  <c r="P31" i="3" s="1"/>
  <c r="P42" i="3" s="1"/>
  <c r="Q10" i="2"/>
  <c r="Q30" i="3" s="1"/>
  <c r="Q31" i="3" s="1"/>
  <c r="Q42" i="3" s="1"/>
  <c r="Q44" i="3" s="1"/>
  <c r="X20" i="1"/>
  <c r="X35" i="1"/>
  <c r="R54" i="3"/>
  <c r="R8" i="3" s="1"/>
  <c r="R25" i="3" s="1"/>
  <c r="R63" i="3"/>
  <c r="O23" i="1"/>
  <c r="O38" i="1"/>
  <c r="W5" i="3" l="1"/>
  <c r="W38" i="1"/>
  <c r="W23" i="1"/>
  <c r="Z18" i="2"/>
  <c r="Z20" i="2"/>
  <c r="Z21" i="3" s="1"/>
  <c r="S52" i="3"/>
  <c r="R10" i="2"/>
  <c r="X36" i="1"/>
  <c r="X21" i="1"/>
  <c r="X22" i="1" s="1"/>
  <c r="P33" i="2"/>
  <c r="O34" i="2"/>
  <c r="O35" i="2" s="1"/>
  <c r="O36" i="2" s="1"/>
  <c r="R43" i="3"/>
  <c r="Q4" i="2"/>
  <c r="Q9" i="2" s="1"/>
  <c r="Q14" i="2" s="1"/>
  <c r="P43" i="3"/>
  <c r="P44" i="3" s="1"/>
  <c r="P4" i="2" s="1"/>
  <c r="P9" i="2" s="1"/>
  <c r="P14" i="2" s="1"/>
  <c r="O4" i="2"/>
  <c r="O9" i="2" s="1"/>
  <c r="O14" i="2" s="1"/>
  <c r="Y22" i="2"/>
  <c r="Y27" i="2" s="1"/>
  <c r="Y20" i="3"/>
  <c r="Y24" i="3" s="1"/>
  <c r="Y35" i="1"/>
  <c r="Y20" i="1"/>
  <c r="Z7" i="3"/>
  <c r="Z14" i="1"/>
  <c r="Z20" i="1" l="1"/>
  <c r="Z35" i="1"/>
  <c r="Z22" i="2"/>
  <c r="Z27" i="2" s="1"/>
  <c r="Z20" i="3"/>
  <c r="Z24" i="3" s="1"/>
  <c r="R30" i="3"/>
  <c r="R31" i="3" s="1"/>
  <c r="R42" i="3" s="1"/>
  <c r="R44" i="3"/>
  <c r="R33" i="2"/>
  <c r="Q33" i="2"/>
  <c r="Q34" i="2" s="1"/>
  <c r="Q35" i="2" s="1"/>
  <c r="Q36" i="2" s="1"/>
  <c r="P34" i="2"/>
  <c r="P35" i="2" s="1"/>
  <c r="P36" i="2" s="1"/>
  <c r="S54" i="3"/>
  <c r="S8" i="3" s="1"/>
  <c r="S25" i="3" s="1"/>
  <c r="S63" i="3"/>
  <c r="Y36" i="1"/>
  <c r="Y21" i="1"/>
  <c r="Y22" i="1" s="1"/>
  <c r="X5" i="3"/>
  <c r="X23" i="1"/>
  <c r="X38" i="1"/>
  <c r="S10" i="2" l="1"/>
  <c r="S30" i="3" s="1"/>
  <c r="S31" i="3" s="1"/>
  <c r="T52" i="3"/>
  <c r="S33" i="2"/>
  <c r="R34" i="2"/>
  <c r="R35" i="2" s="1"/>
  <c r="R36" i="2" s="1"/>
  <c r="S42" i="3"/>
  <c r="S43" i="3"/>
  <c r="S44" i="3" s="1"/>
  <c r="R4" i="2"/>
  <c r="R9" i="2" s="1"/>
  <c r="R14" i="2" s="1"/>
  <c r="Y5" i="3"/>
  <c r="Y38" i="1"/>
  <c r="Y23" i="1"/>
  <c r="Z36" i="1"/>
  <c r="Z21" i="1"/>
  <c r="Z22" i="1" s="1"/>
  <c r="T54" i="3" l="1"/>
  <c r="T8" i="3" s="1"/>
  <c r="T25" i="3" s="1"/>
  <c r="T63" i="3"/>
  <c r="T43" i="3"/>
  <c r="S4" i="2"/>
  <c r="S9" i="2" s="1"/>
  <c r="S14" i="2" s="1"/>
  <c r="T33" i="2"/>
  <c r="S34" i="2"/>
  <c r="S35" i="2" s="1"/>
  <c r="Z5" i="3"/>
  <c r="Z23" i="1"/>
  <c r="Z38" i="1"/>
  <c r="S36" i="2" l="1"/>
  <c r="T10" i="2"/>
  <c r="T30" i="3" s="1"/>
  <c r="T31" i="3" s="1"/>
  <c r="U52" i="3"/>
  <c r="T34" i="2"/>
  <c r="T35" i="2" s="1"/>
  <c r="U33" i="2"/>
  <c r="T42" i="3"/>
  <c r="T44" i="3" s="1"/>
  <c r="U43" i="3" l="1"/>
  <c r="T4" i="2"/>
  <c r="T9" i="2" s="1"/>
  <c r="T14" i="2" s="1"/>
  <c r="U54" i="3"/>
  <c r="U8" i="3" s="1"/>
  <c r="U25" i="3" s="1"/>
  <c r="U63" i="3"/>
  <c r="V33" i="2"/>
  <c r="U34" i="2"/>
  <c r="U35" i="2" s="1"/>
  <c r="T36" i="2"/>
  <c r="V52" i="3" l="1"/>
  <c r="U10" i="2"/>
  <c r="W33" i="2"/>
  <c r="V34" i="2"/>
  <c r="V35" i="2" s="1"/>
  <c r="U30" i="3" l="1"/>
  <c r="U31" i="3" s="1"/>
  <c r="U42" i="3" s="1"/>
  <c r="U44" i="3" s="1"/>
  <c r="X33" i="2"/>
  <c r="W34" i="2"/>
  <c r="W35" i="2" s="1"/>
  <c r="V54" i="3"/>
  <c r="V8" i="3" s="1"/>
  <c r="V25" i="3" s="1"/>
  <c r="V63" i="3"/>
  <c r="V43" i="3" l="1"/>
  <c r="U4" i="2"/>
  <c r="U9" i="2" s="1"/>
  <c r="U14" i="2" s="1"/>
  <c r="U36" i="2" s="1"/>
  <c r="Y33" i="2"/>
  <c r="X34" i="2"/>
  <c r="X35" i="2" s="1"/>
  <c r="W52" i="3"/>
  <c r="V10" i="2"/>
  <c r="V30" i="3" s="1"/>
  <c r="V31" i="3" s="1"/>
  <c r="V42" i="3"/>
  <c r="Z33" i="2" l="1"/>
  <c r="Z34" i="2" s="1"/>
  <c r="Z35" i="2" s="1"/>
  <c r="Y34" i="2"/>
  <c r="Y35" i="2" s="1"/>
  <c r="W54" i="3"/>
  <c r="W8" i="3" s="1"/>
  <c r="W25" i="3" s="1"/>
  <c r="V44" i="3"/>
  <c r="W43" i="3" l="1"/>
  <c r="V4" i="2"/>
  <c r="V9" i="2" s="1"/>
  <c r="V14" i="2" s="1"/>
  <c r="V36" i="2" s="1"/>
  <c r="W63" i="3"/>
  <c r="W10" i="2" l="1"/>
  <c r="W30" i="3" s="1"/>
  <c r="W31" i="3" s="1"/>
  <c r="W42" i="3" s="1"/>
  <c r="X52" i="3"/>
  <c r="W44" i="3"/>
  <c r="X43" i="3" l="1"/>
  <c r="W4" i="2"/>
  <c r="W9" i="2" s="1"/>
  <c r="W14" i="2" s="1"/>
  <c r="W36" i="2" s="1"/>
  <c r="X54" i="3"/>
  <c r="X8" i="3" s="1"/>
  <c r="X25" i="3" s="1"/>
  <c r="X63" i="3"/>
  <c r="X10" i="2" l="1"/>
  <c r="X30" i="3" s="1"/>
  <c r="X31" i="3" s="1"/>
  <c r="X42" i="3" s="1"/>
  <c r="X44" i="3" s="1"/>
  <c r="Y52" i="3"/>
  <c r="Y43" i="3" l="1"/>
  <c r="X4" i="2"/>
  <c r="X9" i="2" s="1"/>
  <c r="X14" i="2" s="1"/>
  <c r="X36" i="2" s="1"/>
  <c r="Y54" i="3"/>
  <c r="Y8" i="3" s="1"/>
  <c r="Y25" i="3" s="1"/>
  <c r="Y63" i="3"/>
  <c r="Y10" i="2" l="1"/>
  <c r="Y30" i="3" s="1"/>
  <c r="Y31" i="3" s="1"/>
  <c r="Y42" i="3" s="1"/>
  <c r="Y44" i="3" s="1"/>
  <c r="Z52" i="3"/>
  <c r="Z43" i="3" l="1"/>
  <c r="Y4" i="2"/>
  <c r="Y9" i="2" s="1"/>
  <c r="Y14" i="2" s="1"/>
  <c r="Y36" i="2" s="1"/>
  <c r="Z54" i="3"/>
  <c r="Z8" i="3" s="1"/>
  <c r="Z25" i="3" s="1"/>
  <c r="Z63" i="3"/>
  <c r="Z10" i="2" s="1"/>
  <c r="Z30" i="3" s="1"/>
  <c r="Z31" i="3" s="1"/>
  <c r="Z42" i="3" l="1"/>
  <c r="Z44" i="3"/>
  <c r="Z4" i="2" s="1"/>
  <c r="Z9" i="2" s="1"/>
  <c r="Z14" i="2" s="1"/>
  <c r="Z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Rocrding</author>
    <author>Recording</author>
  </authors>
  <commentList>
    <comment ref="M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Includes a 15M milestone payment for the approval of Maviret in Japan</t>
        </r>
      </text>
    </comment>
    <comment ref="Q11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$90-$110M R&amp;D expectation
</t>
        </r>
      </text>
    </comment>
    <comment ref="Q12" authorId="1" shapeId="0" xr:uid="{00000000-0006-0000-0000-000003000000}">
      <text>
        <r>
          <rPr>
            <sz val="9"/>
            <color indexed="81"/>
            <rFont val="Tahoma"/>
            <family val="2"/>
          </rPr>
          <t xml:space="preserve">$22-$28M SG&amp;A expectation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Recording</author>
  </authors>
  <commentList>
    <comment ref="N4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assumed to be 100% based upon the same quarter in the previous year</t>
        </r>
      </text>
    </comment>
    <comment ref="O4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assumed to be 100% based upon the same quarter in the previous year</t>
        </r>
      </text>
    </comment>
    <comment ref="Q4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taken as the average value for the past three years</t>
        </r>
      </text>
    </comment>
    <comment ref="N4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taken as an average value for the same quarter from the past two years</t>
        </r>
      </text>
    </comment>
    <comment ref="O4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taken as an average value for the same quarter from the past two years</t>
        </r>
      </text>
    </comment>
    <comment ref="Q4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Recording:</t>
        </r>
        <r>
          <rPr>
            <sz val="9"/>
            <color indexed="81"/>
            <rFont val="Tahoma"/>
            <family val="2"/>
          </rPr>
          <t xml:space="preserve">
taken as the average value for the past three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Recording</author>
  </authors>
  <commentList>
    <comment ref="M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The difference of accounts payable in the B/S does not add up to the value given in the cash flow</t>
        </r>
      </text>
    </comment>
    <comment ref="M3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The filing numbers does not add up because capex also includes othre numbers</t>
        </r>
      </text>
    </comment>
  </commentList>
</comments>
</file>

<file path=xl/sharedStrings.xml><?xml version="1.0" encoding="utf-8"?>
<sst xmlns="http://schemas.openxmlformats.org/spreadsheetml/2006/main" count="424" uniqueCount="270">
  <si>
    <t>HCV royalties from ABBV</t>
  </si>
  <si>
    <t>Total revenues, net</t>
  </si>
  <si>
    <t>Cost of goods sold</t>
  </si>
  <si>
    <t>Research and development</t>
  </si>
  <si>
    <t>Total operating expenses</t>
  </si>
  <si>
    <t>Other income, net</t>
  </si>
  <si>
    <t>Net pre-tax income</t>
  </si>
  <si>
    <t>Income tax (expense) benefit</t>
  </si>
  <si>
    <t>Comprenensive net income (loss)</t>
  </si>
  <si>
    <t>Earnings per share (non-GAAP)</t>
  </si>
  <si>
    <t>Shares Outstanding (Basic)</t>
  </si>
  <si>
    <t>Shares Outstanding (Diluted, est.)</t>
  </si>
  <si>
    <t>1Q16</t>
  </si>
  <si>
    <t>A</t>
  </si>
  <si>
    <t>2Q16</t>
  </si>
  <si>
    <t>3Q16</t>
  </si>
  <si>
    <t>4Q16</t>
  </si>
  <si>
    <t>1Q17</t>
  </si>
  <si>
    <t>2Q17</t>
  </si>
  <si>
    <t>3Q17</t>
  </si>
  <si>
    <t>4Q17</t>
  </si>
  <si>
    <t>Assets</t>
  </si>
  <si>
    <t>Current Assets:</t>
  </si>
  <si>
    <t>Cash/equivalents</t>
  </si>
  <si>
    <t>Short-term marketable securities</t>
  </si>
  <si>
    <t>Accounts receivable</t>
  </si>
  <si>
    <t>Inventories</t>
  </si>
  <si>
    <t>Deferred tax assets</t>
  </si>
  <si>
    <t>Prepaid taxes, prepaid expenses and other</t>
  </si>
  <si>
    <t>Total Current Assets</t>
  </si>
  <si>
    <t>Property, plant and equipment, net</t>
  </si>
  <si>
    <t>Noncurrent deferred tax assets</t>
  </si>
  <si>
    <t>Total Assets</t>
  </si>
  <si>
    <t>Liabilities</t>
  </si>
  <si>
    <t>Current Liabilities:</t>
  </si>
  <si>
    <t>Accounts payable</t>
  </si>
  <si>
    <t>Income taxes payable</t>
  </si>
  <si>
    <t>Other accrued liabilities</t>
  </si>
  <si>
    <t>Deferred revenues</t>
  </si>
  <si>
    <t>Total Current Liabilities</t>
  </si>
  <si>
    <t>Other long-term obligations</t>
  </si>
  <si>
    <t>Total Liabilities</t>
  </si>
  <si>
    <t>Shareholder's Equity</t>
  </si>
  <si>
    <t>Common stock</t>
  </si>
  <si>
    <t>Additional paid-in capital</t>
  </si>
  <si>
    <t>Accumulated other comprehensive income (loss)</t>
  </si>
  <si>
    <t>Accumulated deficit / retained earnings</t>
  </si>
  <si>
    <t>Total Shareholders Equity</t>
  </si>
  <si>
    <t>Total Liabilities and Shareholder's Equity</t>
  </si>
  <si>
    <t>($ in thousands except price)</t>
  </si>
  <si>
    <t>Cash Flow from Operations:</t>
  </si>
  <si>
    <t>Adjustments to reconcile non-GAAP net income to net cash provided by operating activities:</t>
  </si>
  <si>
    <t>Depreciation and amortization</t>
  </si>
  <si>
    <t>Stock-based compensation</t>
  </si>
  <si>
    <t>Deferred income taxes</t>
  </si>
  <si>
    <t>Other</t>
  </si>
  <si>
    <t>Changes in operating assets and liabilities:</t>
  </si>
  <si>
    <t>Prepaid expenses and other assets</t>
  </si>
  <si>
    <t>Other long-term liabilities</t>
  </si>
  <si>
    <t>Net Cash from Operations</t>
  </si>
  <si>
    <t>Cash Flows from Investing:</t>
  </si>
  <si>
    <t>Purchase of marketable/non-marketable securities</t>
  </si>
  <si>
    <t>Proceeds from maturity or sale of marketable securities</t>
  </si>
  <si>
    <t>Capital expenditures and other</t>
  </si>
  <si>
    <t>Net Cash from Investing</t>
  </si>
  <si>
    <t>Cash Flows from Financing:</t>
  </si>
  <si>
    <t>Proceeds from issuance of common stock</t>
  </si>
  <si>
    <t>Income tax benefit from stock options</t>
  </si>
  <si>
    <t>Payment of capital lease obligations</t>
  </si>
  <si>
    <t>Net Cash from Financing</t>
  </si>
  <si>
    <t>Effect of exchange rate changes on cash</t>
  </si>
  <si>
    <t>Net change in cash and cash equivalents</t>
  </si>
  <si>
    <t>Net income</t>
  </si>
  <si>
    <t>Income from operations/EBIT</t>
  </si>
  <si>
    <t>Interest income</t>
  </si>
  <si>
    <t>Interest expense</t>
  </si>
  <si>
    <t>Change in fair value of warrant liability</t>
  </si>
  <si>
    <t>in 000'</t>
  </si>
  <si>
    <t>E</t>
  </si>
  <si>
    <t>Warrant liability</t>
  </si>
  <si>
    <t>Series 1 nonconvertible preferred stock</t>
  </si>
  <si>
    <t>Premium on marketable securities</t>
  </si>
  <si>
    <t>Amortization of premium on marketable securities</t>
  </si>
  <si>
    <t>Income tax benefit from exercise of stock options</t>
  </si>
  <si>
    <t>Other non-cash items</t>
  </si>
  <si>
    <t>Accrued expenses</t>
  </si>
  <si>
    <t>Net change in Working capital</t>
  </si>
  <si>
    <t>Cash/equivalents beginning of period</t>
  </si>
  <si>
    <t>Cash/equivalents at the End of period</t>
  </si>
  <si>
    <t xml:space="preserve"> </t>
  </si>
  <si>
    <t>US</t>
  </si>
  <si>
    <t>Overall population</t>
  </si>
  <si>
    <t>Total NASH patients</t>
  </si>
  <si>
    <t>Total NAFLD patients</t>
  </si>
  <si>
    <t>% NASH prevalance</t>
  </si>
  <si>
    <t>% NAFLD prevalance</t>
  </si>
  <si>
    <t>Total patients</t>
  </si>
  <si>
    <t>Penetration %</t>
  </si>
  <si>
    <t>Final number of patients</t>
  </si>
  <si>
    <t>000'</t>
  </si>
  <si>
    <t xml:space="preserve">US population growth rate </t>
  </si>
  <si>
    <t>NAFLD prevalence</t>
  </si>
  <si>
    <t>NASH Prevalence</t>
  </si>
  <si>
    <t>Penetration rate</t>
  </si>
  <si>
    <t>Price growth</t>
  </si>
  <si>
    <t>Gross to net</t>
  </si>
  <si>
    <t xml:space="preserve">Gross to net </t>
  </si>
  <si>
    <t>Net price/year</t>
  </si>
  <si>
    <t>Gross Price/year</t>
  </si>
  <si>
    <t>Complaince rate</t>
  </si>
  <si>
    <t>Compliance rate</t>
  </si>
  <si>
    <t>Patients diagnosed %</t>
  </si>
  <si>
    <t>Diagnosis rate</t>
  </si>
  <si>
    <t>No of Patients diagnosed</t>
  </si>
  <si>
    <t>Patients treated %</t>
  </si>
  <si>
    <t>Treatment rate</t>
  </si>
  <si>
    <t>Patients treated</t>
  </si>
  <si>
    <t>EDP-305 sales NASH</t>
  </si>
  <si>
    <t xml:space="preserve">   EDP-305 sales PBC</t>
  </si>
  <si>
    <t>% PBC prevalance</t>
  </si>
  <si>
    <t xml:space="preserve">Prevalance rate = </t>
  </si>
  <si>
    <t>Total no of people suffering from a particular disease of the overall population at a certain point in time</t>
  </si>
  <si>
    <t xml:space="preserve">Incidence rate = </t>
  </si>
  <si>
    <t>Rate at which the people have contracted the diesease over a certain time frame</t>
  </si>
  <si>
    <t>Prevalence rate</t>
  </si>
  <si>
    <t xml:space="preserve">Daignosed rate </t>
  </si>
  <si>
    <t>Patients treated with UDCA%</t>
  </si>
  <si>
    <t>No of patients eligible for EDP-305</t>
  </si>
  <si>
    <t>Patients treated with UDCA</t>
  </si>
  <si>
    <t>Patients failed the treatment/intolerant%</t>
  </si>
  <si>
    <t>% treated with UDCA</t>
  </si>
  <si>
    <t>% failing the treatment</t>
  </si>
  <si>
    <t xml:space="preserve">Penetration rate </t>
  </si>
  <si>
    <t>Factor increase for penetration</t>
  </si>
  <si>
    <t>Gross price/ annum</t>
  </si>
  <si>
    <t>Annual increase</t>
  </si>
  <si>
    <t>Total US EDP 305 sales</t>
  </si>
  <si>
    <t>Complaince</t>
  </si>
  <si>
    <t>How many regions have been covered by those specific drugs</t>
  </si>
  <si>
    <t>What is the factor for overall revenue which the abbvie would be considering for royalty calculations</t>
  </si>
  <si>
    <t>Abbvie</t>
  </si>
  <si>
    <t>Royalty rate</t>
  </si>
  <si>
    <t>VIEKIRA PAK® in the U.S.</t>
  </si>
  <si>
    <t xml:space="preserve">Paritaprevir </t>
  </si>
  <si>
    <t xml:space="preserve">Glecaprevir </t>
  </si>
  <si>
    <t>VIEKIRAX®+EXVIERA® in the EU since January 2015</t>
  </si>
  <si>
    <t>in Japan</t>
  </si>
  <si>
    <t xml:space="preserve">MAVYRET </t>
  </si>
  <si>
    <t>in US</t>
  </si>
  <si>
    <t xml:space="preserve">MAVIRET </t>
  </si>
  <si>
    <t>Ex-US</t>
  </si>
  <si>
    <t xml:space="preserve">50% royalty bearing portion </t>
  </si>
  <si>
    <t>30% royalty bearing portion</t>
  </si>
  <si>
    <t>Milestone</t>
  </si>
  <si>
    <t>1Q18</t>
  </si>
  <si>
    <t>2Q18</t>
  </si>
  <si>
    <t>3Q18</t>
  </si>
  <si>
    <t>4Q18</t>
  </si>
  <si>
    <t xml:space="preserve">000' </t>
  </si>
  <si>
    <t>Total royalty including milestone</t>
  </si>
  <si>
    <t xml:space="preserve">Total royalty </t>
  </si>
  <si>
    <t>VIEKIRAX in Japan</t>
  </si>
  <si>
    <t>Overall revenue generated by ABBvie</t>
  </si>
  <si>
    <t>Royalty received</t>
  </si>
  <si>
    <t>Approach1</t>
  </si>
  <si>
    <t xml:space="preserve">to identify the demand for vikera in different regions </t>
  </si>
  <si>
    <t>Approach2</t>
  </si>
  <si>
    <t>To identify the demand in  the world</t>
  </si>
  <si>
    <t>Global demand for HCV</t>
  </si>
  <si>
    <t>Growth numbers from 2017 onwards</t>
  </si>
  <si>
    <t>Overall market share of Abbvie</t>
  </si>
  <si>
    <t>Revenue considered for the calculation of royalty wrt ENTA</t>
  </si>
  <si>
    <t>Revenue</t>
  </si>
  <si>
    <t>In billion</t>
  </si>
  <si>
    <t>Overall revenue of Abbvie</t>
  </si>
  <si>
    <t xml:space="preserve">Overall growth rate of HCV </t>
  </si>
  <si>
    <t>Overall decline rate of HCV market</t>
  </si>
  <si>
    <t>1Q18Jan-Mar</t>
  </si>
  <si>
    <t>Sept to Sept</t>
  </si>
  <si>
    <t>Calendar quarter/year</t>
  </si>
  <si>
    <t>World pouplation</t>
  </si>
  <si>
    <t>Population increase %</t>
  </si>
  <si>
    <t>% suffering from HCV</t>
  </si>
  <si>
    <t>Overall population suffering from HCV (in billions)</t>
  </si>
  <si>
    <t>Overall population suffering from HCV (in millions)</t>
  </si>
  <si>
    <t>Overall population undergoing treatment</t>
  </si>
  <si>
    <t>Cost of treatment</t>
  </si>
  <si>
    <t>Overall HCV market</t>
  </si>
  <si>
    <t>Royalty rate (consolidated including all the tier)</t>
  </si>
  <si>
    <t>Milestone and other revenue</t>
  </si>
  <si>
    <t>Sept to Sept year end</t>
  </si>
  <si>
    <t>Revenue in thousand</t>
  </si>
  <si>
    <t>Margins</t>
  </si>
  <si>
    <t>Cost of goods/services</t>
  </si>
  <si>
    <t>Gross margins</t>
  </si>
  <si>
    <t>SG&amp;A to Revenue</t>
  </si>
  <si>
    <t>R&amp;D to Revenue</t>
  </si>
  <si>
    <t>Operating Margin (EBIT margin)</t>
  </si>
  <si>
    <t>Pretax margin</t>
  </si>
  <si>
    <t>Tax rate</t>
  </si>
  <si>
    <t>Net income to Revenue</t>
  </si>
  <si>
    <t>Jan -Mar</t>
  </si>
  <si>
    <t>Mar - Jun</t>
  </si>
  <si>
    <t>Jun - sep</t>
  </si>
  <si>
    <t>sep - dec</t>
  </si>
  <si>
    <t xml:space="preserve"> 
General and administrative</t>
  </si>
  <si>
    <t>long-term marketable securities</t>
  </si>
  <si>
    <t>Cash including short term and long term marketable securities</t>
  </si>
  <si>
    <t>return</t>
  </si>
  <si>
    <t>Sep-4Q16</t>
  </si>
  <si>
    <t>Dec-1Q17</t>
  </si>
  <si>
    <t>Mar-2Q17</t>
  </si>
  <si>
    <t>Jun-3Q17</t>
  </si>
  <si>
    <t>Sep-4Q17</t>
  </si>
  <si>
    <t>Dec-1Q16</t>
  </si>
  <si>
    <t>Mar-2Q16</t>
  </si>
  <si>
    <t>Jun-3Q18</t>
  </si>
  <si>
    <t>Sep-4Q18</t>
  </si>
  <si>
    <t>Mar-2Q18</t>
  </si>
  <si>
    <t>Sept to Sept year end, In 000'</t>
  </si>
  <si>
    <t>Dec-1Q15</t>
  </si>
  <si>
    <t>Jun-3Q16</t>
  </si>
  <si>
    <t>Shares outstanding (Beg)</t>
  </si>
  <si>
    <t>Capital raise</t>
  </si>
  <si>
    <t>Price</t>
  </si>
  <si>
    <t>Shares</t>
  </si>
  <si>
    <t>Shares outstanding (ending)</t>
  </si>
  <si>
    <t>Average share increase from 14 through 17</t>
  </si>
  <si>
    <t>Proceeds from exercise of stock options</t>
  </si>
  <si>
    <t>Depreciation and amortization (% of revenue)</t>
  </si>
  <si>
    <t>Stock based compensation (% of Total operatng expenses)</t>
  </si>
  <si>
    <t>PP&amp;E schedule</t>
  </si>
  <si>
    <t>Accounts receivable including unbilled receivables</t>
  </si>
  <si>
    <t>Dec15-1Q16</t>
  </si>
  <si>
    <t>Mar16-2Q16</t>
  </si>
  <si>
    <t>Jun16-3Q16</t>
  </si>
  <si>
    <t>Sep16-4Q16</t>
  </si>
  <si>
    <t>Dec16-1Q17</t>
  </si>
  <si>
    <t>Dec17-1Q18</t>
  </si>
  <si>
    <t>Mar18-2Q18</t>
  </si>
  <si>
    <t>Mar17-2Q17</t>
  </si>
  <si>
    <t>Jun17-3Q17</t>
  </si>
  <si>
    <t>Sep17-4Q17</t>
  </si>
  <si>
    <t>Jun18-3Q18</t>
  </si>
  <si>
    <t>Sep18-4Q18</t>
  </si>
  <si>
    <t>Payment of withholding tax for SBC</t>
  </si>
  <si>
    <t>Other Assets/restricted cash</t>
  </si>
  <si>
    <t>Balance sheet drivers</t>
  </si>
  <si>
    <t>Total revenue</t>
  </si>
  <si>
    <t>Total opex (operating expenditure)</t>
  </si>
  <si>
    <t>Percent of revenue</t>
  </si>
  <si>
    <t>Percent of opex</t>
  </si>
  <si>
    <t>YoY (Year on Year)</t>
  </si>
  <si>
    <t>Opening PP&amp;E</t>
  </si>
  <si>
    <t>Depreciation</t>
  </si>
  <si>
    <t>Capex/additions</t>
  </si>
  <si>
    <t>Closing PP&amp;E</t>
  </si>
  <si>
    <t>Other (amortization)</t>
  </si>
  <si>
    <t>% of PP&amp;E</t>
  </si>
  <si>
    <t>YoY</t>
  </si>
  <si>
    <t>% of Revenue</t>
  </si>
  <si>
    <t>Dec-1Q18</t>
  </si>
  <si>
    <t>Stock based compensation YoY</t>
  </si>
  <si>
    <t>Stock based compensation as a percent of revenue</t>
  </si>
  <si>
    <t xml:space="preserve">Liability </t>
  </si>
  <si>
    <t>Cash</t>
  </si>
  <si>
    <t>goes up</t>
  </si>
  <si>
    <t>5$</t>
  </si>
  <si>
    <t>25$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</si>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</sst>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%"/>
    <numFmt numFmtId="166" formatCode="0.000"/>
    <numFmt numFmtId="167" formatCode="0.00000000000000000%"/>
    <numFmt numFmtId="168" formatCode="0.000000000000000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3" borderId="0" xfId="0" applyFill="1"/>
    <xf numFmtId="0" fontId="3" fillId="2" borderId="0" xfId="0" applyFont="1" applyFill="1"/>
    <xf numFmtId="9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9" fontId="4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0" fontId="3" fillId="0" borderId="0" xfId="0" applyFont="1" applyFill="1"/>
    <xf numFmtId="0" fontId="0" fillId="0" borderId="0" xfId="0" applyFill="1"/>
    <xf numFmtId="9" fontId="3" fillId="0" borderId="0" xfId="0" applyNumberFormat="1" applyFont="1" applyFill="1"/>
    <xf numFmtId="10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9" fontId="6" fillId="0" borderId="0" xfId="0" applyNumberFormat="1" applyFont="1"/>
    <xf numFmtId="10" fontId="6" fillId="0" borderId="0" xfId="0" applyNumberFormat="1" applyFont="1"/>
    <xf numFmtId="9" fontId="6" fillId="0" borderId="0" xfId="0" applyNumberFormat="1" applyFont="1" applyFill="1"/>
    <xf numFmtId="0" fontId="0" fillId="0" borderId="0" xfId="0" applyAlignment="1">
      <alignment horizontal="center"/>
    </xf>
    <xf numFmtId="4" fontId="0" fillId="0" borderId="0" xfId="0" applyNumberFormat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8" fillId="0" borderId="0" xfId="0" applyNumberFormat="1" applyFont="1"/>
    <xf numFmtId="166" fontId="4" fillId="0" borderId="0" xfId="0" applyNumberFormat="1" applyFont="1"/>
    <xf numFmtId="3" fontId="4" fillId="0" borderId="0" xfId="0" applyNumberFormat="1" applyFont="1"/>
    <xf numFmtId="0" fontId="0" fillId="7" borderId="1" xfId="0" applyFill="1" applyBorder="1"/>
    <xf numFmtId="0" fontId="0" fillId="7" borderId="2" xfId="0" applyFill="1" applyBorder="1"/>
    <xf numFmtId="0" fontId="0" fillId="7" borderId="6" xfId="0" applyFill="1" applyBorder="1"/>
    <xf numFmtId="0" fontId="0" fillId="6" borderId="0" xfId="0" applyFill="1"/>
    <xf numFmtId="10" fontId="0" fillId="6" borderId="0" xfId="0" applyNumberFormat="1" applyFill="1"/>
    <xf numFmtId="10" fontId="0" fillId="2" borderId="0" xfId="0" applyNumberFormat="1" applyFill="1"/>
    <xf numFmtId="0" fontId="0" fillId="0" borderId="0" xfId="0" applyAlignment="1">
      <alignment horizontal="left" wrapText="1" indent="1"/>
    </xf>
    <xf numFmtId="0" fontId="11" fillId="8" borderId="0" xfId="0" applyFont="1" applyFill="1" applyAlignment="1">
      <alignment horizontal="left" vertical="top"/>
    </xf>
    <xf numFmtId="0" fontId="11" fillId="8" borderId="0" xfId="0" applyFont="1" applyFill="1"/>
    <xf numFmtId="168" fontId="0" fillId="0" borderId="0" xfId="0" applyNumberFormat="1"/>
    <xf numFmtId="10" fontId="10" fillId="0" borderId="0" xfId="0" applyNumberFormat="1" applyFont="1"/>
    <xf numFmtId="0" fontId="0" fillId="0" borderId="0" xfId="0" applyAlignment="1">
      <alignment horizontal="center" vertical="center"/>
    </xf>
    <xf numFmtId="1" fontId="13" fillId="0" borderId="0" xfId="0" applyNumberFormat="1" applyFont="1"/>
    <xf numFmtId="0" fontId="13" fillId="0" borderId="0" xfId="0" applyFont="1"/>
    <xf numFmtId="3" fontId="13" fillId="0" borderId="0" xfId="0" applyNumberFormat="1" applyFont="1"/>
    <xf numFmtId="0" fontId="13" fillId="7" borderId="2" xfId="0" applyFont="1" applyFill="1" applyBorder="1"/>
    <xf numFmtId="0" fontId="13" fillId="6" borderId="0" xfId="0" applyFont="1" applyFill="1"/>
    <xf numFmtId="10" fontId="13" fillId="6" borderId="0" xfId="0" applyNumberFormat="1" applyFont="1" applyFill="1"/>
    <xf numFmtId="9" fontId="13" fillId="6" borderId="0" xfId="0" applyNumberFormat="1" applyFont="1" applyFill="1"/>
    <xf numFmtId="9" fontId="12" fillId="0" borderId="0" xfId="0" applyNumberFormat="1" applyFont="1"/>
    <xf numFmtId="0" fontId="1" fillId="7" borderId="7" xfId="0" applyFont="1" applyFill="1" applyBorder="1"/>
    <xf numFmtId="10" fontId="0" fillId="7" borderId="8" xfId="0" applyNumberFormat="1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10" xfId="0" applyBorder="1"/>
    <xf numFmtId="1" fontId="0" fillId="0" borderId="0" xfId="0" applyNumberFormat="1" applyBorder="1"/>
    <xf numFmtId="1" fontId="0" fillId="0" borderId="11" xfId="0" applyNumberFormat="1" applyBorder="1"/>
    <xf numFmtId="0" fontId="0" fillId="0" borderId="0" xfId="0" applyBorder="1"/>
    <xf numFmtId="167" fontId="0" fillId="0" borderId="0" xfId="0" applyNumberFormat="1" applyBorder="1"/>
    <xf numFmtId="0" fontId="0" fillId="0" borderId="11" xfId="0" applyBorder="1"/>
    <xf numFmtId="0" fontId="0" fillId="0" borderId="10" xfId="0" applyBorder="1" applyAlignment="1">
      <alignment horizontal="left" indent="1"/>
    </xf>
    <xf numFmtId="10" fontId="0" fillId="0" borderId="0" xfId="0" applyNumberFormat="1" applyBorder="1"/>
    <xf numFmtId="10" fontId="12" fillId="0" borderId="0" xfId="0" applyNumberFormat="1" applyFont="1" applyBorder="1"/>
    <xf numFmtId="9" fontId="12" fillId="0" borderId="0" xfId="0" applyNumberFormat="1" applyFont="1" applyBorder="1"/>
    <xf numFmtId="9" fontId="12" fillId="0" borderId="11" xfId="0" applyNumberFormat="1" applyFont="1" applyBorder="1"/>
    <xf numFmtId="10" fontId="12" fillId="0" borderId="11" xfId="0" applyNumberFormat="1" applyFont="1" applyBorder="1"/>
    <xf numFmtId="0" fontId="0" fillId="0" borderId="12" xfId="0" applyBorder="1" applyAlignment="1">
      <alignment horizontal="left" indent="1"/>
    </xf>
    <xf numFmtId="0" fontId="0" fillId="0" borderId="13" xfId="0" applyBorder="1"/>
    <xf numFmtId="10" fontId="0" fillId="0" borderId="13" xfId="0" applyNumberFormat="1" applyBorder="1"/>
    <xf numFmtId="10" fontId="0" fillId="0" borderId="14" xfId="0" applyNumberFormat="1" applyBorder="1"/>
    <xf numFmtId="1" fontId="0" fillId="0" borderId="8" xfId="0" applyNumberFormat="1" applyBorder="1"/>
    <xf numFmtId="0" fontId="0" fillId="0" borderId="8" xfId="0" applyBorder="1"/>
    <xf numFmtId="0" fontId="0" fillId="9" borderId="10" xfId="0" applyFill="1" applyBorder="1"/>
    <xf numFmtId="0" fontId="12" fillId="0" borderId="0" xfId="0" applyFont="1" applyBorder="1"/>
    <xf numFmtId="0" fontId="12" fillId="0" borderId="11" xfId="0" applyFont="1" applyBorder="1"/>
    <xf numFmtId="0" fontId="1" fillId="9" borderId="10" xfId="0" applyFont="1" applyFill="1" applyBorder="1"/>
    <xf numFmtId="0" fontId="2" fillId="9" borderId="10" xfId="0" applyFont="1" applyFill="1" applyBorder="1"/>
    <xf numFmtId="0" fontId="0" fillId="9" borderId="10" xfId="0" applyFill="1" applyBorder="1" applyAlignment="1">
      <alignment horizontal="left" indent="1"/>
    </xf>
    <xf numFmtId="1" fontId="12" fillId="0" borderId="0" xfId="0" applyNumberFormat="1" applyFont="1" applyBorder="1"/>
    <xf numFmtId="1" fontId="12" fillId="0" borderId="11" xfId="0" applyNumberFormat="1" applyFont="1" applyBorder="1"/>
    <xf numFmtId="0" fontId="0" fillId="9" borderId="10" xfId="0" applyFill="1" applyBorder="1" applyAlignment="1">
      <alignment horizontal="left" indent="2"/>
    </xf>
    <xf numFmtId="0" fontId="0" fillId="9" borderId="12" xfId="0" applyFill="1" applyBorder="1"/>
    <xf numFmtId="10" fontId="12" fillId="0" borderId="13" xfId="0" applyNumberFormat="1" applyFont="1" applyBorder="1"/>
    <xf numFmtId="0" fontId="0" fillId="9" borderId="7" xfId="0" applyFill="1" applyBorder="1" applyAlignment="1">
      <alignment horizontal="left" indent="1"/>
    </xf>
    <xf numFmtId="3" fontId="0" fillId="0" borderId="8" xfId="0" applyNumberFormat="1" applyBorder="1"/>
    <xf numFmtId="3" fontId="0" fillId="0" borderId="0" xfId="0" applyNumberFormat="1" applyBorder="1"/>
    <xf numFmtId="1" fontId="0" fillId="0" borderId="13" xfId="0" applyNumberFormat="1" applyBorder="1"/>
    <xf numFmtId="10" fontId="12" fillId="0" borderId="0" xfId="0" applyNumberFormat="1" applyFont="1"/>
    <xf numFmtId="0" fontId="1" fillId="11" borderId="7" xfId="0" applyFont="1" applyFill="1" applyBorder="1"/>
    <xf numFmtId="0" fontId="0" fillId="10" borderId="10" xfId="0" applyFill="1" applyBorder="1"/>
    <xf numFmtId="0" fontId="0" fillId="10" borderId="10" xfId="0" applyFill="1" applyBorder="1" applyAlignment="1">
      <alignment horizontal="left"/>
    </xf>
    <xf numFmtId="0" fontId="5" fillId="10" borderId="10" xfId="0" applyFont="1" applyFill="1" applyBorder="1" applyAlignment="1">
      <alignment horizontal="left"/>
    </xf>
    <xf numFmtId="0" fontId="0" fillId="10" borderId="12" xfId="0" applyFill="1" applyBorder="1"/>
    <xf numFmtId="1" fontId="12" fillId="0" borderId="13" xfId="0" applyNumberFormat="1" applyFont="1" applyBorder="1"/>
    <xf numFmtId="1" fontId="12" fillId="0" borderId="14" xfId="0" applyNumberFormat="1" applyFont="1" applyBorder="1"/>
    <xf numFmtId="0" fontId="0" fillId="11" borderId="8" xfId="0" applyFill="1" applyBorder="1"/>
    <xf numFmtId="0" fontId="0" fillId="11" borderId="9" xfId="0" applyFill="1" applyBorder="1"/>
    <xf numFmtId="9" fontId="14" fillId="0" borderId="0" xfId="0" applyNumberFormat="1" applyFont="1"/>
    <xf numFmtId="0" fontId="15" fillId="0" borderId="0" xfId="0" applyFont="1"/>
    <xf numFmtId="10" fontId="13" fillId="0" borderId="0" xfId="0" applyNumberFormat="1" applyFont="1"/>
    <xf numFmtId="2" fontId="13" fillId="0" borderId="0" xfId="1" applyNumberFormat="1" applyFont="1"/>
    <xf numFmtId="0" fontId="5" fillId="9" borderId="1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showGridLines="0" zoomScale="85" zoomScaleNormal="85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W11" sqref="W11"/>
    </sheetView>
  </sheetViews>
  <sheetFormatPr defaultColWidth="0" defaultRowHeight="14.5" outlineLevelRow="1" outlineLevelCol="1" x14ac:dyDescent="0.35"/>
  <cols>
    <col min="1" max="1" width="42" customWidth="1"/>
    <col min="2" max="2" width="9.1796875" customWidth="1"/>
    <col min="3" max="6" width="9.1796875" customWidth="1" outlineLevel="1"/>
    <col min="7" max="7" width="9.1796875" customWidth="1"/>
    <col min="8" max="10" width="9.1796875" customWidth="1" outlineLevel="1"/>
    <col min="11" max="11" width="9.81640625" customWidth="1" outlineLevel="1"/>
    <col min="12" max="12" width="9.1796875" customWidth="1"/>
    <col min="13" max="16" width="9.1796875" customWidth="1" outlineLevel="1"/>
    <col min="17" max="27" width="9.1796875" customWidth="1"/>
    <col min="28" max="16384" width="9.1796875" hidden="1"/>
  </cols>
  <sheetData>
    <row r="1" spans="1:27" x14ac:dyDescent="0.35">
      <c r="A1" t="s">
        <v>190</v>
      </c>
      <c r="B1" s="51">
        <v>2015</v>
      </c>
      <c r="C1" s="51" t="s">
        <v>220</v>
      </c>
      <c r="D1" s="51" t="s">
        <v>215</v>
      </c>
      <c r="E1" s="51" t="s">
        <v>221</v>
      </c>
      <c r="F1" s="51" t="s">
        <v>209</v>
      </c>
      <c r="G1" s="51">
        <v>2016</v>
      </c>
      <c r="H1" s="51" t="s">
        <v>214</v>
      </c>
      <c r="I1" s="51" t="s">
        <v>211</v>
      </c>
      <c r="J1" s="51" t="s">
        <v>212</v>
      </c>
      <c r="K1" s="51" t="s">
        <v>213</v>
      </c>
      <c r="L1" s="51">
        <v>2017</v>
      </c>
      <c r="M1" s="51" t="s">
        <v>210</v>
      </c>
      <c r="N1" s="51" t="s">
        <v>218</v>
      </c>
      <c r="O1" s="51" t="s">
        <v>216</v>
      </c>
      <c r="P1" s="51" t="s">
        <v>217</v>
      </c>
      <c r="Q1" s="51">
        <v>2018</v>
      </c>
      <c r="R1" s="52">
        <v>2019</v>
      </c>
      <c r="S1" s="52">
        <v>2020</v>
      </c>
      <c r="T1" s="52">
        <v>2021</v>
      </c>
      <c r="U1" s="52">
        <v>2022</v>
      </c>
      <c r="V1" s="52">
        <v>2023</v>
      </c>
      <c r="W1" s="52">
        <v>2024</v>
      </c>
      <c r="X1" s="52">
        <v>2025</v>
      </c>
      <c r="Y1" s="52">
        <v>2026</v>
      </c>
      <c r="Z1" s="52">
        <v>2027</v>
      </c>
    </row>
    <row r="2" spans="1:27" x14ac:dyDescent="0.35">
      <c r="A2" t="s">
        <v>77</v>
      </c>
      <c r="B2" s="55" t="s">
        <v>13</v>
      </c>
      <c r="C2" s="55" t="s">
        <v>13</v>
      </c>
      <c r="D2" s="55" t="s">
        <v>13</v>
      </c>
      <c r="E2" s="55" t="s">
        <v>13</v>
      </c>
      <c r="F2" s="55" t="s">
        <v>13</v>
      </c>
      <c r="G2" s="55" t="s">
        <v>13</v>
      </c>
      <c r="H2" s="55" t="s">
        <v>13</v>
      </c>
      <c r="I2" s="55" t="s">
        <v>13</v>
      </c>
      <c r="J2" s="55" t="s">
        <v>13</v>
      </c>
      <c r="K2" s="55" t="s">
        <v>13</v>
      </c>
      <c r="L2" s="55" t="s">
        <v>13</v>
      </c>
      <c r="M2" s="55" t="s">
        <v>13</v>
      </c>
      <c r="N2" s="55" t="s">
        <v>78</v>
      </c>
      <c r="O2" s="55" t="s">
        <v>78</v>
      </c>
      <c r="P2" s="55" t="s">
        <v>78</v>
      </c>
      <c r="Q2" s="55" t="s">
        <v>78</v>
      </c>
      <c r="R2" s="55" t="s">
        <v>78</v>
      </c>
      <c r="S2" s="55" t="s">
        <v>78</v>
      </c>
      <c r="T2" s="55" t="s">
        <v>78</v>
      </c>
      <c r="U2" s="55" t="s">
        <v>78</v>
      </c>
      <c r="V2" s="55" t="s">
        <v>78</v>
      </c>
      <c r="W2" s="55" t="s">
        <v>78</v>
      </c>
      <c r="X2" s="55" t="s">
        <v>78</v>
      </c>
      <c r="Y2" s="55" t="s">
        <v>78</v>
      </c>
      <c r="Z2" s="55" t="s">
        <v>78</v>
      </c>
    </row>
    <row r="4" spans="1:27" outlineLevel="1" x14ac:dyDescent="0.35">
      <c r="A4" s="2" t="s">
        <v>0</v>
      </c>
      <c r="B4">
        <v>160880</v>
      </c>
      <c r="C4">
        <v>48445</v>
      </c>
      <c r="D4">
        <v>13004</v>
      </c>
      <c r="E4">
        <v>13978</v>
      </c>
      <c r="F4">
        <v>12841</v>
      </c>
      <c r="G4">
        <v>88268</v>
      </c>
      <c r="H4">
        <v>10417</v>
      </c>
      <c r="I4">
        <v>8959</v>
      </c>
      <c r="J4">
        <v>7511</v>
      </c>
      <c r="K4">
        <v>75927</v>
      </c>
      <c r="L4">
        <v>102814</v>
      </c>
      <c r="M4" s="5">
        <v>38109</v>
      </c>
      <c r="N4" s="56">
        <f>HCV!O19</f>
        <v>22438.502692236063</v>
      </c>
      <c r="O4" s="56">
        <f>HCV!P19</f>
        <v>28195.74712461781</v>
      </c>
      <c r="P4" s="56">
        <f>HCV!Q19</f>
        <v>30114.828602078396</v>
      </c>
      <c r="Q4" s="56">
        <f>SUM(M4:P4)</f>
        <v>118858.07841893227</v>
      </c>
      <c r="R4" s="56">
        <f>HCV!S19</f>
        <v>140160.47484357446</v>
      </c>
      <c r="S4" s="56">
        <f>HCV!T19</f>
        <v>163083.76653869168</v>
      </c>
      <c r="T4" s="56">
        <f>HCV!U19</f>
        <v>189756.17011949481</v>
      </c>
      <c r="U4" s="56">
        <f>HCV!V19</f>
        <v>220790.85406624991</v>
      </c>
      <c r="V4" s="56">
        <f>HCV!W19</f>
        <v>187672.22595631244</v>
      </c>
      <c r="W4" s="56">
        <f>HCV!X19</f>
        <v>159521.39206286555</v>
      </c>
      <c r="X4" s="56">
        <f>HCV!Y19</f>
        <v>135593.18325343574</v>
      </c>
      <c r="Y4" s="56">
        <f>HCV!Z19</f>
        <v>115254.20576542037</v>
      </c>
      <c r="Z4" s="56">
        <f>HCV!AA19</f>
        <v>97966.074900607317</v>
      </c>
    </row>
    <row r="5" spans="1:27" outlineLevel="1" x14ac:dyDescent="0.35">
      <c r="A5" s="2" t="s">
        <v>117</v>
      </c>
      <c r="L5">
        <v>0</v>
      </c>
      <c r="N5" s="57"/>
      <c r="O5" s="57"/>
      <c r="P5" s="57"/>
      <c r="Q5" s="57"/>
      <c r="R5" s="57"/>
      <c r="S5" s="57"/>
      <c r="T5" s="57"/>
      <c r="U5" s="56">
        <f>NASH!I21</f>
        <v>251371.83895960616</v>
      </c>
      <c r="V5" s="56">
        <f>NASH!J21</f>
        <v>573880.65148558596</v>
      </c>
      <c r="W5" s="56">
        <f>NASH!K21</f>
        <v>982624.99345375155</v>
      </c>
      <c r="X5" s="56">
        <f>NASH!L21</f>
        <v>1495551.9646199653</v>
      </c>
      <c r="Y5" s="56">
        <f>NASH!M21</f>
        <v>1707168.8287337783</v>
      </c>
      <c r="Z5" s="56">
        <f>NASH!N21</f>
        <v>1948728.9500775365</v>
      </c>
    </row>
    <row r="6" spans="1:27" outlineLevel="1" x14ac:dyDescent="0.35">
      <c r="A6" t="s">
        <v>118</v>
      </c>
      <c r="L6">
        <v>0</v>
      </c>
      <c r="N6" s="57"/>
      <c r="O6" s="57"/>
      <c r="P6" s="57"/>
      <c r="Q6" s="57"/>
      <c r="R6" s="57"/>
      <c r="S6" s="57"/>
      <c r="T6" s="57"/>
      <c r="U6" s="56">
        <f>PBC!I19</f>
        <v>78178.527981675317</v>
      </c>
      <c r="V6" s="56">
        <f>PBC!J19</f>
        <v>85184.203597273197</v>
      </c>
      <c r="W6" s="56">
        <f>PBC!K19</f>
        <v>92607.19566264606</v>
      </c>
      <c r="X6" s="56">
        <f>PBC!L19</f>
        <v>100469.02039715667</v>
      </c>
      <c r="Y6" s="56">
        <f>PBC!M19</f>
        <v>108792.22350431938</v>
      </c>
      <c r="Z6" s="56">
        <f>PBC!N19</f>
        <v>117600.42722502066</v>
      </c>
    </row>
    <row r="7" spans="1:27" outlineLevel="1" x14ac:dyDescent="0.35">
      <c r="A7" s="2" t="s">
        <v>189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7" x14ac:dyDescent="0.35">
      <c r="A8" t="s">
        <v>1</v>
      </c>
      <c r="B8">
        <v>160880</v>
      </c>
      <c r="C8">
        <v>48445</v>
      </c>
      <c r="D8">
        <v>13004</v>
      </c>
      <c r="E8">
        <v>13978</v>
      </c>
      <c r="F8">
        <v>12841</v>
      </c>
      <c r="G8">
        <v>88268</v>
      </c>
      <c r="H8">
        <v>10417</v>
      </c>
      <c r="I8">
        <v>8959</v>
      </c>
      <c r="J8">
        <v>7511</v>
      </c>
      <c r="K8">
        <v>75927</v>
      </c>
      <c r="L8">
        <v>102814</v>
      </c>
      <c r="M8" s="5">
        <v>38109</v>
      </c>
      <c r="N8" s="56">
        <f>SUM(N4:N7)</f>
        <v>22438.502692236063</v>
      </c>
      <c r="O8" s="56">
        <f t="shared" ref="O8:Z8" si="0">SUM(O4:O7)</f>
        <v>28195.74712461781</v>
      </c>
      <c r="P8" s="56">
        <f t="shared" si="0"/>
        <v>30114.828602078396</v>
      </c>
      <c r="Q8" s="56">
        <f t="shared" si="0"/>
        <v>118858.07841893227</v>
      </c>
      <c r="R8" s="56">
        <f t="shared" si="0"/>
        <v>140160.47484357446</v>
      </c>
      <c r="S8" s="56">
        <f t="shared" si="0"/>
        <v>163083.76653869168</v>
      </c>
      <c r="T8" s="56">
        <f t="shared" si="0"/>
        <v>189756.17011949481</v>
      </c>
      <c r="U8" s="56">
        <f t="shared" si="0"/>
        <v>550341.22100753139</v>
      </c>
      <c r="V8" s="56">
        <f t="shared" si="0"/>
        <v>846737.08103917167</v>
      </c>
      <c r="W8" s="56">
        <f t="shared" si="0"/>
        <v>1234753.5811792631</v>
      </c>
      <c r="X8" s="56">
        <f t="shared" si="0"/>
        <v>1731614.1682705577</v>
      </c>
      <c r="Y8" s="56">
        <f t="shared" si="0"/>
        <v>1931215.258003518</v>
      </c>
      <c r="Z8" s="56">
        <f t="shared" si="0"/>
        <v>2164295.4522031643</v>
      </c>
    </row>
    <row r="9" spans="1:27" x14ac:dyDescent="0.35">
      <c r="N9" s="57"/>
      <c r="O9" s="57"/>
      <c r="P9" s="57"/>
      <c r="Q9" s="57"/>
      <c r="R9" s="57"/>
      <c r="S9" s="57"/>
      <c r="T9" s="57"/>
      <c r="U9" s="114">
        <f>U8/T8-1</f>
        <v>1.9002546829489972</v>
      </c>
      <c r="V9" s="114">
        <f t="shared" ref="V9:Z9" si="1">V8/U8-1</f>
        <v>0.53856743547033714</v>
      </c>
      <c r="W9" s="114">
        <f t="shared" si="1"/>
        <v>0.45824909387916724</v>
      </c>
      <c r="X9" s="114">
        <f t="shared" si="1"/>
        <v>0.40239655479821579</v>
      </c>
      <c r="Y9" s="114">
        <f t="shared" si="1"/>
        <v>0.11526880143993679</v>
      </c>
      <c r="Z9" s="114">
        <f t="shared" si="1"/>
        <v>0.12069094485127652</v>
      </c>
    </row>
    <row r="10" spans="1:27" x14ac:dyDescent="0.35">
      <c r="A10" t="s">
        <v>2</v>
      </c>
      <c r="M10" t="s">
        <v>89</v>
      </c>
      <c r="N10" s="57"/>
      <c r="O10" s="57"/>
      <c r="P10" s="57"/>
      <c r="Q10" s="57"/>
      <c r="R10" s="57"/>
      <c r="S10" s="57"/>
      <c r="T10" s="57"/>
      <c r="U10" s="113"/>
      <c r="V10" s="57"/>
      <c r="W10" s="57"/>
      <c r="X10" s="57"/>
      <c r="Y10" s="57"/>
      <c r="Z10" s="57"/>
    </row>
    <row r="11" spans="1:27" x14ac:dyDescent="0.35">
      <c r="A11" s="2" t="s">
        <v>3</v>
      </c>
      <c r="B11">
        <v>23189</v>
      </c>
      <c r="C11">
        <v>9033</v>
      </c>
      <c r="D11">
        <v>9143</v>
      </c>
      <c r="E11">
        <v>10785</v>
      </c>
      <c r="F11">
        <v>11500</v>
      </c>
      <c r="G11">
        <v>40461</v>
      </c>
      <c r="H11">
        <v>12526</v>
      </c>
      <c r="I11">
        <v>13004</v>
      </c>
      <c r="J11">
        <v>15407</v>
      </c>
      <c r="K11">
        <v>16514</v>
      </c>
      <c r="L11">
        <v>57451</v>
      </c>
      <c r="M11" s="5">
        <v>17962</v>
      </c>
      <c r="N11" s="58">
        <f>($Q$11-$M$11)/3</f>
        <v>24155.5035726856</v>
      </c>
      <c r="O11" s="58">
        <f>($Q$11-$M$11)/3</f>
        <v>24155.5035726856</v>
      </c>
      <c r="P11" s="58">
        <f>($Q$11-$M$11)/3</f>
        <v>24155.5035726856</v>
      </c>
      <c r="Q11" s="56">
        <f>L11*(1+AA11)</f>
        <v>90428.510718056801</v>
      </c>
      <c r="R11" s="56">
        <f>Q11*1.25</f>
        <v>113035.63839757101</v>
      </c>
      <c r="S11" s="56">
        <f>R11*1.2</f>
        <v>135642.76607708519</v>
      </c>
      <c r="T11" s="56">
        <f t="shared" ref="T11:Z12" si="2">S11*1.1</f>
        <v>149207.04268479373</v>
      </c>
      <c r="U11" s="56">
        <f>T11+(T11*U9)</f>
        <v>432738.42427554401</v>
      </c>
      <c r="V11" s="56">
        <f t="shared" ref="V11:Z11" si="3">U11+(U11*V9)</f>
        <v>665797.24766709842</v>
      </c>
      <c r="W11" s="56">
        <f t="shared" si="3"/>
        <v>970898.23311778973</v>
      </c>
      <c r="X11" s="56">
        <f t="shared" si="3"/>
        <v>1361584.3371840632</v>
      </c>
      <c r="Y11" s="56">
        <f t="shared" si="3"/>
        <v>1518532.5317906609</v>
      </c>
      <c r="Z11" s="56">
        <f t="shared" si="3"/>
        <v>1701805.6578398768</v>
      </c>
      <c r="AA11" s="19">
        <f>(L11/B11)^(1/2)-1</f>
        <v>0.57401108280198421</v>
      </c>
    </row>
    <row r="12" spans="1:27" ht="18.75" customHeight="1" x14ac:dyDescent="0.35">
      <c r="A12" s="50" t="s">
        <v>205</v>
      </c>
      <c r="B12">
        <v>13543</v>
      </c>
      <c r="C12">
        <v>3818</v>
      </c>
      <c r="D12">
        <v>4426</v>
      </c>
      <c r="E12">
        <v>4282</v>
      </c>
      <c r="F12">
        <v>4440</v>
      </c>
      <c r="G12">
        <v>16966</v>
      </c>
      <c r="H12">
        <v>4937</v>
      </c>
      <c r="I12">
        <v>5461</v>
      </c>
      <c r="J12">
        <v>5233</v>
      </c>
      <c r="K12">
        <v>5118</v>
      </c>
      <c r="L12">
        <v>20749</v>
      </c>
      <c r="M12" s="5">
        <v>5770</v>
      </c>
      <c r="N12" s="58">
        <f>($Q$12-$M$12)/3</f>
        <v>6637.5201066094969</v>
      </c>
      <c r="O12" s="58">
        <f>($Q$12-$M$12)/3</f>
        <v>6637.5201066094969</v>
      </c>
      <c r="P12" s="58">
        <f>($Q$12-$M$12)/3</f>
        <v>6637.5201066094969</v>
      </c>
      <c r="Q12" s="56">
        <f>L12*(1+AA12)</f>
        <v>25682.560319828492</v>
      </c>
      <c r="R12" s="56">
        <f>Q12*1.25</f>
        <v>32103.200399785615</v>
      </c>
      <c r="S12" s="56">
        <f>R12*1.2</f>
        <v>38523.840479742736</v>
      </c>
      <c r="T12" s="56">
        <f t="shared" si="2"/>
        <v>42376.224527717015</v>
      </c>
      <c r="U12" s="56">
        <f t="shared" si="2"/>
        <v>46613.846980488721</v>
      </c>
      <c r="V12" s="56">
        <f t="shared" si="2"/>
        <v>51275.231678537595</v>
      </c>
      <c r="W12" s="56">
        <f t="shared" si="2"/>
        <v>56402.754846391363</v>
      </c>
      <c r="X12" s="56">
        <f t="shared" si="2"/>
        <v>62043.030331030503</v>
      </c>
      <c r="Y12" s="56">
        <f t="shared" si="2"/>
        <v>68247.333364133563</v>
      </c>
      <c r="Z12" s="56">
        <f t="shared" si="2"/>
        <v>75072.066700546929</v>
      </c>
      <c r="AA12" s="19">
        <f>(L12/B12)^(1/2)-1</f>
        <v>0.23777340208340125</v>
      </c>
    </row>
    <row r="13" spans="1:27" x14ac:dyDescent="0.35">
      <c r="A13" t="s">
        <v>4</v>
      </c>
      <c r="B13">
        <v>36732</v>
      </c>
      <c r="C13">
        <v>12851</v>
      </c>
      <c r="D13">
        <v>13569</v>
      </c>
      <c r="E13">
        <v>15067</v>
      </c>
      <c r="F13">
        <v>15940</v>
      </c>
      <c r="G13">
        <v>57427</v>
      </c>
      <c r="H13">
        <v>17463</v>
      </c>
      <c r="I13">
        <v>18465</v>
      </c>
      <c r="J13">
        <v>20640</v>
      </c>
      <c r="K13">
        <v>21632</v>
      </c>
      <c r="L13">
        <v>78200</v>
      </c>
      <c r="M13" s="5">
        <v>23732</v>
      </c>
      <c r="N13" s="57">
        <f>SUM(N11:N12)</f>
        <v>30793.023679295096</v>
      </c>
      <c r="O13" s="57">
        <f>SUM(O11:O12)</f>
        <v>30793.023679295096</v>
      </c>
      <c r="P13" s="57">
        <f>SUM(P11:P12)</f>
        <v>30793.023679295096</v>
      </c>
      <c r="Q13" s="56">
        <f>SUM(Q11:Q12)</f>
        <v>116111.0710378853</v>
      </c>
      <c r="R13" s="56">
        <f t="shared" ref="R13:Z13" si="4">SUM(R11:R12)</f>
        <v>145138.83879735661</v>
      </c>
      <c r="S13" s="56">
        <f t="shared" si="4"/>
        <v>174166.60655682793</v>
      </c>
      <c r="T13" s="56">
        <f t="shared" si="4"/>
        <v>191583.26721251075</v>
      </c>
      <c r="U13" s="56">
        <f t="shared" si="4"/>
        <v>479352.27125603275</v>
      </c>
      <c r="V13" s="56">
        <f t="shared" si="4"/>
        <v>717072.47934563598</v>
      </c>
      <c r="W13" s="56">
        <f t="shared" si="4"/>
        <v>1027300.9879641811</v>
      </c>
      <c r="X13" s="56">
        <f t="shared" si="4"/>
        <v>1423627.3675150936</v>
      </c>
      <c r="Y13" s="56">
        <f t="shared" si="4"/>
        <v>1586779.8651547944</v>
      </c>
      <c r="Z13" s="56">
        <f t="shared" si="4"/>
        <v>1776877.7245404238</v>
      </c>
      <c r="AA13" s="19"/>
    </row>
    <row r="14" spans="1:27" x14ac:dyDescent="0.35">
      <c r="A14" t="s">
        <v>73</v>
      </c>
      <c r="B14">
        <v>124148</v>
      </c>
      <c r="C14">
        <v>35594</v>
      </c>
      <c r="D14">
        <v>-565</v>
      </c>
      <c r="E14">
        <v>-1089</v>
      </c>
      <c r="F14">
        <v>-3099</v>
      </c>
      <c r="G14">
        <v>30841</v>
      </c>
      <c r="H14">
        <v>-7046</v>
      </c>
      <c r="I14">
        <v>-9506</v>
      </c>
      <c r="J14">
        <v>-13129</v>
      </c>
      <c r="K14">
        <v>54295</v>
      </c>
      <c r="L14">
        <v>24614</v>
      </c>
      <c r="M14" s="5">
        <v>14377</v>
      </c>
      <c r="N14" s="56">
        <f t="shared" ref="N14:Z14" si="5">N8-N13</f>
        <v>-8354.5209870590334</v>
      </c>
      <c r="O14" s="56">
        <f t="shared" si="5"/>
        <v>-2597.2765546772862</v>
      </c>
      <c r="P14" s="56">
        <f t="shared" si="5"/>
        <v>-678.19507721670016</v>
      </c>
      <c r="Q14" s="56">
        <f t="shared" si="5"/>
        <v>2747.0073810469767</v>
      </c>
      <c r="R14" s="56">
        <f t="shared" si="5"/>
        <v>-4978.3639537821582</v>
      </c>
      <c r="S14" s="56">
        <f t="shared" si="5"/>
        <v>-11082.840018136252</v>
      </c>
      <c r="T14" s="56">
        <f t="shared" si="5"/>
        <v>-1827.0970930159383</v>
      </c>
      <c r="U14" s="56">
        <f t="shared" si="5"/>
        <v>70988.949751498643</v>
      </c>
      <c r="V14" s="56">
        <f t="shared" si="5"/>
        <v>129664.60169353569</v>
      </c>
      <c r="W14" s="56">
        <f t="shared" si="5"/>
        <v>207452.59321508196</v>
      </c>
      <c r="X14" s="56">
        <f t="shared" si="5"/>
        <v>307986.80075546401</v>
      </c>
      <c r="Y14" s="56">
        <f t="shared" si="5"/>
        <v>344435.39284872357</v>
      </c>
      <c r="Z14" s="56">
        <f t="shared" si="5"/>
        <v>387417.72766274051</v>
      </c>
      <c r="AA14" s="19"/>
    </row>
    <row r="15" spans="1:27" x14ac:dyDescent="0.35"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7" x14ac:dyDescent="0.35">
      <c r="A16" s="2" t="s">
        <v>74</v>
      </c>
      <c r="B16">
        <v>968</v>
      </c>
      <c r="C16">
        <v>356</v>
      </c>
      <c r="D16">
        <v>408</v>
      </c>
      <c r="E16">
        <v>474</v>
      </c>
      <c r="F16">
        <v>497</v>
      </c>
      <c r="G16">
        <v>1735</v>
      </c>
      <c r="H16">
        <v>549</v>
      </c>
      <c r="I16">
        <v>572</v>
      </c>
      <c r="J16">
        <v>628</v>
      </c>
      <c r="K16">
        <v>783</v>
      </c>
      <c r="L16">
        <v>2532</v>
      </c>
      <c r="M16" s="5">
        <v>928</v>
      </c>
      <c r="N16" s="57">
        <f>BS!N38</f>
        <v>1056</v>
      </c>
      <c r="O16" s="57">
        <f>BS!O38</f>
        <v>1056</v>
      </c>
      <c r="P16" s="57">
        <f>BS!P38</f>
        <v>1056</v>
      </c>
      <c r="Q16" s="56">
        <f>BS!Q38</f>
        <v>4095.0374078756381</v>
      </c>
      <c r="R16" s="56">
        <f>BS!R38</f>
        <v>4299.7892782694198</v>
      </c>
      <c r="S16" s="56">
        <f>BS!S38</f>
        <v>4514.7787421828907</v>
      </c>
      <c r="T16" s="56">
        <f>BS!T38</f>
        <v>4740.5176792920356</v>
      </c>
      <c r="U16" s="56">
        <f>BS!U38</f>
        <v>4977.5435632566378</v>
      </c>
      <c r="V16" s="56">
        <f>BS!V38</f>
        <v>5226.4207414194698</v>
      </c>
      <c r="W16" s="56">
        <f>BS!W38</f>
        <v>5487.7417784904437</v>
      </c>
      <c r="X16" s="56">
        <f>BS!X38</f>
        <v>5762.1288674149664</v>
      </c>
      <c r="Y16" s="56">
        <f>BS!Y38</f>
        <v>6050.2353107857152</v>
      </c>
      <c r="Z16" s="56">
        <f>BS!Z38</f>
        <v>6352.7470763250012</v>
      </c>
    </row>
    <row r="17" spans="1:27" x14ac:dyDescent="0.35">
      <c r="A17" s="2" t="s">
        <v>75</v>
      </c>
      <c r="B17">
        <v>-8</v>
      </c>
      <c r="C17">
        <v>-12</v>
      </c>
      <c r="D17">
        <v>-11</v>
      </c>
      <c r="E17">
        <v>-11</v>
      </c>
      <c r="F17">
        <v>-11</v>
      </c>
      <c r="G17">
        <v>-45</v>
      </c>
      <c r="H17">
        <v>-12</v>
      </c>
      <c r="I17">
        <v>-8</v>
      </c>
      <c r="J17">
        <v>-11</v>
      </c>
      <c r="K17">
        <v>-9</v>
      </c>
      <c r="L17">
        <v>-40</v>
      </c>
      <c r="M17" s="5">
        <v>-9</v>
      </c>
      <c r="N17" s="58">
        <f>M17</f>
        <v>-9</v>
      </c>
      <c r="O17" s="57">
        <v>-9</v>
      </c>
      <c r="P17" s="57">
        <v>-9</v>
      </c>
      <c r="Q17" s="56">
        <f>SUM(M17:P17)</f>
        <v>-36</v>
      </c>
      <c r="R17" s="56">
        <f>Q17</f>
        <v>-36</v>
      </c>
      <c r="S17" s="56">
        <f t="shared" ref="S17:Z17" si="6">R17</f>
        <v>-36</v>
      </c>
      <c r="T17" s="56">
        <f t="shared" si="6"/>
        <v>-36</v>
      </c>
      <c r="U17" s="56">
        <f t="shared" si="6"/>
        <v>-36</v>
      </c>
      <c r="V17" s="56">
        <f t="shared" si="6"/>
        <v>-36</v>
      </c>
      <c r="W17" s="56">
        <f t="shared" si="6"/>
        <v>-36</v>
      </c>
      <c r="X17" s="56">
        <f t="shared" si="6"/>
        <v>-36</v>
      </c>
      <c r="Y17" s="56">
        <f t="shared" si="6"/>
        <v>-36</v>
      </c>
      <c r="Z17" s="56">
        <f t="shared" si="6"/>
        <v>-36</v>
      </c>
    </row>
    <row r="18" spans="1:27" x14ac:dyDescent="0.35">
      <c r="A18" s="2" t="s">
        <v>76</v>
      </c>
      <c r="B18">
        <v>347</v>
      </c>
      <c r="C18">
        <v>-15</v>
      </c>
      <c r="D18">
        <v>75</v>
      </c>
      <c r="E18">
        <v>-16</v>
      </c>
      <c r="F18">
        <v>-15</v>
      </c>
      <c r="G18">
        <v>29</v>
      </c>
      <c r="H18">
        <v>-13</v>
      </c>
      <c r="I18">
        <v>-15</v>
      </c>
      <c r="J18">
        <v>-17</v>
      </c>
      <c r="K18">
        <v>-114</v>
      </c>
      <c r="L18">
        <v>-159</v>
      </c>
      <c r="M18" s="5">
        <v>41</v>
      </c>
      <c r="N18" s="57">
        <v>-15</v>
      </c>
      <c r="O18" s="57">
        <v>-15</v>
      </c>
      <c r="P18" s="57">
        <v>-15</v>
      </c>
      <c r="Q18" s="56">
        <f>SUM(M18:P18)</f>
        <v>-4</v>
      </c>
      <c r="R18" s="56">
        <v>-60</v>
      </c>
      <c r="S18" s="56">
        <v>-60</v>
      </c>
      <c r="T18" s="56">
        <v>-60</v>
      </c>
      <c r="U18" s="56">
        <v>-60</v>
      </c>
      <c r="V18" s="56">
        <v>-60</v>
      </c>
      <c r="W18" s="56">
        <v>-60</v>
      </c>
      <c r="X18" s="56">
        <v>-60</v>
      </c>
      <c r="Y18" s="56">
        <v>-60</v>
      </c>
      <c r="Z18" s="56">
        <v>-60</v>
      </c>
    </row>
    <row r="19" spans="1:27" x14ac:dyDescent="0.35">
      <c r="A19" t="s">
        <v>5</v>
      </c>
      <c r="B19">
        <v>1307</v>
      </c>
      <c r="C19">
        <v>329</v>
      </c>
      <c r="D19">
        <v>472</v>
      </c>
      <c r="E19">
        <v>447</v>
      </c>
      <c r="F19">
        <v>471</v>
      </c>
      <c r="G19">
        <v>1719</v>
      </c>
      <c r="H19">
        <v>524</v>
      </c>
      <c r="I19">
        <v>549</v>
      </c>
      <c r="J19">
        <v>600</v>
      </c>
      <c r="K19">
        <v>660</v>
      </c>
      <c r="L19">
        <v>2333</v>
      </c>
      <c r="M19">
        <f>SUM(M16:M18)</f>
        <v>960</v>
      </c>
      <c r="N19" s="57">
        <f>SUM(N16:N18)</f>
        <v>1032</v>
      </c>
      <c r="O19" s="57">
        <f t="shared" ref="O19:Z19" si="7">SUM(O16:O18)</f>
        <v>1032</v>
      </c>
      <c r="P19" s="57">
        <f t="shared" si="7"/>
        <v>1032</v>
      </c>
      <c r="Q19" s="56">
        <f t="shared" si="7"/>
        <v>4055.0374078756381</v>
      </c>
      <c r="R19" s="56">
        <f t="shared" si="7"/>
        <v>4203.7892782694198</v>
      </c>
      <c r="S19" s="56">
        <f t="shared" si="7"/>
        <v>4418.7787421828907</v>
      </c>
      <c r="T19" s="56">
        <f t="shared" si="7"/>
        <v>4644.5176792920356</v>
      </c>
      <c r="U19" s="56">
        <f t="shared" si="7"/>
        <v>4881.5435632566378</v>
      </c>
      <c r="V19" s="56">
        <f t="shared" si="7"/>
        <v>5130.4207414194698</v>
      </c>
      <c r="W19" s="56">
        <f t="shared" si="7"/>
        <v>5391.7417784904437</v>
      </c>
      <c r="X19" s="56">
        <f t="shared" si="7"/>
        <v>5666.1288674149664</v>
      </c>
      <c r="Y19" s="56">
        <f t="shared" si="7"/>
        <v>5954.2353107857152</v>
      </c>
      <c r="Z19" s="56">
        <f t="shared" si="7"/>
        <v>6256.7470763250012</v>
      </c>
    </row>
    <row r="20" spans="1:27" x14ac:dyDescent="0.35">
      <c r="A20" t="s">
        <v>6</v>
      </c>
      <c r="B20">
        <v>125455</v>
      </c>
      <c r="C20">
        <v>35923</v>
      </c>
      <c r="D20">
        <v>-93</v>
      </c>
      <c r="E20">
        <v>-642</v>
      </c>
      <c r="F20">
        <v>-2628</v>
      </c>
      <c r="G20">
        <v>32560</v>
      </c>
      <c r="H20">
        <v>-6522</v>
      </c>
      <c r="I20">
        <v>-8957</v>
      </c>
      <c r="J20">
        <v>-12529</v>
      </c>
      <c r="K20">
        <v>54955</v>
      </c>
      <c r="L20">
        <v>26947</v>
      </c>
      <c r="M20" s="5">
        <v>15337</v>
      </c>
      <c r="N20" s="56">
        <f>N14+N19</f>
        <v>-7322.5209870590334</v>
      </c>
      <c r="O20" s="56">
        <f t="shared" ref="O20:Z20" si="8">O14+O19</f>
        <v>-1565.2765546772862</v>
      </c>
      <c r="P20" s="56">
        <f t="shared" si="8"/>
        <v>353.80492278329984</v>
      </c>
      <c r="Q20" s="56">
        <f t="shared" si="8"/>
        <v>6802.0447889226143</v>
      </c>
      <c r="R20" s="56">
        <f t="shared" si="8"/>
        <v>-774.57467551273839</v>
      </c>
      <c r="S20" s="56">
        <f t="shared" si="8"/>
        <v>-6664.0612759533615</v>
      </c>
      <c r="T20" s="56">
        <f t="shared" si="8"/>
        <v>2817.4205862760973</v>
      </c>
      <c r="U20" s="56">
        <f t="shared" si="8"/>
        <v>75870.49331475528</v>
      </c>
      <c r="V20" s="56">
        <f t="shared" si="8"/>
        <v>134795.02243495517</v>
      </c>
      <c r="W20" s="56">
        <f t="shared" si="8"/>
        <v>212844.33499357241</v>
      </c>
      <c r="X20" s="56">
        <f t="shared" si="8"/>
        <v>313652.92962287896</v>
      </c>
      <c r="Y20" s="56">
        <f t="shared" si="8"/>
        <v>350389.62815950927</v>
      </c>
      <c r="Z20" s="56">
        <f t="shared" si="8"/>
        <v>393674.47473906551</v>
      </c>
    </row>
    <row r="21" spans="1:27" x14ac:dyDescent="0.35">
      <c r="A21" t="s">
        <v>7</v>
      </c>
      <c r="B21">
        <v>-46463</v>
      </c>
      <c r="C21">
        <v>-9734</v>
      </c>
      <c r="D21">
        <v>-1552</v>
      </c>
      <c r="E21">
        <v>-434</v>
      </c>
      <c r="F21">
        <v>826</v>
      </c>
      <c r="G21">
        <v>-10894</v>
      </c>
      <c r="H21">
        <v>1542</v>
      </c>
      <c r="I21">
        <v>3565</v>
      </c>
      <c r="J21">
        <v>4103</v>
      </c>
      <c r="K21">
        <v>-18447</v>
      </c>
      <c r="L21">
        <v>-9237</v>
      </c>
      <c r="M21" s="5">
        <v>-3644</v>
      </c>
      <c r="N21" s="57">
        <f>N20*N37</f>
        <v>-1537.729407282397</v>
      </c>
      <c r="O21" s="57">
        <f>O20*O37</f>
        <v>-328.70807648223007</v>
      </c>
      <c r="P21" s="57">
        <v>0</v>
      </c>
      <c r="Q21" s="58">
        <f>SUM(M21:P21)</f>
        <v>-5510.4374837646274</v>
      </c>
      <c r="R21" s="57">
        <f t="shared" ref="R21:Z21" si="9">R20*R37</f>
        <v>-162.66068185767506</v>
      </c>
      <c r="S21" s="57">
        <f t="shared" si="9"/>
        <v>-1399.4528679502059</v>
      </c>
      <c r="T21" s="57">
        <f t="shared" si="9"/>
        <v>591.65832311798044</v>
      </c>
      <c r="U21" s="57">
        <f t="shared" si="9"/>
        <v>15932.803596098609</v>
      </c>
      <c r="V21" s="57">
        <f t="shared" si="9"/>
        <v>28306.954711340586</v>
      </c>
      <c r="W21" s="57">
        <f t="shared" si="9"/>
        <v>44697.310348650208</v>
      </c>
      <c r="X21" s="57">
        <f t="shared" si="9"/>
        <v>65867.115220804582</v>
      </c>
      <c r="Y21" s="57">
        <f t="shared" si="9"/>
        <v>73581.82191349694</v>
      </c>
      <c r="Z21" s="57">
        <f t="shared" si="9"/>
        <v>82671.639695203761</v>
      </c>
    </row>
    <row r="22" spans="1:27" x14ac:dyDescent="0.35">
      <c r="A22" t="s">
        <v>8</v>
      </c>
      <c r="B22">
        <v>78992</v>
      </c>
      <c r="C22">
        <v>26189</v>
      </c>
      <c r="D22">
        <v>-1645</v>
      </c>
      <c r="E22">
        <v>-1076</v>
      </c>
      <c r="F22">
        <v>-1802</v>
      </c>
      <c r="G22">
        <v>21666</v>
      </c>
      <c r="H22">
        <v>-4980</v>
      </c>
      <c r="I22">
        <v>-5392</v>
      </c>
      <c r="J22">
        <v>-8426</v>
      </c>
      <c r="K22">
        <v>36508</v>
      </c>
      <c r="L22">
        <v>17710</v>
      </c>
      <c r="M22" s="5">
        <v>11693</v>
      </c>
      <c r="N22" s="56">
        <f>N20+N21</f>
        <v>-8860.2503943414304</v>
      </c>
      <c r="O22" s="56">
        <f>O20+O21</f>
        <v>-1893.9846311595163</v>
      </c>
      <c r="P22" s="56">
        <f t="shared" ref="P22:Z22" si="10">P20-P21</f>
        <v>353.80492278329984</v>
      </c>
      <c r="Q22" s="56">
        <f>Q20+Q21</f>
        <v>1291.607305157987</v>
      </c>
      <c r="R22" s="56">
        <f t="shared" si="10"/>
        <v>-611.91399365506334</v>
      </c>
      <c r="S22" s="56">
        <f t="shared" si="10"/>
        <v>-5264.608408003156</v>
      </c>
      <c r="T22" s="56">
        <f t="shared" si="10"/>
        <v>2225.7622631581171</v>
      </c>
      <c r="U22" s="56">
        <f t="shared" si="10"/>
        <v>59937.689718656671</v>
      </c>
      <c r="V22" s="56">
        <f t="shared" si="10"/>
        <v>106488.06772361459</v>
      </c>
      <c r="W22" s="56">
        <f t="shared" si="10"/>
        <v>168147.0246449222</v>
      </c>
      <c r="X22" s="56">
        <f t="shared" si="10"/>
        <v>247785.81440207438</v>
      </c>
      <c r="Y22" s="56">
        <f t="shared" si="10"/>
        <v>276807.80624601233</v>
      </c>
      <c r="Z22" s="56">
        <f t="shared" si="10"/>
        <v>311002.83504386176</v>
      </c>
    </row>
    <row r="23" spans="1:27" x14ac:dyDescent="0.35">
      <c r="A23" t="s">
        <v>9</v>
      </c>
      <c r="B23">
        <v>4.0939103394661833</v>
      </c>
      <c r="C23">
        <v>1.3591260573978929</v>
      </c>
      <c r="D23">
        <v>-8.6940436551979278E-2</v>
      </c>
      <c r="E23">
        <v>-5.6682294684717908E-2</v>
      </c>
      <c r="F23">
        <v>-9.4662744274007143E-2</v>
      </c>
      <c r="G23">
        <v>1.1371885210408219</v>
      </c>
      <c r="H23">
        <v>-0.26158209895997481</v>
      </c>
      <c r="I23">
        <v>-0.28308920039901297</v>
      </c>
      <c r="J23">
        <v>-0.44159111157696135</v>
      </c>
      <c r="K23">
        <v>1.8616082810667482</v>
      </c>
      <c r="L23">
        <v>0.91255732467666306</v>
      </c>
      <c r="M23" s="31">
        <v>0.59</v>
      </c>
      <c r="N23" s="57">
        <f>N22/N26</f>
        <v>-0.44217239217194482</v>
      </c>
      <c r="O23" s="57">
        <f t="shared" ref="O23:Z23" si="11">O22/O26</f>
        <v>-9.3817348482242741E-2</v>
      </c>
      <c r="P23" s="57">
        <f t="shared" si="11"/>
        <v>1.739624952223915E-2</v>
      </c>
      <c r="Q23" s="57">
        <f t="shared" si="11"/>
        <v>6.4193598824978854E-2</v>
      </c>
      <c r="R23" s="57">
        <f t="shared" si="11"/>
        <v>-3.0113136667654011E-2</v>
      </c>
      <c r="S23" s="57">
        <f t="shared" si="11"/>
        <v>-0.25655361263142495</v>
      </c>
      <c r="T23" s="57">
        <f t="shared" si="11"/>
        <v>0.10741836650457842</v>
      </c>
      <c r="U23" s="57">
        <f t="shared" si="11"/>
        <v>2.8650218550539743</v>
      </c>
      <c r="V23" s="57">
        <f t="shared" si="11"/>
        <v>5.0419292972995233</v>
      </c>
      <c r="W23" s="57">
        <f t="shared" si="11"/>
        <v>7.8866360847504611</v>
      </c>
      <c r="X23" s="57">
        <f t="shared" si="11"/>
        <v>11.513943189148689</v>
      </c>
      <c r="Y23" s="57">
        <f t="shared" si="11"/>
        <v>12.744080764531772</v>
      </c>
      <c r="Z23" s="57">
        <f t="shared" si="11"/>
        <v>14.187761914366085</v>
      </c>
    </row>
    <row r="24" spans="1:27" x14ac:dyDescent="0.35">
      <c r="M24" s="56">
        <f>M20+M21</f>
        <v>11693</v>
      </c>
      <c r="N24" s="56">
        <f>N20+N21</f>
        <v>-8860.2503943414304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7" x14ac:dyDescent="0.35">
      <c r="A25" t="s">
        <v>10</v>
      </c>
      <c r="B25">
        <v>18673</v>
      </c>
      <c r="C25">
        <v>18776</v>
      </c>
      <c r="D25">
        <v>18921</v>
      </c>
      <c r="E25">
        <v>18983</v>
      </c>
      <c r="F25">
        <v>19036</v>
      </c>
      <c r="G25">
        <v>18929</v>
      </c>
      <c r="H25">
        <v>19038</v>
      </c>
      <c r="I25">
        <v>19047</v>
      </c>
      <c r="J25">
        <v>19081</v>
      </c>
      <c r="K25">
        <v>19097</v>
      </c>
      <c r="L25">
        <v>19065.75</v>
      </c>
      <c r="M25" s="5">
        <v>19130</v>
      </c>
      <c r="N25" s="57">
        <f>N42</f>
        <v>19250</v>
      </c>
      <c r="O25" s="57">
        <f t="shared" ref="O25:Z25" si="12">O42</f>
        <v>19400</v>
      </c>
      <c r="P25" s="57">
        <f t="shared" si="12"/>
        <v>19550</v>
      </c>
      <c r="Q25" s="57">
        <f t="shared" si="12"/>
        <v>19330</v>
      </c>
      <c r="R25" s="57">
        <f t="shared" si="12"/>
        <v>19530</v>
      </c>
      <c r="S25" s="57">
        <f t="shared" si="12"/>
        <v>19730</v>
      </c>
      <c r="T25" s="57">
        <f t="shared" si="12"/>
        <v>19930</v>
      </c>
      <c r="U25" s="57">
        <f t="shared" si="12"/>
        <v>20130</v>
      </c>
      <c r="V25" s="57">
        <f t="shared" si="12"/>
        <v>20330</v>
      </c>
      <c r="W25" s="57">
        <f t="shared" si="12"/>
        <v>20530</v>
      </c>
      <c r="X25" s="57">
        <f t="shared" si="12"/>
        <v>20730</v>
      </c>
      <c r="Y25" s="57">
        <f t="shared" si="12"/>
        <v>20930</v>
      </c>
      <c r="Z25" s="57">
        <f t="shared" si="12"/>
        <v>21130</v>
      </c>
    </row>
    <row r="26" spans="1:27" x14ac:dyDescent="0.35">
      <c r="A26" t="s">
        <v>11</v>
      </c>
      <c r="B26">
        <v>19295</v>
      </c>
      <c r="C26">
        <v>19269</v>
      </c>
      <c r="D26">
        <v>18921</v>
      </c>
      <c r="E26">
        <v>18983</v>
      </c>
      <c r="F26">
        <v>19036</v>
      </c>
      <c r="G26">
        <v>19052.25</v>
      </c>
      <c r="H26">
        <v>19038</v>
      </c>
      <c r="I26">
        <v>19047</v>
      </c>
      <c r="J26">
        <v>19081</v>
      </c>
      <c r="K26">
        <v>19611</v>
      </c>
      <c r="L26">
        <v>19407</v>
      </c>
      <c r="M26" s="5">
        <v>19918</v>
      </c>
      <c r="N26" s="58">
        <f>M26+120</f>
        <v>20038</v>
      </c>
      <c r="O26" s="58">
        <f>N26+150</f>
        <v>20188</v>
      </c>
      <c r="P26" s="58">
        <f>O26+150</f>
        <v>20338</v>
      </c>
      <c r="Q26" s="58">
        <f>AVERAGE(M26:P26)</f>
        <v>20120.5</v>
      </c>
      <c r="R26" s="58">
        <f>Q26+200</f>
        <v>20320.5</v>
      </c>
      <c r="S26" s="58">
        <f t="shared" ref="S26:Z26" si="13">R26+200</f>
        <v>20520.5</v>
      </c>
      <c r="T26" s="58">
        <f t="shared" si="13"/>
        <v>20720.5</v>
      </c>
      <c r="U26" s="58">
        <f t="shared" si="13"/>
        <v>20920.5</v>
      </c>
      <c r="V26" s="58">
        <f t="shared" si="13"/>
        <v>21120.5</v>
      </c>
      <c r="W26" s="58">
        <f t="shared" si="13"/>
        <v>21320.5</v>
      </c>
      <c r="X26" s="58">
        <f t="shared" si="13"/>
        <v>21520.5</v>
      </c>
      <c r="Y26" s="58">
        <f t="shared" si="13"/>
        <v>21720.5</v>
      </c>
      <c r="Z26" s="58">
        <f t="shared" si="13"/>
        <v>21920.5</v>
      </c>
    </row>
    <row r="27" spans="1:27" x14ac:dyDescent="0.35"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7" x14ac:dyDescent="0.35"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7" ht="15" thickBot="1" x14ac:dyDescent="0.4"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7" ht="15" thickBot="1" x14ac:dyDescent="0.4">
      <c r="A30" s="44" t="s">
        <v>192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46"/>
    </row>
    <row r="31" spans="1:27" x14ac:dyDescent="0.35">
      <c r="A31" s="47" t="s">
        <v>193</v>
      </c>
      <c r="B31" s="48" t="str">
        <f>IFERROR(B8/B10,"NA")</f>
        <v>NA</v>
      </c>
      <c r="C31" s="48" t="str">
        <f t="shared" ref="C31:M31" si="14">IFERROR(C8/C10,"NA")</f>
        <v>NA</v>
      </c>
      <c r="D31" s="48" t="str">
        <f t="shared" si="14"/>
        <v>NA</v>
      </c>
      <c r="E31" s="48" t="str">
        <f t="shared" si="14"/>
        <v>NA</v>
      </c>
      <c r="F31" s="48" t="str">
        <f t="shared" si="14"/>
        <v>NA</v>
      </c>
      <c r="G31" s="48" t="str">
        <f t="shared" si="14"/>
        <v>NA</v>
      </c>
      <c r="H31" s="48" t="str">
        <f t="shared" si="14"/>
        <v>NA</v>
      </c>
      <c r="I31" s="48" t="str">
        <f t="shared" si="14"/>
        <v>NA</v>
      </c>
      <c r="J31" s="48" t="str">
        <f t="shared" si="14"/>
        <v>NA</v>
      </c>
      <c r="K31" s="48" t="str">
        <f t="shared" si="14"/>
        <v>NA</v>
      </c>
      <c r="L31" s="48" t="str">
        <f t="shared" si="14"/>
        <v>NA</v>
      </c>
      <c r="M31" s="48" t="str">
        <f t="shared" si="14"/>
        <v>NA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7"/>
    </row>
    <row r="32" spans="1:27" x14ac:dyDescent="0.35">
      <c r="A32" s="47" t="s">
        <v>194</v>
      </c>
      <c r="B32" s="48" t="str">
        <f>IFERROR(1-B31,"NA")</f>
        <v>NA</v>
      </c>
      <c r="C32" s="48" t="str">
        <f t="shared" ref="C32:M32" si="15">IFERROR(1-C31,"NA")</f>
        <v>NA</v>
      </c>
      <c r="D32" s="48" t="str">
        <f t="shared" si="15"/>
        <v>NA</v>
      </c>
      <c r="E32" s="48" t="str">
        <f t="shared" si="15"/>
        <v>NA</v>
      </c>
      <c r="F32" s="48" t="str">
        <f t="shared" si="15"/>
        <v>NA</v>
      </c>
      <c r="G32" s="48" t="str">
        <f t="shared" si="15"/>
        <v>NA</v>
      </c>
      <c r="H32" s="48" t="str">
        <f t="shared" si="15"/>
        <v>NA</v>
      </c>
      <c r="I32" s="48" t="str">
        <f t="shared" si="15"/>
        <v>NA</v>
      </c>
      <c r="J32" s="48" t="str">
        <f t="shared" si="15"/>
        <v>NA</v>
      </c>
      <c r="K32" s="48" t="str">
        <f t="shared" si="15"/>
        <v>NA</v>
      </c>
      <c r="L32" s="48" t="str">
        <f t="shared" si="15"/>
        <v>NA</v>
      </c>
      <c r="M32" s="48" t="str">
        <f t="shared" si="15"/>
        <v>NA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7"/>
    </row>
    <row r="33" spans="1:27" x14ac:dyDescent="0.35">
      <c r="A33" s="47" t="s">
        <v>196</v>
      </c>
      <c r="B33" s="48">
        <f>IFERROR(B11/B8,NA)</f>
        <v>0.14413848831427151</v>
      </c>
      <c r="C33" s="48">
        <f>IFERROR(C11/C8,NA)</f>
        <v>0.18645887088450822</v>
      </c>
      <c r="D33" s="49">
        <f>IFERROR(D11/D8,NA)</f>
        <v>0.70309135650569055</v>
      </c>
      <c r="E33" s="49">
        <f>IFERROR(E11/E8,NA)</f>
        <v>0.77156960938617825</v>
      </c>
      <c r="F33" s="49">
        <f>IFERROR(F11/F8,NA)</f>
        <v>0.89556888092827658</v>
      </c>
      <c r="G33" s="48">
        <f>IFERROR(G11/G8,NA)</f>
        <v>0.45838809081433818</v>
      </c>
      <c r="H33" s="49">
        <f>IFERROR(H11/H8,NA)</f>
        <v>1.2024575213593165</v>
      </c>
      <c r="I33" s="49">
        <f>IFERROR(I11/I8,NA)</f>
        <v>1.4515012836254046</v>
      </c>
      <c r="J33" s="49">
        <f>IFERROR(J11/J8,NA)</f>
        <v>2.0512581547064306</v>
      </c>
      <c r="K33" s="48">
        <f>IFERROR(K11/K8,NA)</f>
        <v>0.21749838660818943</v>
      </c>
      <c r="L33" s="48">
        <f>IFERROR(L11/L8,NA)</f>
        <v>0.55878576847511041</v>
      </c>
      <c r="M33" s="48">
        <f>IFERROR(M11/M8,NA)</f>
        <v>0.47133223123146761</v>
      </c>
      <c r="N33" s="61">
        <f>IFERROR(N11/N8,NA)</f>
        <v>1.0765202965634439</v>
      </c>
      <c r="O33" s="61">
        <f>IFERROR(O11/O8,NA)</f>
        <v>0.85670734192375209</v>
      </c>
      <c r="P33" s="61">
        <f>IFERROR(P11/P8,NA)</f>
        <v>0.80211326758202073</v>
      </c>
      <c r="Q33" s="61">
        <f>IFERROR(Q11/Q8,NA)</f>
        <v>0.76081080832662129</v>
      </c>
      <c r="R33" s="61">
        <f>IFERROR(R11/R8,NA)</f>
        <v>0.80647299835223862</v>
      </c>
      <c r="S33" s="61">
        <f>IFERROR(S11/S8,NA)</f>
        <v>0.83173677525349465</v>
      </c>
      <c r="T33" s="61">
        <f>IFERROR(T11/T8,NA)</f>
        <v>0.78630930731176674</v>
      </c>
      <c r="U33" s="61">
        <f>IFERROR(U11/U8,NA)</f>
        <v>0.78630930731176685</v>
      </c>
      <c r="V33" s="61">
        <f>IFERROR(V11/V8,NA)</f>
        <v>0.78630930731176685</v>
      </c>
      <c r="W33" s="61">
        <f>IFERROR(W11/W8,NA)</f>
        <v>0.78630930731176674</v>
      </c>
      <c r="X33" s="61">
        <f>IFERROR(X11/X8,NA)</f>
        <v>0.78630930731176663</v>
      </c>
      <c r="Y33" s="61">
        <f>IFERROR(Y11/Y8,NA)</f>
        <v>0.78630930731176663</v>
      </c>
      <c r="Z33" s="61">
        <f>IFERROR(Z11/Z8,NA)</f>
        <v>0.78630930731176663</v>
      </c>
      <c r="AA33" s="47"/>
    </row>
    <row r="34" spans="1:27" x14ac:dyDescent="0.35">
      <c r="A34" s="47" t="s">
        <v>195</v>
      </c>
      <c r="B34" s="48">
        <f>IFERROR(B12/B8,NA)</f>
        <v>8.4180755842864247E-2</v>
      </c>
      <c r="C34" s="48">
        <f>IFERROR(C12/C8,NA)</f>
        <v>7.8811022809371453E-2</v>
      </c>
      <c r="D34" s="48">
        <f>IFERROR(D12/D8,NA)</f>
        <v>0.34035681328821898</v>
      </c>
      <c r="E34" s="48">
        <f>IFERROR(E12/E8,NA)</f>
        <v>0.30633853197882388</v>
      </c>
      <c r="F34" s="48">
        <f>IFERROR(F12/F8,NA)</f>
        <v>0.34576746359317811</v>
      </c>
      <c r="G34" s="48">
        <f>IFERROR(G12/G8,NA)</f>
        <v>0.19221008746091447</v>
      </c>
      <c r="H34" s="48">
        <f>IFERROR(H12/H8,NA)</f>
        <v>0.47393683402131132</v>
      </c>
      <c r="I34" s="48">
        <f>IFERROR(I12/I8,NA)</f>
        <v>0.60955463779439667</v>
      </c>
      <c r="J34" s="48">
        <f>IFERROR(J12/J8,NA)</f>
        <v>0.69671148981493813</v>
      </c>
      <c r="K34" s="48">
        <f>IFERROR(K12/K8,NA)</f>
        <v>6.7406851317713068E-2</v>
      </c>
      <c r="L34" s="48">
        <f>IFERROR(L12/L8,NA)</f>
        <v>0.20181103740735698</v>
      </c>
      <c r="M34" s="48">
        <f>IFERROR(M12/M8,NA)</f>
        <v>0.15140780393082998</v>
      </c>
      <c r="N34" s="61">
        <f>IFERROR(N12/N8,NA)</f>
        <v>0.29580940393612548</v>
      </c>
      <c r="O34" s="61">
        <f>IFERROR(O12/O8,NA)</f>
        <v>0.23540855566881766</v>
      </c>
      <c r="P34" s="61">
        <f>IFERROR(P12/P8,NA)</f>
        <v>0.22040703582657628</v>
      </c>
      <c r="Q34" s="61">
        <f>IFERROR(Q12/Q8,NA)</f>
        <v>0.21607753264617521</v>
      </c>
      <c r="R34" s="61">
        <f>IFERROR(R12/R8,NA)</f>
        <v>0.22904603052760963</v>
      </c>
      <c r="S34" s="61">
        <f>IFERROR(S12/S8,NA)</f>
        <v>0.23622118434824685</v>
      </c>
      <c r="T34" s="61">
        <f>IFERROR(T12/T8,NA)</f>
        <v>0.2233193497794117</v>
      </c>
      <c r="U34" s="61">
        <f>IFERROR(U12/U8,NA)</f>
        <v>8.4699901081643339E-2</v>
      </c>
      <c r="V34" s="61">
        <f>IFERROR(V12/V8,NA)</f>
        <v>6.0556261000887367E-2</v>
      </c>
      <c r="W34" s="61">
        <f>IFERROR(W12/W8,NA)</f>
        <v>4.567936121515305E-2</v>
      </c>
      <c r="X34" s="61">
        <f>IFERROR(X12/X8,NA)</f>
        <v>3.5829592681720618E-2</v>
      </c>
      <c r="Y34" s="61">
        <f>IFERROR(Y12/Y8,NA)</f>
        <v>3.5339060770826429E-2</v>
      </c>
      <c r="Z34" s="61">
        <f>IFERROR(Z12/Z8,NA)</f>
        <v>3.4686607424197394E-2</v>
      </c>
      <c r="AA34" s="47"/>
    </row>
    <row r="35" spans="1:27" x14ac:dyDescent="0.35">
      <c r="A35" s="47" t="s">
        <v>197</v>
      </c>
      <c r="B35" s="48">
        <f>IFERROR(B14/B8,NA)</f>
        <v>0.77168075584286422</v>
      </c>
      <c r="C35" s="48">
        <f>IFERROR(C14/C8,NA)</f>
        <v>0.73473010630612035</v>
      </c>
      <c r="D35" s="48">
        <f>IFERROR(D14/D8,NA)</f>
        <v>-4.3448169793909565E-2</v>
      </c>
      <c r="E35" s="48">
        <f>IFERROR(E14/E8,NA)</f>
        <v>-7.790814136500214E-2</v>
      </c>
      <c r="F35" s="48">
        <f>IFERROR(F14/F8,NA)</f>
        <v>-0.24133634452145472</v>
      </c>
      <c r="G35" s="48">
        <f>IFERROR(G14/G8,NA)</f>
        <v>0.34940182172474737</v>
      </c>
      <c r="H35" s="48">
        <f>IFERROR(H14/H8,NA)</f>
        <v>-0.67639435538062787</v>
      </c>
      <c r="I35" s="48">
        <f>IFERROR(I14/I8,NA)</f>
        <v>-1.0610559214198012</v>
      </c>
      <c r="J35" s="48">
        <f>IFERROR(J14/J8,NA)</f>
        <v>-1.7479696445213686</v>
      </c>
      <c r="K35" s="48">
        <f>IFERROR(K14/K8,NA)</f>
        <v>0.7150947620740975</v>
      </c>
      <c r="L35" s="48">
        <f>IFERROR(L14/L8,NA)</f>
        <v>0.23940319411753264</v>
      </c>
      <c r="M35" s="48">
        <f>IFERROR(M14/M8,NA)</f>
        <v>0.37725996483770236</v>
      </c>
      <c r="N35" s="61">
        <f>IFERROR(N14/N8,NA)</f>
        <v>-0.37232970049956932</v>
      </c>
      <c r="O35" s="61">
        <f>IFERROR(O14/O8,NA)</f>
        <v>-9.2115897592569718E-2</v>
      </c>
      <c r="P35" s="61">
        <f>IFERROR(P14/P8,NA)</f>
        <v>-2.2520303408596988E-2</v>
      </c>
      <c r="Q35" s="61">
        <f>IFERROR(Q14/Q8,NA)</f>
        <v>2.3111659027203493E-2</v>
      </c>
      <c r="R35" s="61">
        <f>IFERROR(R14/R8,NA)</f>
        <v>-3.5519028879848202E-2</v>
      </c>
      <c r="S35" s="61">
        <f>IFERROR(S14/S8,NA)</f>
        <v>-6.7957959601741502E-2</v>
      </c>
      <c r="T35" s="61">
        <f>IFERROR(T14/T8,NA)</f>
        <v>-9.6286570911784507E-3</v>
      </c>
      <c r="U35" s="61">
        <f>IFERROR(U14/U8,NA)</f>
        <v>0.12899079160658977</v>
      </c>
      <c r="V35" s="61">
        <f>IFERROR(V14/V8,NA)</f>
        <v>0.15313443168734589</v>
      </c>
      <c r="W35" s="61">
        <f>IFERROR(W14/W8,NA)</f>
        <v>0.16801133147308014</v>
      </c>
      <c r="X35" s="61">
        <f>IFERROR(X14/X8,NA)</f>
        <v>0.17786110000651273</v>
      </c>
      <c r="Y35" s="61">
        <f>IFERROR(Y14/Y8,NA)</f>
        <v>0.17835163191740697</v>
      </c>
      <c r="Z35" s="61">
        <f>IFERROR(Z14/Z8,NA)</f>
        <v>0.17900408526403597</v>
      </c>
      <c r="AA35" s="47"/>
    </row>
    <row r="36" spans="1:27" x14ac:dyDescent="0.35">
      <c r="A36" s="47" t="s">
        <v>198</v>
      </c>
      <c r="B36" s="48">
        <f>IFERROR(B20/B8,NA)</f>
        <v>0.77980482347090996</v>
      </c>
      <c r="C36" s="48">
        <f>IFERROR(C20/C8,NA)</f>
        <v>0.74152131282898137</v>
      </c>
      <c r="D36" s="48">
        <f>IFERROR(D20/D8,NA)</f>
        <v>-7.151645647493079E-3</v>
      </c>
      <c r="E36" s="48">
        <f>IFERROR(E20/E8,NA)</f>
        <v>-4.5929317498926883E-2</v>
      </c>
      <c r="F36" s="48">
        <f>IFERROR(F20/F8,NA)</f>
        <v>-0.20465695818082705</v>
      </c>
      <c r="G36" s="48">
        <f>IFERROR(G20/G8,NA)</f>
        <v>0.36887660307246112</v>
      </c>
      <c r="H36" s="48">
        <f>IFERROR(H20/H8,NA)</f>
        <v>-0.62609196505711817</v>
      </c>
      <c r="I36" s="48">
        <f>IFERROR(I20/I8,NA)</f>
        <v>-0.99977676079919631</v>
      </c>
      <c r="J36" s="48">
        <f>IFERROR(J20/J8,NA)</f>
        <v>-1.6680868060178404</v>
      </c>
      <c r="K36" s="48">
        <f>IFERROR(K20/K8,NA)</f>
        <v>0.72378732203300533</v>
      </c>
      <c r="L36" s="48">
        <f>IFERROR(L20/L8,NA)</f>
        <v>0.2620946563697551</v>
      </c>
      <c r="M36" s="48">
        <f>IFERROR(M20/M8,NA)</f>
        <v>0.40245086462515417</v>
      </c>
      <c r="N36" s="61">
        <f>IFERROR(N20/N8,NA)</f>
        <v>-0.3263373268481366</v>
      </c>
      <c r="O36" s="61">
        <f>IFERROR(O20/O8,NA)</f>
        <v>-5.5514633031682907E-2</v>
      </c>
      <c r="P36" s="61">
        <f>IFERROR(P20/P8,NA)</f>
        <v>1.1748528522552565E-2</v>
      </c>
      <c r="Q36" s="61">
        <f>IFERROR(Q20/Q8,NA)</f>
        <v>5.7228291752688745E-2</v>
      </c>
      <c r="R36" s="61">
        <f>IFERROR(R20/R8,NA)</f>
        <v>-5.5263416906742033E-3</v>
      </c>
      <c r="S36" s="61">
        <f>IFERROR(S20/S8,NA)</f>
        <v>-4.0862811899627732E-2</v>
      </c>
      <c r="T36" s="61">
        <f>IFERROR(T20/T8,NA)</f>
        <v>1.4847583530495414E-2</v>
      </c>
      <c r="U36" s="61">
        <f>IFERROR(U20/U8,NA)</f>
        <v>0.13786082237462818</v>
      </c>
      <c r="V36" s="61">
        <f>IFERROR(V20/V8,NA)</f>
        <v>0.15919347983381785</v>
      </c>
      <c r="W36" s="61">
        <f>IFERROR(W20/W8,NA)</f>
        <v>0.1723779855655842</v>
      </c>
      <c r="X36" s="61">
        <f>IFERROR(X20/X8,NA)</f>
        <v>0.18113326592617252</v>
      </c>
      <c r="Y36" s="61">
        <f>IFERROR(Y20/Y8,NA)</f>
        <v>0.18143478657150863</v>
      </c>
      <c r="Z36" s="61">
        <f>IFERROR(Z20/Z8,NA)</f>
        <v>0.1818949784967302</v>
      </c>
      <c r="AA36" s="47"/>
    </row>
    <row r="37" spans="1:27" x14ac:dyDescent="0.35">
      <c r="A37" s="47" t="s">
        <v>199</v>
      </c>
      <c r="B37" s="48">
        <f>IFERROR(-B21/B8,NA)</f>
        <v>0.28880532073595228</v>
      </c>
      <c r="C37" s="48">
        <f>IFERROR(-C21/C8,NA)</f>
        <v>0.20092888843017856</v>
      </c>
      <c r="D37" s="48">
        <f>IFERROR(-D21/D8,NA)</f>
        <v>0.11934789295601353</v>
      </c>
      <c r="E37" s="48">
        <f>IFERROR(-E21/E8,NA)</f>
        <v>3.1048790957218485E-2</v>
      </c>
      <c r="F37" s="48">
        <f>IFERROR(-F21/F8,NA)</f>
        <v>-6.4325208317109264E-2</v>
      </c>
      <c r="G37" s="48">
        <f>IFERROR(-G21/G8,NA)</f>
        <v>0.12341958580686092</v>
      </c>
      <c r="H37" s="48">
        <f>IFERROR(-H21/H8,NA)</f>
        <v>-0.14802726312757991</v>
      </c>
      <c r="I37" s="48">
        <f>IFERROR(-I21/I8,NA)</f>
        <v>-0.39792387543252594</v>
      </c>
      <c r="J37" s="48">
        <f>IFERROR(-J21/J8,NA)</f>
        <v>-0.54626547729996011</v>
      </c>
      <c r="K37" s="48">
        <f>IFERROR(-K21/K8,NA)</f>
        <v>0.24295705085147576</v>
      </c>
      <c r="L37" s="48">
        <f>IFERROR(-L21/L8,NA)</f>
        <v>8.9841850331666889E-2</v>
      </c>
      <c r="M37" s="48">
        <f>IFERROR(-M21/M8,NA)</f>
        <v>9.5620457109869064E-2</v>
      </c>
      <c r="N37" s="62">
        <v>0.21</v>
      </c>
      <c r="O37" s="62">
        <v>0.21</v>
      </c>
      <c r="P37" s="62">
        <v>0.21</v>
      </c>
      <c r="Q37" s="62">
        <v>0.21</v>
      </c>
      <c r="R37" s="62">
        <v>0.21</v>
      </c>
      <c r="S37" s="62">
        <v>0.21</v>
      </c>
      <c r="T37" s="62">
        <v>0.21</v>
      </c>
      <c r="U37" s="62">
        <v>0.21</v>
      </c>
      <c r="V37" s="62">
        <v>0.21</v>
      </c>
      <c r="W37" s="62">
        <v>0.21</v>
      </c>
      <c r="X37" s="62">
        <v>0.21</v>
      </c>
      <c r="Y37" s="62">
        <v>0.21</v>
      </c>
      <c r="Z37" s="62">
        <v>0.21</v>
      </c>
      <c r="AA37" s="47"/>
    </row>
    <row r="38" spans="1:27" x14ac:dyDescent="0.35">
      <c r="A38" s="47" t="s">
        <v>200</v>
      </c>
      <c r="B38" s="48">
        <f>IFERROR(B22/B8,NA)</f>
        <v>0.49099950273495774</v>
      </c>
      <c r="C38" s="48">
        <f>IFERROR(C22/C8,NA)</f>
        <v>0.54059242439880273</v>
      </c>
      <c r="D38" s="48">
        <f>IFERROR(D22/D8,NA)</f>
        <v>-0.1264995386035066</v>
      </c>
      <c r="E38" s="48">
        <f>IFERROR(E22/E8,NA)</f>
        <v>-7.6978108456145375E-2</v>
      </c>
      <c r="F38" s="48">
        <f>IFERROR(F22/F8,NA)</f>
        <v>-0.14033174986371777</v>
      </c>
      <c r="G38" s="48">
        <f>IFERROR(G22/G8,NA)</f>
        <v>0.24545701726560021</v>
      </c>
      <c r="H38" s="48">
        <f>IFERROR(H22/H8,NA)</f>
        <v>-0.47806470192953826</v>
      </c>
      <c r="I38" s="48">
        <f>IFERROR(I22/I8,NA)</f>
        <v>-0.60185288536667036</v>
      </c>
      <c r="J38" s="48">
        <f>IFERROR(J22/J8,NA)</f>
        <v>-1.1218213287178804</v>
      </c>
      <c r="K38" s="48">
        <f>IFERROR(K22/K8,NA)</f>
        <v>0.4808302711815296</v>
      </c>
      <c r="L38" s="48">
        <f>IFERROR(L22/L8,NA)</f>
        <v>0.17225280603808821</v>
      </c>
      <c r="M38" s="48">
        <f>IFERROR(M22/M8,NA)</f>
        <v>0.30683040751528512</v>
      </c>
      <c r="N38" s="61">
        <f>IFERROR(N22/N8,NA)</f>
        <v>-0.39486816548624531</v>
      </c>
      <c r="O38" s="61">
        <f>IFERROR(O22/O8,NA)</f>
        <v>-6.7172705968336313E-2</v>
      </c>
      <c r="P38" s="61">
        <f>IFERROR(P22/P8,NA)</f>
        <v>1.1748528522552565E-2</v>
      </c>
      <c r="Q38" s="61">
        <f>IFERROR(Q22/Q8,NA)</f>
        <v>1.0866802848734711E-2</v>
      </c>
      <c r="R38" s="61">
        <f>IFERROR(R22/R8,NA)</f>
        <v>-4.3658099356326209E-3</v>
      </c>
      <c r="S38" s="61">
        <f>IFERROR(S22/S8,NA)</f>
        <v>-3.2281621400705909E-2</v>
      </c>
      <c r="T38" s="61">
        <f>IFERROR(T22/T8,NA)</f>
        <v>1.1729590989091378E-2</v>
      </c>
      <c r="U38" s="61">
        <f>IFERROR(U22/U8,NA)</f>
        <v>0.10891004967595627</v>
      </c>
      <c r="V38" s="61">
        <f>IFERROR(V22/V8,NA)</f>
        <v>0.1257628490687161</v>
      </c>
      <c r="W38" s="61">
        <f>IFERROR(W22/W8,NA)</f>
        <v>0.13617860859681152</v>
      </c>
      <c r="X38" s="61">
        <f>IFERROR(X22/X8,NA)</f>
        <v>0.1430952800816763</v>
      </c>
      <c r="Y38" s="61">
        <f>IFERROR(Y22/Y8,NA)</f>
        <v>0.14333348139149182</v>
      </c>
      <c r="Z38" s="61">
        <f>IFERROR(Z22/Z8,NA)</f>
        <v>0.14369703301241685</v>
      </c>
      <c r="AA38" s="47"/>
    </row>
    <row r="39" spans="1:27" x14ac:dyDescent="0.35"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7" x14ac:dyDescent="0.35"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7" x14ac:dyDescent="0.35"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7" x14ac:dyDescent="0.35">
      <c r="A42" t="s">
        <v>222</v>
      </c>
      <c r="B42">
        <f>B25</f>
        <v>18673</v>
      </c>
      <c r="C42">
        <f t="shared" ref="C42:M42" si="16">C25</f>
        <v>18776</v>
      </c>
      <c r="D42">
        <f t="shared" si="16"/>
        <v>18921</v>
      </c>
      <c r="E42">
        <f t="shared" si="16"/>
        <v>18983</v>
      </c>
      <c r="F42">
        <f t="shared" si="16"/>
        <v>19036</v>
      </c>
      <c r="G42">
        <f t="shared" si="16"/>
        <v>18929</v>
      </c>
      <c r="H42">
        <f t="shared" si="16"/>
        <v>19038</v>
      </c>
      <c r="I42">
        <f t="shared" si="16"/>
        <v>19047</v>
      </c>
      <c r="J42">
        <f t="shared" si="16"/>
        <v>19081</v>
      </c>
      <c r="K42">
        <f t="shared" si="16"/>
        <v>19097</v>
      </c>
      <c r="L42">
        <f t="shared" si="16"/>
        <v>19065.75</v>
      </c>
      <c r="M42">
        <f t="shared" si="16"/>
        <v>19130</v>
      </c>
      <c r="N42" s="57">
        <f>M42+120</f>
        <v>19250</v>
      </c>
      <c r="O42" s="57">
        <f>N42+150</f>
        <v>19400</v>
      </c>
      <c r="P42" s="57">
        <f>O42+150</f>
        <v>19550</v>
      </c>
      <c r="Q42" s="57">
        <f>M42+$B$47</f>
        <v>19330</v>
      </c>
      <c r="R42" s="57">
        <f>Q42+$B$47</f>
        <v>19530</v>
      </c>
      <c r="S42" s="57">
        <f t="shared" ref="S42:Z42" si="17">R42+$B$47</f>
        <v>19730</v>
      </c>
      <c r="T42" s="57">
        <f t="shared" si="17"/>
        <v>19930</v>
      </c>
      <c r="U42" s="57">
        <f t="shared" si="17"/>
        <v>20130</v>
      </c>
      <c r="V42" s="57">
        <f t="shared" si="17"/>
        <v>20330</v>
      </c>
      <c r="W42" s="57">
        <f t="shared" si="17"/>
        <v>20530</v>
      </c>
      <c r="X42" s="57">
        <f t="shared" si="17"/>
        <v>20730</v>
      </c>
      <c r="Y42" s="57">
        <f t="shared" si="17"/>
        <v>20930</v>
      </c>
      <c r="Z42" s="57">
        <f t="shared" si="17"/>
        <v>21130</v>
      </c>
    </row>
    <row r="43" spans="1:27" x14ac:dyDescent="0.35">
      <c r="A43" t="s">
        <v>223</v>
      </c>
    </row>
    <row r="44" spans="1:27" x14ac:dyDescent="0.35">
      <c r="A44" s="2" t="s">
        <v>224</v>
      </c>
    </row>
    <row r="45" spans="1:27" x14ac:dyDescent="0.35">
      <c r="A45" s="2" t="s">
        <v>225</v>
      </c>
    </row>
    <row r="46" spans="1:27" x14ac:dyDescent="0.35">
      <c r="A46" t="s">
        <v>226</v>
      </c>
      <c r="B46">
        <f>B42+B45</f>
        <v>18673</v>
      </c>
      <c r="C46">
        <f t="shared" ref="C46:M46" si="18">C42+C45</f>
        <v>18776</v>
      </c>
      <c r="D46">
        <f t="shared" si="18"/>
        <v>18921</v>
      </c>
      <c r="E46">
        <f t="shared" si="18"/>
        <v>18983</v>
      </c>
      <c r="F46">
        <f t="shared" si="18"/>
        <v>19036</v>
      </c>
      <c r="G46">
        <f t="shared" si="18"/>
        <v>18929</v>
      </c>
      <c r="H46">
        <f t="shared" si="18"/>
        <v>19038</v>
      </c>
      <c r="I46">
        <f t="shared" si="18"/>
        <v>19047</v>
      </c>
      <c r="J46">
        <f t="shared" si="18"/>
        <v>19081</v>
      </c>
      <c r="K46">
        <f t="shared" si="18"/>
        <v>19097</v>
      </c>
      <c r="L46">
        <f t="shared" si="18"/>
        <v>19065.75</v>
      </c>
      <c r="M46">
        <f t="shared" si="18"/>
        <v>19130</v>
      </c>
      <c r="N46" s="57">
        <f t="shared" ref="N46:Z46" si="19">N42+N45</f>
        <v>19250</v>
      </c>
      <c r="O46" s="57">
        <f t="shared" si="19"/>
        <v>19400</v>
      </c>
      <c r="P46" s="57">
        <f t="shared" si="19"/>
        <v>19550</v>
      </c>
      <c r="Q46" s="57">
        <f t="shared" si="19"/>
        <v>19330</v>
      </c>
      <c r="R46" s="57">
        <f t="shared" si="19"/>
        <v>19530</v>
      </c>
      <c r="S46" s="57">
        <f t="shared" si="19"/>
        <v>19730</v>
      </c>
      <c r="T46" s="57">
        <f t="shared" si="19"/>
        <v>19930</v>
      </c>
      <c r="U46" s="57">
        <f t="shared" si="19"/>
        <v>20130</v>
      </c>
      <c r="V46" s="57">
        <f t="shared" si="19"/>
        <v>20330</v>
      </c>
      <c r="W46" s="57">
        <f t="shared" si="19"/>
        <v>20530</v>
      </c>
      <c r="X46" s="57">
        <f t="shared" si="19"/>
        <v>20730</v>
      </c>
      <c r="Y46" s="57">
        <f t="shared" si="19"/>
        <v>20930</v>
      </c>
      <c r="Z46" s="57">
        <f t="shared" si="19"/>
        <v>21130</v>
      </c>
    </row>
    <row r="47" spans="1:27" x14ac:dyDescent="0.35">
      <c r="A47" t="s">
        <v>227</v>
      </c>
      <c r="B47">
        <f>(300+100)/2</f>
        <v>200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6"/>
  <sheetViews>
    <sheetView showGridLines="0" tabSelected="1" zoomScale="85" zoomScaleNormal="85" workbookViewId="0">
      <pane xSplit="1" ySplit="2" topLeftCell="M11" activePane="bottomRight" state="frozen"/>
      <selection pane="topRight" activeCell="B1" sqref="B1"/>
      <selection pane="bottomLeft" activeCell="A3" sqref="A3"/>
      <selection pane="bottomRight" activeCell="R22" sqref="R22"/>
    </sheetView>
  </sheetViews>
  <sheetFormatPr defaultColWidth="0" defaultRowHeight="14.5" outlineLevelCol="1" x14ac:dyDescent="0.35"/>
  <cols>
    <col min="1" max="1" width="51.7265625" customWidth="1"/>
    <col min="2" max="2" width="9.7265625" customWidth="1"/>
    <col min="3" max="3" width="9.453125" customWidth="1" outlineLevel="1"/>
    <col min="4" max="6" width="10.26953125" customWidth="1" outlineLevel="1"/>
    <col min="7" max="7" width="8.81640625" customWidth="1"/>
    <col min="8" max="10" width="11.7265625" bestFit="1" customWidth="1" outlineLevel="1"/>
    <col min="11" max="11" width="9.1796875" customWidth="1" outlineLevel="1"/>
    <col min="12" max="12" width="8.453125" customWidth="1"/>
    <col min="13" max="16" width="11.7265625" customWidth="1" outlineLevel="1"/>
    <col min="17" max="26" width="12.26953125" customWidth="1"/>
    <col min="27" max="27" width="6.1796875" customWidth="1"/>
    <col min="28" max="16384" width="9.1796875" hidden="1"/>
  </cols>
  <sheetData>
    <row r="1" spans="1:26" x14ac:dyDescent="0.35">
      <c r="A1" t="s">
        <v>219</v>
      </c>
      <c r="B1" s="51">
        <v>2015</v>
      </c>
      <c r="C1" s="51" t="s">
        <v>214</v>
      </c>
      <c r="D1" s="51" t="s">
        <v>215</v>
      </c>
      <c r="E1" s="51" t="s">
        <v>221</v>
      </c>
      <c r="F1" s="51" t="s">
        <v>209</v>
      </c>
      <c r="G1" s="51">
        <v>2016</v>
      </c>
      <c r="H1" s="51" t="s">
        <v>210</v>
      </c>
      <c r="I1" s="51" t="s">
        <v>211</v>
      </c>
      <c r="J1" s="51" t="s">
        <v>212</v>
      </c>
      <c r="K1" s="51" t="s">
        <v>213</v>
      </c>
      <c r="L1" s="51">
        <v>2017</v>
      </c>
      <c r="M1" s="51" t="s">
        <v>261</v>
      </c>
      <c r="N1" s="51" t="s">
        <v>218</v>
      </c>
      <c r="O1" s="51" t="s">
        <v>216</v>
      </c>
      <c r="P1" s="51" t="s">
        <v>217</v>
      </c>
      <c r="Q1" s="51">
        <v>2018</v>
      </c>
      <c r="R1" s="52">
        <v>2019</v>
      </c>
      <c r="S1" s="52">
        <v>2020</v>
      </c>
      <c r="T1" s="52">
        <v>2021</v>
      </c>
      <c r="U1" s="52">
        <v>2022</v>
      </c>
      <c r="V1" s="52">
        <v>2023</v>
      </c>
      <c r="W1" s="52">
        <v>2024</v>
      </c>
      <c r="X1" s="52">
        <v>2025</v>
      </c>
      <c r="Y1" s="52">
        <v>2026</v>
      </c>
      <c r="Z1" s="52">
        <v>2027</v>
      </c>
    </row>
    <row r="2" spans="1:26" x14ac:dyDescent="0.35">
      <c r="A2" s="1" t="s">
        <v>21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78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</row>
    <row r="3" spans="1:26" ht="15" thickBot="1" x14ac:dyDescent="0.4">
      <c r="A3" s="3" t="s">
        <v>22</v>
      </c>
    </row>
    <row r="4" spans="1:26" x14ac:dyDescent="0.35">
      <c r="A4" s="97" t="s">
        <v>23</v>
      </c>
      <c r="B4" s="84">
        <v>21726</v>
      </c>
      <c r="C4" s="98">
        <v>46233</v>
      </c>
      <c r="D4" s="98">
        <v>56360</v>
      </c>
      <c r="E4" s="98">
        <v>24789</v>
      </c>
      <c r="F4" s="84">
        <v>16577</v>
      </c>
      <c r="G4" s="84">
        <v>16577</v>
      </c>
      <c r="H4" s="85">
        <v>20618</v>
      </c>
      <c r="I4" s="85">
        <v>19211</v>
      </c>
      <c r="J4" s="85">
        <v>22263</v>
      </c>
      <c r="K4" s="84">
        <v>65675</v>
      </c>
      <c r="L4" s="84">
        <v>65675</v>
      </c>
      <c r="M4" s="84">
        <v>68053</v>
      </c>
      <c r="N4" s="98">
        <f>CF!N44</f>
        <v>49538.537816147611</v>
      </c>
      <c r="O4" s="98">
        <f>CF!O44</f>
        <v>48673.955681073923</v>
      </c>
      <c r="P4" s="98">
        <f>CF!P44</f>
        <v>142364.44135523774</v>
      </c>
      <c r="Q4" s="98">
        <f>CF!Q44</f>
        <v>142363.49333406717</v>
      </c>
      <c r="R4" s="98">
        <f>CF!R44</f>
        <v>170872.56153390824</v>
      </c>
      <c r="S4" s="98">
        <f>CF!S44</f>
        <v>199796.94591983227</v>
      </c>
      <c r="T4" s="98">
        <f>CF!T44</f>
        <v>236435.49227996322</v>
      </c>
      <c r="U4" s="98">
        <f>CF!U44</f>
        <v>337168.59755208436</v>
      </c>
      <c r="V4" s="98">
        <f>CF!V44</f>
        <v>546094.23203490954</v>
      </c>
      <c r="W4" s="98">
        <f>CF!W44</f>
        <v>867349.28809609055</v>
      </c>
      <c r="X4" s="98">
        <f>CF!X44</f>
        <v>1334375.0885907593</v>
      </c>
      <c r="Y4" s="98">
        <f>CF!Y44</f>
        <v>1915701.0716803665</v>
      </c>
      <c r="Z4" s="98">
        <f>CF!Z44</f>
        <v>2566094.1387116839</v>
      </c>
    </row>
    <row r="5" spans="1:26" x14ac:dyDescent="0.35">
      <c r="A5" s="91" t="s">
        <v>24</v>
      </c>
      <c r="B5" s="69">
        <v>123479</v>
      </c>
      <c r="C5" s="99">
        <v>133786</v>
      </c>
      <c r="D5" s="99">
        <v>164062</v>
      </c>
      <c r="E5" s="99">
        <v>193676</v>
      </c>
      <c r="F5" s="69">
        <v>193507</v>
      </c>
      <c r="G5" s="69">
        <v>193507</v>
      </c>
      <c r="H5" s="71">
        <v>188740</v>
      </c>
      <c r="I5" s="71">
        <v>156362</v>
      </c>
      <c r="J5" s="71">
        <v>169752</v>
      </c>
      <c r="K5" s="69">
        <v>157994</v>
      </c>
      <c r="L5" s="69">
        <v>157994</v>
      </c>
      <c r="M5" s="69">
        <v>152389</v>
      </c>
      <c r="N5" s="92">
        <f>M5</f>
        <v>152389</v>
      </c>
      <c r="O5" s="92">
        <f t="shared" ref="O5:Z5" si="0">N5</f>
        <v>152389</v>
      </c>
      <c r="P5" s="92">
        <f t="shared" si="0"/>
        <v>152389</v>
      </c>
      <c r="Q5" s="92">
        <f t="shared" si="0"/>
        <v>152389</v>
      </c>
      <c r="R5" s="92">
        <f t="shared" si="0"/>
        <v>152389</v>
      </c>
      <c r="S5" s="92">
        <f t="shared" si="0"/>
        <v>152389</v>
      </c>
      <c r="T5" s="92">
        <f t="shared" si="0"/>
        <v>152389</v>
      </c>
      <c r="U5" s="92">
        <f t="shared" si="0"/>
        <v>152389</v>
      </c>
      <c r="V5" s="92">
        <f t="shared" si="0"/>
        <v>152389</v>
      </c>
      <c r="W5" s="92">
        <f t="shared" si="0"/>
        <v>152389</v>
      </c>
      <c r="X5" s="92">
        <f t="shared" si="0"/>
        <v>152389</v>
      </c>
      <c r="Y5" s="92">
        <f t="shared" si="0"/>
        <v>152389</v>
      </c>
      <c r="Z5" s="92">
        <f t="shared" si="0"/>
        <v>152389</v>
      </c>
    </row>
    <row r="6" spans="1:26" x14ac:dyDescent="0.35">
      <c r="A6" s="91" t="s">
        <v>25</v>
      </c>
      <c r="B6" s="69">
        <v>15722</v>
      </c>
      <c r="C6" s="69">
        <v>18878</v>
      </c>
      <c r="D6" s="69">
        <v>13004</v>
      </c>
      <c r="E6" s="69">
        <v>13978</v>
      </c>
      <c r="F6" s="69">
        <v>12841</v>
      </c>
      <c r="G6" s="69">
        <v>12841</v>
      </c>
      <c r="H6" s="71">
        <v>10417</v>
      </c>
      <c r="I6" s="71">
        <v>8959</v>
      </c>
      <c r="J6" s="71">
        <v>7511</v>
      </c>
      <c r="K6" s="69">
        <f>L6</f>
        <v>10614</v>
      </c>
      <c r="L6" s="69">
        <v>10614</v>
      </c>
      <c r="M6" s="71">
        <v>23109</v>
      </c>
      <c r="N6" s="92">
        <f>N42*N46</f>
        <v>22438.502692236063</v>
      </c>
      <c r="O6" s="92">
        <f>O42*O46</f>
        <v>28195.74712461781</v>
      </c>
      <c r="P6" s="92">
        <f>Q6</f>
        <v>14262.969410271873</v>
      </c>
      <c r="Q6" s="92">
        <f>Q42*Q46</f>
        <v>14262.969410271873</v>
      </c>
      <c r="R6" s="92">
        <f t="shared" ref="R6:Z6" si="1">R42*R46</f>
        <v>16819.256981228933</v>
      </c>
      <c r="S6" s="92">
        <f t="shared" si="1"/>
        <v>19570.051984643</v>
      </c>
      <c r="T6" s="92">
        <f t="shared" si="1"/>
        <v>22770.740414339376</v>
      </c>
      <c r="U6" s="92">
        <f t="shared" si="1"/>
        <v>66040.946520903759</v>
      </c>
      <c r="V6" s="92">
        <f t="shared" si="1"/>
        <v>101608.44972470059</v>
      </c>
      <c r="W6" s="92">
        <f t="shared" si="1"/>
        <v>148170.42974151156</v>
      </c>
      <c r="X6" s="92">
        <f t="shared" si="1"/>
        <v>207793.7001924669</v>
      </c>
      <c r="Y6" s="92">
        <f t="shared" si="1"/>
        <v>231745.83096042214</v>
      </c>
      <c r="Z6" s="93">
        <f t="shared" si="1"/>
        <v>259715.45426437972</v>
      </c>
    </row>
    <row r="7" spans="1:26" x14ac:dyDescent="0.35">
      <c r="A7" s="91" t="s">
        <v>28</v>
      </c>
      <c r="B7" s="69">
        <v>8267</v>
      </c>
      <c r="C7" s="71">
        <v>8543</v>
      </c>
      <c r="D7" s="71">
        <v>7658</v>
      </c>
      <c r="E7" s="71">
        <v>1147</v>
      </c>
      <c r="F7" s="69">
        <v>9231</v>
      </c>
      <c r="G7" s="69">
        <v>9231</v>
      </c>
      <c r="H7" s="71">
        <v>4290</v>
      </c>
      <c r="I7" s="71">
        <v>6059</v>
      </c>
      <c r="J7" s="71">
        <v>6589</v>
      </c>
      <c r="K7" s="69">
        <f t="shared" ref="K7:K35" si="2">L7</f>
        <v>3536</v>
      </c>
      <c r="L7" s="69">
        <v>3536</v>
      </c>
      <c r="M7" s="71">
        <v>4075</v>
      </c>
      <c r="N7" s="92">
        <f>N42*N47</f>
        <v>10013.282639511326</v>
      </c>
      <c r="O7" s="92">
        <f>O42*O47</f>
        <v>5573.7512291069661</v>
      </c>
      <c r="P7" s="92">
        <f>Q7</f>
        <v>17828.711762839841</v>
      </c>
      <c r="Q7" s="92">
        <f>Q42*Q47</f>
        <v>17828.711762839841</v>
      </c>
      <c r="R7" s="92">
        <f t="shared" ref="R7:Z7" si="3">R42*R47</f>
        <v>21024.071226536169</v>
      </c>
      <c r="S7" s="92">
        <f t="shared" si="3"/>
        <v>24462.564980803752</v>
      </c>
      <c r="T7" s="92">
        <f t="shared" si="3"/>
        <v>28463.425517924221</v>
      </c>
      <c r="U7" s="92">
        <f t="shared" si="3"/>
        <v>82551.183151129706</v>
      </c>
      <c r="V7" s="92">
        <f t="shared" si="3"/>
        <v>127010.56215587574</v>
      </c>
      <c r="W7" s="92">
        <f t="shared" si="3"/>
        <v>185213.03717688945</v>
      </c>
      <c r="X7" s="92">
        <f t="shared" si="3"/>
        <v>259742.12524058364</v>
      </c>
      <c r="Y7" s="92">
        <f t="shared" si="3"/>
        <v>289682.28870052769</v>
      </c>
      <c r="Z7" s="93">
        <f t="shared" si="3"/>
        <v>324644.31783047464</v>
      </c>
    </row>
    <row r="8" spans="1:26" x14ac:dyDescent="0.35">
      <c r="A8" s="91" t="s">
        <v>27</v>
      </c>
      <c r="B8" s="69">
        <v>1447</v>
      </c>
      <c r="C8" s="71">
        <v>1581</v>
      </c>
      <c r="D8" s="71">
        <v>1581</v>
      </c>
      <c r="E8" s="71">
        <v>8200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3">
        <v>0</v>
      </c>
    </row>
    <row r="9" spans="1:26" x14ac:dyDescent="0.35">
      <c r="A9" s="86" t="s">
        <v>29</v>
      </c>
      <c r="B9" s="69">
        <v>170641</v>
      </c>
      <c r="C9" s="71">
        <v>209021</v>
      </c>
      <c r="D9" s="71">
        <v>242665</v>
      </c>
      <c r="E9" s="71">
        <v>241790</v>
      </c>
      <c r="F9" s="69">
        <v>232156</v>
      </c>
      <c r="G9" s="69">
        <v>232156</v>
      </c>
      <c r="H9" s="71">
        <v>224065</v>
      </c>
      <c r="I9" s="71">
        <v>190591</v>
      </c>
      <c r="J9" s="71">
        <v>206115</v>
      </c>
      <c r="K9" s="69">
        <f t="shared" si="2"/>
        <v>237819</v>
      </c>
      <c r="L9" s="69">
        <v>237819</v>
      </c>
      <c r="M9" s="71">
        <v>247626</v>
      </c>
      <c r="N9" s="92">
        <f>SUM(N4:N8)</f>
        <v>234379.32314789502</v>
      </c>
      <c r="O9" s="92">
        <f t="shared" ref="O9:Z9" si="4">SUM(O4:O8)</f>
        <v>234832.45403479869</v>
      </c>
      <c r="P9" s="92">
        <f t="shared" si="4"/>
        <v>326845.1225283494</v>
      </c>
      <c r="Q9" s="92">
        <f t="shared" si="4"/>
        <v>326844.17450717883</v>
      </c>
      <c r="R9" s="92">
        <f t="shared" si="4"/>
        <v>361104.88974167337</v>
      </c>
      <c r="S9" s="92">
        <f t="shared" si="4"/>
        <v>396218.56288527901</v>
      </c>
      <c r="T9" s="92">
        <f t="shared" si="4"/>
        <v>440058.65821222682</v>
      </c>
      <c r="U9" s="92">
        <f t="shared" si="4"/>
        <v>638149.72722411784</v>
      </c>
      <c r="V9" s="92">
        <f t="shared" si="4"/>
        <v>927102.2439154858</v>
      </c>
      <c r="W9" s="92">
        <f t="shared" si="4"/>
        <v>1353121.7550144915</v>
      </c>
      <c r="X9" s="92">
        <f t="shared" si="4"/>
        <v>1954299.9140238098</v>
      </c>
      <c r="Y9" s="92">
        <f t="shared" si="4"/>
        <v>2589518.1913413163</v>
      </c>
      <c r="Z9" s="93">
        <f t="shared" si="4"/>
        <v>3302842.9108065381</v>
      </c>
    </row>
    <row r="10" spans="1:26" x14ac:dyDescent="0.35">
      <c r="A10" s="86" t="s">
        <v>30</v>
      </c>
      <c r="B10" s="69">
        <v>5886</v>
      </c>
      <c r="C10" s="69">
        <v>7872</v>
      </c>
      <c r="D10" s="71">
        <v>7691</v>
      </c>
      <c r="E10" s="69">
        <v>7499</v>
      </c>
      <c r="F10" s="69">
        <v>8004</v>
      </c>
      <c r="G10" s="69">
        <v>8004</v>
      </c>
      <c r="H10" s="71">
        <v>8306</v>
      </c>
      <c r="I10" s="71">
        <v>8526</v>
      </c>
      <c r="J10" s="71">
        <v>8070</v>
      </c>
      <c r="K10" s="69">
        <f t="shared" si="2"/>
        <v>8049</v>
      </c>
      <c r="L10" s="69">
        <v>8049</v>
      </c>
      <c r="M10" s="71">
        <v>7870</v>
      </c>
      <c r="N10" s="92">
        <f>CF!N63</f>
        <v>8519.7251346118028</v>
      </c>
      <c r="O10" s="92">
        <f>CF!O63</f>
        <v>9418.3289827659864</v>
      </c>
      <c r="P10" s="92">
        <f>CF!P63</f>
        <v>10358.970673903947</v>
      </c>
      <c r="Q10" s="92">
        <f>P10</f>
        <v>10358.970673903947</v>
      </c>
      <c r="R10" s="92">
        <f>CF!R63</f>
        <v>16745.456175648433</v>
      </c>
      <c r="S10" s="92">
        <f>CF!S63</f>
        <v>23894.917132044113</v>
      </c>
      <c r="T10" s="92">
        <f>CF!T63</f>
        <v>31949.030610096204</v>
      </c>
      <c r="U10" s="92">
        <f>CF!U63</f>
        <v>57549.149823867003</v>
      </c>
      <c r="V10" s="92">
        <f>CF!V63</f>
        <v>96433.054886393569</v>
      </c>
      <c r="W10" s="92">
        <f>CF!W63</f>
        <v>152384.75065217313</v>
      </c>
      <c r="X10" s="92">
        <f>CF!X63</f>
        <v>229822.37402657064</v>
      </c>
      <c r="Y10" s="92">
        <f>CF!Y63</f>
        <v>312593.79448515235</v>
      </c>
      <c r="Z10" s="92">
        <f>CF!Z63</f>
        <v>402052.9394262014</v>
      </c>
    </row>
    <row r="11" spans="1:26" x14ac:dyDescent="0.35">
      <c r="A11" s="86" t="s">
        <v>206</v>
      </c>
      <c r="B11" s="69">
        <v>64238</v>
      </c>
      <c r="C11" s="99">
        <v>56618</v>
      </c>
      <c r="D11" s="99">
        <v>25224</v>
      </c>
      <c r="E11" s="99">
        <v>26194</v>
      </c>
      <c r="F11" s="69">
        <v>32119</v>
      </c>
      <c r="G11" s="69">
        <v>32119</v>
      </c>
      <c r="H11" s="71">
        <v>35037</v>
      </c>
      <c r="I11" s="71">
        <v>65330</v>
      </c>
      <c r="J11" s="71">
        <v>43321</v>
      </c>
      <c r="K11" s="69">
        <v>70038</v>
      </c>
      <c r="L11" s="69">
        <v>70038</v>
      </c>
      <c r="M11" s="69">
        <v>77047</v>
      </c>
      <c r="N11" s="92">
        <f>M11</f>
        <v>77047</v>
      </c>
      <c r="O11" s="87">
        <f>N11</f>
        <v>77047</v>
      </c>
      <c r="P11" s="87">
        <f t="shared" ref="P11:Z11" si="5">O11</f>
        <v>77047</v>
      </c>
      <c r="Q11" s="87">
        <f t="shared" si="5"/>
        <v>77047</v>
      </c>
      <c r="R11" s="87">
        <f t="shared" si="5"/>
        <v>77047</v>
      </c>
      <c r="S11" s="87">
        <f t="shared" si="5"/>
        <v>77047</v>
      </c>
      <c r="T11" s="87">
        <f t="shared" si="5"/>
        <v>77047</v>
      </c>
      <c r="U11" s="87">
        <f t="shared" si="5"/>
        <v>77047</v>
      </c>
      <c r="V11" s="87">
        <f t="shared" si="5"/>
        <v>77047</v>
      </c>
      <c r="W11" s="87">
        <f t="shared" si="5"/>
        <v>77047</v>
      </c>
      <c r="X11" s="87">
        <f t="shared" si="5"/>
        <v>77047</v>
      </c>
      <c r="Y11" s="87">
        <f t="shared" si="5"/>
        <v>77047</v>
      </c>
      <c r="Z11" s="87">
        <f t="shared" si="5"/>
        <v>77047</v>
      </c>
    </row>
    <row r="12" spans="1:26" x14ac:dyDescent="0.35">
      <c r="A12" s="86" t="s">
        <v>31</v>
      </c>
      <c r="B12" s="69">
        <v>4640</v>
      </c>
      <c r="C12" s="69">
        <v>4260</v>
      </c>
      <c r="D12" s="71">
        <v>5407</v>
      </c>
      <c r="E12" s="69">
        <v>5843</v>
      </c>
      <c r="F12" s="69">
        <v>8390</v>
      </c>
      <c r="G12" s="69">
        <v>8390</v>
      </c>
      <c r="H12" s="71">
        <v>10363</v>
      </c>
      <c r="I12" s="71">
        <v>13903</v>
      </c>
      <c r="J12" s="71">
        <v>17723</v>
      </c>
      <c r="K12" s="69">
        <f t="shared" si="2"/>
        <v>10123</v>
      </c>
      <c r="L12" s="69">
        <v>10123</v>
      </c>
      <c r="M12" s="71">
        <v>7568</v>
      </c>
      <c r="N12" s="92">
        <f>N42*N48</f>
        <v>22075.475142380757</v>
      </c>
      <c r="O12" s="92">
        <f>O42*O48</f>
        <v>27631.832182125454</v>
      </c>
      <c r="P12" s="92">
        <f>Q12</f>
        <v>8809.4501766164121</v>
      </c>
      <c r="Q12" s="92">
        <f>Q42*Q48</f>
        <v>8809.4501766164121</v>
      </c>
      <c r="R12" s="92">
        <f t="shared" ref="R12:Z12" si="6">R42*R48</f>
        <v>10388.328132929773</v>
      </c>
      <c r="S12" s="92">
        <f t="shared" si="6"/>
        <v>12087.342611023621</v>
      </c>
      <c r="T12" s="92">
        <f t="shared" si="6"/>
        <v>14064.231465035782</v>
      </c>
      <c r="U12" s="92">
        <f t="shared" si="6"/>
        <v>40789.85316854866</v>
      </c>
      <c r="V12" s="92">
        <f t="shared" si="6"/>
        <v>62757.939782745525</v>
      </c>
      <c r="W12" s="92">
        <f t="shared" si="6"/>
        <v>91516.708821912005</v>
      </c>
      <c r="X12" s="92">
        <f t="shared" si="6"/>
        <v>128342.71715832087</v>
      </c>
      <c r="Y12" s="92">
        <f t="shared" si="6"/>
        <v>143136.62833870534</v>
      </c>
      <c r="Z12" s="93">
        <f t="shared" si="6"/>
        <v>160411.92325572969</v>
      </c>
    </row>
    <row r="13" spans="1:26" x14ac:dyDescent="0.35">
      <c r="A13" s="86" t="s">
        <v>246</v>
      </c>
      <c r="B13" s="69">
        <v>608</v>
      </c>
      <c r="C13" s="69">
        <v>608</v>
      </c>
      <c r="D13" s="69">
        <v>608</v>
      </c>
      <c r="E13" s="69">
        <v>608</v>
      </c>
      <c r="F13" s="69">
        <v>608</v>
      </c>
      <c r="G13" s="69">
        <v>608</v>
      </c>
      <c r="H13" s="71">
        <v>608</v>
      </c>
      <c r="I13" s="71">
        <v>608</v>
      </c>
      <c r="J13" s="71">
        <v>608</v>
      </c>
      <c r="K13" s="69">
        <f t="shared" si="2"/>
        <v>608</v>
      </c>
      <c r="L13" s="69">
        <v>608</v>
      </c>
      <c r="M13" s="71">
        <v>608</v>
      </c>
      <c r="N13" s="87">
        <f>M13</f>
        <v>608</v>
      </c>
      <c r="O13" s="87">
        <f t="shared" ref="O13:Z13" si="7">N13</f>
        <v>608</v>
      </c>
      <c r="P13" s="87">
        <f t="shared" si="7"/>
        <v>608</v>
      </c>
      <c r="Q13" s="87">
        <f t="shared" si="7"/>
        <v>608</v>
      </c>
      <c r="R13" s="87">
        <f t="shared" si="7"/>
        <v>608</v>
      </c>
      <c r="S13" s="87">
        <f t="shared" si="7"/>
        <v>608</v>
      </c>
      <c r="T13" s="87">
        <f t="shared" si="7"/>
        <v>608</v>
      </c>
      <c r="U13" s="87">
        <f t="shared" si="7"/>
        <v>608</v>
      </c>
      <c r="V13" s="87">
        <f t="shared" si="7"/>
        <v>608</v>
      </c>
      <c r="W13" s="87">
        <f t="shared" si="7"/>
        <v>608</v>
      </c>
      <c r="X13" s="87">
        <f t="shared" si="7"/>
        <v>608</v>
      </c>
      <c r="Y13" s="87">
        <f t="shared" si="7"/>
        <v>608</v>
      </c>
      <c r="Z13" s="88">
        <f t="shared" si="7"/>
        <v>608</v>
      </c>
    </row>
    <row r="14" spans="1:26" x14ac:dyDescent="0.35">
      <c r="A14" s="86" t="s">
        <v>32</v>
      </c>
      <c r="B14" s="69">
        <v>246013</v>
      </c>
      <c r="C14" s="69">
        <v>278379</v>
      </c>
      <c r="D14" s="69">
        <v>281595</v>
      </c>
      <c r="E14" s="69">
        <v>281934</v>
      </c>
      <c r="F14" s="69">
        <v>281277</v>
      </c>
      <c r="G14" s="69">
        <v>281277</v>
      </c>
      <c r="H14" s="71">
        <v>278379</v>
      </c>
      <c r="I14" s="71">
        <v>278958</v>
      </c>
      <c r="J14" s="71">
        <v>275837</v>
      </c>
      <c r="K14" s="69">
        <f t="shared" si="2"/>
        <v>326637</v>
      </c>
      <c r="L14" s="69">
        <v>326637</v>
      </c>
      <c r="M14" s="71">
        <v>340719</v>
      </c>
      <c r="N14" s="92">
        <f>SUM(N9:N13)</f>
        <v>342629.52342488756</v>
      </c>
      <c r="O14" s="92">
        <f t="shared" ref="O14:Z14" si="8">SUM(O9:O13)</f>
        <v>349537.61519969016</v>
      </c>
      <c r="P14" s="92">
        <f t="shared" si="8"/>
        <v>423668.54337886977</v>
      </c>
      <c r="Q14" s="92">
        <f t="shared" si="8"/>
        <v>423667.5953576992</v>
      </c>
      <c r="R14" s="92">
        <f t="shared" si="8"/>
        <v>465893.67405025155</v>
      </c>
      <c r="S14" s="92">
        <f t="shared" si="8"/>
        <v>509855.82262834674</v>
      </c>
      <c r="T14" s="92">
        <f t="shared" si="8"/>
        <v>563726.92028735881</v>
      </c>
      <c r="U14" s="92">
        <f t="shared" si="8"/>
        <v>814143.73021653353</v>
      </c>
      <c r="V14" s="92">
        <f t="shared" si="8"/>
        <v>1163948.2385846248</v>
      </c>
      <c r="W14" s="92">
        <f t="shared" si="8"/>
        <v>1674678.2144885766</v>
      </c>
      <c r="X14" s="92">
        <f t="shared" si="8"/>
        <v>2390120.0052087014</v>
      </c>
      <c r="Y14" s="92">
        <f t="shared" si="8"/>
        <v>3122903.6141651738</v>
      </c>
      <c r="Z14" s="93">
        <f t="shared" si="8"/>
        <v>3942962.773488469</v>
      </c>
    </row>
    <row r="15" spans="1:26" x14ac:dyDescent="0.35">
      <c r="A15" s="86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92"/>
      <c r="O15" s="87"/>
      <c r="P15" s="87"/>
      <c r="Q15" s="92"/>
      <c r="R15" s="87"/>
      <c r="S15" s="87"/>
      <c r="T15" s="87"/>
      <c r="U15" s="87"/>
      <c r="V15" s="87"/>
      <c r="W15" s="87"/>
      <c r="X15" s="87"/>
      <c r="Y15" s="87"/>
      <c r="Z15" s="88"/>
    </row>
    <row r="16" spans="1:26" x14ac:dyDescent="0.35">
      <c r="A16" s="89" t="s">
        <v>33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</row>
    <row r="17" spans="1:27" x14ac:dyDescent="0.35">
      <c r="A17" s="90" t="s">
        <v>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92"/>
      <c r="O17" s="92"/>
      <c r="P17" s="92"/>
      <c r="Q17" s="92"/>
      <c r="R17" s="87"/>
      <c r="S17" s="87"/>
      <c r="T17" s="87"/>
      <c r="U17" s="87"/>
      <c r="V17" s="87"/>
      <c r="W17" s="87"/>
      <c r="X17" s="87"/>
      <c r="Y17" s="87"/>
      <c r="Z17" s="88"/>
    </row>
    <row r="18" spans="1:27" x14ac:dyDescent="0.35">
      <c r="A18" s="91" t="s">
        <v>35</v>
      </c>
      <c r="B18" s="69">
        <v>1543</v>
      </c>
      <c r="C18" s="69">
        <v>2767</v>
      </c>
      <c r="D18" s="69">
        <v>2572</v>
      </c>
      <c r="E18" s="69">
        <v>2044</v>
      </c>
      <c r="F18" s="69">
        <v>3377</v>
      </c>
      <c r="G18" s="69">
        <v>3377</v>
      </c>
      <c r="H18" s="69">
        <v>1952</v>
      </c>
      <c r="I18" s="69">
        <v>4056</v>
      </c>
      <c r="J18" s="69">
        <v>5488</v>
      </c>
      <c r="K18" s="69">
        <f t="shared" si="2"/>
        <v>3714</v>
      </c>
      <c r="L18" s="69">
        <v>3714</v>
      </c>
      <c r="M18" s="71">
        <v>3268</v>
      </c>
      <c r="N18" s="92">
        <f>N43*N52</f>
        <v>6300.383867216553</v>
      </c>
      <c r="O18" s="92">
        <f>O43*O52</f>
        <v>6182.5030219995469</v>
      </c>
      <c r="P18" s="92">
        <v>9231.4599999999991</v>
      </c>
      <c r="Q18" s="92">
        <f>Q43*Q52</f>
        <v>9231.4659135024885</v>
      </c>
      <c r="R18" s="92">
        <f t="shared" ref="R18:Z18" si="9">R43*R52</f>
        <v>11538.53768438985</v>
      </c>
      <c r="S18" s="92">
        <f t="shared" si="9"/>
        <v>13846.24522126782</v>
      </c>
      <c r="T18" s="92">
        <f t="shared" si="9"/>
        <v>15230.869743394605</v>
      </c>
      <c r="U18" s="92">
        <f t="shared" si="9"/>
        <v>38108.505564854604</v>
      </c>
      <c r="V18" s="92">
        <f t="shared" si="9"/>
        <v>57007.262107978058</v>
      </c>
      <c r="W18" s="92">
        <f t="shared" si="9"/>
        <v>81670.428543152404</v>
      </c>
      <c r="X18" s="92">
        <f t="shared" si="9"/>
        <v>113178.37571744995</v>
      </c>
      <c r="Y18" s="92">
        <f t="shared" si="9"/>
        <v>126148.99927980616</v>
      </c>
      <c r="Z18" s="93">
        <f t="shared" si="9"/>
        <v>141261.7791009637</v>
      </c>
    </row>
    <row r="19" spans="1:27" x14ac:dyDescent="0.35">
      <c r="A19" s="91" t="s">
        <v>36</v>
      </c>
      <c r="B19" s="69">
        <v>1199</v>
      </c>
      <c r="C19" s="69">
        <v>4940</v>
      </c>
      <c r="D19" s="69">
        <v>6784</v>
      </c>
      <c r="E19" s="69">
        <v>2942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f t="shared" si="2"/>
        <v>9298</v>
      </c>
      <c r="L19" s="69">
        <v>9298</v>
      </c>
      <c r="M19" s="71">
        <v>10257</v>
      </c>
      <c r="N19" s="87">
        <v>10257</v>
      </c>
      <c r="O19" s="87">
        <v>10257</v>
      </c>
      <c r="P19" s="87">
        <v>10257</v>
      </c>
      <c r="Q19" s="87">
        <v>10257</v>
      </c>
      <c r="R19" s="87">
        <v>10257</v>
      </c>
      <c r="S19" s="87">
        <v>10257</v>
      </c>
      <c r="T19" s="87">
        <v>10257</v>
      </c>
      <c r="U19" s="87">
        <v>10257</v>
      </c>
      <c r="V19" s="87">
        <v>10257</v>
      </c>
      <c r="W19" s="87">
        <v>10257</v>
      </c>
      <c r="X19" s="87">
        <v>10257</v>
      </c>
      <c r="Y19" s="87">
        <v>10257</v>
      </c>
      <c r="Z19" s="87">
        <v>10257</v>
      </c>
    </row>
    <row r="20" spans="1:27" x14ac:dyDescent="0.35">
      <c r="A20" s="91" t="s">
        <v>37</v>
      </c>
      <c r="B20" s="69">
        <v>3962</v>
      </c>
      <c r="C20" s="69">
        <v>3165</v>
      </c>
      <c r="D20" s="69">
        <v>2632</v>
      </c>
      <c r="E20" s="69">
        <v>4583</v>
      </c>
      <c r="F20" s="69">
        <v>4512</v>
      </c>
      <c r="G20" s="69">
        <v>4512</v>
      </c>
      <c r="H20" s="69">
        <v>4479</v>
      </c>
      <c r="I20" s="69">
        <v>5098</v>
      </c>
      <c r="J20" s="69">
        <v>5634</v>
      </c>
      <c r="K20" s="69">
        <f t="shared" si="2"/>
        <v>7970</v>
      </c>
      <c r="L20" s="69">
        <v>7970</v>
      </c>
      <c r="M20" s="71">
        <v>5697</v>
      </c>
      <c r="N20" s="92">
        <f t="shared" ref="N20:O20" si="10">N43*N53</f>
        <v>7237.3067205432035</v>
      </c>
      <c r="O20" s="92">
        <f t="shared" si="10"/>
        <v>8885.9398050915934</v>
      </c>
      <c r="P20" s="92">
        <v>16506.63</v>
      </c>
      <c r="Q20" s="92">
        <f>Q43*Q53</f>
        <v>16506.631990784634</v>
      </c>
      <c r="R20" s="92">
        <f t="shared" ref="R20:Z20" si="11">R43*R53</f>
        <v>20638.74287698411</v>
      </c>
      <c r="S20" s="92">
        <f t="shared" si="11"/>
        <v>24766.491452380931</v>
      </c>
      <c r="T20" s="92">
        <f t="shared" si="11"/>
        <v>27243.140597619029</v>
      </c>
      <c r="U20" s="92">
        <f t="shared" si="11"/>
        <v>68163.89297260785</v>
      </c>
      <c r="V20" s="92">
        <f t="shared" si="11"/>
        <v>101967.70656294943</v>
      </c>
      <c r="W20" s="92">
        <f t="shared" si="11"/>
        <v>146082.20048850655</v>
      </c>
      <c r="X20" s="92">
        <f t="shared" si="11"/>
        <v>202439.81166064632</v>
      </c>
      <c r="Y20" s="92">
        <f t="shared" si="11"/>
        <v>225640.09682501174</v>
      </c>
      <c r="Z20" s="93">
        <f t="shared" si="11"/>
        <v>252672.01242964825</v>
      </c>
    </row>
    <row r="21" spans="1:27" x14ac:dyDescent="0.35">
      <c r="A21" s="91" t="s">
        <v>38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f t="shared" si="2"/>
        <v>0</v>
      </c>
      <c r="L21" s="69">
        <v>0</v>
      </c>
      <c r="M21" s="69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3">
        <v>0</v>
      </c>
    </row>
    <row r="22" spans="1:27" x14ac:dyDescent="0.35">
      <c r="A22" s="86" t="s">
        <v>39</v>
      </c>
      <c r="B22" s="69">
        <v>6704</v>
      </c>
      <c r="C22" s="71">
        <v>10872</v>
      </c>
      <c r="D22" s="71">
        <v>11988</v>
      </c>
      <c r="E22" s="71">
        <v>9569</v>
      </c>
      <c r="F22" s="69">
        <v>7889</v>
      </c>
      <c r="G22" s="69">
        <v>7889</v>
      </c>
      <c r="H22" s="69">
        <v>6431</v>
      </c>
      <c r="I22" s="69">
        <v>9154</v>
      </c>
      <c r="J22" s="69">
        <v>11122</v>
      </c>
      <c r="K22" s="69">
        <f t="shared" si="2"/>
        <v>20982</v>
      </c>
      <c r="L22" s="69">
        <v>20982</v>
      </c>
      <c r="M22" s="71">
        <v>19222</v>
      </c>
      <c r="N22" s="92">
        <f>SUM(N18:N21)</f>
        <v>23794.690587759753</v>
      </c>
      <c r="O22" s="92">
        <f t="shared" ref="O22:Z22" si="12">SUM(O18:O21)</f>
        <v>25325.442827091138</v>
      </c>
      <c r="P22" s="92">
        <f t="shared" si="12"/>
        <v>35995.089999999997</v>
      </c>
      <c r="Q22" s="92">
        <f t="shared" si="12"/>
        <v>35995.097904287119</v>
      </c>
      <c r="R22" s="92">
        <f t="shared" si="12"/>
        <v>42434.280561373962</v>
      </c>
      <c r="S22" s="92">
        <f t="shared" si="12"/>
        <v>48869.736673648746</v>
      </c>
      <c r="T22" s="92">
        <f t="shared" si="12"/>
        <v>52731.010341013636</v>
      </c>
      <c r="U22" s="92">
        <f t="shared" si="12"/>
        <v>116529.39853746246</v>
      </c>
      <c r="V22" s="92">
        <f t="shared" si="12"/>
        <v>169231.96867092748</v>
      </c>
      <c r="W22" s="92">
        <f t="shared" si="12"/>
        <v>238009.62903165896</v>
      </c>
      <c r="X22" s="92">
        <f t="shared" si="12"/>
        <v>325875.18737809628</v>
      </c>
      <c r="Y22" s="92">
        <f t="shared" si="12"/>
        <v>362046.09610481793</v>
      </c>
      <c r="Z22" s="93">
        <f t="shared" si="12"/>
        <v>404190.79153061192</v>
      </c>
    </row>
    <row r="23" spans="1:27" x14ac:dyDescent="0.35">
      <c r="A23" s="94" t="s">
        <v>79</v>
      </c>
      <c r="B23" s="69">
        <v>1276</v>
      </c>
      <c r="C23" s="71">
        <v>1290</v>
      </c>
      <c r="D23" s="71">
        <v>1223</v>
      </c>
      <c r="E23" s="71">
        <v>1237</v>
      </c>
      <c r="F23" s="69">
        <v>1251</v>
      </c>
      <c r="G23" s="69">
        <v>1251</v>
      </c>
      <c r="H23" s="69">
        <v>1262</v>
      </c>
      <c r="I23" s="69">
        <v>1276</v>
      </c>
      <c r="J23" s="69">
        <v>1291</v>
      </c>
      <c r="K23" s="69">
        <f t="shared" si="2"/>
        <v>807</v>
      </c>
      <c r="L23" s="69">
        <v>807</v>
      </c>
      <c r="M23" s="71">
        <v>0</v>
      </c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3"/>
    </row>
    <row r="24" spans="1:27" x14ac:dyDescent="0.35">
      <c r="A24" s="94" t="s">
        <v>80</v>
      </c>
      <c r="B24" s="69">
        <v>163</v>
      </c>
      <c r="C24" s="71">
        <v>164</v>
      </c>
      <c r="D24" s="71">
        <v>156</v>
      </c>
      <c r="E24" s="71">
        <v>158</v>
      </c>
      <c r="F24" s="69">
        <v>159</v>
      </c>
      <c r="G24" s="69">
        <v>159</v>
      </c>
      <c r="H24" s="69">
        <v>161</v>
      </c>
      <c r="I24" s="69">
        <v>162</v>
      </c>
      <c r="J24" s="69">
        <v>164</v>
      </c>
      <c r="K24" s="69">
        <f t="shared" si="2"/>
        <v>762</v>
      </c>
      <c r="L24" s="69">
        <v>762</v>
      </c>
      <c r="M24" s="71">
        <v>1528</v>
      </c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3"/>
    </row>
    <row r="25" spans="1:27" x14ac:dyDescent="0.35">
      <c r="A25" s="94" t="s">
        <v>58</v>
      </c>
      <c r="B25" s="69">
        <v>1713</v>
      </c>
      <c r="C25" s="71">
        <v>1774</v>
      </c>
      <c r="D25" s="71">
        <v>1813</v>
      </c>
      <c r="E25" s="71">
        <v>1963</v>
      </c>
      <c r="F25" s="69">
        <v>2042</v>
      </c>
      <c r="G25" s="69">
        <v>2042</v>
      </c>
      <c r="H25" s="69">
        <v>2357</v>
      </c>
      <c r="I25" s="69">
        <v>2355</v>
      </c>
      <c r="J25" s="69">
        <v>2394</v>
      </c>
      <c r="K25" s="69">
        <f t="shared" si="2"/>
        <v>2410</v>
      </c>
      <c r="L25" s="69">
        <v>2410</v>
      </c>
      <c r="M25" s="71">
        <v>2390</v>
      </c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3"/>
    </row>
    <row r="26" spans="1:27" x14ac:dyDescent="0.35">
      <c r="A26" s="86" t="s">
        <v>40</v>
      </c>
      <c r="B26" s="69">
        <v>3152</v>
      </c>
      <c r="C26" s="71">
        <v>3228</v>
      </c>
      <c r="D26" s="71">
        <v>3192</v>
      </c>
      <c r="E26" s="71">
        <v>3358</v>
      </c>
      <c r="F26" s="69">
        <v>3452</v>
      </c>
      <c r="G26" s="69">
        <v>3452</v>
      </c>
      <c r="H26" s="69">
        <f>SUM(H23:H25)</f>
        <v>3780</v>
      </c>
      <c r="I26" s="69">
        <f>SUM(I23:I25)</f>
        <v>3793</v>
      </c>
      <c r="J26" s="69">
        <f>SUM(J23:J25)</f>
        <v>3849</v>
      </c>
      <c r="K26" s="69">
        <f t="shared" si="2"/>
        <v>3979</v>
      </c>
      <c r="L26" s="69">
        <v>3979</v>
      </c>
      <c r="M26" s="69">
        <f>SUM(M23:M25)</f>
        <v>3918</v>
      </c>
      <c r="N26" s="92">
        <f>AVERAGE(D26,I26)</f>
        <v>3492.5</v>
      </c>
      <c r="O26" s="92">
        <f>AVERAGE(E26,J26)</f>
        <v>3603.5</v>
      </c>
      <c r="P26" s="92">
        <v>3527.66</v>
      </c>
      <c r="Q26" s="92">
        <f>AVERAGE(B26,G26,L26)</f>
        <v>3527.6666666666665</v>
      </c>
      <c r="R26" s="92">
        <f>Q26</f>
        <v>3527.6666666666665</v>
      </c>
      <c r="S26" s="92">
        <f t="shared" ref="S26:Z26" si="13">R26</f>
        <v>3527.6666666666665</v>
      </c>
      <c r="T26" s="92">
        <f t="shared" si="13"/>
        <v>3527.6666666666665</v>
      </c>
      <c r="U26" s="92">
        <f t="shared" si="13"/>
        <v>3527.6666666666665</v>
      </c>
      <c r="V26" s="92">
        <f t="shared" si="13"/>
        <v>3527.6666666666665</v>
      </c>
      <c r="W26" s="92">
        <f t="shared" si="13"/>
        <v>3527.6666666666665</v>
      </c>
      <c r="X26" s="92">
        <f t="shared" si="13"/>
        <v>3527.6666666666665</v>
      </c>
      <c r="Y26" s="92">
        <f t="shared" si="13"/>
        <v>3527.6666666666665</v>
      </c>
      <c r="Z26" s="93">
        <f t="shared" si="13"/>
        <v>3527.6666666666665</v>
      </c>
    </row>
    <row r="27" spans="1:27" x14ac:dyDescent="0.35">
      <c r="A27" s="86" t="s">
        <v>41</v>
      </c>
      <c r="B27" s="69">
        <v>9856</v>
      </c>
      <c r="C27" s="71">
        <v>14100</v>
      </c>
      <c r="D27" s="71">
        <v>15180</v>
      </c>
      <c r="E27" s="71">
        <v>12927</v>
      </c>
      <c r="F27" s="69">
        <v>11341</v>
      </c>
      <c r="G27" s="69">
        <v>11341</v>
      </c>
      <c r="H27" s="69">
        <v>10211</v>
      </c>
      <c r="I27" s="69">
        <v>12947</v>
      </c>
      <c r="J27" s="69">
        <v>14971</v>
      </c>
      <c r="K27" s="69">
        <f t="shared" si="2"/>
        <v>24961</v>
      </c>
      <c r="L27" s="69">
        <v>24961</v>
      </c>
      <c r="M27" s="71">
        <v>23140</v>
      </c>
      <c r="N27" s="92">
        <f>SUM(N26,N22)</f>
        <v>27287.190587759753</v>
      </c>
      <c r="O27" s="92">
        <f t="shared" ref="O27:Z27" si="14">SUM(O26,O22)</f>
        <v>28928.942827091138</v>
      </c>
      <c r="P27" s="92">
        <f t="shared" si="14"/>
        <v>39522.75</v>
      </c>
      <c r="Q27" s="92">
        <f t="shared" si="14"/>
        <v>39522.764570953783</v>
      </c>
      <c r="R27" s="92">
        <f t="shared" si="14"/>
        <v>45961.947228040626</v>
      </c>
      <c r="S27" s="92">
        <f t="shared" si="14"/>
        <v>52397.40334031541</v>
      </c>
      <c r="T27" s="92">
        <f t="shared" si="14"/>
        <v>56258.6770076803</v>
      </c>
      <c r="U27" s="92">
        <f t="shared" si="14"/>
        <v>120057.06520412913</v>
      </c>
      <c r="V27" s="92">
        <f t="shared" si="14"/>
        <v>172759.63533759414</v>
      </c>
      <c r="W27" s="92">
        <f t="shared" si="14"/>
        <v>241537.29569832562</v>
      </c>
      <c r="X27" s="92">
        <f t="shared" si="14"/>
        <v>329402.85404476296</v>
      </c>
      <c r="Y27" s="92">
        <f t="shared" si="14"/>
        <v>365573.76277148462</v>
      </c>
      <c r="Z27" s="93">
        <f t="shared" si="14"/>
        <v>407718.45819727861</v>
      </c>
    </row>
    <row r="28" spans="1:27" x14ac:dyDescent="0.35">
      <c r="A28" s="86"/>
      <c r="B28" s="69"/>
      <c r="C28" s="69"/>
      <c r="D28" s="69"/>
      <c r="E28" s="69"/>
      <c r="F28" s="69"/>
      <c r="G28" s="69"/>
      <c r="H28" s="69"/>
      <c r="I28" s="69"/>
      <c r="J28" s="69"/>
      <c r="K28" s="69">
        <f t="shared" si="2"/>
        <v>0</v>
      </c>
      <c r="L28" s="69"/>
      <c r="M28" s="69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3"/>
    </row>
    <row r="29" spans="1:27" x14ac:dyDescent="0.35">
      <c r="A29" s="89" t="s">
        <v>42</v>
      </c>
      <c r="B29" s="69"/>
      <c r="C29" s="69"/>
      <c r="D29" s="69"/>
      <c r="E29" s="69"/>
      <c r="F29" s="69"/>
      <c r="G29" s="69"/>
      <c r="H29" s="69"/>
      <c r="I29" s="69"/>
      <c r="J29" s="69"/>
      <c r="K29" s="69">
        <f t="shared" si="2"/>
        <v>0</v>
      </c>
      <c r="L29" s="69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3"/>
    </row>
    <row r="30" spans="1:27" x14ac:dyDescent="0.35">
      <c r="A30" s="91" t="s">
        <v>43</v>
      </c>
      <c r="B30" s="69">
        <v>187</v>
      </c>
      <c r="C30" s="71">
        <v>188</v>
      </c>
      <c r="D30" s="71">
        <v>190</v>
      </c>
      <c r="E30" s="71">
        <v>190</v>
      </c>
      <c r="F30" s="69">
        <v>190</v>
      </c>
      <c r="G30" s="69">
        <v>190</v>
      </c>
      <c r="H30" s="69">
        <v>190</v>
      </c>
      <c r="I30" s="69">
        <v>191</v>
      </c>
      <c r="J30" s="69">
        <v>191</v>
      </c>
      <c r="K30" s="69">
        <f t="shared" si="2"/>
        <v>191</v>
      </c>
      <c r="L30" s="69">
        <v>191</v>
      </c>
      <c r="M30" s="71">
        <v>191</v>
      </c>
      <c r="N30" s="71">
        <v>191</v>
      </c>
      <c r="O30" s="71">
        <v>191</v>
      </c>
      <c r="P30" s="71">
        <v>191</v>
      </c>
      <c r="Q30" s="71">
        <v>191</v>
      </c>
      <c r="R30" s="71">
        <v>191</v>
      </c>
      <c r="S30" s="71">
        <v>191</v>
      </c>
      <c r="T30" s="71">
        <v>191</v>
      </c>
      <c r="U30" s="71">
        <v>191</v>
      </c>
      <c r="V30" s="71">
        <v>191</v>
      </c>
      <c r="W30" s="71">
        <v>191</v>
      </c>
      <c r="X30" s="71">
        <v>191</v>
      </c>
      <c r="Y30" s="71">
        <v>191</v>
      </c>
      <c r="Z30" s="71">
        <v>191</v>
      </c>
    </row>
    <row r="31" spans="1:27" x14ac:dyDescent="0.35">
      <c r="A31" s="91" t="s">
        <v>44</v>
      </c>
      <c r="B31" s="69">
        <v>229957</v>
      </c>
      <c r="C31" s="71">
        <v>232111</v>
      </c>
      <c r="D31" s="71">
        <v>235500</v>
      </c>
      <c r="E31" s="71">
        <v>239252</v>
      </c>
      <c r="F31" s="69">
        <v>242081</v>
      </c>
      <c r="G31" s="69">
        <v>242081</v>
      </c>
      <c r="H31" s="69">
        <v>245397</v>
      </c>
      <c r="I31" s="69">
        <v>248654</v>
      </c>
      <c r="J31" s="69">
        <v>251964</v>
      </c>
      <c r="K31" s="69">
        <f t="shared" si="2"/>
        <v>256241</v>
      </c>
      <c r="L31" s="69">
        <v>256241</v>
      </c>
      <c r="M31" s="71">
        <v>260752</v>
      </c>
      <c r="N31" s="69">
        <f>M31+(M31*$AA$31)</f>
        <v>264418.72410829522</v>
      </c>
      <c r="O31" s="69">
        <f>N31+(N31*$AA$31)</f>
        <v>268137.01010561275</v>
      </c>
      <c r="P31" s="69">
        <f>O31+(O31*$AA$31)</f>
        <v>271907.5830610664</v>
      </c>
      <c r="Q31" s="69">
        <f>P31</f>
        <v>271907.5830610664</v>
      </c>
      <c r="R31" s="69">
        <f>Q31+Q31*$AA$31</f>
        <v>275731.17823977373</v>
      </c>
      <c r="S31" s="69">
        <f t="shared" ref="S31:Z31" si="15">R31+R31*$AA$31</f>
        <v>279608.54124623357</v>
      </c>
      <c r="T31" s="69">
        <f t="shared" si="15"/>
        <v>283540.42816971953</v>
      </c>
      <c r="U31" s="69">
        <f t="shared" si="15"/>
        <v>287527.60573171813</v>
      </c>
      <c r="V31" s="69">
        <f t="shared" si="15"/>
        <v>291570.85143544001</v>
      </c>
      <c r="W31" s="69">
        <f t="shared" si="15"/>
        <v>295670.95371743396</v>
      </c>
      <c r="X31" s="69">
        <f t="shared" si="15"/>
        <v>299828.71210133267</v>
      </c>
      <c r="Y31" s="69">
        <f t="shared" si="15"/>
        <v>304044.93735376047</v>
      </c>
      <c r="Z31" s="69">
        <f t="shared" si="15"/>
        <v>308320.45164243376</v>
      </c>
      <c r="AA31" s="75">
        <f>((M31/B31)^(1/9))-1</f>
        <v>1.4062113074090332E-2</v>
      </c>
    </row>
    <row r="32" spans="1:27" x14ac:dyDescent="0.35">
      <c r="A32" s="91" t="s">
        <v>45</v>
      </c>
      <c r="B32" s="69">
        <v>33</v>
      </c>
      <c r="C32" s="71">
        <v>-189</v>
      </c>
      <c r="D32" s="71">
        <v>201</v>
      </c>
      <c r="E32" s="71">
        <v>117</v>
      </c>
      <c r="F32" s="69">
        <v>19</v>
      </c>
      <c r="G32" s="69">
        <v>19</v>
      </c>
      <c r="H32" s="69">
        <v>-85</v>
      </c>
      <c r="I32" s="69">
        <v>-108</v>
      </c>
      <c r="J32" s="69">
        <v>-137</v>
      </c>
      <c r="K32" s="69">
        <f t="shared" si="2"/>
        <v>-112</v>
      </c>
      <c r="L32" s="69">
        <v>-112</v>
      </c>
      <c r="M32" s="71">
        <v>-458</v>
      </c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3"/>
    </row>
    <row r="33" spans="1:27" x14ac:dyDescent="0.35">
      <c r="A33" s="91" t="s">
        <v>46</v>
      </c>
      <c r="B33" s="69">
        <v>5980</v>
      </c>
      <c r="C33" s="71">
        <v>32169</v>
      </c>
      <c r="D33" s="71">
        <v>30524</v>
      </c>
      <c r="E33" s="71">
        <v>29448</v>
      </c>
      <c r="F33" s="69">
        <v>27646</v>
      </c>
      <c r="G33" s="69">
        <v>27646</v>
      </c>
      <c r="H33" s="69">
        <v>22666</v>
      </c>
      <c r="I33" s="69">
        <v>17274</v>
      </c>
      <c r="J33" s="69">
        <v>8848</v>
      </c>
      <c r="K33" s="69">
        <f t="shared" si="2"/>
        <v>45356</v>
      </c>
      <c r="L33" s="69">
        <v>45356</v>
      </c>
      <c r="M33" s="71">
        <v>57094</v>
      </c>
      <c r="N33" s="69">
        <f>M33+IS!N22</f>
        <v>48233.749605658566</v>
      </c>
      <c r="O33" s="69">
        <f>N33+IS!O22</f>
        <v>46339.764974499049</v>
      </c>
      <c r="P33" s="69">
        <f>O33+IS!P22</f>
        <v>46693.569897282345</v>
      </c>
      <c r="Q33" s="69">
        <f>P33</f>
        <v>46693.569897282345</v>
      </c>
      <c r="R33" s="69">
        <f>Q33+IS!R22</f>
        <v>46081.655903627281</v>
      </c>
      <c r="S33" s="69">
        <f>R33+IS!S22</f>
        <v>40817.047495624123</v>
      </c>
      <c r="T33" s="69">
        <f>S33+IS!T22</f>
        <v>43042.809758782241</v>
      </c>
      <c r="U33" s="69">
        <f>T33+IS!U22</f>
        <v>102980.49947743892</v>
      </c>
      <c r="V33" s="69">
        <f>U33+IS!V22</f>
        <v>209468.56720105349</v>
      </c>
      <c r="W33" s="69">
        <f>V33+IS!W22</f>
        <v>377615.59184597572</v>
      </c>
      <c r="X33" s="69">
        <f>W33+IS!X22</f>
        <v>625401.40624805004</v>
      </c>
      <c r="Y33" s="69">
        <f>X33+IS!Y22</f>
        <v>902209.21249406238</v>
      </c>
      <c r="Z33" s="69">
        <f>Y33+IS!Z22</f>
        <v>1213212.0475379243</v>
      </c>
    </row>
    <row r="34" spans="1:27" x14ac:dyDescent="0.35">
      <c r="A34" s="86" t="s">
        <v>47</v>
      </c>
      <c r="B34" s="69">
        <v>236157</v>
      </c>
      <c r="C34" s="71">
        <v>264279</v>
      </c>
      <c r="D34" s="71">
        <v>266415</v>
      </c>
      <c r="E34" s="71">
        <v>269007</v>
      </c>
      <c r="F34" s="69">
        <v>269936</v>
      </c>
      <c r="G34" s="69">
        <v>269936</v>
      </c>
      <c r="H34" s="69">
        <v>268168</v>
      </c>
      <c r="I34" s="69">
        <v>266011</v>
      </c>
      <c r="J34" s="69">
        <v>260866</v>
      </c>
      <c r="K34" s="69">
        <f t="shared" si="2"/>
        <v>301676</v>
      </c>
      <c r="L34" s="69">
        <v>301676</v>
      </c>
      <c r="M34" s="71">
        <v>317579</v>
      </c>
      <c r="N34" s="69">
        <f>SUM(N30:N33)</f>
        <v>312843.4737139538</v>
      </c>
      <c r="O34" s="69">
        <f t="shared" ref="O34:Z34" si="16">SUM(O30:O33)</f>
        <v>314667.77508011181</v>
      </c>
      <c r="P34" s="69">
        <f t="shared" si="16"/>
        <v>318792.15295834874</v>
      </c>
      <c r="Q34" s="69">
        <f t="shared" si="16"/>
        <v>318792.15295834874</v>
      </c>
      <c r="R34" s="69">
        <f t="shared" si="16"/>
        <v>322003.83414340101</v>
      </c>
      <c r="S34" s="69">
        <f t="shared" si="16"/>
        <v>320616.58874185767</v>
      </c>
      <c r="T34" s="69">
        <f t="shared" si="16"/>
        <v>326774.2379285018</v>
      </c>
      <c r="U34" s="69">
        <f t="shared" si="16"/>
        <v>390699.10520915705</v>
      </c>
      <c r="V34" s="69">
        <f t="shared" si="16"/>
        <v>501230.4186364935</v>
      </c>
      <c r="W34" s="69">
        <f t="shared" si="16"/>
        <v>673477.54556340969</v>
      </c>
      <c r="X34" s="69">
        <f t="shared" si="16"/>
        <v>925421.11834938265</v>
      </c>
      <c r="Y34" s="69">
        <f t="shared" si="16"/>
        <v>1206445.1498478227</v>
      </c>
      <c r="Z34" s="69">
        <f t="shared" si="16"/>
        <v>1521723.4991803579</v>
      </c>
    </row>
    <row r="35" spans="1:27" ht="15" thickBot="1" x14ac:dyDescent="0.4">
      <c r="A35" s="95" t="s">
        <v>48</v>
      </c>
      <c r="B35" s="100">
        <v>246013</v>
      </c>
      <c r="C35" s="81">
        <v>278379</v>
      </c>
      <c r="D35" s="81">
        <v>281595</v>
      </c>
      <c r="E35" s="81">
        <v>281934</v>
      </c>
      <c r="F35" s="100">
        <v>281277</v>
      </c>
      <c r="G35" s="100">
        <v>281277</v>
      </c>
      <c r="H35" s="100">
        <v>278379</v>
      </c>
      <c r="I35" s="100">
        <v>278958</v>
      </c>
      <c r="J35" s="100">
        <v>275837</v>
      </c>
      <c r="K35" s="100">
        <f t="shared" si="2"/>
        <v>326637</v>
      </c>
      <c r="L35" s="100">
        <v>326637</v>
      </c>
      <c r="M35" s="81">
        <v>340719</v>
      </c>
      <c r="N35" s="100">
        <f>N34+N27</f>
        <v>340130.66430171358</v>
      </c>
      <c r="O35" s="100">
        <f t="shared" ref="O35:Z35" si="17">O34+O27</f>
        <v>343596.71790720295</v>
      </c>
      <c r="P35" s="100">
        <f t="shared" si="17"/>
        <v>358314.90295834874</v>
      </c>
      <c r="Q35" s="100">
        <f t="shared" si="17"/>
        <v>358314.91752930253</v>
      </c>
      <c r="R35" s="100">
        <f t="shared" si="17"/>
        <v>367965.78137144161</v>
      </c>
      <c r="S35" s="100">
        <f t="shared" si="17"/>
        <v>373013.99208217306</v>
      </c>
      <c r="T35" s="100">
        <f t="shared" si="17"/>
        <v>383032.91493618209</v>
      </c>
      <c r="U35" s="100">
        <f t="shared" si="17"/>
        <v>510756.17041328619</v>
      </c>
      <c r="V35" s="100">
        <f t="shared" si="17"/>
        <v>673990.05397408758</v>
      </c>
      <c r="W35" s="100">
        <f t="shared" si="17"/>
        <v>915014.8412617353</v>
      </c>
      <c r="X35" s="100">
        <f t="shared" si="17"/>
        <v>1254823.9723941456</v>
      </c>
      <c r="Y35" s="100">
        <f t="shared" si="17"/>
        <v>1572018.9126193074</v>
      </c>
      <c r="Z35" s="100">
        <f t="shared" si="17"/>
        <v>1929441.9573776366</v>
      </c>
    </row>
    <row r="36" spans="1:27" x14ac:dyDescent="0.35">
      <c r="A36" s="115" t="s">
        <v>269</v>
      </c>
      <c r="B36" s="69">
        <f>B35-B14</f>
        <v>0</v>
      </c>
      <c r="C36" s="69">
        <f t="shared" ref="C36:Z36" si="18">C35-C14</f>
        <v>0</v>
      </c>
      <c r="D36" s="69">
        <f t="shared" si="18"/>
        <v>0</v>
      </c>
      <c r="E36" s="69">
        <f t="shared" si="18"/>
        <v>0</v>
      </c>
      <c r="F36" s="69">
        <f t="shared" si="18"/>
        <v>0</v>
      </c>
      <c r="G36" s="69">
        <f t="shared" si="18"/>
        <v>0</v>
      </c>
      <c r="H36" s="69">
        <f t="shared" si="18"/>
        <v>0</v>
      </c>
      <c r="I36" s="69">
        <f t="shared" si="18"/>
        <v>0</v>
      </c>
      <c r="J36" s="69">
        <f t="shared" si="18"/>
        <v>0</v>
      </c>
      <c r="K36" s="69">
        <f t="shared" si="18"/>
        <v>0</v>
      </c>
      <c r="L36" s="69">
        <f t="shared" si="18"/>
        <v>0</v>
      </c>
      <c r="M36" s="69">
        <f t="shared" si="18"/>
        <v>0</v>
      </c>
      <c r="N36" s="69">
        <f t="shared" si="18"/>
        <v>-2498.8591231739847</v>
      </c>
      <c r="O36" s="69">
        <f t="shared" si="18"/>
        <v>-5940.8972924872069</v>
      </c>
      <c r="P36" s="69">
        <f t="shared" si="18"/>
        <v>-65353.640420521027</v>
      </c>
      <c r="Q36" s="69">
        <f t="shared" si="18"/>
        <v>-65352.677828396671</v>
      </c>
      <c r="R36" s="69">
        <f t="shared" si="18"/>
        <v>-97927.892678809934</v>
      </c>
      <c r="S36" s="69">
        <f t="shared" si="18"/>
        <v>-136841.83054617367</v>
      </c>
      <c r="T36" s="69">
        <f t="shared" si="18"/>
        <v>-180694.00535117672</v>
      </c>
      <c r="U36" s="69">
        <f t="shared" si="18"/>
        <v>-303387.55980324734</v>
      </c>
      <c r="V36" s="69">
        <f t="shared" si="18"/>
        <v>-489958.18461053725</v>
      </c>
      <c r="W36" s="69">
        <f t="shared" si="18"/>
        <v>-759663.37322684133</v>
      </c>
      <c r="X36" s="69">
        <f t="shared" si="18"/>
        <v>-1135296.0328145558</v>
      </c>
      <c r="Y36" s="69">
        <f t="shared" si="18"/>
        <v>-1550884.7015458664</v>
      </c>
      <c r="Z36" s="69">
        <f t="shared" si="18"/>
        <v>-2013520.8161108324</v>
      </c>
    </row>
    <row r="37" spans="1:27" x14ac:dyDescent="0.35">
      <c r="A37" s="86" t="s">
        <v>207</v>
      </c>
      <c r="B37" s="69">
        <f t="shared" ref="B37:G37" si="19">B4+B5+B11</f>
        <v>209443</v>
      </c>
      <c r="C37" s="69">
        <f t="shared" si="19"/>
        <v>236637</v>
      </c>
      <c r="D37" s="69">
        <f t="shared" si="19"/>
        <v>245646</v>
      </c>
      <c r="E37" s="69">
        <f t="shared" si="19"/>
        <v>244659</v>
      </c>
      <c r="F37" s="69">
        <f t="shared" si="19"/>
        <v>242203</v>
      </c>
      <c r="G37" s="69">
        <f t="shared" si="19"/>
        <v>242203</v>
      </c>
      <c r="H37" s="69">
        <f t="shared" ref="H37:M37" si="20">H4+H5+H11</f>
        <v>244395</v>
      </c>
      <c r="I37" s="69">
        <f t="shared" si="20"/>
        <v>240903</v>
      </c>
      <c r="J37" s="69">
        <f t="shared" si="20"/>
        <v>235336</v>
      </c>
      <c r="K37" s="69">
        <f t="shared" si="20"/>
        <v>293707</v>
      </c>
      <c r="L37" s="69">
        <f t="shared" si="20"/>
        <v>293707</v>
      </c>
      <c r="M37" s="69">
        <f t="shared" si="20"/>
        <v>297489</v>
      </c>
      <c r="N37" s="69"/>
      <c r="O37" s="71"/>
      <c r="P37" s="69"/>
      <c r="Q37" s="71"/>
      <c r="R37" s="71"/>
      <c r="S37" s="71"/>
      <c r="T37" s="71"/>
      <c r="U37" s="71"/>
      <c r="V37" s="71"/>
      <c r="W37" s="71"/>
      <c r="X37" s="71"/>
      <c r="Y37" s="71"/>
      <c r="Z37" s="73"/>
    </row>
    <row r="38" spans="1:27" x14ac:dyDescent="0.35">
      <c r="A38" s="86" t="s">
        <v>74</v>
      </c>
      <c r="B38" s="69">
        <v>968</v>
      </c>
      <c r="C38" s="69">
        <f>IS!C16</f>
        <v>356</v>
      </c>
      <c r="D38" s="69">
        <f>IS!D16</f>
        <v>408</v>
      </c>
      <c r="E38" s="69">
        <f>IS!E16</f>
        <v>474</v>
      </c>
      <c r="F38" s="69">
        <f>IS!F16</f>
        <v>497</v>
      </c>
      <c r="G38" s="69">
        <f>IS!G16</f>
        <v>1735</v>
      </c>
      <c r="H38" s="69">
        <f>IS!H16</f>
        <v>549</v>
      </c>
      <c r="I38" s="69">
        <f>IS!I16</f>
        <v>572</v>
      </c>
      <c r="J38" s="69">
        <f>IS!J16</f>
        <v>628</v>
      </c>
      <c r="K38" s="69">
        <f>IS!K16</f>
        <v>783</v>
      </c>
      <c r="L38" s="69">
        <f>IS!L16</f>
        <v>2532</v>
      </c>
      <c r="M38" s="69">
        <f>IS!M16</f>
        <v>928</v>
      </c>
      <c r="N38" s="87">
        <v>1056</v>
      </c>
      <c r="O38" s="87">
        <v>1056</v>
      </c>
      <c r="P38" s="87">
        <v>1056</v>
      </c>
      <c r="Q38" s="92">
        <f>(L38*((L38/B38)^(1/2)-1))+L38</f>
        <v>4095.0374078756381</v>
      </c>
      <c r="R38" s="92">
        <f>Q38*$AA$38</f>
        <v>4299.7892782694198</v>
      </c>
      <c r="S38" s="92">
        <f t="shared" ref="S38:Z38" si="21">R38*$AA$38</f>
        <v>4514.7787421828907</v>
      </c>
      <c r="T38" s="92">
        <f t="shared" si="21"/>
        <v>4740.5176792920356</v>
      </c>
      <c r="U38" s="92">
        <f t="shared" si="21"/>
        <v>4977.5435632566378</v>
      </c>
      <c r="V38" s="92">
        <f t="shared" si="21"/>
        <v>5226.4207414194698</v>
      </c>
      <c r="W38" s="92">
        <f t="shared" si="21"/>
        <v>5487.7417784904437</v>
      </c>
      <c r="X38" s="92">
        <f t="shared" si="21"/>
        <v>5762.1288674149664</v>
      </c>
      <c r="Y38" s="92">
        <f t="shared" si="21"/>
        <v>6050.2353107857152</v>
      </c>
      <c r="Z38" s="93">
        <f t="shared" si="21"/>
        <v>6352.7470763250012</v>
      </c>
      <c r="AA38">
        <v>1.05</v>
      </c>
    </row>
    <row r="39" spans="1:27" ht="15" thickBot="1" x14ac:dyDescent="0.4">
      <c r="A39" s="95" t="s">
        <v>208</v>
      </c>
      <c r="B39" s="82">
        <f t="shared" ref="B39:L39" si="22">B38/B37</f>
        <v>4.6217825374923012E-3</v>
      </c>
      <c r="C39" s="82">
        <f t="shared" si="22"/>
        <v>1.5044139335775894E-3</v>
      </c>
      <c r="D39" s="82">
        <f t="shared" si="22"/>
        <v>1.6609266993966928E-3</v>
      </c>
      <c r="E39" s="82">
        <f t="shared" si="22"/>
        <v>1.9373904086912805E-3</v>
      </c>
      <c r="F39" s="82">
        <f t="shared" si="22"/>
        <v>2.0519977044049825E-3</v>
      </c>
      <c r="G39" s="82">
        <f t="shared" si="22"/>
        <v>7.1634125093413374E-3</v>
      </c>
      <c r="H39" s="82">
        <f t="shared" si="22"/>
        <v>2.2463634689744061E-3</v>
      </c>
      <c r="I39" s="82">
        <f t="shared" si="22"/>
        <v>2.3743996546327774E-3</v>
      </c>
      <c r="J39" s="82">
        <f t="shared" si="22"/>
        <v>2.6685250025495462E-3</v>
      </c>
      <c r="K39" s="82">
        <f t="shared" si="22"/>
        <v>2.6659221605205186E-3</v>
      </c>
      <c r="L39" s="82">
        <f t="shared" si="22"/>
        <v>8.6208364117981526E-3</v>
      </c>
      <c r="M39" s="82">
        <f>(M38/M37)</f>
        <v>3.1194430718446734E-3</v>
      </c>
      <c r="N39" s="96">
        <f>(M39*$AA$39)+M39</f>
        <v>3.417163658975546E-3</v>
      </c>
      <c r="O39" s="96">
        <f>(N39*$AA$39)+N39</f>
        <v>3.7432987886898599E-3</v>
      </c>
      <c r="P39" s="96">
        <f>(O39*$AA$39)+O39</f>
        <v>4.100560353497323E-3</v>
      </c>
      <c r="Q39" s="82">
        <f>(L39*$AA$40)+L39</f>
        <v>8.6208364117981526E-3</v>
      </c>
      <c r="R39" s="82">
        <f>(Q39*$AA$40)+Q39</f>
        <v>8.6208364117981526E-3</v>
      </c>
      <c r="S39" s="82">
        <v>1.6E-2</v>
      </c>
      <c r="T39" s="82">
        <v>1.6E-2</v>
      </c>
      <c r="U39" s="82">
        <v>1.6E-2</v>
      </c>
      <c r="V39" s="82">
        <v>1.6E-2</v>
      </c>
      <c r="W39" s="82">
        <v>1.6E-2</v>
      </c>
      <c r="X39" s="82">
        <v>1.6E-2</v>
      </c>
      <c r="Y39" s="82">
        <v>1.6E-2</v>
      </c>
      <c r="Z39" s="83">
        <v>1.6E-2</v>
      </c>
      <c r="AA39" s="54">
        <f>(M39/C39)^(1/8)-1</f>
        <v>9.5440301449327691E-2</v>
      </c>
    </row>
    <row r="40" spans="1:27" ht="15" thickBot="1" x14ac:dyDescent="0.4">
      <c r="D40" s="53"/>
      <c r="E40" s="53"/>
      <c r="F40" s="53"/>
      <c r="H40" s="53"/>
      <c r="I40" s="53"/>
      <c r="J40" s="53"/>
      <c r="K40" s="53"/>
      <c r="N40" s="53"/>
      <c r="O40" s="53"/>
      <c r="P40" s="53"/>
      <c r="AA40" s="7"/>
    </row>
    <row r="41" spans="1:27" x14ac:dyDescent="0.35">
      <c r="A41" s="64" t="s">
        <v>247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7"/>
    </row>
    <row r="42" spans="1:27" x14ac:dyDescent="0.35">
      <c r="A42" s="68" t="s">
        <v>248</v>
      </c>
      <c r="B42" s="69">
        <f>IS!B8</f>
        <v>160880</v>
      </c>
      <c r="C42" s="69">
        <f>IS!C8</f>
        <v>48445</v>
      </c>
      <c r="D42" s="69">
        <f>IS!D8</f>
        <v>13004</v>
      </c>
      <c r="E42" s="69">
        <f>IS!E8</f>
        <v>13978</v>
      </c>
      <c r="F42" s="69">
        <f>IS!F8</f>
        <v>12841</v>
      </c>
      <c r="G42" s="69">
        <f>IS!G8</f>
        <v>88268</v>
      </c>
      <c r="H42" s="69">
        <f>IS!H8</f>
        <v>10417</v>
      </c>
      <c r="I42" s="69">
        <f>IS!I8</f>
        <v>8959</v>
      </c>
      <c r="J42" s="69">
        <f>IS!J8</f>
        <v>7511</v>
      </c>
      <c r="K42" s="69">
        <f>IS!K8</f>
        <v>75927</v>
      </c>
      <c r="L42" s="69">
        <f>IS!L8</f>
        <v>102814</v>
      </c>
      <c r="M42" s="69">
        <f>IS!M8</f>
        <v>38109</v>
      </c>
      <c r="N42" s="69">
        <f>IS!N8</f>
        <v>22438.502692236063</v>
      </c>
      <c r="O42" s="69">
        <f>IS!O8</f>
        <v>28195.74712461781</v>
      </c>
      <c r="P42" s="69">
        <f>IS!P8</f>
        <v>30114.828602078396</v>
      </c>
      <c r="Q42" s="69">
        <f>IS!Q8</f>
        <v>118858.07841893227</v>
      </c>
      <c r="R42" s="69">
        <f>IS!R8</f>
        <v>140160.47484357446</v>
      </c>
      <c r="S42" s="69">
        <f>IS!S8</f>
        <v>163083.76653869168</v>
      </c>
      <c r="T42" s="69">
        <f>IS!T8</f>
        <v>189756.17011949481</v>
      </c>
      <c r="U42" s="69">
        <f>IS!U8</f>
        <v>550341.22100753139</v>
      </c>
      <c r="V42" s="69">
        <f>IS!V8</f>
        <v>846737.08103917167</v>
      </c>
      <c r="W42" s="69">
        <f>IS!W8</f>
        <v>1234753.5811792631</v>
      </c>
      <c r="X42" s="69">
        <f>IS!X8</f>
        <v>1731614.1682705577</v>
      </c>
      <c r="Y42" s="69">
        <f>IS!Y8</f>
        <v>1931215.258003518</v>
      </c>
      <c r="Z42" s="70">
        <f>IS!Z8</f>
        <v>2164295.4522031643</v>
      </c>
      <c r="AA42" s="35"/>
    </row>
    <row r="43" spans="1:27" x14ac:dyDescent="0.35">
      <c r="A43" s="68" t="s">
        <v>249</v>
      </c>
      <c r="B43" s="69">
        <f>IS!B11+IS!B12</f>
        <v>36732</v>
      </c>
      <c r="C43" s="69">
        <f>IS!C11+IS!C12</f>
        <v>12851</v>
      </c>
      <c r="D43" s="69">
        <f>IS!D11+IS!D12</f>
        <v>13569</v>
      </c>
      <c r="E43" s="69">
        <f>IS!E11+IS!E12</f>
        <v>15067</v>
      </c>
      <c r="F43" s="69">
        <f>IS!F11+IS!F12</f>
        <v>15940</v>
      </c>
      <c r="G43" s="69">
        <f>IS!G11+IS!G12</f>
        <v>57427</v>
      </c>
      <c r="H43" s="69">
        <f>IS!H11+IS!H12</f>
        <v>17463</v>
      </c>
      <c r="I43" s="69">
        <f>IS!I11+IS!I12</f>
        <v>18465</v>
      </c>
      <c r="J43" s="69">
        <f>IS!J11+IS!J12</f>
        <v>20640</v>
      </c>
      <c r="K43" s="69">
        <f>IS!K11+IS!K12</f>
        <v>21632</v>
      </c>
      <c r="L43" s="69">
        <f>IS!L11+IS!L12</f>
        <v>78200</v>
      </c>
      <c r="M43" s="69">
        <f>IS!M11+IS!M12</f>
        <v>23732</v>
      </c>
      <c r="N43" s="69">
        <f>IS!N11+IS!N12</f>
        <v>30793.023679295096</v>
      </c>
      <c r="O43" s="69">
        <f>IS!O11+IS!O12</f>
        <v>30793.023679295096</v>
      </c>
      <c r="P43" s="69">
        <f>IS!P11+IS!P12</f>
        <v>30793.023679295096</v>
      </c>
      <c r="Q43" s="69">
        <f>IS!Q11+IS!Q12</f>
        <v>116111.0710378853</v>
      </c>
      <c r="R43" s="69">
        <f>IS!R11+IS!R12</f>
        <v>145138.83879735661</v>
      </c>
      <c r="S43" s="69">
        <f>IS!S11+IS!S12</f>
        <v>174166.60655682793</v>
      </c>
      <c r="T43" s="69">
        <f>IS!T11+IS!T12</f>
        <v>191583.26721251075</v>
      </c>
      <c r="U43" s="69">
        <f>IS!U11+IS!U12</f>
        <v>479352.27125603275</v>
      </c>
      <c r="V43" s="69">
        <f>IS!V11+IS!V12</f>
        <v>717072.47934563598</v>
      </c>
      <c r="W43" s="69">
        <f>IS!W11+IS!W12</f>
        <v>1027300.9879641811</v>
      </c>
      <c r="X43" s="69">
        <f>IS!X11+IS!X12</f>
        <v>1423627.3675150936</v>
      </c>
      <c r="Y43" s="69">
        <f>IS!Y11+IS!Y12</f>
        <v>1586779.8651547944</v>
      </c>
      <c r="Z43" s="70">
        <f>IS!Z11+IS!Z12</f>
        <v>1776877.7245404238</v>
      </c>
    </row>
    <row r="44" spans="1:27" x14ac:dyDescent="0.35">
      <c r="A44" s="68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2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3"/>
    </row>
    <row r="45" spans="1:27" x14ac:dyDescent="0.35">
      <c r="A45" s="68" t="s">
        <v>250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3"/>
    </row>
    <row r="46" spans="1:27" x14ac:dyDescent="0.35">
      <c r="A46" s="74" t="s">
        <v>25</v>
      </c>
      <c r="B46" s="75">
        <f>IFERROR(B6/B42,NA)</f>
        <v>9.7725012431626054E-2</v>
      </c>
      <c r="C46" s="75">
        <f>IFERROR(C6/C42,NA)</f>
        <v>0.38967901744246053</v>
      </c>
      <c r="D46" s="75">
        <f>IFERROR(D6/D42,NA)</f>
        <v>1</v>
      </c>
      <c r="E46" s="75">
        <f>IFERROR(E6/E42,NA)</f>
        <v>1</v>
      </c>
      <c r="F46" s="75">
        <f>IFERROR(F6/F42,NA)</f>
        <v>1</v>
      </c>
      <c r="G46" s="75">
        <f>IFERROR(G6/G42,NA)</f>
        <v>0.14547740970680201</v>
      </c>
      <c r="H46" s="75">
        <f>IFERROR(H6/H42,NA)</f>
        <v>1</v>
      </c>
      <c r="I46" s="75">
        <f>IFERROR(I6/I42,NA)</f>
        <v>1</v>
      </c>
      <c r="J46" s="75">
        <f>IFERROR(J6/J42,NA)</f>
        <v>1</v>
      </c>
      <c r="K46" s="75">
        <f>IFERROR(K6/K42,NA)</f>
        <v>0.13979216879370976</v>
      </c>
      <c r="L46" s="75">
        <f>IFERROR(L6/L42,NA)</f>
        <v>0.10323496800046686</v>
      </c>
      <c r="M46" s="75">
        <f>IFERROR(M6/M42,NA)</f>
        <v>0.60639219082106588</v>
      </c>
      <c r="N46" s="76">
        <v>1</v>
      </c>
      <c r="O46" s="76">
        <v>1</v>
      </c>
      <c r="P46" s="75">
        <f>IFERROR(P6/P42,NA)</f>
        <v>0.47361947825555628</v>
      </c>
      <c r="Q46" s="77">
        <v>0.12</v>
      </c>
      <c r="R46" s="77">
        <v>0.12</v>
      </c>
      <c r="S46" s="77">
        <v>0.12</v>
      </c>
      <c r="T46" s="77">
        <v>0.12</v>
      </c>
      <c r="U46" s="77">
        <v>0.12</v>
      </c>
      <c r="V46" s="77">
        <v>0.12</v>
      </c>
      <c r="W46" s="77">
        <v>0.12</v>
      </c>
      <c r="X46" s="77">
        <v>0.12</v>
      </c>
      <c r="Y46" s="77">
        <v>0.12</v>
      </c>
      <c r="Z46" s="78">
        <v>0.12</v>
      </c>
      <c r="AA46" s="63"/>
    </row>
    <row r="47" spans="1:27" x14ac:dyDescent="0.35">
      <c r="A47" s="74" t="s">
        <v>28</v>
      </c>
      <c r="B47" s="75">
        <f>IFERROR(B7/B43,NA)</f>
        <v>0.22506261570292932</v>
      </c>
      <c r="C47" s="75">
        <f>IFERROR(C7/C43,NA)</f>
        <v>0.66477316940315934</v>
      </c>
      <c r="D47" s="75">
        <f>IFERROR(D7/D43,NA)</f>
        <v>0.5643746775738816</v>
      </c>
      <c r="E47" s="75">
        <f>IFERROR(E7/E43,NA)</f>
        <v>7.6126634366496318E-2</v>
      </c>
      <c r="F47" s="75">
        <f>IFERROR(F7/F43,NA)</f>
        <v>0.57910915934755336</v>
      </c>
      <c r="G47" s="75">
        <f>IFERROR(G7/G43,NA)</f>
        <v>0.16074320441604123</v>
      </c>
      <c r="H47" s="75">
        <f>IFERROR(H7/H43,NA)</f>
        <v>0.24566225734409894</v>
      </c>
      <c r="I47" s="75">
        <f>IFERROR(I7/I43,NA)</f>
        <v>0.32813430815055511</v>
      </c>
      <c r="J47" s="75">
        <f>IFERROR(J7/J43,NA)</f>
        <v>0.31923449612403099</v>
      </c>
      <c r="K47" s="75">
        <f>IFERROR(K7/K43,NA)</f>
        <v>0.16346153846153846</v>
      </c>
      <c r="L47" s="75">
        <f>IFERROR(L7/L43,NA)</f>
        <v>4.5217391304347827E-2</v>
      </c>
      <c r="M47" s="75">
        <f>IFERROR(M7/M43,NA)</f>
        <v>0.17170908478004382</v>
      </c>
      <c r="N47" s="76">
        <f>AVERAGE(I47,D47)</f>
        <v>0.44625449286221835</v>
      </c>
      <c r="O47" s="76">
        <f>AVERAGE(J47,E47)</f>
        <v>0.19768056524526365</v>
      </c>
      <c r="P47" s="75">
        <f>IFERROR(P7/P42,NA)</f>
        <v>0.59202434781944535</v>
      </c>
      <c r="Q47" s="77">
        <v>0.15</v>
      </c>
      <c r="R47" s="77">
        <v>0.15</v>
      </c>
      <c r="S47" s="77">
        <v>0.15</v>
      </c>
      <c r="T47" s="77">
        <v>0.15</v>
      </c>
      <c r="U47" s="77">
        <v>0.15</v>
      </c>
      <c r="V47" s="77">
        <v>0.15</v>
      </c>
      <c r="W47" s="77">
        <v>0.15</v>
      </c>
      <c r="X47" s="77">
        <v>0.15</v>
      </c>
      <c r="Y47" s="77">
        <v>0.15</v>
      </c>
      <c r="Z47" s="78">
        <v>0.15</v>
      </c>
    </row>
    <row r="48" spans="1:27" x14ac:dyDescent="0.35">
      <c r="A48" s="74" t="s">
        <v>31</v>
      </c>
      <c r="B48" s="75">
        <f>IFERROR(B12/B42,NA)</f>
        <v>2.8841372451516658E-2</v>
      </c>
      <c r="C48" s="75">
        <f>IFERROR(C12/C42,NA)</f>
        <v>8.7934771390236352E-2</v>
      </c>
      <c r="D48" s="75">
        <f>IFERROR(D12/D42,NA)</f>
        <v>0.41579513995693634</v>
      </c>
      <c r="E48" s="75">
        <f>IFERROR(E12/E42,NA)</f>
        <v>0.41801402203462584</v>
      </c>
      <c r="F48" s="75">
        <f>IFERROR(F12/F42,NA)</f>
        <v>0.65337590530332523</v>
      </c>
      <c r="G48" s="75">
        <f>IFERROR(G12/G42,NA)</f>
        <v>9.5051434268364529E-2</v>
      </c>
      <c r="H48" s="75">
        <f>IFERROR(H12/H42,NA)</f>
        <v>0.99481616588269173</v>
      </c>
      <c r="I48" s="75">
        <f>IFERROR(I12/I42,NA)</f>
        <v>1.5518473043866503</v>
      </c>
      <c r="J48" s="75">
        <f>IFERROR(J12/J42,NA)</f>
        <v>2.3596059113300494</v>
      </c>
      <c r="K48" s="75">
        <f>IFERROR(K12/K42,NA)</f>
        <v>0.13332543100609795</v>
      </c>
      <c r="L48" s="75">
        <f>IFERROR(L12/L42,NA)</f>
        <v>9.8459353784504058E-2</v>
      </c>
      <c r="M48" s="75">
        <f>IFERROR(M12/M42,NA)</f>
        <v>0.19858825999107824</v>
      </c>
      <c r="N48" s="76">
        <f>AVERAGE(D48,I48)</f>
        <v>0.98382122217179335</v>
      </c>
      <c r="O48" s="76">
        <v>0.98</v>
      </c>
      <c r="P48" s="75">
        <f>IFERROR(P12/P42,NA)</f>
        <v>0.29252865068634065</v>
      </c>
      <c r="Q48" s="76">
        <f>(AVERAGE(B48,G48,L48))</f>
        <v>7.4117386834795088E-2</v>
      </c>
      <c r="R48" s="76">
        <v>7.4117386834795088E-2</v>
      </c>
      <c r="S48" s="76">
        <v>7.4117386834795088E-2</v>
      </c>
      <c r="T48" s="76">
        <v>7.4117386834795088E-2</v>
      </c>
      <c r="U48" s="76">
        <v>7.4117386834795088E-2</v>
      </c>
      <c r="V48" s="76">
        <v>7.4117386834795088E-2</v>
      </c>
      <c r="W48" s="76">
        <v>7.4117386834795088E-2</v>
      </c>
      <c r="X48" s="76">
        <v>7.4117386834795088E-2</v>
      </c>
      <c r="Y48" s="76">
        <v>7.4117386834795088E-2</v>
      </c>
      <c r="Z48" s="79">
        <v>7.4117386834795088E-2</v>
      </c>
    </row>
    <row r="49" spans="1:27" x14ac:dyDescent="0.35">
      <c r="A49" s="68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3"/>
    </row>
    <row r="50" spans="1:27" x14ac:dyDescent="0.35">
      <c r="A50" s="68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3"/>
    </row>
    <row r="51" spans="1:27" x14ac:dyDescent="0.35">
      <c r="A51" s="68" t="s">
        <v>251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3"/>
    </row>
    <row r="52" spans="1:27" x14ac:dyDescent="0.35">
      <c r="A52" s="74" t="s">
        <v>35</v>
      </c>
      <c r="B52" s="75">
        <f>B18/B43</f>
        <v>4.2006969399978222E-2</v>
      </c>
      <c r="C52" s="75">
        <f t="shared" ref="C52:M52" si="23">C18/C43</f>
        <v>0.21531398334759941</v>
      </c>
      <c r="D52" s="75">
        <f t="shared" si="23"/>
        <v>0.189549708895276</v>
      </c>
      <c r="E52" s="75">
        <f t="shared" si="23"/>
        <v>0.13566071547089667</v>
      </c>
      <c r="F52" s="75">
        <f t="shared" si="23"/>
        <v>0.2118569636135508</v>
      </c>
      <c r="G52" s="75">
        <f t="shared" si="23"/>
        <v>5.8805091681613179E-2</v>
      </c>
      <c r="H52" s="75">
        <f t="shared" si="23"/>
        <v>0.11177919028803757</v>
      </c>
      <c r="I52" s="75">
        <f t="shared" si="23"/>
        <v>0.21965881397238018</v>
      </c>
      <c r="J52" s="75">
        <f t="shared" si="23"/>
        <v>0.26589147286821707</v>
      </c>
      <c r="K52" s="75">
        <f t="shared" si="23"/>
        <v>0.17169008875739644</v>
      </c>
      <c r="L52" s="75">
        <f t="shared" si="23"/>
        <v>4.7493606138107415E-2</v>
      </c>
      <c r="M52" s="75">
        <f t="shared" si="23"/>
        <v>0.13770436541378731</v>
      </c>
      <c r="N52" s="76">
        <f t="shared" ref="N52:O53" si="24">AVERAGE(D52,I52)</f>
        <v>0.20460426143382809</v>
      </c>
      <c r="O52" s="76">
        <f t="shared" si="24"/>
        <v>0.20077609416955688</v>
      </c>
      <c r="P52" s="75">
        <f>IFERROR(P18/P43,NA)</f>
        <v>0.29979063102553111</v>
      </c>
      <c r="Q52" s="76">
        <f>AVERAGE(B52,G52,M52)</f>
        <v>7.9505475498459571E-2</v>
      </c>
      <c r="R52" s="76">
        <v>7.9500000000000001E-2</v>
      </c>
      <c r="S52" s="76">
        <v>7.9500000000000001E-2</v>
      </c>
      <c r="T52" s="76">
        <v>7.9500000000000001E-2</v>
      </c>
      <c r="U52" s="76">
        <v>7.9500000000000001E-2</v>
      </c>
      <c r="V52" s="76">
        <v>7.9500000000000001E-2</v>
      </c>
      <c r="W52" s="76">
        <v>7.9500000000000001E-2</v>
      </c>
      <c r="X52" s="76">
        <v>7.9500000000000001E-2</v>
      </c>
      <c r="Y52" s="76">
        <v>7.9500000000000001E-2</v>
      </c>
      <c r="Z52" s="79">
        <v>7.9500000000000001E-2</v>
      </c>
    </row>
    <row r="53" spans="1:27" x14ac:dyDescent="0.35">
      <c r="A53" s="74" t="s">
        <v>37</v>
      </c>
      <c r="B53" s="75">
        <f>B20/B43</f>
        <v>0.10786235435043014</v>
      </c>
      <c r="C53" s="75">
        <f t="shared" ref="C53:M53" si="25">C20/C43</f>
        <v>0.24628433584935025</v>
      </c>
      <c r="D53" s="75">
        <f t="shared" si="25"/>
        <v>0.19397155280418601</v>
      </c>
      <c r="E53" s="75">
        <f t="shared" si="25"/>
        <v>0.30417468640074335</v>
      </c>
      <c r="F53" s="75">
        <f t="shared" si="25"/>
        <v>0.28306148055207025</v>
      </c>
      <c r="G53" s="75">
        <f t="shared" si="25"/>
        <v>7.8569314085708816E-2</v>
      </c>
      <c r="H53" s="75">
        <f t="shared" si="25"/>
        <v>0.25648514001030753</v>
      </c>
      <c r="I53" s="75">
        <f t="shared" si="25"/>
        <v>0.27608989981045223</v>
      </c>
      <c r="J53" s="75">
        <f t="shared" si="25"/>
        <v>0.27296511627906977</v>
      </c>
      <c r="K53" s="75">
        <f t="shared" si="25"/>
        <v>0.36843565088757396</v>
      </c>
      <c r="L53" s="75">
        <f t="shared" si="25"/>
        <v>0.10191815856777493</v>
      </c>
      <c r="M53" s="75">
        <f t="shared" si="25"/>
        <v>0.24005562110230913</v>
      </c>
      <c r="N53" s="76">
        <f t="shared" si="24"/>
        <v>0.23503072630731914</v>
      </c>
      <c r="O53" s="76">
        <f t="shared" si="24"/>
        <v>0.28856990133990656</v>
      </c>
      <c r="P53" s="75">
        <f>IFERROR(P20/P43,NA)</f>
        <v>0.53605096309846589</v>
      </c>
      <c r="Q53" s="76">
        <f>AVERAGE(B53,G53,M53)</f>
        <v>0.14216242984614935</v>
      </c>
      <c r="R53" s="76">
        <v>0.14219999999999999</v>
      </c>
      <c r="S53" s="76">
        <v>0.14219999999999999</v>
      </c>
      <c r="T53" s="76">
        <v>0.14219999999999999</v>
      </c>
      <c r="U53" s="76">
        <v>0.14219999999999999</v>
      </c>
      <c r="V53" s="76">
        <v>0.14219999999999999</v>
      </c>
      <c r="W53" s="76">
        <v>0.14219999999999999</v>
      </c>
      <c r="X53" s="76">
        <v>0.14219999999999999</v>
      </c>
      <c r="Y53" s="76">
        <v>0.14219999999999999</v>
      </c>
      <c r="Z53" s="79">
        <v>0.14219999999999999</v>
      </c>
      <c r="AA53" s="7"/>
    </row>
    <row r="54" spans="1:27" x14ac:dyDescent="0.35">
      <c r="A54" s="68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3"/>
    </row>
    <row r="55" spans="1:27" x14ac:dyDescent="0.35">
      <c r="A55" s="68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3"/>
    </row>
    <row r="56" spans="1:27" x14ac:dyDescent="0.35">
      <c r="A56" s="68" t="s">
        <v>252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3"/>
    </row>
    <row r="57" spans="1:27" ht="15" thickBot="1" x14ac:dyDescent="0.4">
      <c r="A57" s="80" t="s">
        <v>36</v>
      </c>
      <c r="B57" s="81"/>
      <c r="C57" s="81"/>
      <c r="D57" s="81"/>
      <c r="E57" s="81"/>
      <c r="F57" s="81"/>
      <c r="G57" s="82">
        <f>IFERROR(G19/B19-1,NM)</f>
        <v>-1</v>
      </c>
      <c r="H57" s="82">
        <f>IFERROR(H19/C19-1,NM)</f>
        <v>-1</v>
      </c>
      <c r="I57" s="82">
        <f>IFERROR(I19/D19-1,NM)</f>
        <v>-1</v>
      </c>
      <c r="J57" s="82">
        <f>IFERROR(J19/E19-1,NM)</f>
        <v>-1</v>
      </c>
      <c r="K57" s="82">
        <v>1</v>
      </c>
      <c r="L57" s="82">
        <v>1</v>
      </c>
      <c r="M57" s="82">
        <v>0</v>
      </c>
      <c r="N57" s="82">
        <v>0</v>
      </c>
      <c r="O57" s="82">
        <v>0</v>
      </c>
      <c r="P57" s="82">
        <v>0</v>
      </c>
      <c r="Q57" s="82">
        <f>AVERAGE(L57,G57)</f>
        <v>0</v>
      </c>
      <c r="R57" s="82">
        <v>0</v>
      </c>
      <c r="S57" s="82">
        <v>0</v>
      </c>
      <c r="T57" s="82">
        <v>0</v>
      </c>
      <c r="U57" s="82">
        <v>0</v>
      </c>
      <c r="V57" s="82">
        <v>0</v>
      </c>
      <c r="W57" s="82">
        <v>0</v>
      </c>
      <c r="X57" s="82">
        <v>0</v>
      </c>
      <c r="Y57" s="82">
        <v>0</v>
      </c>
      <c r="Z57" s="83">
        <v>0</v>
      </c>
    </row>
    <row r="60" spans="1:27" x14ac:dyDescent="0.35">
      <c r="C60" s="19">
        <f>B5</f>
        <v>123479</v>
      </c>
    </row>
    <row r="61" spans="1:27" x14ac:dyDescent="0.35">
      <c r="A61" t="s">
        <v>231</v>
      </c>
      <c r="C61">
        <v>85687</v>
      </c>
    </row>
    <row r="62" spans="1:27" x14ac:dyDescent="0.35">
      <c r="C62" s="5">
        <f>C5</f>
        <v>133786</v>
      </c>
      <c r="M62" t="s">
        <v>264</v>
      </c>
      <c r="N62" s="112" t="s">
        <v>266</v>
      </c>
    </row>
    <row r="63" spans="1:27" x14ac:dyDescent="0.35">
      <c r="C63" s="5">
        <f>C62-C60</f>
        <v>10307</v>
      </c>
      <c r="M63" t="s">
        <v>265</v>
      </c>
      <c r="N63" t="s">
        <v>266</v>
      </c>
    </row>
    <row r="66" spans="1:1" x14ac:dyDescent="0.35">
      <c r="A66" s="2" t="s">
        <v>44</v>
      </c>
    </row>
  </sheetData>
  <pageMargins left="0.7" right="0.7" top="0.75" bottom="0.75" header="0.3" footer="0.3"/>
  <pageSetup paperSize="9" orientation="portrait" r:id="rId1"/>
  <ignoredErrors>
    <ignoredError sqref="H26:J26" formulaRange="1"/>
    <ignoredError sqref="P6:P7 W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"/>
  <sheetViews>
    <sheetView zoomScale="85" zoomScaleNormal="85" workbookViewId="0">
      <pane xSplit="1" ySplit="2" topLeftCell="J24" activePane="bottomRight" state="frozen"/>
      <selection pane="topRight" activeCell="B1" sqref="B1"/>
      <selection pane="bottomLeft" activeCell="A3" sqref="A3"/>
      <selection pane="bottomRight" activeCell="Q44" sqref="Q44"/>
    </sheetView>
  </sheetViews>
  <sheetFormatPr defaultColWidth="0" defaultRowHeight="14.5" outlineLevelRow="1" outlineLevelCol="1" x14ac:dyDescent="0.35"/>
  <cols>
    <col min="1" max="1" width="84.7265625" bestFit="1" customWidth="1"/>
    <col min="2" max="2" width="8.7265625" customWidth="1"/>
    <col min="3" max="3" width="11.54296875" bestFit="1" customWidth="1" outlineLevel="1"/>
    <col min="4" max="4" width="9.7265625" customWidth="1" outlineLevel="1"/>
    <col min="5" max="5" width="9.26953125" customWidth="1" outlineLevel="1"/>
    <col min="6" max="6" width="10.7265625" customWidth="1" outlineLevel="1"/>
    <col min="7" max="7" width="7.81640625" bestFit="1" customWidth="1"/>
    <col min="8" max="8" width="11.453125" customWidth="1" outlineLevel="1"/>
    <col min="9" max="9" width="9.7265625" customWidth="1" outlineLevel="1"/>
    <col min="10" max="10" width="9.26953125" customWidth="1" outlineLevel="1"/>
    <col min="11" max="11" width="9.54296875" customWidth="1" outlineLevel="1"/>
    <col min="12" max="12" width="7.81640625" bestFit="1" customWidth="1"/>
    <col min="13" max="13" width="9.54296875" customWidth="1" outlineLevel="1"/>
    <col min="14" max="14" width="9.81640625" customWidth="1" outlineLevel="1"/>
    <col min="15" max="15" width="9" customWidth="1" outlineLevel="1"/>
    <col min="16" max="16" width="9.54296875" customWidth="1" outlineLevel="1"/>
    <col min="17" max="20" width="9.26953125" customWidth="1"/>
    <col min="21" max="23" width="10.26953125" customWidth="1"/>
    <col min="24" max="26" width="11.7265625" customWidth="1"/>
    <col min="27" max="27" width="9.1796875" customWidth="1"/>
    <col min="28" max="16384" width="9.1796875" hidden="1"/>
  </cols>
  <sheetData>
    <row r="1" spans="1:26" x14ac:dyDescent="0.35">
      <c r="A1" t="s">
        <v>219</v>
      </c>
      <c r="B1" s="51">
        <v>2015</v>
      </c>
      <c r="C1" s="51" t="s">
        <v>233</v>
      </c>
      <c r="D1" s="51" t="s">
        <v>234</v>
      </c>
      <c r="E1" s="51" t="s">
        <v>235</v>
      </c>
      <c r="F1" s="51" t="s">
        <v>236</v>
      </c>
      <c r="G1" s="51">
        <v>2016</v>
      </c>
      <c r="H1" s="51" t="s">
        <v>237</v>
      </c>
      <c r="I1" s="51" t="s">
        <v>240</v>
      </c>
      <c r="J1" s="51" t="s">
        <v>241</v>
      </c>
      <c r="K1" s="51" t="s">
        <v>242</v>
      </c>
      <c r="L1" s="51">
        <v>2017</v>
      </c>
      <c r="M1" s="51" t="s">
        <v>238</v>
      </c>
      <c r="N1" s="51" t="s">
        <v>239</v>
      </c>
      <c r="O1" s="51" t="s">
        <v>243</v>
      </c>
      <c r="P1" s="51" t="s">
        <v>244</v>
      </c>
      <c r="Q1" s="51">
        <v>2018</v>
      </c>
      <c r="R1" s="52">
        <v>2019</v>
      </c>
      <c r="S1" s="52">
        <v>2020</v>
      </c>
      <c r="T1" s="52">
        <v>2021</v>
      </c>
      <c r="U1" s="52">
        <v>2022</v>
      </c>
      <c r="V1" s="52">
        <v>2023</v>
      </c>
      <c r="W1" s="52">
        <v>2024</v>
      </c>
      <c r="X1" s="52">
        <v>2025</v>
      </c>
      <c r="Y1" s="52">
        <v>2026</v>
      </c>
      <c r="Z1" s="52">
        <v>2027</v>
      </c>
    </row>
    <row r="2" spans="1:26" x14ac:dyDescent="0.35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78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</row>
    <row r="3" spans="1:26" x14ac:dyDescent="0.35">
      <c r="A3" t="s">
        <v>49</v>
      </c>
    </row>
    <row r="4" spans="1:26" x14ac:dyDescent="0.35">
      <c r="A4" t="s">
        <v>50</v>
      </c>
    </row>
    <row r="5" spans="1:26" x14ac:dyDescent="0.35">
      <c r="A5" s="1" t="s">
        <v>72</v>
      </c>
      <c r="B5">
        <v>78992</v>
      </c>
      <c r="C5" s="5">
        <v>26189</v>
      </c>
      <c r="D5" s="5">
        <v>-1645</v>
      </c>
      <c r="E5" s="5">
        <v>-1076</v>
      </c>
      <c r="F5" s="5">
        <f>G5-SUM(C5:E5)</f>
        <v>-1802</v>
      </c>
      <c r="G5">
        <v>21666</v>
      </c>
      <c r="H5" s="5">
        <v>-4980</v>
      </c>
      <c r="I5">
        <v>-5392</v>
      </c>
      <c r="J5" s="5">
        <v>-8426</v>
      </c>
      <c r="K5" s="5">
        <f>L5-SUM(H5:J5)</f>
        <v>36508</v>
      </c>
      <c r="L5">
        <v>17710</v>
      </c>
      <c r="M5" s="5">
        <v>11693</v>
      </c>
      <c r="N5" s="19">
        <f>IS!N22</f>
        <v>-8860.2503943414304</v>
      </c>
      <c r="O5" s="19">
        <f>IS!O22</f>
        <v>-1893.9846311595163</v>
      </c>
      <c r="P5" s="19">
        <f>IS!P22</f>
        <v>353.80492278329984</v>
      </c>
      <c r="Q5" s="19">
        <f>IS!Q22</f>
        <v>1291.607305157987</v>
      </c>
      <c r="R5" s="19">
        <f>IS!R22</f>
        <v>-611.91399365506334</v>
      </c>
      <c r="S5" s="19">
        <f>IS!S22</f>
        <v>-5264.608408003156</v>
      </c>
      <c r="T5" s="19">
        <f>IS!T22</f>
        <v>2225.7622631581171</v>
      </c>
      <c r="U5" s="19">
        <f>IS!U22</f>
        <v>59937.689718656671</v>
      </c>
      <c r="V5" s="19">
        <f>IS!V22</f>
        <v>106488.06772361459</v>
      </c>
      <c r="W5" s="19">
        <f>IS!W22</f>
        <v>168147.0246449222</v>
      </c>
      <c r="X5" s="19">
        <f>IS!X22</f>
        <v>247785.81440207438</v>
      </c>
      <c r="Y5" s="19">
        <f>IS!Y22</f>
        <v>276807.80624601233</v>
      </c>
      <c r="Z5" s="19">
        <f>IS!Z22</f>
        <v>311002.83504386176</v>
      </c>
    </row>
    <row r="6" spans="1:26" x14ac:dyDescent="0.35">
      <c r="A6" t="s">
        <v>51</v>
      </c>
      <c r="K6" s="5"/>
    </row>
    <row r="7" spans="1:26" x14ac:dyDescent="0.35">
      <c r="A7" t="s">
        <v>53</v>
      </c>
      <c r="B7">
        <v>5838</v>
      </c>
      <c r="C7" s="5">
        <v>1992</v>
      </c>
      <c r="D7" s="5">
        <v>2382</v>
      </c>
      <c r="E7" s="5">
        <v>2470</v>
      </c>
      <c r="F7" s="5">
        <f t="shared" ref="F7:F42" si="0">G7-SUM(C7:E7)</f>
        <v>2510</v>
      </c>
      <c r="G7">
        <v>9354</v>
      </c>
      <c r="H7" s="5">
        <v>3267</v>
      </c>
      <c r="I7">
        <v>3492</v>
      </c>
      <c r="J7" s="5">
        <v>3102</v>
      </c>
      <c r="K7" s="5">
        <f t="shared" ref="K7:K42" si="1">L7-SUM(H7:J7)</f>
        <v>3210</v>
      </c>
      <c r="L7">
        <v>13071</v>
      </c>
      <c r="M7" s="5">
        <v>4120</v>
      </c>
      <c r="N7" s="19">
        <f>IS!N13*CF!N48</f>
        <v>4618.9535518942639</v>
      </c>
      <c r="O7" s="19">
        <f>IS!O13*CF!O48</f>
        <v>4618.9535518942639</v>
      </c>
      <c r="P7" s="19">
        <f>IS!P13*CF!P48</f>
        <v>4618.9535518942639</v>
      </c>
      <c r="Q7" s="5">
        <f>SUM(M7:P7)</f>
        <v>17976.860655682794</v>
      </c>
      <c r="R7">
        <f>IS!R13*CF!R48</f>
        <v>21770.825819603491</v>
      </c>
      <c r="S7">
        <f>IS!S13*CF!S48</f>
        <v>26124.990983524189</v>
      </c>
      <c r="T7">
        <f>IS!T13*CF!T48</f>
        <v>28737.490081876611</v>
      </c>
      <c r="U7">
        <f>IS!U13*CF!U48</f>
        <v>71902.840688404904</v>
      </c>
      <c r="V7">
        <f>IS!V13*CF!V48</f>
        <v>107560.8719018454</v>
      </c>
      <c r="W7">
        <f>IS!W13*CF!W48</f>
        <v>154095.14819462717</v>
      </c>
      <c r="X7">
        <f>IS!X13*CF!X48</f>
        <v>213544.10512726405</v>
      </c>
      <c r="Y7">
        <f>IS!Y13*CF!Y48</f>
        <v>238016.97977321915</v>
      </c>
      <c r="Z7">
        <f>IS!Z13*CF!Z48</f>
        <v>266531.65868106356</v>
      </c>
    </row>
    <row r="8" spans="1:26" x14ac:dyDescent="0.35">
      <c r="A8" t="s">
        <v>52</v>
      </c>
      <c r="B8">
        <v>639</v>
      </c>
      <c r="C8">
        <v>339</v>
      </c>
      <c r="D8" s="5">
        <v>433</v>
      </c>
      <c r="E8" s="5">
        <v>434</v>
      </c>
      <c r="F8" s="5">
        <f t="shared" si="0"/>
        <v>455</v>
      </c>
      <c r="G8">
        <v>1661</v>
      </c>
      <c r="H8">
        <v>493</v>
      </c>
      <c r="I8" s="5">
        <v>528</v>
      </c>
      <c r="J8" s="5">
        <v>552</v>
      </c>
      <c r="K8" s="5">
        <f t="shared" si="1"/>
        <v>564</v>
      </c>
      <c r="L8">
        <v>2137</v>
      </c>
      <c r="M8">
        <v>587</v>
      </c>
      <c r="N8" s="19">
        <f>N54</f>
        <v>472.2</v>
      </c>
      <c r="O8" s="19">
        <f t="shared" ref="O8:Z8" si="2">O54</f>
        <v>511.18350807670816</v>
      </c>
      <c r="P8" s="19">
        <f t="shared" si="2"/>
        <v>565.0997389659592</v>
      </c>
      <c r="Q8" s="19">
        <f>SUM(M8:P8)</f>
        <v>2135.4832470426672</v>
      </c>
      <c r="R8" s="19">
        <f t="shared" si="2"/>
        <v>621.53824043423674</v>
      </c>
      <c r="S8" s="19">
        <f t="shared" si="2"/>
        <v>1004.7273705389059</v>
      </c>
      <c r="T8" s="19">
        <f t="shared" si="2"/>
        <v>1433.6950279226467</v>
      </c>
      <c r="U8" s="19">
        <f t="shared" si="2"/>
        <v>1916.9418366057721</v>
      </c>
      <c r="V8" s="19">
        <f t="shared" si="2"/>
        <v>3452.94898943202</v>
      </c>
      <c r="W8" s="19">
        <f t="shared" si="2"/>
        <v>5785.9832931836136</v>
      </c>
      <c r="X8" s="19">
        <f t="shared" si="2"/>
        <v>9143.0850391303866</v>
      </c>
      <c r="Y8" s="19">
        <f t="shared" si="2"/>
        <v>13789.342441594237</v>
      </c>
      <c r="Z8" s="19">
        <f t="shared" si="2"/>
        <v>18755.627669109141</v>
      </c>
    </row>
    <row r="9" spans="1:26" x14ac:dyDescent="0.35">
      <c r="A9" t="s">
        <v>54</v>
      </c>
      <c r="B9">
        <v>11028</v>
      </c>
      <c r="C9">
        <v>382</v>
      </c>
      <c r="D9" s="5">
        <v>-1101</v>
      </c>
      <c r="E9" s="5">
        <v>1265</v>
      </c>
      <c r="F9" s="5">
        <f t="shared" si="0"/>
        <v>-2840</v>
      </c>
      <c r="G9">
        <v>-2294</v>
      </c>
      <c r="H9" s="5">
        <v>-1910</v>
      </c>
      <c r="I9" s="5">
        <v>-3527</v>
      </c>
      <c r="J9" s="5">
        <v>-3803</v>
      </c>
      <c r="K9" s="5">
        <f t="shared" si="1"/>
        <v>7586</v>
      </c>
      <c r="L9">
        <v>-1654</v>
      </c>
      <c r="M9" s="5">
        <v>2662</v>
      </c>
      <c r="N9" s="5">
        <f>BS!M12-BS!N12</f>
        <v>-14507.475142380757</v>
      </c>
      <c r="O9" s="5">
        <f>BS!N12-BS!O12</f>
        <v>-5556.3570397446965</v>
      </c>
      <c r="P9" s="5">
        <f>BS!O12-BS!P12-107</f>
        <v>18715.38200550904</v>
      </c>
      <c r="Q9" s="5">
        <f>BS!L12-BS!Q12</f>
        <v>1313.5498233835879</v>
      </c>
      <c r="R9" s="5">
        <f>BS!Q12-BS!R12</f>
        <v>-1578.8779563133612</v>
      </c>
      <c r="S9" s="5">
        <f>BS!R12-BS!S12</f>
        <v>-1699.0144780938481</v>
      </c>
      <c r="T9" s="5">
        <f>BS!S12-BS!T12</f>
        <v>-1976.8888540121607</v>
      </c>
      <c r="U9" s="5">
        <f>BS!T12-BS!U12</f>
        <v>-26725.621703512879</v>
      </c>
      <c r="V9" s="5">
        <f>BS!U12-BS!V12</f>
        <v>-21968.086614196865</v>
      </c>
      <c r="W9" s="5">
        <f>BS!V12-BS!W12</f>
        <v>-28758.76903916648</v>
      </c>
      <c r="X9" s="5">
        <f>BS!W12-BS!X12</f>
        <v>-36826.008336408864</v>
      </c>
      <c r="Y9" s="5">
        <f>BS!X12-BS!Y12</f>
        <v>-14793.911180384472</v>
      </c>
      <c r="Z9" s="5">
        <f>BS!Y12-BS!Z12</f>
        <v>-17275.294917024352</v>
      </c>
    </row>
    <row r="10" spans="1:26" outlineLevel="1" x14ac:dyDescent="0.35">
      <c r="A10" s="4" t="s">
        <v>81</v>
      </c>
      <c r="B10">
        <v>-3042</v>
      </c>
      <c r="C10">
        <v>-171</v>
      </c>
      <c r="D10" s="5">
        <v>5</v>
      </c>
      <c r="E10" s="5">
        <v>36</v>
      </c>
      <c r="F10" s="5">
        <f t="shared" si="0"/>
        <v>-388</v>
      </c>
      <c r="G10">
        <v>-518</v>
      </c>
      <c r="H10">
        <v>-324</v>
      </c>
      <c r="I10" s="5">
        <v>-533</v>
      </c>
      <c r="J10" s="5">
        <v>17</v>
      </c>
      <c r="K10" s="5">
        <f t="shared" si="1"/>
        <v>-389</v>
      </c>
      <c r="L10" s="5">
        <v>-1229</v>
      </c>
      <c r="M10">
        <v>-1</v>
      </c>
      <c r="N10" s="5"/>
      <c r="O10" s="5"/>
    </row>
    <row r="11" spans="1:26" outlineLevel="1" x14ac:dyDescent="0.35">
      <c r="A11" s="4" t="s">
        <v>82</v>
      </c>
      <c r="B11">
        <v>2244</v>
      </c>
      <c r="C11">
        <v>562</v>
      </c>
      <c r="D11" s="5">
        <v>448</v>
      </c>
      <c r="E11" s="5">
        <v>294</v>
      </c>
      <c r="F11" s="5">
        <f t="shared" si="0"/>
        <v>207</v>
      </c>
      <c r="G11">
        <v>1511</v>
      </c>
      <c r="H11">
        <v>188</v>
      </c>
      <c r="I11" s="5">
        <v>218</v>
      </c>
      <c r="J11" s="5">
        <v>158</v>
      </c>
      <c r="K11" s="5">
        <f t="shared" si="1"/>
        <v>138</v>
      </c>
      <c r="L11" s="5">
        <v>702</v>
      </c>
      <c r="M11">
        <v>88</v>
      </c>
      <c r="N11" s="5"/>
      <c r="O11" s="5"/>
    </row>
    <row r="12" spans="1:26" outlineLevel="1" x14ac:dyDescent="0.35">
      <c r="A12" s="4" t="s">
        <v>83</v>
      </c>
      <c r="B12">
        <v>-1814</v>
      </c>
      <c r="C12">
        <v>0</v>
      </c>
      <c r="D12" s="5">
        <v>-48</v>
      </c>
      <c r="E12" s="5">
        <v>-1701</v>
      </c>
      <c r="F12" s="5">
        <f t="shared" si="0"/>
        <v>2</v>
      </c>
      <c r="G12">
        <v>-1747</v>
      </c>
      <c r="H12">
        <v>0</v>
      </c>
      <c r="I12">
        <v>0</v>
      </c>
      <c r="J12" s="5">
        <v>0</v>
      </c>
      <c r="K12" s="5">
        <f t="shared" si="1"/>
        <v>-213</v>
      </c>
      <c r="L12">
        <v>-213</v>
      </c>
      <c r="M12">
        <v>245</v>
      </c>
    </row>
    <row r="13" spans="1:26" outlineLevel="1" x14ac:dyDescent="0.35">
      <c r="A13" s="4" t="s">
        <v>76</v>
      </c>
      <c r="B13">
        <v>-347</v>
      </c>
      <c r="C13">
        <v>15</v>
      </c>
      <c r="D13" s="5">
        <v>-75</v>
      </c>
      <c r="E13" s="5">
        <v>16</v>
      </c>
      <c r="F13" s="5">
        <f t="shared" si="0"/>
        <v>15</v>
      </c>
      <c r="G13">
        <v>-29</v>
      </c>
      <c r="H13">
        <v>13</v>
      </c>
      <c r="I13">
        <v>15</v>
      </c>
      <c r="J13" s="5">
        <v>17</v>
      </c>
      <c r="K13" s="5">
        <f t="shared" si="1"/>
        <v>-45</v>
      </c>
      <c r="L13">
        <v>0</v>
      </c>
      <c r="M13">
        <v>-41</v>
      </c>
    </row>
    <row r="14" spans="1:26" outlineLevel="1" x14ac:dyDescent="0.35">
      <c r="A14" s="4" t="s">
        <v>84</v>
      </c>
      <c r="B14">
        <v>-35</v>
      </c>
      <c r="C14">
        <v>0</v>
      </c>
      <c r="D14" s="5">
        <v>0</v>
      </c>
      <c r="E14" s="5">
        <v>0</v>
      </c>
      <c r="F14" s="5">
        <f t="shared" si="0"/>
        <v>34</v>
      </c>
      <c r="G14">
        <v>34</v>
      </c>
      <c r="H14">
        <v>0</v>
      </c>
      <c r="I14" s="5">
        <v>0</v>
      </c>
      <c r="J14">
        <v>0</v>
      </c>
      <c r="K14" s="5">
        <f t="shared" si="1"/>
        <v>159</v>
      </c>
      <c r="L14">
        <v>159</v>
      </c>
      <c r="M14">
        <v>0</v>
      </c>
    </row>
    <row r="15" spans="1:26" x14ac:dyDescent="0.35">
      <c r="A15" t="s">
        <v>55</v>
      </c>
      <c r="B15">
        <v>-2994</v>
      </c>
      <c r="C15">
        <v>406</v>
      </c>
      <c r="D15">
        <v>330</v>
      </c>
      <c r="E15">
        <v>-1355</v>
      </c>
      <c r="F15" s="5">
        <f t="shared" si="0"/>
        <v>-130</v>
      </c>
      <c r="G15">
        <v>-749</v>
      </c>
      <c r="H15">
        <f>SUM(H10:H14)</f>
        <v>-123</v>
      </c>
      <c r="I15">
        <f>SUM(I10:I14)</f>
        <v>-300</v>
      </c>
      <c r="J15">
        <v>192</v>
      </c>
      <c r="K15" s="5">
        <f t="shared" si="1"/>
        <v>-350</v>
      </c>
      <c r="L15">
        <v>-581</v>
      </c>
      <c r="M15">
        <f>SUM(M10:M14)</f>
        <v>291</v>
      </c>
      <c r="N15" s="5">
        <f>BS!N13-BS!M13</f>
        <v>0</v>
      </c>
      <c r="O15" s="5">
        <f>BS!O13-BS!N13</f>
        <v>0</v>
      </c>
      <c r="P15" s="5">
        <f>BS!P13-BS!O13</f>
        <v>0</v>
      </c>
      <c r="Q15" s="5">
        <f>BS!Q13-BS!P13</f>
        <v>0</v>
      </c>
      <c r="R15" s="5">
        <f>BS!R13-BS!Q13</f>
        <v>0</v>
      </c>
      <c r="S15" s="5">
        <f>BS!S13-BS!R13</f>
        <v>0</v>
      </c>
      <c r="T15" s="5">
        <f>BS!T13-BS!S13</f>
        <v>0</v>
      </c>
      <c r="U15" s="5">
        <f>BS!U13-BS!T13</f>
        <v>0</v>
      </c>
      <c r="V15" s="5">
        <f>BS!V13-BS!U13</f>
        <v>0</v>
      </c>
      <c r="W15" s="5">
        <f>BS!W13-BS!V13</f>
        <v>0</v>
      </c>
      <c r="X15" s="5">
        <f>BS!X13-BS!W13</f>
        <v>0</v>
      </c>
      <c r="Y15" s="5">
        <f>BS!Y13-BS!X13</f>
        <v>0</v>
      </c>
      <c r="Z15" s="5">
        <f>BS!Z13-BS!Y13</f>
        <v>0</v>
      </c>
    </row>
    <row r="16" spans="1:26" x14ac:dyDescent="0.35">
      <c r="A16" t="s">
        <v>56</v>
      </c>
      <c r="F16" s="5"/>
      <c r="K16" s="5">
        <f t="shared" si="1"/>
        <v>0</v>
      </c>
      <c r="N16" s="5"/>
    </row>
    <row r="17" spans="1:26" x14ac:dyDescent="0.35">
      <c r="A17" s="2" t="s">
        <v>232</v>
      </c>
      <c r="B17">
        <v>-11228</v>
      </c>
      <c r="C17">
        <v>-3156</v>
      </c>
      <c r="D17">
        <v>5874</v>
      </c>
      <c r="E17" s="5">
        <v>-974</v>
      </c>
      <c r="F17" s="5">
        <f t="shared" si="0"/>
        <v>1137</v>
      </c>
      <c r="G17">
        <v>2881</v>
      </c>
      <c r="H17" s="5">
        <v>2424</v>
      </c>
      <c r="I17">
        <v>1458</v>
      </c>
      <c r="J17" s="5">
        <v>1448</v>
      </c>
      <c r="K17" s="5">
        <f t="shared" si="1"/>
        <v>-3103</v>
      </c>
      <c r="L17">
        <v>2227</v>
      </c>
      <c r="M17" s="5">
        <v>-12495</v>
      </c>
      <c r="N17" s="5">
        <f>BS!M6-BS!N6</f>
        <v>670.49730776393699</v>
      </c>
      <c r="O17" s="5">
        <f>BS!N6-BS!O6</f>
        <v>-5757.2444323817472</v>
      </c>
      <c r="P17" s="5">
        <f>BS!O6-BS!P6</f>
        <v>13932.777714345937</v>
      </c>
      <c r="Q17" s="5">
        <f>BS!L6-BS!Q6</f>
        <v>-3648.9694102718731</v>
      </c>
      <c r="R17" s="5">
        <f>BS!Q6-BS!R6</f>
        <v>-2556.2875709570599</v>
      </c>
      <c r="S17" s="5">
        <f>BS!R6-BS!S6</f>
        <v>-2750.7950034140667</v>
      </c>
      <c r="T17" s="5">
        <f>BS!S6-BS!T6</f>
        <v>-3200.6884296963763</v>
      </c>
      <c r="U17" s="5">
        <f>BS!T6-BS!U6</f>
        <v>-43270.206106564379</v>
      </c>
      <c r="V17" s="5">
        <f>BS!U6-BS!V6</f>
        <v>-35567.503203796834</v>
      </c>
      <c r="W17" s="5">
        <f>BS!V6-BS!W6</f>
        <v>-46561.980016810965</v>
      </c>
      <c r="X17" s="5">
        <f>BS!W6-BS!X6</f>
        <v>-59623.270450955344</v>
      </c>
      <c r="Y17" s="5">
        <f>BS!X6-BS!Y6</f>
        <v>-23952.130767955241</v>
      </c>
      <c r="Z17" s="5">
        <f>BS!Y6-BS!Z6</f>
        <v>-27969.623303957575</v>
      </c>
    </row>
    <row r="18" spans="1:26" x14ac:dyDescent="0.35">
      <c r="A18" s="2" t="s">
        <v>26</v>
      </c>
      <c r="B18">
        <v>0</v>
      </c>
      <c r="C18">
        <v>0</v>
      </c>
      <c r="D18">
        <v>0</v>
      </c>
      <c r="E18">
        <v>0</v>
      </c>
      <c r="F18" s="5">
        <f t="shared" si="0"/>
        <v>0</v>
      </c>
      <c r="G18">
        <v>0</v>
      </c>
      <c r="H18">
        <v>0</v>
      </c>
      <c r="I18">
        <v>0</v>
      </c>
      <c r="J18">
        <v>0</v>
      </c>
      <c r="K18" s="5">
        <f t="shared" si="1"/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s="2" t="s">
        <v>57</v>
      </c>
      <c r="B19">
        <v>-6680</v>
      </c>
      <c r="C19">
        <v>-276</v>
      </c>
      <c r="D19" s="5">
        <v>885</v>
      </c>
      <c r="E19" s="5">
        <v>-542</v>
      </c>
      <c r="F19" s="5">
        <f t="shared" si="0"/>
        <v>-1031</v>
      </c>
      <c r="G19">
        <v>-964</v>
      </c>
      <c r="H19" s="5">
        <v>4941</v>
      </c>
      <c r="I19">
        <v>-1827</v>
      </c>
      <c r="J19" s="5">
        <v>-530</v>
      </c>
      <c r="K19" s="5">
        <f t="shared" si="1"/>
        <v>3094</v>
      </c>
      <c r="L19">
        <v>5678</v>
      </c>
      <c r="M19">
        <v>-539</v>
      </c>
      <c r="N19" s="19">
        <f>BS!M7-BS!N7</f>
        <v>-5938.2826395113261</v>
      </c>
      <c r="O19" s="19">
        <f>BS!N7-BS!O7</f>
        <v>4439.53141040436</v>
      </c>
      <c r="P19" s="19">
        <f>BS!O7-BS!P7</f>
        <v>-12254.960533732876</v>
      </c>
      <c r="Q19" s="19">
        <f>BS!L7-BS!Q7</f>
        <v>-14292.711762839841</v>
      </c>
      <c r="R19" s="19">
        <f>BS!Q7-BS!R7</f>
        <v>-3195.359463696328</v>
      </c>
      <c r="S19" s="19">
        <f>BS!R7-BS!S7</f>
        <v>-3438.4937542675834</v>
      </c>
      <c r="T19" s="19">
        <f>BS!S7-BS!T7</f>
        <v>-4000.8605371204685</v>
      </c>
      <c r="U19" s="19">
        <f>BS!T7-BS!U7</f>
        <v>-54087.757633205489</v>
      </c>
      <c r="V19" s="19">
        <f>BS!U7-BS!V7</f>
        <v>-44459.379004746035</v>
      </c>
      <c r="W19" s="19">
        <f>BS!V7-BS!W7</f>
        <v>-58202.475021013714</v>
      </c>
      <c r="X19" s="19">
        <f>BS!W7-BS!X7</f>
        <v>-74529.088063694187</v>
      </c>
      <c r="Y19" s="19">
        <f>BS!X7-BS!Y7</f>
        <v>-29940.163459944044</v>
      </c>
      <c r="Z19" s="19">
        <f>BS!Y7-BS!Z7</f>
        <v>-34962.029129946954</v>
      </c>
    </row>
    <row r="20" spans="1:26" x14ac:dyDescent="0.35">
      <c r="A20" s="2" t="s">
        <v>35</v>
      </c>
      <c r="B20">
        <v>-543</v>
      </c>
      <c r="C20">
        <v>149</v>
      </c>
      <c r="D20" s="5">
        <v>1011</v>
      </c>
      <c r="E20" s="5">
        <v>-483</v>
      </c>
      <c r="F20" s="5">
        <f t="shared" si="0"/>
        <v>774</v>
      </c>
      <c r="G20">
        <v>1451</v>
      </c>
      <c r="H20" s="5">
        <v>-1290</v>
      </c>
      <c r="I20">
        <v>1978</v>
      </c>
      <c r="J20" s="5">
        <v>2029</v>
      </c>
      <c r="K20" s="5">
        <f t="shared" si="1"/>
        <v>-2084</v>
      </c>
      <c r="L20">
        <v>633</v>
      </c>
      <c r="M20">
        <v>-129</v>
      </c>
      <c r="N20" s="19">
        <f>BS!N18-BS!M18</f>
        <v>3032.383867216553</v>
      </c>
      <c r="O20" s="19">
        <f>BS!O18-BS!N18</f>
        <v>-117.88084521700603</v>
      </c>
      <c r="P20" s="19">
        <f>BS!P18-BS!O18-317</f>
        <v>2731.9569780004522</v>
      </c>
      <c r="Q20" s="19">
        <f>BS!Q18-BS!L18</f>
        <v>5517.4659135024885</v>
      </c>
      <c r="R20" s="19">
        <f>BS!R18-BS!Q18</f>
        <v>2307.0717708873617</v>
      </c>
      <c r="S20" s="19">
        <f>BS!S18-BS!R18</f>
        <v>2307.7075368779697</v>
      </c>
      <c r="T20" s="19">
        <f>BS!T18-BS!S18</f>
        <v>1384.6245221267855</v>
      </c>
      <c r="U20" s="19">
        <f>BS!U18-BS!T18</f>
        <v>22877.635821459997</v>
      </c>
      <c r="V20" s="19">
        <f>BS!V18-BS!U18</f>
        <v>18898.756543123454</v>
      </c>
      <c r="W20" s="19">
        <f>BS!W18-BS!V18</f>
        <v>24663.166435174346</v>
      </c>
      <c r="X20" s="19">
        <f>BS!X18-BS!W18</f>
        <v>31507.947174297544</v>
      </c>
      <c r="Y20" s="19">
        <f>BS!Y18-BS!X18</f>
        <v>12970.62356235621</v>
      </c>
      <c r="Z20" s="19">
        <f>BS!Z18-BS!Y18</f>
        <v>15112.779821157543</v>
      </c>
    </row>
    <row r="21" spans="1:26" x14ac:dyDescent="0.35">
      <c r="A21" s="2" t="s">
        <v>85</v>
      </c>
      <c r="B21">
        <v>-227</v>
      </c>
      <c r="C21">
        <v>150</v>
      </c>
      <c r="D21" s="5">
        <v>-480</v>
      </c>
      <c r="E21" s="5">
        <v>2276</v>
      </c>
      <c r="F21" s="5">
        <f t="shared" si="0"/>
        <v>-88</v>
      </c>
      <c r="G21">
        <v>1858</v>
      </c>
      <c r="H21" s="5">
        <v>0</v>
      </c>
      <c r="I21">
        <v>572</v>
      </c>
      <c r="J21" s="5">
        <v>583</v>
      </c>
      <c r="K21" s="5">
        <f t="shared" si="1"/>
        <v>2288</v>
      </c>
      <c r="L21">
        <v>3443</v>
      </c>
      <c r="M21" s="5">
        <v>-2494</v>
      </c>
      <c r="N21" s="5">
        <f>BS!N20-BS!M20</f>
        <v>1540.3067205432035</v>
      </c>
      <c r="O21" s="5">
        <f>BS!O20-BS!N20</f>
        <v>1648.6330845483899</v>
      </c>
      <c r="P21" s="5">
        <f>BS!P20-BS!O20+221</f>
        <v>7841.6901949084076</v>
      </c>
      <c r="Q21" s="5">
        <f>BS!Q20-BS!L20</f>
        <v>8536.6319907846337</v>
      </c>
      <c r="R21" s="5">
        <f>BS!R20-BS!Q20</f>
        <v>4132.1108861994762</v>
      </c>
      <c r="S21" s="5">
        <f>BS!S20-BS!R20</f>
        <v>4127.7485753968213</v>
      </c>
      <c r="T21" s="5">
        <f>BS!T20-BS!S20</f>
        <v>2476.6491452380978</v>
      </c>
      <c r="U21" s="5">
        <f>BS!U20-BS!T20</f>
        <v>40920.752374988821</v>
      </c>
      <c r="V21" s="5">
        <f>BS!V20-BS!U20</f>
        <v>33803.813590341582</v>
      </c>
      <c r="W21" s="5">
        <f>BS!W20-BS!V20</f>
        <v>44114.493925557123</v>
      </c>
      <c r="X21" s="5">
        <f>BS!X20-BS!W20</f>
        <v>56357.611172139761</v>
      </c>
      <c r="Y21" s="5">
        <f>BS!Y20-BS!X20</f>
        <v>23200.285164365428</v>
      </c>
      <c r="Z21" s="5">
        <f>BS!Z20-BS!Y20</f>
        <v>27031.91560463651</v>
      </c>
    </row>
    <row r="22" spans="1:26" x14ac:dyDescent="0.35">
      <c r="A22" s="2" t="s">
        <v>36</v>
      </c>
      <c r="B22">
        <v>1199</v>
      </c>
      <c r="C22">
        <v>3741</v>
      </c>
      <c r="D22" s="5">
        <v>2307</v>
      </c>
      <c r="E22" s="5">
        <v>-4294</v>
      </c>
      <c r="F22" s="5">
        <f t="shared" si="0"/>
        <v>-1206</v>
      </c>
      <c r="G22">
        <v>548</v>
      </c>
      <c r="H22">
        <v>-10</v>
      </c>
      <c r="I22">
        <v>0</v>
      </c>
      <c r="J22" s="5">
        <v>0</v>
      </c>
      <c r="K22" s="5">
        <f t="shared" si="1"/>
        <v>9521</v>
      </c>
      <c r="L22">
        <v>9511</v>
      </c>
      <c r="M22">
        <v>714</v>
      </c>
      <c r="N22">
        <f>BS!N19-BS!M19</f>
        <v>0</v>
      </c>
      <c r="O22">
        <f>BS!O19-BS!N19</f>
        <v>0</v>
      </c>
      <c r="P22">
        <f>BS!P19-BS!O19</f>
        <v>0</v>
      </c>
      <c r="Q22">
        <f>SUM(M22:P22)</f>
        <v>714</v>
      </c>
      <c r="R22">
        <f>BS!R19-BS!Q19</f>
        <v>0</v>
      </c>
      <c r="S22">
        <f>BS!S19-BS!R19</f>
        <v>0</v>
      </c>
      <c r="T22">
        <f>BS!T19-BS!S19</f>
        <v>0</v>
      </c>
      <c r="U22">
        <f>BS!U19-BS!T19</f>
        <v>0</v>
      </c>
      <c r="V22">
        <f>BS!V19-BS!U19</f>
        <v>0</v>
      </c>
      <c r="W22">
        <f>BS!W19-BS!V19</f>
        <v>0</v>
      </c>
      <c r="X22">
        <f>BS!X19-BS!W19</f>
        <v>0</v>
      </c>
      <c r="Y22">
        <f>BS!Y19-BS!X19</f>
        <v>0</v>
      </c>
      <c r="Z22">
        <f>BS!Z19-BS!Y19</f>
        <v>0</v>
      </c>
    </row>
    <row r="23" spans="1:26" x14ac:dyDescent="0.35">
      <c r="A23" s="2" t="s">
        <v>58</v>
      </c>
      <c r="B23">
        <v>649</v>
      </c>
      <c r="C23">
        <v>77</v>
      </c>
      <c r="D23" s="5">
        <v>58</v>
      </c>
      <c r="E23" s="5">
        <v>167</v>
      </c>
      <c r="F23" s="5">
        <f t="shared" si="0"/>
        <v>95</v>
      </c>
      <c r="G23">
        <v>397</v>
      </c>
      <c r="H23">
        <v>333</v>
      </c>
      <c r="I23">
        <v>16</v>
      </c>
      <c r="J23" s="5">
        <v>57</v>
      </c>
      <c r="K23" s="5">
        <f t="shared" si="1"/>
        <v>72</v>
      </c>
      <c r="L23">
        <v>478</v>
      </c>
      <c r="M23">
        <v>-1</v>
      </c>
      <c r="N23" s="19">
        <f>BS!N26-BS!M26</f>
        <v>-425.5</v>
      </c>
      <c r="O23" s="19">
        <f>BS!O26-BS!N26</f>
        <v>111</v>
      </c>
      <c r="P23" s="19">
        <f>BS!P26-BS!O26-60</f>
        <v>-135.84000000000015</v>
      </c>
      <c r="Q23" s="19">
        <f>BS!Q26-BS!L26</f>
        <v>-451.33333333333348</v>
      </c>
      <c r="R23" s="19">
        <f>BS!R26-BS!Q26</f>
        <v>0</v>
      </c>
      <c r="S23" s="19">
        <f>BS!S26-BS!R26</f>
        <v>0</v>
      </c>
      <c r="T23" s="19">
        <f>BS!T26-BS!S26</f>
        <v>0</v>
      </c>
      <c r="U23" s="19">
        <f>BS!U26-BS!T26</f>
        <v>0</v>
      </c>
      <c r="V23" s="19">
        <f>BS!V26-BS!U26</f>
        <v>0</v>
      </c>
      <c r="W23" s="19">
        <f>BS!W26-BS!V26</f>
        <v>0</v>
      </c>
      <c r="X23" s="19">
        <f>BS!X26-BS!W26</f>
        <v>0</v>
      </c>
      <c r="Y23" s="19">
        <f>BS!Y26-BS!X26</f>
        <v>0</v>
      </c>
      <c r="Z23" s="19">
        <f>BS!Z26-BS!Y26</f>
        <v>0</v>
      </c>
    </row>
    <row r="24" spans="1:26" x14ac:dyDescent="0.35">
      <c r="A24" s="6" t="s">
        <v>86</v>
      </c>
      <c r="B24">
        <f>SUM(B17:B23)</f>
        <v>-16830</v>
      </c>
      <c r="C24">
        <v>685</v>
      </c>
      <c r="D24">
        <v>9655</v>
      </c>
      <c r="E24" s="5">
        <v>-3850</v>
      </c>
      <c r="F24" s="5">
        <f t="shared" si="0"/>
        <v>-319</v>
      </c>
      <c r="G24">
        <f>SUM(G17:G23)</f>
        <v>6171</v>
      </c>
      <c r="H24">
        <f>SUM(H17:H23)</f>
        <v>6398</v>
      </c>
      <c r="I24">
        <f>SUM(I17:I23)</f>
        <v>2197</v>
      </c>
      <c r="J24">
        <f>SUM(J17:J23)</f>
        <v>3587</v>
      </c>
      <c r="K24" s="5">
        <f t="shared" si="1"/>
        <v>9788</v>
      </c>
      <c r="L24">
        <f>SUM(L17:L23)</f>
        <v>21970</v>
      </c>
      <c r="M24" s="5">
        <f>SUM(M17:M23)</f>
        <v>-14944</v>
      </c>
      <c r="N24" s="5">
        <f>SUM(N17:N23)</f>
        <v>-1120.5947439876327</v>
      </c>
      <c r="O24" s="5">
        <f t="shared" ref="O24:Z24" si="3">SUM(O17:O23)</f>
        <v>324.03921735399672</v>
      </c>
      <c r="P24" s="5">
        <f t="shared" si="3"/>
        <v>12115.624353521922</v>
      </c>
      <c r="Q24" s="5">
        <f t="shared" si="3"/>
        <v>-3624.9166021579235</v>
      </c>
      <c r="R24" s="5">
        <f t="shared" si="3"/>
        <v>687.53562243345004</v>
      </c>
      <c r="S24" s="5">
        <f t="shared" si="3"/>
        <v>246.16735459314077</v>
      </c>
      <c r="T24" s="5">
        <f t="shared" si="3"/>
        <v>-3340.2752994519615</v>
      </c>
      <c r="U24" s="5">
        <f t="shared" si="3"/>
        <v>-33559.575543321043</v>
      </c>
      <c r="V24" s="5">
        <f t="shared" si="3"/>
        <v>-27324.312075077833</v>
      </c>
      <c r="W24" s="5">
        <f t="shared" si="3"/>
        <v>-35986.794677093218</v>
      </c>
      <c r="X24" s="5">
        <f t="shared" si="3"/>
        <v>-46286.800168212227</v>
      </c>
      <c r="Y24" s="5">
        <f t="shared" si="3"/>
        <v>-17721.385501177647</v>
      </c>
      <c r="Z24" s="5">
        <f t="shared" si="3"/>
        <v>-20786.957008110476</v>
      </c>
    </row>
    <row r="25" spans="1:26" x14ac:dyDescent="0.35">
      <c r="A25" s="1" t="s">
        <v>59</v>
      </c>
      <c r="B25">
        <v>76673</v>
      </c>
      <c r="C25">
        <v>29993</v>
      </c>
      <c r="D25" s="5">
        <v>10054</v>
      </c>
      <c r="E25" s="5">
        <v>-2112</v>
      </c>
      <c r="F25" s="5">
        <f t="shared" si="0"/>
        <v>-2126</v>
      </c>
      <c r="G25">
        <v>35809</v>
      </c>
      <c r="H25" s="5">
        <v>3145</v>
      </c>
      <c r="I25">
        <v>-3002</v>
      </c>
      <c r="J25">
        <v>-4796</v>
      </c>
      <c r="K25" s="5">
        <f t="shared" si="1"/>
        <v>57306</v>
      </c>
      <c r="L25">
        <v>52653</v>
      </c>
      <c r="M25" s="5">
        <v>4409</v>
      </c>
      <c r="N25" s="31">
        <f>N24+SUM(N15,N5:N9)</f>
        <v>-19397.166728815559</v>
      </c>
      <c r="O25" s="31">
        <f t="shared" ref="O25:Z25" si="4">O24+SUM(O15,O5:O9)</f>
        <v>-1996.1653935792442</v>
      </c>
      <c r="P25" s="31">
        <f>P24+SUM(P15,P5:P9)-291</f>
        <v>36077.864572674487</v>
      </c>
      <c r="Q25" s="31">
        <f t="shared" si="4"/>
        <v>19092.584429109113</v>
      </c>
      <c r="R25" s="31">
        <f t="shared" si="4"/>
        <v>20889.107732502755</v>
      </c>
      <c r="S25" s="31">
        <f t="shared" si="4"/>
        <v>20412.262822559234</v>
      </c>
      <c r="T25" s="31">
        <f t="shared" si="4"/>
        <v>27079.783219493256</v>
      </c>
      <c r="U25" s="31">
        <f t="shared" si="4"/>
        <v>73472.274996833425</v>
      </c>
      <c r="V25" s="31">
        <f t="shared" si="4"/>
        <v>168209.48992561729</v>
      </c>
      <c r="W25" s="31">
        <f t="shared" si="4"/>
        <v>263282.59241647326</v>
      </c>
      <c r="X25" s="31">
        <f t="shared" si="4"/>
        <v>387360.19606384775</v>
      </c>
      <c r="Y25" s="31">
        <f t="shared" si="4"/>
        <v>496098.83177926368</v>
      </c>
      <c r="Z25" s="31">
        <f t="shared" si="4"/>
        <v>558227.86946889968</v>
      </c>
    </row>
    <row r="26" spans="1:26" x14ac:dyDescent="0.35">
      <c r="F26" s="5"/>
      <c r="K26" s="5"/>
      <c r="M26" s="5"/>
      <c r="N26" s="5"/>
      <c r="Q26" s="5"/>
    </row>
    <row r="27" spans="1:26" x14ac:dyDescent="0.35">
      <c r="A27" t="s">
        <v>60</v>
      </c>
      <c r="F27" s="5"/>
      <c r="Q27" s="19"/>
    </row>
    <row r="28" spans="1:26" x14ac:dyDescent="0.35">
      <c r="A28" t="s">
        <v>61</v>
      </c>
      <c r="B28">
        <v>-196304</v>
      </c>
      <c r="C28" s="5">
        <v>-34622</v>
      </c>
      <c r="D28" s="5">
        <v>-49939</v>
      </c>
      <c r="E28" s="5">
        <v>-65929</v>
      </c>
      <c r="F28" s="5">
        <f t="shared" si="0"/>
        <v>-41939</v>
      </c>
      <c r="G28">
        <v>-192429</v>
      </c>
      <c r="H28" s="5">
        <v>-73671</v>
      </c>
      <c r="I28" s="5">
        <v>-77602</v>
      </c>
      <c r="J28" s="5">
        <v>-34949</v>
      </c>
      <c r="K28" s="5">
        <f t="shared" si="1"/>
        <v>-65149</v>
      </c>
      <c r="L28">
        <v>-251371</v>
      </c>
      <c r="M28" s="5">
        <v>-54710</v>
      </c>
      <c r="N28" s="19">
        <f>(BS!N5-BS!M5)+(BS!N11-BS!M11)</f>
        <v>0</v>
      </c>
      <c r="O28" s="19">
        <f>(BS!O5-BS!N5)+(BS!O11-BS!N11)</f>
        <v>0</v>
      </c>
      <c r="P28" s="19">
        <f>(BS!P5-BS!O5)+(BS!P11-BS!O11)+53306</f>
        <v>53306</v>
      </c>
      <c r="Q28" s="19">
        <f>(BS!Q5-BS!L5)+(BS!Q11-BS!L11)</f>
        <v>1404</v>
      </c>
      <c r="R28" s="19">
        <f>(BS!R5-BS!Q5)+(BS!R11-BS!Q11)</f>
        <v>0</v>
      </c>
      <c r="S28" s="19">
        <f>(BS!S5-BS!R5)+(BS!S11-BS!R11)</f>
        <v>0</v>
      </c>
      <c r="T28" s="19">
        <f>(BS!T5-BS!S5)+(BS!T11-BS!S11)</f>
        <v>0</v>
      </c>
      <c r="U28" s="19">
        <f>(BS!U5-BS!T5)+(BS!U11-BS!T11)</f>
        <v>0</v>
      </c>
      <c r="V28" s="19">
        <f>(BS!V5-BS!U5)+(BS!V11-BS!U11)</f>
        <v>0</v>
      </c>
      <c r="W28" s="19">
        <f>(BS!W5-BS!V5)+(BS!W11-BS!V11)</f>
        <v>0</v>
      </c>
      <c r="X28" s="19">
        <f>(BS!X5-BS!W5)+(BS!X11-BS!W11)</f>
        <v>0</v>
      </c>
      <c r="Y28" s="19">
        <f>(BS!Y5-BS!X5)+(BS!Y11-BS!X11)</f>
        <v>0</v>
      </c>
      <c r="Z28" s="19">
        <f>(BS!Z5-BS!Y5)+(BS!Z11-BS!Y11)</f>
        <v>0</v>
      </c>
    </row>
    <row r="29" spans="1:26" x14ac:dyDescent="0.35">
      <c r="A29" t="s">
        <v>62</v>
      </c>
      <c r="B29">
        <v>110617</v>
      </c>
      <c r="C29" s="5">
        <v>31187</v>
      </c>
      <c r="D29" s="5">
        <v>50995</v>
      </c>
      <c r="E29" s="5">
        <v>35115</v>
      </c>
      <c r="F29" s="5">
        <f t="shared" si="0"/>
        <v>36207</v>
      </c>
      <c r="G29">
        <v>153504</v>
      </c>
      <c r="H29" s="5">
        <v>75489</v>
      </c>
      <c r="I29" s="5">
        <v>79986</v>
      </c>
      <c r="J29" s="5">
        <v>43348</v>
      </c>
      <c r="K29" s="5">
        <f t="shared" si="1"/>
        <v>50482</v>
      </c>
      <c r="L29">
        <v>249305</v>
      </c>
      <c r="M29" s="5">
        <v>52766</v>
      </c>
      <c r="N29" s="5">
        <v>0</v>
      </c>
      <c r="O29" s="5">
        <v>0</v>
      </c>
      <c r="P29" s="5">
        <v>0</v>
      </c>
      <c r="Q29" s="5">
        <f>SUM(M29:P29)</f>
        <v>52766</v>
      </c>
    </row>
    <row r="30" spans="1:26" x14ac:dyDescent="0.35">
      <c r="A30" t="s">
        <v>63</v>
      </c>
      <c r="B30">
        <v>-2499</v>
      </c>
      <c r="C30" s="5">
        <v>-2197</v>
      </c>
      <c r="D30" s="5">
        <v>-1513</v>
      </c>
      <c r="E30">
        <v>-613</v>
      </c>
      <c r="F30" s="5">
        <f t="shared" si="0"/>
        <v>-415</v>
      </c>
      <c r="G30">
        <v>-4738</v>
      </c>
      <c r="H30">
        <v>-953</v>
      </c>
      <c r="I30" s="5">
        <v>-578</v>
      </c>
      <c r="J30" s="5">
        <v>-741</v>
      </c>
      <c r="K30" s="5">
        <f t="shared" si="1"/>
        <v>-234</v>
      </c>
      <c r="L30">
        <v>-2506</v>
      </c>
      <c r="M30" s="19">
        <v>-504</v>
      </c>
      <c r="N30" s="19">
        <f>BS!N10-BS!M10</f>
        <v>649.72513461180279</v>
      </c>
      <c r="O30" s="19">
        <f>BS!O10-BS!N10</f>
        <v>898.60384815418365</v>
      </c>
      <c r="P30" s="19">
        <f>BS!P10-BS!O10</f>
        <v>940.64169113796015</v>
      </c>
      <c r="Q30" s="19">
        <f>BS!Q10-BS!L10</f>
        <v>2309.9706739039466</v>
      </c>
      <c r="R30" s="19">
        <f>BS!R10-BS!Q10</f>
        <v>6386.4855017444861</v>
      </c>
      <c r="S30" s="19">
        <f>BS!S10-BS!R10</f>
        <v>7149.4609563956801</v>
      </c>
      <c r="T30" s="19">
        <f>BS!T10-BS!S10</f>
        <v>8054.1134780520915</v>
      </c>
      <c r="U30" s="19">
        <f>BS!U10-BS!T10</f>
        <v>25600.119213770799</v>
      </c>
      <c r="V30" s="19">
        <f>BS!V10-BS!U10</f>
        <v>38883.905062526566</v>
      </c>
      <c r="W30" s="19">
        <f>BS!W10-BS!V10</f>
        <v>55951.695765779557</v>
      </c>
      <c r="X30" s="19">
        <f>BS!X10-BS!W10</f>
        <v>77437.623374397517</v>
      </c>
      <c r="Y30" s="19">
        <f>BS!Y10-BS!X10</f>
        <v>82771.420458581706</v>
      </c>
      <c r="Z30" s="19">
        <f>BS!Z10-BS!Y10</f>
        <v>89459.144941049046</v>
      </c>
    </row>
    <row r="31" spans="1:26" x14ac:dyDescent="0.35">
      <c r="A31" s="1" t="s">
        <v>64</v>
      </c>
      <c r="B31">
        <v>-88186</v>
      </c>
      <c r="C31" s="5">
        <v>-5632</v>
      </c>
      <c r="D31">
        <v>-457</v>
      </c>
      <c r="E31" s="5">
        <v>-31427</v>
      </c>
      <c r="F31" s="5">
        <f t="shared" si="0"/>
        <v>-6147</v>
      </c>
      <c r="G31">
        <v>-43663</v>
      </c>
      <c r="H31">
        <v>865</v>
      </c>
      <c r="I31" s="5">
        <v>1806</v>
      </c>
      <c r="J31" s="5">
        <f>SUM(J28:J30)</f>
        <v>7658</v>
      </c>
      <c r="K31" s="5">
        <f t="shared" si="1"/>
        <v>-14901</v>
      </c>
      <c r="L31">
        <v>-4572</v>
      </c>
      <c r="M31" s="5">
        <v>-2448</v>
      </c>
      <c r="N31" s="19">
        <f>SUM(N28:N30)</f>
        <v>649.72513461180279</v>
      </c>
      <c r="O31" s="19">
        <f t="shared" ref="O31:Z31" si="5">SUM(O28:O30)</f>
        <v>898.60384815418365</v>
      </c>
      <c r="P31" s="19">
        <f>SUM(P28:P30)+3133</f>
        <v>57379.641691137964</v>
      </c>
      <c r="Q31" s="19">
        <f t="shared" si="5"/>
        <v>56479.970673903947</v>
      </c>
      <c r="R31" s="19">
        <f t="shared" si="5"/>
        <v>6386.4855017444861</v>
      </c>
      <c r="S31" s="19">
        <f t="shared" si="5"/>
        <v>7149.4609563956801</v>
      </c>
      <c r="T31" s="19">
        <f t="shared" si="5"/>
        <v>8054.1134780520915</v>
      </c>
      <c r="U31" s="19">
        <f t="shared" si="5"/>
        <v>25600.119213770799</v>
      </c>
      <c r="V31" s="19">
        <f t="shared" si="5"/>
        <v>38883.905062526566</v>
      </c>
      <c r="W31" s="19">
        <f t="shared" si="5"/>
        <v>55951.695765779557</v>
      </c>
      <c r="X31" s="19">
        <f t="shared" si="5"/>
        <v>77437.623374397517</v>
      </c>
      <c r="Y31" s="19">
        <f t="shared" si="5"/>
        <v>82771.420458581706</v>
      </c>
      <c r="Z31" s="19">
        <f t="shared" si="5"/>
        <v>89459.144941049046</v>
      </c>
    </row>
    <row r="32" spans="1:26" x14ac:dyDescent="0.35">
      <c r="F32" s="5"/>
      <c r="K32" s="5"/>
      <c r="M32" s="5"/>
    </row>
    <row r="33" spans="1:27" x14ac:dyDescent="0.35">
      <c r="A33" t="s">
        <v>65</v>
      </c>
      <c r="F33" s="5"/>
      <c r="K33" s="5"/>
    </row>
    <row r="34" spans="1:27" x14ac:dyDescent="0.35">
      <c r="A34" t="s">
        <v>66</v>
      </c>
      <c r="B34">
        <v>0</v>
      </c>
      <c r="C34">
        <v>0</v>
      </c>
      <c r="F34" s="5">
        <f t="shared" si="0"/>
        <v>0</v>
      </c>
      <c r="G34">
        <v>0</v>
      </c>
      <c r="H34">
        <v>0</v>
      </c>
      <c r="I34" s="5">
        <v>0</v>
      </c>
      <c r="J34">
        <v>0</v>
      </c>
      <c r="K34" s="5">
        <f t="shared" si="1"/>
        <v>0</v>
      </c>
      <c r="L34">
        <v>0</v>
      </c>
      <c r="M34" s="5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7" x14ac:dyDescent="0.35">
      <c r="A35" t="s">
        <v>228</v>
      </c>
      <c r="B35">
        <v>726</v>
      </c>
      <c r="C35">
        <v>162</v>
      </c>
      <c r="D35" s="5">
        <v>499</v>
      </c>
      <c r="E35" s="5">
        <v>284</v>
      </c>
      <c r="F35" s="5">
        <f t="shared" si="0"/>
        <v>81</v>
      </c>
      <c r="G35">
        <v>1026</v>
      </c>
      <c r="H35">
        <v>49</v>
      </c>
      <c r="I35" s="5">
        <v>9</v>
      </c>
      <c r="J35" s="5">
        <v>208</v>
      </c>
      <c r="K35" s="5">
        <f t="shared" si="1"/>
        <v>813</v>
      </c>
      <c r="L35">
        <v>1079</v>
      </c>
      <c r="M35">
        <v>436</v>
      </c>
      <c r="N35" s="19">
        <f>O35</f>
        <v>249.979410351371</v>
      </c>
      <c r="O35" s="19">
        <f>P35</f>
        <v>249.979410351371</v>
      </c>
      <c r="P35" s="19">
        <f>(Q35-M35)/3</f>
        <v>249.979410351371</v>
      </c>
      <c r="Q35" s="19">
        <f>L35+(L35*$AA$35)</f>
        <v>1185.938231054113</v>
      </c>
      <c r="R35" s="19">
        <f>Q35+(Q35*$AA$35)</f>
        <v>1303.4749655938449</v>
      </c>
      <c r="S35" s="19">
        <f t="shared" ref="S35:Z35" si="6">R35+(R35*$AA$35)</f>
        <v>1432.6606069691243</v>
      </c>
      <c r="T35" s="19">
        <f t="shared" si="6"/>
        <v>1574.6496625856116</v>
      </c>
      <c r="U35" s="19">
        <f t="shared" si="6"/>
        <v>1730.7110615169008</v>
      </c>
      <c r="V35" s="19">
        <f t="shared" si="6"/>
        <v>1902.2394946813154</v>
      </c>
      <c r="W35" s="19">
        <f t="shared" si="6"/>
        <v>2090.7678789282936</v>
      </c>
      <c r="X35" s="19">
        <f t="shared" si="6"/>
        <v>2297.9810564235217</v>
      </c>
      <c r="Y35" s="19">
        <f t="shared" si="6"/>
        <v>2525.7308517616061</v>
      </c>
      <c r="Z35" s="19">
        <f t="shared" si="6"/>
        <v>2776.0526213688199</v>
      </c>
      <c r="AA35" s="35">
        <f>((L35/B35)^(1/2)-1)-0.12</f>
        <v>9.9108647872208411E-2</v>
      </c>
    </row>
    <row r="36" spans="1:27" x14ac:dyDescent="0.35">
      <c r="A36" t="s">
        <v>67</v>
      </c>
      <c r="B36">
        <v>1814</v>
      </c>
      <c r="C36">
        <v>0</v>
      </c>
      <c r="D36" s="5">
        <v>48</v>
      </c>
      <c r="E36" s="5">
        <v>1701</v>
      </c>
      <c r="F36" s="5">
        <f t="shared" si="0"/>
        <v>-2</v>
      </c>
      <c r="G36">
        <v>1747</v>
      </c>
      <c r="H36">
        <v>0</v>
      </c>
      <c r="I36" s="5">
        <v>0</v>
      </c>
      <c r="J36" s="5">
        <v>0</v>
      </c>
      <c r="K36" s="5">
        <f t="shared" si="1"/>
        <v>213</v>
      </c>
      <c r="L36">
        <v>213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7" x14ac:dyDescent="0.35">
      <c r="A37" t="s">
        <v>68</v>
      </c>
      <c r="B37">
        <v>0</v>
      </c>
      <c r="C37">
        <v>-16</v>
      </c>
      <c r="D37" s="5">
        <v>-17</v>
      </c>
      <c r="E37" s="5">
        <v>-17</v>
      </c>
      <c r="F37" s="5">
        <f t="shared" si="0"/>
        <v>-18</v>
      </c>
      <c r="G37">
        <v>-68</v>
      </c>
      <c r="H37">
        <v>-18</v>
      </c>
      <c r="I37" s="5">
        <v>-18</v>
      </c>
      <c r="J37" s="5">
        <v>-18</v>
      </c>
      <c r="K37" s="5">
        <f t="shared" si="1"/>
        <v>-19</v>
      </c>
      <c r="L37">
        <v>-73</v>
      </c>
      <c r="M37">
        <v>-19</v>
      </c>
      <c r="N37" s="5">
        <v>-17</v>
      </c>
      <c r="O37" s="5">
        <v>-17</v>
      </c>
      <c r="P37" s="5">
        <v>-17</v>
      </c>
      <c r="Q37">
        <f>SUM(M37:P37)</f>
        <v>-70</v>
      </c>
      <c r="R37">
        <f>Q37</f>
        <v>-70</v>
      </c>
      <c r="S37">
        <f t="shared" ref="S37:Z37" si="7">R37</f>
        <v>-70</v>
      </c>
      <c r="T37">
        <f t="shared" si="7"/>
        <v>-70</v>
      </c>
      <c r="U37">
        <f t="shared" si="7"/>
        <v>-70</v>
      </c>
      <c r="V37">
        <f t="shared" si="7"/>
        <v>-70</v>
      </c>
      <c r="W37">
        <f t="shared" si="7"/>
        <v>-70</v>
      </c>
      <c r="X37">
        <f t="shared" si="7"/>
        <v>-70</v>
      </c>
      <c r="Y37">
        <f t="shared" si="7"/>
        <v>-70</v>
      </c>
      <c r="Z37">
        <f t="shared" si="7"/>
        <v>-70</v>
      </c>
    </row>
    <row r="38" spans="1:27" x14ac:dyDescent="0.35">
      <c r="A38" t="s">
        <v>245</v>
      </c>
      <c r="B38">
        <v>0</v>
      </c>
      <c r="C38">
        <v>0</v>
      </c>
      <c r="D38" s="5">
        <v>0</v>
      </c>
      <c r="E38">
        <v>0</v>
      </c>
      <c r="F38" s="5">
        <f t="shared" si="0"/>
        <v>0</v>
      </c>
      <c r="G38">
        <v>0</v>
      </c>
      <c r="H38">
        <v>0</v>
      </c>
      <c r="I38">
        <v>-202</v>
      </c>
      <c r="J38" s="5">
        <v>0</v>
      </c>
      <c r="K38" s="5">
        <f t="shared" si="1"/>
        <v>0</v>
      </c>
      <c r="L38">
        <v>-202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7" x14ac:dyDescent="0.35">
      <c r="A39" s="1" t="s">
        <v>69</v>
      </c>
      <c r="B39">
        <v>2540</v>
      </c>
      <c r="C39">
        <v>146</v>
      </c>
      <c r="D39" s="5">
        <v>530</v>
      </c>
      <c r="E39" s="5">
        <v>1968</v>
      </c>
      <c r="F39" s="5">
        <f t="shared" si="0"/>
        <v>61</v>
      </c>
      <c r="G39">
        <v>2705</v>
      </c>
      <c r="H39">
        <v>31</v>
      </c>
      <c r="I39" s="5">
        <v>-211</v>
      </c>
      <c r="J39" s="5">
        <v>190</v>
      </c>
      <c r="K39" s="5">
        <f t="shared" si="1"/>
        <v>1007</v>
      </c>
      <c r="L39">
        <v>1017</v>
      </c>
      <c r="M39">
        <v>417</v>
      </c>
      <c r="N39" s="19">
        <f>SUM(N34:N38)</f>
        <v>232.979410351371</v>
      </c>
      <c r="O39" s="19">
        <f t="shared" ref="O39:Z39" si="8">SUM(O34:O38)</f>
        <v>232.979410351371</v>
      </c>
      <c r="P39" s="19">
        <f t="shared" si="8"/>
        <v>232.979410351371</v>
      </c>
      <c r="Q39" s="19">
        <f t="shared" si="8"/>
        <v>1115.938231054113</v>
      </c>
      <c r="R39" s="19">
        <f t="shared" si="8"/>
        <v>1233.4749655938449</v>
      </c>
      <c r="S39" s="19">
        <f t="shared" si="8"/>
        <v>1362.6606069691243</v>
      </c>
      <c r="T39" s="19">
        <f t="shared" si="8"/>
        <v>1504.6496625856116</v>
      </c>
      <c r="U39" s="19">
        <f t="shared" si="8"/>
        <v>1660.7110615169008</v>
      </c>
      <c r="V39" s="19">
        <f t="shared" si="8"/>
        <v>1832.2394946813154</v>
      </c>
      <c r="W39" s="19">
        <f t="shared" si="8"/>
        <v>2020.7678789282936</v>
      </c>
      <c r="X39" s="19">
        <f t="shared" si="8"/>
        <v>2227.9810564235217</v>
      </c>
      <c r="Y39" s="19">
        <f t="shared" si="8"/>
        <v>2455.7308517616061</v>
      </c>
      <c r="Z39" s="19">
        <f t="shared" si="8"/>
        <v>2706.0526213688199</v>
      </c>
    </row>
    <row r="40" spans="1:27" x14ac:dyDescent="0.35">
      <c r="F40" s="5"/>
      <c r="I40" s="5"/>
      <c r="K40" s="5"/>
      <c r="P40" s="5"/>
    </row>
    <row r="41" spans="1:27" x14ac:dyDescent="0.35">
      <c r="A41" t="s">
        <v>70</v>
      </c>
      <c r="F41" s="5"/>
      <c r="K41" s="5"/>
    </row>
    <row r="42" spans="1:27" x14ac:dyDescent="0.35">
      <c r="A42" t="s">
        <v>71</v>
      </c>
      <c r="B42">
        <v>-8973</v>
      </c>
      <c r="C42" s="5">
        <v>24507</v>
      </c>
      <c r="D42" s="5">
        <v>10127</v>
      </c>
      <c r="E42" s="5">
        <v>-31571</v>
      </c>
      <c r="F42" s="5">
        <f t="shared" si="0"/>
        <v>-8212</v>
      </c>
      <c r="G42">
        <v>-5149</v>
      </c>
      <c r="H42" s="5">
        <v>4041</v>
      </c>
      <c r="I42">
        <v>-1407</v>
      </c>
      <c r="J42">
        <v>3052</v>
      </c>
      <c r="K42" s="5">
        <f t="shared" si="1"/>
        <v>43412</v>
      </c>
      <c r="L42">
        <v>49098</v>
      </c>
      <c r="M42" s="5">
        <v>2378</v>
      </c>
      <c r="N42" s="31">
        <f>SUM(N25,N31,N39)</f>
        <v>-18514.462183852385</v>
      </c>
      <c r="O42" s="31">
        <f t="shared" ref="O42:Z42" si="9">SUM(O25,O31,O39)</f>
        <v>-864.58213507368953</v>
      </c>
      <c r="P42" s="31">
        <f t="shared" si="9"/>
        <v>93690.485674163821</v>
      </c>
      <c r="Q42" s="31">
        <f t="shared" si="9"/>
        <v>76688.493334067171</v>
      </c>
      <c r="R42" s="31">
        <f t="shared" si="9"/>
        <v>28509.068199841087</v>
      </c>
      <c r="S42" s="31">
        <f t="shared" si="9"/>
        <v>28924.384385924037</v>
      </c>
      <c r="T42" s="31">
        <f t="shared" si="9"/>
        <v>36638.54636013096</v>
      </c>
      <c r="U42" s="31">
        <f t="shared" si="9"/>
        <v>100733.10527212113</v>
      </c>
      <c r="V42" s="31">
        <f t="shared" si="9"/>
        <v>208925.6344828252</v>
      </c>
      <c r="W42" s="31">
        <f t="shared" si="9"/>
        <v>321255.05606118107</v>
      </c>
      <c r="X42" s="31">
        <f t="shared" si="9"/>
        <v>467025.80049466877</v>
      </c>
      <c r="Y42" s="31">
        <f t="shared" si="9"/>
        <v>581325.98308960709</v>
      </c>
      <c r="Z42" s="31">
        <f t="shared" si="9"/>
        <v>650393.06703131751</v>
      </c>
    </row>
    <row r="43" spans="1:27" x14ac:dyDescent="0.35">
      <c r="A43" t="s">
        <v>87</v>
      </c>
      <c r="B43">
        <v>30699</v>
      </c>
      <c r="C43">
        <f>B44</f>
        <v>21726</v>
      </c>
      <c r="D43">
        <f>C44</f>
        <v>46233</v>
      </c>
      <c r="E43">
        <f>D44</f>
        <v>56360</v>
      </c>
      <c r="F43">
        <f>E44</f>
        <v>24789</v>
      </c>
      <c r="G43">
        <v>21726</v>
      </c>
      <c r="H43" s="5">
        <v>16577</v>
      </c>
      <c r="I43">
        <v>20618</v>
      </c>
      <c r="J43">
        <f>I44</f>
        <v>19211</v>
      </c>
      <c r="K43" s="5">
        <v>22263</v>
      </c>
      <c r="L43">
        <v>16577</v>
      </c>
      <c r="M43" s="5">
        <v>65675</v>
      </c>
      <c r="N43" s="5">
        <f>M44</f>
        <v>68053</v>
      </c>
      <c r="O43" s="5">
        <f t="shared" ref="O43:Z43" si="10">N44</f>
        <v>49538.537816147611</v>
      </c>
      <c r="P43" s="5">
        <f t="shared" si="10"/>
        <v>48673.955681073923</v>
      </c>
      <c r="Q43" s="5">
        <f>L44</f>
        <v>65675</v>
      </c>
      <c r="R43" s="5">
        <f t="shared" si="10"/>
        <v>142363.49333406717</v>
      </c>
      <c r="S43" s="5">
        <f t="shared" si="10"/>
        <v>170872.56153390824</v>
      </c>
      <c r="T43" s="5">
        <f t="shared" si="10"/>
        <v>199796.94591983227</v>
      </c>
      <c r="U43" s="5">
        <f t="shared" si="10"/>
        <v>236435.49227996322</v>
      </c>
      <c r="V43" s="5">
        <f t="shared" si="10"/>
        <v>337168.59755208436</v>
      </c>
      <c r="W43" s="5">
        <f t="shared" si="10"/>
        <v>546094.23203490954</v>
      </c>
      <c r="X43" s="5">
        <f t="shared" si="10"/>
        <v>867349.28809609055</v>
      </c>
      <c r="Y43" s="5">
        <f t="shared" si="10"/>
        <v>1334375.0885907593</v>
      </c>
      <c r="Z43" s="5">
        <f t="shared" si="10"/>
        <v>1915701.0716803665</v>
      </c>
    </row>
    <row r="44" spans="1:27" x14ac:dyDescent="0.35">
      <c r="A44" t="s">
        <v>88</v>
      </c>
      <c r="B44">
        <v>21726</v>
      </c>
      <c r="C44">
        <v>46233</v>
      </c>
      <c r="D44">
        <v>56360</v>
      </c>
      <c r="E44">
        <v>24789</v>
      </c>
      <c r="F44" s="5">
        <f>SUM(F42:F43)</f>
        <v>16577</v>
      </c>
      <c r="G44">
        <v>16577</v>
      </c>
      <c r="H44" s="5">
        <v>20618</v>
      </c>
      <c r="I44">
        <v>19211</v>
      </c>
      <c r="J44">
        <v>22263</v>
      </c>
      <c r="K44" s="5">
        <v>65675</v>
      </c>
      <c r="L44">
        <v>65675</v>
      </c>
      <c r="M44" s="5">
        <f>SUM(M42:M43)</f>
        <v>68053</v>
      </c>
      <c r="N44" s="5">
        <f>SUM(N43,N42)</f>
        <v>49538.537816147611</v>
      </c>
      <c r="O44" s="5">
        <f t="shared" ref="O44:Z44" si="11">SUM(O43,O42)</f>
        <v>48673.955681073923</v>
      </c>
      <c r="P44" s="5">
        <f t="shared" si="11"/>
        <v>142364.44135523774</v>
      </c>
      <c r="Q44" s="5">
        <f t="shared" si="11"/>
        <v>142363.49333406717</v>
      </c>
      <c r="R44" s="5">
        <f t="shared" si="11"/>
        <v>170872.56153390824</v>
      </c>
      <c r="S44" s="5">
        <f t="shared" si="11"/>
        <v>199796.94591983227</v>
      </c>
      <c r="T44" s="5">
        <f t="shared" si="11"/>
        <v>236435.49227996322</v>
      </c>
      <c r="U44" s="5">
        <f t="shared" si="11"/>
        <v>337168.59755208436</v>
      </c>
      <c r="V44" s="5">
        <f t="shared" si="11"/>
        <v>546094.23203490954</v>
      </c>
      <c r="W44" s="5">
        <f t="shared" si="11"/>
        <v>867349.28809609055</v>
      </c>
      <c r="X44" s="5">
        <f t="shared" si="11"/>
        <v>1334375.0885907593</v>
      </c>
      <c r="Y44" s="5">
        <f t="shared" si="11"/>
        <v>1915701.0716803665</v>
      </c>
      <c r="Z44" s="5">
        <f t="shared" si="11"/>
        <v>2566094.1387116839</v>
      </c>
    </row>
    <row r="45" spans="1:27" x14ac:dyDescent="0.35">
      <c r="H45" s="5"/>
    </row>
    <row r="47" spans="1:27" x14ac:dyDescent="0.35">
      <c r="A47" t="s">
        <v>229</v>
      </c>
    </row>
    <row r="48" spans="1:27" x14ac:dyDescent="0.35">
      <c r="A48" t="s">
        <v>230</v>
      </c>
      <c r="B48" s="7">
        <f>B7/IS!B13</f>
        <v>0.15893498856582816</v>
      </c>
      <c r="C48" s="7">
        <f>C7/IS!C13</f>
        <v>0.15500739242082329</v>
      </c>
      <c r="D48" s="7">
        <f>D7/IS!D13</f>
        <v>0.1755472031837276</v>
      </c>
      <c r="E48" s="7">
        <f>E7/IS!E13</f>
        <v>0.16393442622950818</v>
      </c>
      <c r="F48" s="7">
        <f>F7/IS!F13</f>
        <v>0.15746549560853199</v>
      </c>
      <c r="G48" s="7">
        <f>G7/IS!G13</f>
        <v>0.16288505406864368</v>
      </c>
      <c r="H48" s="7">
        <f>H7/IS!H13</f>
        <v>0.18708125751589075</v>
      </c>
      <c r="I48" s="7">
        <f>I7/IS!I13</f>
        <v>0.18911454102355807</v>
      </c>
      <c r="J48" s="7">
        <f>J7/IS!J13</f>
        <v>0.15029069767441861</v>
      </c>
      <c r="K48" s="7">
        <f>K7/IS!K13</f>
        <v>0.14839127218934911</v>
      </c>
      <c r="L48" s="7">
        <f>L7/IS!L13</f>
        <v>0.16714833759590794</v>
      </c>
      <c r="M48" s="7">
        <f>M7/IS!M13</f>
        <v>0.17360525872240012</v>
      </c>
      <c r="N48" s="111">
        <v>0.15</v>
      </c>
      <c r="O48" s="111">
        <v>0.15</v>
      </c>
      <c r="P48" s="111">
        <v>0.15</v>
      </c>
      <c r="Q48" s="111">
        <v>0.15</v>
      </c>
      <c r="R48" s="111">
        <v>0.15</v>
      </c>
      <c r="S48" s="111">
        <v>0.15</v>
      </c>
      <c r="T48" s="111">
        <v>0.15</v>
      </c>
      <c r="U48" s="111">
        <v>0.15</v>
      </c>
      <c r="V48" s="111">
        <v>0.15</v>
      </c>
      <c r="W48" s="111">
        <v>0.15</v>
      </c>
      <c r="X48" s="111">
        <v>0.15</v>
      </c>
      <c r="Y48" s="111">
        <v>0.15</v>
      </c>
      <c r="Z48" s="111">
        <v>0.15</v>
      </c>
    </row>
    <row r="50" spans="1:27" ht="15" thickBot="1" x14ac:dyDescent="0.4"/>
    <row r="51" spans="1:27" x14ac:dyDescent="0.35">
      <c r="A51" s="102" t="s">
        <v>231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10"/>
    </row>
    <row r="52" spans="1:27" x14ac:dyDescent="0.35">
      <c r="A52" s="103" t="s">
        <v>253</v>
      </c>
      <c r="B52" s="69"/>
      <c r="C52" s="69">
        <f>BS!B10</f>
        <v>5886</v>
      </c>
      <c r="D52" s="69">
        <f>C63</f>
        <v>7872</v>
      </c>
      <c r="E52" s="69">
        <f>D63</f>
        <v>7691</v>
      </c>
      <c r="F52" s="69">
        <f>E63</f>
        <v>7499</v>
      </c>
      <c r="G52" s="69"/>
      <c r="H52" s="69">
        <f>F63</f>
        <v>8004</v>
      </c>
      <c r="I52" s="69">
        <f>H63</f>
        <v>8306</v>
      </c>
      <c r="J52" s="69">
        <f t="shared" ref="J52:K52" si="12">I63</f>
        <v>8526</v>
      </c>
      <c r="K52" s="69">
        <f t="shared" si="12"/>
        <v>8070</v>
      </c>
      <c r="L52" s="69"/>
      <c r="M52" s="69">
        <f>K63</f>
        <v>8049</v>
      </c>
      <c r="N52" s="92">
        <f>M63</f>
        <v>7870</v>
      </c>
      <c r="O52" s="92">
        <f>N63</f>
        <v>8519.7251346118028</v>
      </c>
      <c r="P52" s="92">
        <f t="shared" ref="P52:Z52" si="13">O63</f>
        <v>9418.3289827659864</v>
      </c>
      <c r="Q52" s="92"/>
      <c r="R52" s="92">
        <f>P63</f>
        <v>10358.970673903947</v>
      </c>
      <c r="S52" s="92">
        <f t="shared" si="13"/>
        <v>16745.456175648433</v>
      </c>
      <c r="T52" s="92">
        <f t="shared" si="13"/>
        <v>23894.917132044113</v>
      </c>
      <c r="U52" s="92">
        <f t="shared" si="13"/>
        <v>31949.030610096204</v>
      </c>
      <c r="V52" s="92">
        <f t="shared" si="13"/>
        <v>57549.149823867003</v>
      </c>
      <c r="W52" s="92">
        <f t="shared" si="13"/>
        <v>96433.054886393569</v>
      </c>
      <c r="X52" s="92">
        <f t="shared" si="13"/>
        <v>152384.75065217313</v>
      </c>
      <c r="Y52" s="92">
        <f t="shared" si="13"/>
        <v>229822.37402657064</v>
      </c>
      <c r="Z52" s="93">
        <f t="shared" si="13"/>
        <v>312593.79448515235</v>
      </c>
    </row>
    <row r="53" spans="1:27" x14ac:dyDescent="0.35">
      <c r="A53" s="103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3"/>
    </row>
    <row r="54" spans="1:27" x14ac:dyDescent="0.35">
      <c r="A54" s="104" t="s">
        <v>254</v>
      </c>
      <c r="B54" s="71"/>
      <c r="C54" s="71">
        <f>C8</f>
        <v>339</v>
      </c>
      <c r="D54" s="71">
        <f>D8</f>
        <v>433</v>
      </c>
      <c r="E54" s="71">
        <f>E8</f>
        <v>434</v>
      </c>
      <c r="F54" s="71">
        <f>F8</f>
        <v>455</v>
      </c>
      <c r="G54" s="71"/>
      <c r="H54" s="71">
        <f>H8</f>
        <v>493</v>
      </c>
      <c r="I54" s="71">
        <f>I8</f>
        <v>528</v>
      </c>
      <c r="J54" s="71">
        <f>J8</f>
        <v>552</v>
      </c>
      <c r="K54" s="71">
        <f>K8</f>
        <v>564</v>
      </c>
      <c r="L54" s="71"/>
      <c r="M54" s="71">
        <f>M8</f>
        <v>587</v>
      </c>
      <c r="N54" s="92">
        <f>N55*N52</f>
        <v>472.2</v>
      </c>
      <c r="O54" s="92">
        <f>O52*O55</f>
        <v>511.18350807670816</v>
      </c>
      <c r="P54" s="92">
        <f t="shared" ref="P54:Z54" si="14">P52*P55</f>
        <v>565.0997389659592</v>
      </c>
      <c r="Q54" s="92"/>
      <c r="R54" s="92">
        <f t="shared" si="14"/>
        <v>621.53824043423674</v>
      </c>
      <c r="S54" s="92">
        <f t="shared" si="14"/>
        <v>1004.7273705389059</v>
      </c>
      <c r="T54" s="92">
        <f t="shared" si="14"/>
        <v>1433.6950279226467</v>
      </c>
      <c r="U54" s="92">
        <f t="shared" si="14"/>
        <v>1916.9418366057721</v>
      </c>
      <c r="V54" s="92">
        <f t="shared" si="14"/>
        <v>3452.94898943202</v>
      </c>
      <c r="W54" s="92">
        <f t="shared" si="14"/>
        <v>5785.9832931836136</v>
      </c>
      <c r="X54" s="92">
        <f t="shared" si="14"/>
        <v>9143.0850391303866</v>
      </c>
      <c r="Y54" s="92">
        <f t="shared" si="14"/>
        <v>13789.342441594237</v>
      </c>
      <c r="Z54" s="93">
        <f t="shared" si="14"/>
        <v>18755.627669109141</v>
      </c>
    </row>
    <row r="55" spans="1:27" x14ac:dyDescent="0.35">
      <c r="A55" s="105" t="s">
        <v>258</v>
      </c>
      <c r="B55" s="75"/>
      <c r="C55" s="75">
        <f>C54/C52</f>
        <v>5.7594291539245668E-2</v>
      </c>
      <c r="D55" s="75">
        <f>D54/D52</f>
        <v>5.5005081300813011E-2</v>
      </c>
      <c r="E55" s="75">
        <f>E54/E52</f>
        <v>5.6429593030815239E-2</v>
      </c>
      <c r="F55" s="75">
        <f>F54/F52</f>
        <v>6.0674756634217897E-2</v>
      </c>
      <c r="G55" s="75"/>
      <c r="H55" s="75">
        <f>H54/H52</f>
        <v>6.1594202898550728E-2</v>
      </c>
      <c r="I55" s="75">
        <f>I54/I52</f>
        <v>6.3568504695400915E-2</v>
      </c>
      <c r="J55" s="75">
        <f>J54/J52</f>
        <v>6.4743138634764247E-2</v>
      </c>
      <c r="K55" s="75">
        <f>K54/K52</f>
        <v>6.9888475836431221E-2</v>
      </c>
      <c r="L55" s="75"/>
      <c r="M55" s="75">
        <f>M54/M52</f>
        <v>7.2928314076282766E-2</v>
      </c>
      <c r="N55" s="77">
        <v>0.06</v>
      </c>
      <c r="O55" s="77">
        <f>N55</f>
        <v>0.06</v>
      </c>
      <c r="P55" s="77">
        <f t="shared" ref="P55:Z55" si="15">O55</f>
        <v>0.06</v>
      </c>
      <c r="Q55" s="77">
        <f t="shared" si="15"/>
        <v>0.06</v>
      </c>
      <c r="R55" s="77">
        <f t="shared" si="15"/>
        <v>0.06</v>
      </c>
      <c r="S55" s="77">
        <f t="shared" si="15"/>
        <v>0.06</v>
      </c>
      <c r="T55" s="77">
        <f t="shared" si="15"/>
        <v>0.06</v>
      </c>
      <c r="U55" s="77">
        <f t="shared" si="15"/>
        <v>0.06</v>
      </c>
      <c r="V55" s="77">
        <f t="shared" si="15"/>
        <v>0.06</v>
      </c>
      <c r="W55" s="77">
        <f t="shared" si="15"/>
        <v>0.06</v>
      </c>
      <c r="X55" s="77">
        <f t="shared" si="15"/>
        <v>0.06</v>
      </c>
      <c r="Y55" s="77">
        <f t="shared" si="15"/>
        <v>0.06</v>
      </c>
      <c r="Z55" s="78">
        <f t="shared" si="15"/>
        <v>0.06</v>
      </c>
    </row>
    <row r="56" spans="1:27" x14ac:dyDescent="0.35">
      <c r="A56" s="104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8"/>
    </row>
    <row r="57" spans="1:27" x14ac:dyDescent="0.35">
      <c r="A57" s="104" t="s">
        <v>255</v>
      </c>
      <c r="B57" s="71"/>
      <c r="C57" s="71">
        <f>-C30</f>
        <v>2197</v>
      </c>
      <c r="D57" s="71">
        <f>-D30</f>
        <v>1513</v>
      </c>
      <c r="E57" s="71">
        <f>-E30</f>
        <v>613</v>
      </c>
      <c r="F57" s="71">
        <f>-F30</f>
        <v>415</v>
      </c>
      <c r="G57" s="71"/>
      <c r="H57" s="71">
        <f>-H30</f>
        <v>953</v>
      </c>
      <c r="I57" s="71">
        <f>-I30</f>
        <v>578</v>
      </c>
      <c r="J57" s="71">
        <f>-J30</f>
        <v>741</v>
      </c>
      <c r="K57" s="71">
        <f>-K30</f>
        <v>234</v>
      </c>
      <c r="L57" s="71"/>
      <c r="M57" s="71">
        <f>-M30</f>
        <v>504</v>
      </c>
      <c r="N57" s="92">
        <f>IS!N8*N59</f>
        <v>1121.9251346118033</v>
      </c>
      <c r="O57" s="92">
        <f>IS!O8*O59</f>
        <v>1409.7873562308905</v>
      </c>
      <c r="P57" s="92">
        <f>IS!P8*P59</f>
        <v>1505.7414301039198</v>
      </c>
      <c r="Q57" s="92"/>
      <c r="R57" s="92">
        <f>IS!$R$8*R59</f>
        <v>7008.0237421787233</v>
      </c>
      <c r="S57" s="92">
        <f>IS!S8*S59</f>
        <v>8154.1883269345844</v>
      </c>
      <c r="T57" s="92">
        <f>IS!T8*T59</f>
        <v>9487.8085059747409</v>
      </c>
      <c r="U57" s="92">
        <f>IS!U8*U59</f>
        <v>27517.061050376571</v>
      </c>
      <c r="V57" s="92">
        <f>IS!V8*V59</f>
        <v>42336.854051958588</v>
      </c>
      <c r="W57" s="92">
        <f>IS!W8*W59</f>
        <v>61737.679058963156</v>
      </c>
      <c r="X57" s="92">
        <f>IS!X8*X59</f>
        <v>86580.708413527886</v>
      </c>
      <c r="Y57" s="92">
        <f>IS!Y8*Y59</f>
        <v>96560.762900175905</v>
      </c>
      <c r="Z57" s="93">
        <f>IS!Z8*Z59</f>
        <v>108214.77261015822</v>
      </c>
    </row>
    <row r="58" spans="1:27" x14ac:dyDescent="0.35">
      <c r="A58" s="105" t="s">
        <v>259</v>
      </c>
      <c r="B58" s="71"/>
      <c r="C58" s="75">
        <v>7.5819999999999999</v>
      </c>
      <c r="D58" s="75">
        <v>15.13</v>
      </c>
      <c r="E58" s="75">
        <v>1.5325</v>
      </c>
      <c r="F58" s="75">
        <v>-0.73580000000000001</v>
      </c>
      <c r="G58" s="71"/>
      <c r="H58" s="75">
        <f>H57/C57-1</f>
        <v>-0.5662266727355485</v>
      </c>
      <c r="I58" s="75">
        <f t="shared" ref="I58:M58" si="16">I57/D57-1</f>
        <v>-0.6179775280898876</v>
      </c>
      <c r="J58" s="75">
        <f t="shared" si="16"/>
        <v>0.20880913539967372</v>
      </c>
      <c r="K58" s="75">
        <f t="shared" si="16"/>
        <v>-0.43614457831325304</v>
      </c>
      <c r="L58" s="71"/>
      <c r="M58" s="75">
        <f t="shared" si="16"/>
        <v>-0.47114375655823715</v>
      </c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8"/>
    </row>
    <row r="59" spans="1:27" x14ac:dyDescent="0.35">
      <c r="A59" s="105" t="s">
        <v>260</v>
      </c>
      <c r="B59" s="71"/>
      <c r="C59" s="75">
        <f>C57/IS!C8</f>
        <v>4.5350397357828462E-2</v>
      </c>
      <c r="D59" s="75">
        <f>D57/IS!D8</f>
        <v>0.11634881574900031</v>
      </c>
      <c r="E59" s="75">
        <f>E57/IS!E8</f>
        <v>4.3854628702246386E-2</v>
      </c>
      <c r="F59" s="75">
        <f>F57/IS!F8</f>
        <v>3.2318355268281286E-2</v>
      </c>
      <c r="G59" s="71"/>
      <c r="H59" s="75">
        <f>H57/IS!H8</f>
        <v>9.1485072477680715E-2</v>
      </c>
      <c r="I59" s="75">
        <f>I57/IS!I8</f>
        <v>6.4516129032258063E-2</v>
      </c>
      <c r="J59" s="75">
        <f>J57/IS!J8</f>
        <v>9.8655305551857281E-2</v>
      </c>
      <c r="K59" s="75">
        <f>K57/IS!K8</f>
        <v>3.0819076217946184E-3</v>
      </c>
      <c r="L59" s="71"/>
      <c r="M59" s="75">
        <f>M57/IS!M8</f>
        <v>1.3225222388412186E-2</v>
      </c>
      <c r="N59" s="77">
        <v>0.05</v>
      </c>
      <c r="O59" s="77">
        <f>N59</f>
        <v>0.05</v>
      </c>
      <c r="P59" s="77">
        <f t="shared" ref="P59:Z59" si="17">O59</f>
        <v>0.05</v>
      </c>
      <c r="Q59" s="77">
        <f t="shared" si="17"/>
        <v>0.05</v>
      </c>
      <c r="R59" s="77">
        <f t="shared" si="17"/>
        <v>0.05</v>
      </c>
      <c r="S59" s="77">
        <f t="shared" si="17"/>
        <v>0.05</v>
      </c>
      <c r="T59" s="77">
        <f t="shared" si="17"/>
        <v>0.05</v>
      </c>
      <c r="U59" s="77">
        <f t="shared" si="17"/>
        <v>0.05</v>
      </c>
      <c r="V59" s="77">
        <f t="shared" si="17"/>
        <v>0.05</v>
      </c>
      <c r="W59" s="77">
        <f t="shared" si="17"/>
        <v>0.05</v>
      </c>
      <c r="X59" s="77">
        <f t="shared" si="17"/>
        <v>0.05</v>
      </c>
      <c r="Y59" s="77">
        <f t="shared" si="17"/>
        <v>0.05</v>
      </c>
      <c r="Z59" s="78">
        <f t="shared" si="17"/>
        <v>0.05</v>
      </c>
    </row>
    <row r="60" spans="1:27" x14ac:dyDescent="0.35">
      <c r="A60" s="104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8"/>
    </row>
    <row r="61" spans="1:27" x14ac:dyDescent="0.35">
      <c r="A61" s="104" t="s">
        <v>257</v>
      </c>
      <c r="B61" s="69"/>
      <c r="C61" s="69">
        <f>C63-(C52-C54+C57)</f>
        <v>128</v>
      </c>
      <c r="D61" s="69">
        <f>D63-(D52-D54+D57)</f>
        <v>-1261</v>
      </c>
      <c r="E61" s="69">
        <f>E63-(E52-E54+E57)</f>
        <v>-371</v>
      </c>
      <c r="F61" s="69">
        <f>F63-(F52-F54+F57)</f>
        <v>545</v>
      </c>
      <c r="G61" s="69"/>
      <c r="H61" s="69">
        <f>H63-(H52-H54+H57)</f>
        <v>-158</v>
      </c>
      <c r="I61" s="69">
        <f>I63-(I52-I54+I57)</f>
        <v>170</v>
      </c>
      <c r="J61" s="69">
        <f>J63-(J52-J54+J57)</f>
        <v>-645</v>
      </c>
      <c r="K61" s="69">
        <f>K63-(K52-K54+K57)</f>
        <v>309</v>
      </c>
      <c r="L61" s="69"/>
      <c r="M61" s="69">
        <f>M63-(M52-M54+M57)</f>
        <v>-96</v>
      </c>
      <c r="N61" s="87">
        <v>0</v>
      </c>
      <c r="O61" s="87">
        <f>N61</f>
        <v>0</v>
      </c>
      <c r="P61" s="87">
        <f t="shared" ref="P61:Z61" si="18">O61</f>
        <v>0</v>
      </c>
      <c r="Q61" s="87"/>
      <c r="R61" s="87">
        <f t="shared" si="18"/>
        <v>0</v>
      </c>
      <c r="S61" s="87">
        <f t="shared" si="18"/>
        <v>0</v>
      </c>
      <c r="T61" s="87">
        <f t="shared" si="18"/>
        <v>0</v>
      </c>
      <c r="U61" s="87">
        <f t="shared" si="18"/>
        <v>0</v>
      </c>
      <c r="V61" s="87">
        <f t="shared" si="18"/>
        <v>0</v>
      </c>
      <c r="W61" s="87">
        <f t="shared" si="18"/>
        <v>0</v>
      </c>
      <c r="X61" s="87">
        <f t="shared" si="18"/>
        <v>0</v>
      </c>
      <c r="Y61" s="87">
        <f t="shared" si="18"/>
        <v>0</v>
      </c>
      <c r="Z61" s="88">
        <f t="shared" si="18"/>
        <v>0</v>
      </c>
    </row>
    <row r="62" spans="1:27" x14ac:dyDescent="0.35">
      <c r="A62" s="104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8"/>
    </row>
    <row r="63" spans="1:27" ht="15" thickBot="1" x14ac:dyDescent="0.4">
      <c r="A63" s="106" t="s">
        <v>256</v>
      </c>
      <c r="B63" s="100"/>
      <c r="C63" s="100">
        <f>BS!C10</f>
        <v>7872</v>
      </c>
      <c r="D63" s="100">
        <f>BS!D10</f>
        <v>7691</v>
      </c>
      <c r="E63" s="100">
        <f>BS!E10</f>
        <v>7499</v>
      </c>
      <c r="F63" s="100">
        <f>BS!F10</f>
        <v>8004</v>
      </c>
      <c r="G63" s="100"/>
      <c r="H63" s="100">
        <f>BS!H10</f>
        <v>8306</v>
      </c>
      <c r="I63" s="100">
        <f>BS!I10</f>
        <v>8526</v>
      </c>
      <c r="J63" s="100">
        <f>BS!J10</f>
        <v>8070</v>
      </c>
      <c r="K63" s="100">
        <f>BS!K10</f>
        <v>8049</v>
      </c>
      <c r="L63" s="100"/>
      <c r="M63" s="100">
        <f>BS!M10</f>
        <v>7870</v>
      </c>
      <c r="N63" s="107">
        <f>N52-N54+N57</f>
        <v>8519.7251346118028</v>
      </c>
      <c r="O63" s="107">
        <f t="shared" ref="O63:Z63" si="19">O52-O54+O57</f>
        <v>9418.3289827659864</v>
      </c>
      <c r="P63" s="107">
        <f t="shared" si="19"/>
        <v>10358.970673903947</v>
      </c>
      <c r="Q63" s="107"/>
      <c r="R63" s="107">
        <f t="shared" si="19"/>
        <v>16745.456175648433</v>
      </c>
      <c r="S63" s="107">
        <f t="shared" si="19"/>
        <v>23894.917132044113</v>
      </c>
      <c r="T63" s="107">
        <f t="shared" si="19"/>
        <v>31949.030610096204</v>
      </c>
      <c r="U63" s="107">
        <f t="shared" si="19"/>
        <v>57549.149823867003</v>
      </c>
      <c r="V63" s="107">
        <f t="shared" si="19"/>
        <v>96433.054886393569</v>
      </c>
      <c r="W63" s="107">
        <f t="shared" si="19"/>
        <v>152384.75065217313</v>
      </c>
      <c r="X63" s="107">
        <f t="shared" si="19"/>
        <v>229822.37402657064</v>
      </c>
      <c r="Y63" s="107">
        <f t="shared" si="19"/>
        <v>312593.79448515235</v>
      </c>
      <c r="Z63" s="108">
        <f t="shared" si="19"/>
        <v>402052.9394262014</v>
      </c>
      <c r="AA63" s="101"/>
    </row>
    <row r="65" spans="1:14" x14ac:dyDescent="0.35">
      <c r="A65" t="s">
        <v>262</v>
      </c>
      <c r="G65" s="7">
        <f>G7/B7-1</f>
        <v>0.60226104830421368</v>
      </c>
      <c r="H65" s="7">
        <f t="shared" ref="H65:M65" si="20">H7/C7-1</f>
        <v>0.64006024096385539</v>
      </c>
      <c r="I65" s="7">
        <f t="shared" si="20"/>
        <v>0.46599496221662462</v>
      </c>
      <c r="J65" s="7">
        <f t="shared" si="20"/>
        <v>0.25587044534412962</v>
      </c>
      <c r="K65" s="7">
        <f t="shared" si="20"/>
        <v>0.2788844621513944</v>
      </c>
      <c r="L65" s="7">
        <f t="shared" si="20"/>
        <v>0.39737010904425918</v>
      </c>
      <c r="M65" s="7">
        <f t="shared" si="20"/>
        <v>0.26109580655035192</v>
      </c>
      <c r="N65" s="7"/>
    </row>
    <row r="66" spans="1:14" x14ac:dyDescent="0.35">
      <c r="A66" t="s">
        <v>263</v>
      </c>
      <c r="B66" s="7">
        <f>B7/IS!B8</f>
        <v>3.6287916459472901E-2</v>
      </c>
      <c r="C66" s="7">
        <f>C7/IS!C8</f>
        <v>4.1118794509237278E-2</v>
      </c>
      <c r="D66" s="7">
        <f>D7/IS!D8</f>
        <v>0.18317440787450015</v>
      </c>
      <c r="E66" s="7">
        <f>E7/IS!E8</f>
        <v>0.17670625268278722</v>
      </c>
      <c r="F66" s="7">
        <f>F7/IS!F8</f>
        <v>0.1954676427069543</v>
      </c>
      <c r="G66" s="7">
        <f>G7/IS!G8</f>
        <v>0.1059727194453256</v>
      </c>
      <c r="H66" s="7">
        <f>H7/IS!H8</f>
        <v>0.31362196409714888</v>
      </c>
      <c r="I66" s="7">
        <f>I7/IS!I8</f>
        <v>0.38977564460319231</v>
      </c>
      <c r="J66" s="7">
        <f>J7/IS!J8</f>
        <v>0.4129942750632406</v>
      </c>
      <c r="K66" s="7">
        <f>K7/IS!K8</f>
        <v>4.2277450709233867E-2</v>
      </c>
      <c r="L66" s="7">
        <f>L7/IS!L8</f>
        <v>0.12713249168401192</v>
      </c>
      <c r="M66" s="7">
        <f>M7/IS!M8</f>
        <v>0.10811094492114724</v>
      </c>
    </row>
    <row r="67" spans="1:14" x14ac:dyDescent="0.35">
      <c r="L67" s="7"/>
    </row>
    <row r="70" spans="1:14" x14ac:dyDescent="0.35">
      <c r="J70">
        <v>1000</v>
      </c>
      <c r="K70" t="s">
        <v>267</v>
      </c>
      <c r="L70" t="s">
        <v>268</v>
      </c>
    </row>
  </sheetData>
  <pageMargins left="0.7" right="0.7" top="0.75" bottom="0.75" header="0.3" footer="0.3"/>
  <pageSetup paperSize="9" orientation="portrait" r:id="rId1"/>
  <ignoredErrors>
    <ignoredError sqref="K12:K25 K5:K9 K28:K31 K34:K39 K42 K45:K47 F7:F15 F5 F17:F25 H15 F28:F31 F34:F39 F42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defaultColWidth="0" defaultRowHeight="14.5" x14ac:dyDescent="0.35"/>
  <cols>
    <col min="1" max="1" width="38.54296875" bestFit="1" customWidth="1"/>
    <col min="2" max="2" width="12" customWidth="1"/>
    <col min="3" max="3" width="8" customWidth="1"/>
    <col min="4" max="8" width="7" customWidth="1"/>
    <col min="9" max="9" width="8.54296875" customWidth="1"/>
    <col min="10" max="10" width="8.54296875" bestFit="1" customWidth="1"/>
    <col min="11" max="19" width="9.54296875" bestFit="1" customWidth="1"/>
    <col min="20" max="20" width="9.1796875" customWidth="1"/>
    <col min="21" max="21" width="25" bestFit="1" customWidth="1"/>
    <col min="22" max="22" width="9.1796875" customWidth="1"/>
    <col min="23" max="16384" width="9.1796875" hidden="1"/>
  </cols>
  <sheetData>
    <row r="1" spans="1:22" x14ac:dyDescent="0.35">
      <c r="A1" t="s">
        <v>99</v>
      </c>
      <c r="B1" s="15">
        <v>2015</v>
      </c>
      <c r="C1" s="15">
        <v>2016</v>
      </c>
      <c r="D1" s="15">
        <v>2017</v>
      </c>
      <c r="E1" s="15">
        <v>2018</v>
      </c>
      <c r="F1" s="15">
        <v>2019</v>
      </c>
      <c r="G1" s="15">
        <v>2020</v>
      </c>
      <c r="H1" s="15">
        <v>2021</v>
      </c>
      <c r="I1" s="15">
        <v>2022</v>
      </c>
      <c r="J1" s="15">
        <v>2023</v>
      </c>
      <c r="K1" s="15">
        <v>2024</v>
      </c>
      <c r="L1" s="16">
        <v>2025</v>
      </c>
      <c r="M1" s="16">
        <v>2026</v>
      </c>
      <c r="N1" s="16">
        <v>2027</v>
      </c>
      <c r="O1" s="16">
        <v>2028</v>
      </c>
      <c r="P1" s="16">
        <v>2029.25</v>
      </c>
      <c r="Q1" s="16">
        <v>2030</v>
      </c>
      <c r="R1" s="16">
        <v>2031</v>
      </c>
      <c r="S1" s="16">
        <v>2032</v>
      </c>
    </row>
    <row r="2" spans="1:22" x14ac:dyDescent="0.35">
      <c r="A2" t="s">
        <v>90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2" x14ac:dyDescent="0.35">
      <c r="A3" t="s">
        <v>91</v>
      </c>
      <c r="B3" s="16">
        <v>320896.61800000002</v>
      </c>
      <c r="C3" s="16">
        <v>323127.51299999998</v>
      </c>
      <c r="D3" s="16">
        <f>C3+(C3*$V$3)</f>
        <v>325550.96934749995</v>
      </c>
      <c r="E3" s="16">
        <f>D3+(D3*$V$3)</f>
        <v>327992.60161760618</v>
      </c>
      <c r="F3" s="16">
        <f t="shared" ref="F3:S3" si="0">E3+(E3*$V$3)</f>
        <v>330452.54612973821</v>
      </c>
      <c r="G3" s="16">
        <f t="shared" si="0"/>
        <v>332930.94022571127</v>
      </c>
      <c r="H3" s="16">
        <f t="shared" si="0"/>
        <v>335427.92227740411</v>
      </c>
      <c r="I3" s="16">
        <f t="shared" si="0"/>
        <v>337943.63169448462</v>
      </c>
      <c r="J3" s="16">
        <f t="shared" si="0"/>
        <v>340478.20893219323</v>
      </c>
      <c r="K3" s="16">
        <f t="shared" si="0"/>
        <v>343031.79549918469</v>
      </c>
      <c r="L3" s="16">
        <f t="shared" si="0"/>
        <v>345604.53396542859</v>
      </c>
      <c r="M3" s="16">
        <f t="shared" si="0"/>
        <v>348196.5679701693</v>
      </c>
      <c r="N3" s="16">
        <f t="shared" si="0"/>
        <v>350808.0422299456</v>
      </c>
      <c r="O3" s="16">
        <f t="shared" si="0"/>
        <v>353439.10254667018</v>
      </c>
      <c r="P3" s="16">
        <f t="shared" si="0"/>
        <v>356089.8958157702</v>
      </c>
      <c r="Q3" s="16">
        <f t="shared" si="0"/>
        <v>358760.57003438845</v>
      </c>
      <c r="R3" s="16">
        <f t="shared" si="0"/>
        <v>361451.27430964634</v>
      </c>
      <c r="S3" s="16">
        <f t="shared" si="0"/>
        <v>364162.1588669687</v>
      </c>
      <c r="U3" t="s">
        <v>100</v>
      </c>
      <c r="V3" s="7">
        <v>7.4999999999999997E-3</v>
      </c>
    </row>
    <row r="4" spans="1:22" s="12" customFormat="1" ht="12" x14ac:dyDescent="0.3">
      <c r="A4" s="10" t="s">
        <v>95</v>
      </c>
      <c r="B4" s="13">
        <f>$V$4</f>
        <v>0.25</v>
      </c>
      <c r="C4" s="13">
        <f t="shared" ref="C4:S4" si="1">$V$4</f>
        <v>0.25</v>
      </c>
      <c r="D4" s="13">
        <f t="shared" si="1"/>
        <v>0.25</v>
      </c>
      <c r="E4" s="13">
        <f t="shared" si="1"/>
        <v>0.25</v>
      </c>
      <c r="F4" s="13">
        <f t="shared" si="1"/>
        <v>0.25</v>
      </c>
      <c r="G4" s="13">
        <f t="shared" si="1"/>
        <v>0.25</v>
      </c>
      <c r="H4" s="13">
        <f t="shared" si="1"/>
        <v>0.25</v>
      </c>
      <c r="I4" s="13">
        <f t="shared" si="1"/>
        <v>0.25</v>
      </c>
      <c r="J4" s="13">
        <f t="shared" si="1"/>
        <v>0.25</v>
      </c>
      <c r="K4" s="13">
        <f t="shared" si="1"/>
        <v>0.25</v>
      </c>
      <c r="L4" s="13">
        <f t="shared" si="1"/>
        <v>0.25</v>
      </c>
      <c r="M4" s="13">
        <f t="shared" si="1"/>
        <v>0.25</v>
      </c>
      <c r="N4" s="13">
        <f t="shared" si="1"/>
        <v>0.25</v>
      </c>
      <c r="O4" s="13">
        <f t="shared" si="1"/>
        <v>0.25</v>
      </c>
      <c r="P4" s="13">
        <f t="shared" si="1"/>
        <v>0.25</v>
      </c>
      <c r="Q4" s="13">
        <f t="shared" si="1"/>
        <v>0.25</v>
      </c>
      <c r="R4" s="13">
        <f t="shared" si="1"/>
        <v>0.25</v>
      </c>
      <c r="S4" s="13">
        <f t="shared" si="1"/>
        <v>0.25</v>
      </c>
      <c r="U4" s="12" t="s">
        <v>101</v>
      </c>
      <c r="V4" s="13">
        <f>(0.2+0.3)/2</f>
        <v>0.25</v>
      </c>
    </row>
    <row r="5" spans="1:22" x14ac:dyDescent="0.35">
      <c r="A5" s="9" t="s">
        <v>93</v>
      </c>
      <c r="B5" s="16">
        <f>B3*B4</f>
        <v>80224.154500000004</v>
      </c>
      <c r="C5" s="16">
        <f t="shared" ref="C5:S5" si="2">C3*C4</f>
        <v>80781.878249999994</v>
      </c>
      <c r="D5" s="16">
        <f t="shared" si="2"/>
        <v>81387.742336874988</v>
      </c>
      <c r="E5" s="16">
        <f t="shared" si="2"/>
        <v>81998.150404401546</v>
      </c>
      <c r="F5" s="16">
        <f t="shared" si="2"/>
        <v>82613.136532434553</v>
      </c>
      <c r="G5" s="16">
        <f t="shared" si="2"/>
        <v>83232.735056427817</v>
      </c>
      <c r="H5" s="16">
        <f t="shared" si="2"/>
        <v>83856.980569351028</v>
      </c>
      <c r="I5" s="16">
        <f t="shared" si="2"/>
        <v>84485.907923621155</v>
      </c>
      <c r="J5" s="16">
        <f t="shared" si="2"/>
        <v>85119.552233048307</v>
      </c>
      <c r="K5" s="16">
        <f t="shared" si="2"/>
        <v>85757.948874796173</v>
      </c>
      <c r="L5" s="16">
        <f t="shared" si="2"/>
        <v>86401.133491357148</v>
      </c>
      <c r="M5" s="16">
        <f t="shared" si="2"/>
        <v>87049.141992542325</v>
      </c>
      <c r="N5" s="16">
        <f t="shared" si="2"/>
        <v>87702.010557486399</v>
      </c>
      <c r="O5" s="16">
        <f t="shared" si="2"/>
        <v>88359.775636667546</v>
      </c>
      <c r="P5" s="16">
        <f t="shared" si="2"/>
        <v>89022.47395394255</v>
      </c>
      <c r="Q5" s="16">
        <f t="shared" si="2"/>
        <v>89690.142508597113</v>
      </c>
      <c r="R5" s="16">
        <f t="shared" si="2"/>
        <v>90362.818577411585</v>
      </c>
      <c r="S5" s="16">
        <f t="shared" si="2"/>
        <v>91040.539716742176</v>
      </c>
    </row>
    <row r="6" spans="1:22" s="12" customFormat="1" ht="12" x14ac:dyDescent="0.3">
      <c r="A6" s="10" t="s">
        <v>94</v>
      </c>
      <c r="B6" s="11">
        <f>$V$6</f>
        <v>0.03</v>
      </c>
      <c r="C6" s="11">
        <f t="shared" ref="C6:S6" si="3">$V$6</f>
        <v>0.03</v>
      </c>
      <c r="D6" s="11">
        <f t="shared" si="3"/>
        <v>0.03</v>
      </c>
      <c r="E6" s="11">
        <f t="shared" si="3"/>
        <v>0.03</v>
      </c>
      <c r="F6" s="11">
        <f t="shared" si="3"/>
        <v>0.03</v>
      </c>
      <c r="G6" s="11">
        <f t="shared" si="3"/>
        <v>0.03</v>
      </c>
      <c r="H6" s="11">
        <f t="shared" si="3"/>
        <v>0.03</v>
      </c>
      <c r="I6" s="11">
        <f t="shared" si="3"/>
        <v>0.03</v>
      </c>
      <c r="J6" s="11">
        <f t="shared" si="3"/>
        <v>0.03</v>
      </c>
      <c r="K6" s="11">
        <f t="shared" si="3"/>
        <v>0.03</v>
      </c>
      <c r="L6" s="11">
        <f t="shared" si="3"/>
        <v>0.03</v>
      </c>
      <c r="M6" s="11">
        <f t="shared" si="3"/>
        <v>0.03</v>
      </c>
      <c r="N6" s="11">
        <f t="shared" si="3"/>
        <v>0.03</v>
      </c>
      <c r="O6" s="11">
        <f t="shared" si="3"/>
        <v>0.03</v>
      </c>
      <c r="P6" s="11">
        <f t="shared" si="3"/>
        <v>0.03</v>
      </c>
      <c r="Q6" s="11">
        <f t="shared" si="3"/>
        <v>0.03</v>
      </c>
      <c r="R6" s="11">
        <f t="shared" si="3"/>
        <v>0.03</v>
      </c>
      <c r="S6" s="11">
        <f t="shared" si="3"/>
        <v>0.03</v>
      </c>
      <c r="U6" s="12" t="s">
        <v>102</v>
      </c>
      <c r="V6" s="11">
        <v>0.03</v>
      </c>
    </row>
    <row r="7" spans="1:22" x14ac:dyDescent="0.35">
      <c r="A7" s="9" t="s">
        <v>92</v>
      </c>
      <c r="B7" s="16">
        <f>B3*B6</f>
        <v>9626.8985400000001</v>
      </c>
      <c r="C7" s="16">
        <f t="shared" ref="C7:S7" si="4">C3*C6</f>
        <v>9693.8253899999982</v>
      </c>
      <c r="D7" s="16">
        <f t="shared" si="4"/>
        <v>9766.529080424998</v>
      </c>
      <c r="E7" s="16">
        <f t="shared" si="4"/>
        <v>9839.7780485281855</v>
      </c>
      <c r="F7" s="16">
        <f t="shared" si="4"/>
        <v>9913.5763838921466</v>
      </c>
      <c r="G7" s="16">
        <f t="shared" si="4"/>
        <v>9987.9282067713375</v>
      </c>
      <c r="H7" s="16">
        <f t="shared" si="4"/>
        <v>10062.837668322123</v>
      </c>
      <c r="I7" s="16">
        <f t="shared" si="4"/>
        <v>10138.308950834538</v>
      </c>
      <c r="J7" s="16">
        <f t="shared" si="4"/>
        <v>10214.346267965797</v>
      </c>
      <c r="K7" s="16">
        <f t="shared" si="4"/>
        <v>10290.95386497554</v>
      </c>
      <c r="L7" s="16">
        <f t="shared" si="4"/>
        <v>10368.136018962858</v>
      </c>
      <c r="M7" s="16">
        <f t="shared" si="4"/>
        <v>10445.897039105079</v>
      </c>
      <c r="N7" s="16">
        <f t="shared" si="4"/>
        <v>10524.241266898367</v>
      </c>
      <c r="O7" s="16">
        <f t="shared" si="4"/>
        <v>10603.173076400106</v>
      </c>
      <c r="P7" s="16">
        <f t="shared" si="4"/>
        <v>10682.696874473106</v>
      </c>
      <c r="Q7" s="16">
        <f t="shared" si="4"/>
        <v>10762.817101031653</v>
      </c>
      <c r="R7" s="16">
        <f t="shared" si="4"/>
        <v>10843.53822928939</v>
      </c>
      <c r="S7" s="16">
        <f t="shared" si="4"/>
        <v>10924.864766009061</v>
      </c>
    </row>
    <row r="8" spans="1:22" x14ac:dyDescent="0.35">
      <c r="A8" t="s">
        <v>96</v>
      </c>
      <c r="B8" s="16">
        <f>B5+B7</f>
        <v>89851.053039999999</v>
      </c>
      <c r="C8" s="16">
        <f t="shared" ref="C8:S8" si="5">C5+C7</f>
        <v>90475.703639999992</v>
      </c>
      <c r="D8" s="16">
        <f t="shared" si="5"/>
        <v>91154.271417299984</v>
      </c>
      <c r="E8" s="16">
        <f t="shared" si="5"/>
        <v>91837.928452929729</v>
      </c>
      <c r="F8" s="16">
        <f t="shared" si="5"/>
        <v>92526.712916326695</v>
      </c>
      <c r="G8" s="16">
        <f t="shared" si="5"/>
        <v>93220.663263199152</v>
      </c>
      <c r="H8" s="16">
        <f t="shared" si="5"/>
        <v>93919.818237673157</v>
      </c>
      <c r="I8" s="16">
        <f t="shared" si="5"/>
        <v>94624.216874455698</v>
      </c>
      <c r="J8" s="16">
        <f t="shared" si="5"/>
        <v>95333.898501014104</v>
      </c>
      <c r="K8" s="16">
        <f t="shared" si="5"/>
        <v>96048.902739771715</v>
      </c>
      <c r="L8" s="16">
        <f t="shared" si="5"/>
        <v>96769.269510320009</v>
      </c>
      <c r="M8" s="16">
        <f t="shared" si="5"/>
        <v>97495.039031647408</v>
      </c>
      <c r="N8" s="16">
        <f t="shared" si="5"/>
        <v>98226.251824384759</v>
      </c>
      <c r="O8" s="16">
        <f t="shared" si="5"/>
        <v>98962.948713067657</v>
      </c>
      <c r="P8" s="16">
        <f t="shared" si="5"/>
        <v>99705.170828415663</v>
      </c>
      <c r="Q8" s="16">
        <f t="shared" si="5"/>
        <v>100452.95960962877</v>
      </c>
      <c r="R8" s="16">
        <f t="shared" si="5"/>
        <v>101206.35680670098</v>
      </c>
      <c r="S8" s="16">
        <f t="shared" si="5"/>
        <v>101965.40448275124</v>
      </c>
    </row>
    <row r="9" spans="1:22" s="12" customFormat="1" ht="12" x14ac:dyDescent="0.3">
      <c r="A9" s="10" t="s">
        <v>111</v>
      </c>
      <c r="B9" s="11">
        <f>$V$9</f>
        <v>0.1</v>
      </c>
      <c r="C9" s="11">
        <f t="shared" ref="C9:S9" si="6">$V$9</f>
        <v>0.1</v>
      </c>
      <c r="D9" s="11">
        <f t="shared" si="6"/>
        <v>0.1</v>
      </c>
      <c r="E9" s="11">
        <f t="shared" si="6"/>
        <v>0.1</v>
      </c>
      <c r="F9" s="11">
        <f t="shared" si="6"/>
        <v>0.1</v>
      </c>
      <c r="G9" s="11">
        <f t="shared" si="6"/>
        <v>0.1</v>
      </c>
      <c r="H9" s="11">
        <f t="shared" si="6"/>
        <v>0.1</v>
      </c>
      <c r="I9" s="11">
        <f t="shared" si="6"/>
        <v>0.1</v>
      </c>
      <c r="J9" s="11">
        <f t="shared" si="6"/>
        <v>0.1</v>
      </c>
      <c r="K9" s="11">
        <f t="shared" si="6"/>
        <v>0.1</v>
      </c>
      <c r="L9" s="11">
        <f t="shared" si="6"/>
        <v>0.1</v>
      </c>
      <c r="M9" s="11">
        <f t="shared" si="6"/>
        <v>0.1</v>
      </c>
      <c r="N9" s="11">
        <f t="shared" si="6"/>
        <v>0.1</v>
      </c>
      <c r="O9" s="11">
        <f t="shared" si="6"/>
        <v>0.1</v>
      </c>
      <c r="P9" s="11">
        <f t="shared" si="6"/>
        <v>0.1</v>
      </c>
      <c r="Q9" s="11">
        <f t="shared" si="6"/>
        <v>0.1</v>
      </c>
      <c r="R9" s="11">
        <f t="shared" si="6"/>
        <v>0.1</v>
      </c>
      <c r="S9" s="11">
        <f t="shared" si="6"/>
        <v>0.1</v>
      </c>
      <c r="U9" s="12" t="s">
        <v>112</v>
      </c>
      <c r="V9" s="11">
        <v>0.1</v>
      </c>
    </row>
    <row r="10" spans="1:22" x14ac:dyDescent="0.35">
      <c r="A10" t="s">
        <v>113</v>
      </c>
      <c r="B10" s="16">
        <f>B8*B9</f>
        <v>8985.1053040000006</v>
      </c>
      <c r="C10" s="16">
        <f t="shared" ref="C10:S10" si="7">C8*C9</f>
        <v>9047.5703639999992</v>
      </c>
      <c r="D10" s="16">
        <f t="shared" si="7"/>
        <v>9115.4271417299988</v>
      </c>
      <c r="E10" s="16">
        <f t="shared" si="7"/>
        <v>9183.7928452929737</v>
      </c>
      <c r="F10" s="16">
        <f t="shared" si="7"/>
        <v>9252.6712916326705</v>
      </c>
      <c r="G10" s="16">
        <f t="shared" si="7"/>
        <v>9322.0663263199149</v>
      </c>
      <c r="H10" s="16">
        <f t="shared" si="7"/>
        <v>9391.9818237673153</v>
      </c>
      <c r="I10" s="16">
        <f t="shared" si="7"/>
        <v>9462.4216874455706</v>
      </c>
      <c r="J10" s="16">
        <f t="shared" si="7"/>
        <v>9533.38985010141</v>
      </c>
      <c r="K10" s="16">
        <f t="shared" si="7"/>
        <v>9604.8902739771711</v>
      </c>
      <c r="L10" s="16">
        <f t="shared" si="7"/>
        <v>9676.9269510320009</v>
      </c>
      <c r="M10" s="16">
        <f t="shared" si="7"/>
        <v>9749.5039031647411</v>
      </c>
      <c r="N10" s="16">
        <f t="shared" si="7"/>
        <v>9822.6251824384763</v>
      </c>
      <c r="O10" s="16">
        <f t="shared" si="7"/>
        <v>9896.2948713067672</v>
      </c>
      <c r="P10" s="16">
        <f t="shared" si="7"/>
        <v>9970.5170828415667</v>
      </c>
      <c r="Q10" s="16">
        <f t="shared" si="7"/>
        <v>10045.295960962878</v>
      </c>
      <c r="R10" s="16">
        <f t="shared" si="7"/>
        <v>10120.635680670099</v>
      </c>
      <c r="S10" s="16">
        <f t="shared" si="7"/>
        <v>10196.540448275126</v>
      </c>
    </row>
    <row r="11" spans="1:22" s="12" customFormat="1" ht="12" x14ac:dyDescent="0.3">
      <c r="A11" s="10" t="s">
        <v>114</v>
      </c>
      <c r="B11" s="11">
        <f>$V$11</f>
        <v>0.15</v>
      </c>
      <c r="C11" s="11">
        <f t="shared" ref="C11:I11" si="8">$V$11</f>
        <v>0.15</v>
      </c>
      <c r="D11" s="11">
        <f t="shared" si="8"/>
        <v>0.15</v>
      </c>
      <c r="E11" s="11">
        <f t="shared" si="8"/>
        <v>0.15</v>
      </c>
      <c r="F11" s="11">
        <f t="shared" si="8"/>
        <v>0.15</v>
      </c>
      <c r="G11" s="11">
        <f t="shared" si="8"/>
        <v>0.15</v>
      </c>
      <c r="H11" s="11">
        <f t="shared" si="8"/>
        <v>0.15</v>
      </c>
      <c r="I11" s="11">
        <f t="shared" si="8"/>
        <v>0.15</v>
      </c>
      <c r="J11" s="11">
        <f t="shared" ref="J11:S11" si="9">I11+(I11*0.1)</f>
        <v>0.16499999999999998</v>
      </c>
      <c r="K11" s="11">
        <f t="shared" si="9"/>
        <v>0.18149999999999997</v>
      </c>
      <c r="L11" s="11">
        <f t="shared" si="9"/>
        <v>0.19964999999999997</v>
      </c>
      <c r="M11" s="11">
        <f t="shared" si="9"/>
        <v>0.21961499999999995</v>
      </c>
      <c r="N11" s="11">
        <f t="shared" si="9"/>
        <v>0.24157649999999994</v>
      </c>
      <c r="O11" s="11">
        <f t="shared" si="9"/>
        <v>0.26573414999999995</v>
      </c>
      <c r="P11" s="11">
        <f t="shared" si="9"/>
        <v>0.29230756499999994</v>
      </c>
      <c r="Q11" s="11">
        <f t="shared" si="9"/>
        <v>0.32153832149999995</v>
      </c>
      <c r="R11" s="11">
        <f t="shared" si="9"/>
        <v>0.35369215364999995</v>
      </c>
      <c r="S11" s="11">
        <f t="shared" si="9"/>
        <v>0.38906136901499994</v>
      </c>
      <c r="U11" s="12" t="s">
        <v>115</v>
      </c>
      <c r="V11" s="11">
        <v>0.15</v>
      </c>
    </row>
    <row r="12" spans="1:22" x14ac:dyDescent="0.35">
      <c r="A12" t="s">
        <v>116</v>
      </c>
      <c r="B12" s="16">
        <f>B10*B11</f>
        <v>1347.7657956</v>
      </c>
      <c r="C12" s="16">
        <f t="shared" ref="C12:S12" si="10">C10*C11</f>
        <v>1357.1355545999998</v>
      </c>
      <c r="D12" s="16">
        <f t="shared" si="10"/>
        <v>1367.3140712594998</v>
      </c>
      <c r="E12" s="16">
        <f t="shared" si="10"/>
        <v>1377.568926793946</v>
      </c>
      <c r="F12" s="16">
        <f t="shared" si="10"/>
        <v>1387.9006937449005</v>
      </c>
      <c r="G12" s="16">
        <f t="shared" si="10"/>
        <v>1398.3099489479871</v>
      </c>
      <c r="H12" s="16">
        <f t="shared" si="10"/>
        <v>1408.7972735650972</v>
      </c>
      <c r="I12" s="16">
        <f t="shared" si="10"/>
        <v>1419.3632531168355</v>
      </c>
      <c r="J12" s="16">
        <f t="shared" si="10"/>
        <v>1573.0093252667325</v>
      </c>
      <c r="K12" s="16">
        <f t="shared" si="10"/>
        <v>1743.2875847268563</v>
      </c>
      <c r="L12" s="16">
        <f t="shared" si="10"/>
        <v>1931.9984657735386</v>
      </c>
      <c r="M12" s="16">
        <f t="shared" si="10"/>
        <v>2141.1372996935243</v>
      </c>
      <c r="N12" s="16">
        <f t="shared" si="10"/>
        <v>2372.9154123853482</v>
      </c>
      <c r="O12" s="16">
        <f t="shared" si="10"/>
        <v>2629.7835057760626</v>
      </c>
      <c r="P12" s="16">
        <f t="shared" si="10"/>
        <v>2914.4575702763209</v>
      </c>
      <c r="Q12" s="16">
        <f t="shared" si="10"/>
        <v>3229.9476022587328</v>
      </c>
      <c r="R12" s="16">
        <f t="shared" si="10"/>
        <v>3579.5894302032402</v>
      </c>
      <c r="S12" s="16">
        <f t="shared" si="10"/>
        <v>3967.0799860227417</v>
      </c>
    </row>
    <row r="13" spans="1:22" s="12" customFormat="1" ht="12" x14ac:dyDescent="0.3">
      <c r="A13" s="10" t="s">
        <v>97</v>
      </c>
      <c r="B13" s="13">
        <f>$V$13</f>
        <v>5.0000000000000001E-3</v>
      </c>
      <c r="C13" s="13">
        <f t="shared" ref="C13:I13" si="11">$V$13</f>
        <v>5.0000000000000001E-3</v>
      </c>
      <c r="D13" s="13">
        <f t="shared" si="11"/>
        <v>5.0000000000000001E-3</v>
      </c>
      <c r="E13" s="13">
        <f t="shared" si="11"/>
        <v>5.0000000000000001E-3</v>
      </c>
      <c r="F13" s="13">
        <f t="shared" si="11"/>
        <v>5.0000000000000001E-3</v>
      </c>
      <c r="G13" s="13">
        <f t="shared" si="11"/>
        <v>5.0000000000000001E-3</v>
      </c>
      <c r="H13" s="13">
        <f t="shared" si="11"/>
        <v>5.0000000000000001E-3</v>
      </c>
      <c r="I13" s="13">
        <f t="shared" si="11"/>
        <v>5.0000000000000001E-3</v>
      </c>
      <c r="J13" s="13">
        <f>$V$13+0.5%</f>
        <v>0.01</v>
      </c>
      <c r="K13" s="14">
        <f>J13+0.5%</f>
        <v>1.4999999999999999E-2</v>
      </c>
      <c r="L13" s="14">
        <f>K13+0.5%</f>
        <v>0.02</v>
      </c>
      <c r="M13" s="13">
        <f>$V$13+1.5%</f>
        <v>0.02</v>
      </c>
      <c r="N13" s="13">
        <f t="shared" ref="N13:S13" si="12">$V$13+1.5%</f>
        <v>0.02</v>
      </c>
      <c r="O13" s="13">
        <f t="shared" si="12"/>
        <v>0.02</v>
      </c>
      <c r="P13" s="13">
        <f t="shared" si="12"/>
        <v>0.02</v>
      </c>
      <c r="Q13" s="13">
        <f t="shared" si="12"/>
        <v>0.02</v>
      </c>
      <c r="R13" s="13">
        <f t="shared" si="12"/>
        <v>0.02</v>
      </c>
      <c r="S13" s="13">
        <f t="shared" si="12"/>
        <v>0.02</v>
      </c>
      <c r="U13" s="12" t="s">
        <v>103</v>
      </c>
      <c r="V13" s="11">
        <v>5.0000000000000001E-3</v>
      </c>
    </row>
    <row r="14" spans="1:22" x14ac:dyDescent="0.35">
      <c r="A14" t="s">
        <v>98</v>
      </c>
      <c r="B14" s="16">
        <f>B12*B13</f>
        <v>6.7388289780000008</v>
      </c>
      <c r="C14" s="16">
        <f t="shared" ref="C14:S14" si="13">C12*C13</f>
        <v>6.7856777729999989</v>
      </c>
      <c r="D14" s="16">
        <f t="shared" si="13"/>
        <v>6.8365703562974991</v>
      </c>
      <c r="E14" s="16">
        <f t="shared" si="13"/>
        <v>6.8878446339697303</v>
      </c>
      <c r="F14" s="16">
        <f t="shared" si="13"/>
        <v>6.939503468724503</v>
      </c>
      <c r="G14" s="16">
        <f t="shared" si="13"/>
        <v>6.9915497447399355</v>
      </c>
      <c r="H14" s="16">
        <f t="shared" si="13"/>
        <v>7.0439863678254859</v>
      </c>
      <c r="I14" s="16">
        <f t="shared" si="13"/>
        <v>7.0968162655841773</v>
      </c>
      <c r="J14" s="16">
        <f t="shared" si="13"/>
        <v>15.730093252667325</v>
      </c>
      <c r="K14" s="16">
        <f t="shared" si="13"/>
        <v>26.149313770902843</v>
      </c>
      <c r="L14" s="16">
        <f t="shared" si="13"/>
        <v>38.639969315470772</v>
      </c>
      <c r="M14" s="16">
        <f t="shared" si="13"/>
        <v>42.822745993870484</v>
      </c>
      <c r="N14" s="16">
        <f t="shared" si="13"/>
        <v>47.458308247706967</v>
      </c>
      <c r="O14" s="16">
        <f t="shared" si="13"/>
        <v>52.595670115521251</v>
      </c>
      <c r="P14" s="16">
        <f t="shared" si="13"/>
        <v>58.289151405526418</v>
      </c>
      <c r="Q14" s="16">
        <f t="shared" si="13"/>
        <v>64.598952045174656</v>
      </c>
      <c r="R14" s="16">
        <f t="shared" si="13"/>
        <v>71.591788604064803</v>
      </c>
      <c r="S14" s="16">
        <f t="shared" si="13"/>
        <v>79.341599720454838</v>
      </c>
    </row>
    <row r="15" spans="1:22" x14ac:dyDescent="0.35">
      <c r="A15" t="s">
        <v>108</v>
      </c>
      <c r="B15" s="16">
        <v>40</v>
      </c>
      <c r="C15" s="16">
        <f>(B15*C16)+B15</f>
        <v>41.2</v>
      </c>
      <c r="D15" s="16">
        <f t="shared" ref="D15:S15" si="14">(C15*D16)+C15</f>
        <v>42.436</v>
      </c>
      <c r="E15" s="16">
        <f t="shared" si="14"/>
        <v>43.70908</v>
      </c>
      <c r="F15" s="16">
        <f t="shared" si="14"/>
        <v>45.0203524</v>
      </c>
      <c r="G15" s="16">
        <f t="shared" si="14"/>
        <v>46.370962972000001</v>
      </c>
      <c r="H15" s="16">
        <f t="shared" si="14"/>
        <v>47.762091861160002</v>
      </c>
      <c r="I15" s="16">
        <f t="shared" si="14"/>
        <v>49.194954616994799</v>
      </c>
      <c r="J15" s="16">
        <f t="shared" si="14"/>
        <v>50.670803255504644</v>
      </c>
      <c r="K15" s="16">
        <f t="shared" si="14"/>
        <v>52.190927353169783</v>
      </c>
      <c r="L15" s="16">
        <f t="shared" si="14"/>
        <v>53.756655173764877</v>
      </c>
      <c r="M15" s="16">
        <f t="shared" si="14"/>
        <v>55.369354828977819</v>
      </c>
      <c r="N15" s="16">
        <f t="shared" si="14"/>
        <v>57.030435473847156</v>
      </c>
      <c r="O15" s="16">
        <f t="shared" si="14"/>
        <v>58.741348538062567</v>
      </c>
      <c r="P15" s="16">
        <f t="shared" si="14"/>
        <v>60.503588994204442</v>
      </c>
      <c r="Q15" s="16">
        <f t="shared" si="14"/>
        <v>62.318696664030576</v>
      </c>
      <c r="R15" s="16">
        <f t="shared" si="14"/>
        <v>64.188257563951495</v>
      </c>
      <c r="S15" s="16">
        <f t="shared" si="14"/>
        <v>66.113905290870036</v>
      </c>
    </row>
    <row r="16" spans="1:22" x14ac:dyDescent="0.35">
      <c r="A16" t="s">
        <v>104</v>
      </c>
      <c r="B16" s="17"/>
      <c r="C16" s="17">
        <f>$V$16</f>
        <v>0.03</v>
      </c>
      <c r="D16" s="17">
        <f t="shared" ref="D16:S16" si="15">$V$16</f>
        <v>0.03</v>
      </c>
      <c r="E16" s="17">
        <f t="shared" si="15"/>
        <v>0.03</v>
      </c>
      <c r="F16" s="17">
        <f t="shared" si="15"/>
        <v>0.03</v>
      </c>
      <c r="G16" s="17">
        <f t="shared" si="15"/>
        <v>0.03</v>
      </c>
      <c r="H16" s="17">
        <f t="shared" si="15"/>
        <v>0.03</v>
      </c>
      <c r="I16" s="17">
        <f t="shared" si="15"/>
        <v>0.03</v>
      </c>
      <c r="J16" s="17">
        <f t="shared" si="15"/>
        <v>0.03</v>
      </c>
      <c r="K16" s="17">
        <f t="shared" si="15"/>
        <v>0.03</v>
      </c>
      <c r="L16" s="17">
        <f t="shared" si="15"/>
        <v>0.03</v>
      </c>
      <c r="M16" s="17">
        <f t="shared" si="15"/>
        <v>0.03</v>
      </c>
      <c r="N16" s="17">
        <f t="shared" si="15"/>
        <v>0.03</v>
      </c>
      <c r="O16" s="17">
        <f t="shared" si="15"/>
        <v>0.03</v>
      </c>
      <c r="P16" s="17">
        <f t="shared" si="15"/>
        <v>0.03</v>
      </c>
      <c r="Q16" s="17">
        <f t="shared" si="15"/>
        <v>0.03</v>
      </c>
      <c r="R16" s="17">
        <f t="shared" si="15"/>
        <v>0.03</v>
      </c>
      <c r="S16" s="17">
        <f t="shared" si="15"/>
        <v>0.03</v>
      </c>
      <c r="U16" t="s">
        <v>104</v>
      </c>
      <c r="V16" s="8">
        <v>0.03</v>
      </c>
    </row>
    <row r="17" spans="1:22" x14ac:dyDescent="0.35">
      <c r="A17" t="s">
        <v>105</v>
      </c>
      <c r="B17" s="17">
        <f>$V$17</f>
        <v>0.2</v>
      </c>
      <c r="C17" s="17">
        <f t="shared" ref="C17:S17" si="16">$V$17</f>
        <v>0.2</v>
      </c>
      <c r="D17" s="17">
        <f t="shared" si="16"/>
        <v>0.2</v>
      </c>
      <c r="E17" s="17">
        <f t="shared" si="16"/>
        <v>0.2</v>
      </c>
      <c r="F17" s="17">
        <f t="shared" si="16"/>
        <v>0.2</v>
      </c>
      <c r="G17" s="17">
        <f t="shared" si="16"/>
        <v>0.2</v>
      </c>
      <c r="H17" s="17">
        <f t="shared" si="16"/>
        <v>0.2</v>
      </c>
      <c r="I17" s="17">
        <f t="shared" si="16"/>
        <v>0.2</v>
      </c>
      <c r="J17" s="17">
        <f t="shared" si="16"/>
        <v>0.2</v>
      </c>
      <c r="K17" s="17">
        <f t="shared" si="16"/>
        <v>0.2</v>
      </c>
      <c r="L17" s="17">
        <f t="shared" si="16"/>
        <v>0.2</v>
      </c>
      <c r="M17" s="17">
        <f t="shared" si="16"/>
        <v>0.2</v>
      </c>
      <c r="N17" s="17">
        <f t="shared" si="16"/>
        <v>0.2</v>
      </c>
      <c r="O17" s="17">
        <f t="shared" si="16"/>
        <v>0.2</v>
      </c>
      <c r="P17" s="17">
        <f t="shared" si="16"/>
        <v>0.2</v>
      </c>
      <c r="Q17" s="17">
        <f t="shared" si="16"/>
        <v>0.2</v>
      </c>
      <c r="R17" s="17">
        <f t="shared" si="16"/>
        <v>0.2</v>
      </c>
      <c r="S17" s="17">
        <f t="shared" si="16"/>
        <v>0.2</v>
      </c>
      <c r="U17" t="s">
        <v>106</v>
      </c>
      <c r="V17" s="8">
        <v>0.2</v>
      </c>
    </row>
    <row r="18" spans="1:22" x14ac:dyDescent="0.35">
      <c r="A18" t="s">
        <v>107</v>
      </c>
      <c r="B18" s="18">
        <f t="shared" ref="B18:S18" si="17">B15*(1-B17)</f>
        <v>32</v>
      </c>
      <c r="C18" s="18">
        <f t="shared" si="17"/>
        <v>32.96</v>
      </c>
      <c r="D18" s="18">
        <f t="shared" si="17"/>
        <v>33.948799999999999</v>
      </c>
      <c r="E18" s="18">
        <f t="shared" si="17"/>
        <v>34.967264</v>
      </c>
      <c r="F18" s="18">
        <f t="shared" si="17"/>
        <v>36.016281920000004</v>
      </c>
      <c r="G18" s="18">
        <f t="shared" si="17"/>
        <v>37.096770377600002</v>
      </c>
      <c r="H18" s="18">
        <f t="shared" si="17"/>
        <v>38.209673488928004</v>
      </c>
      <c r="I18" s="18">
        <f t="shared" si="17"/>
        <v>39.355963693595839</v>
      </c>
      <c r="J18" s="18">
        <f t="shared" si="17"/>
        <v>40.536642604403717</v>
      </c>
      <c r="K18" s="18">
        <f t="shared" si="17"/>
        <v>41.75274188253583</v>
      </c>
      <c r="L18" s="18">
        <f t="shared" si="17"/>
        <v>43.005324139011904</v>
      </c>
      <c r="M18" s="18">
        <f t="shared" si="17"/>
        <v>44.295483863182255</v>
      </c>
      <c r="N18" s="18">
        <f t="shared" si="17"/>
        <v>45.62434837907773</v>
      </c>
      <c r="O18" s="18">
        <f t="shared" si="17"/>
        <v>46.99307883045006</v>
      </c>
      <c r="P18" s="18">
        <f t="shared" si="17"/>
        <v>48.402871195363559</v>
      </c>
      <c r="Q18" s="18">
        <f t="shared" si="17"/>
        <v>49.854957331224462</v>
      </c>
      <c r="R18" s="18">
        <f t="shared" si="17"/>
        <v>51.350606051161201</v>
      </c>
      <c r="S18" s="18">
        <f t="shared" si="17"/>
        <v>52.891124232696029</v>
      </c>
    </row>
    <row r="19" spans="1:22" x14ac:dyDescent="0.35">
      <c r="A19" t="s">
        <v>109</v>
      </c>
      <c r="B19" s="17">
        <f>$V$19</f>
        <v>0.9</v>
      </c>
      <c r="C19" s="17">
        <f t="shared" ref="C19:S19" si="18">$V$19</f>
        <v>0.9</v>
      </c>
      <c r="D19" s="17">
        <f t="shared" si="18"/>
        <v>0.9</v>
      </c>
      <c r="E19" s="17">
        <f t="shared" si="18"/>
        <v>0.9</v>
      </c>
      <c r="F19" s="17">
        <f t="shared" si="18"/>
        <v>0.9</v>
      </c>
      <c r="G19" s="17">
        <f t="shared" si="18"/>
        <v>0.9</v>
      </c>
      <c r="H19" s="17">
        <f t="shared" si="18"/>
        <v>0.9</v>
      </c>
      <c r="I19" s="17">
        <f t="shared" si="18"/>
        <v>0.9</v>
      </c>
      <c r="J19" s="17">
        <f t="shared" si="18"/>
        <v>0.9</v>
      </c>
      <c r="K19" s="17">
        <f t="shared" si="18"/>
        <v>0.9</v>
      </c>
      <c r="L19" s="17">
        <f t="shared" si="18"/>
        <v>0.9</v>
      </c>
      <c r="M19" s="17">
        <f t="shared" si="18"/>
        <v>0.9</v>
      </c>
      <c r="N19" s="17">
        <f t="shared" si="18"/>
        <v>0.9</v>
      </c>
      <c r="O19" s="17">
        <f t="shared" si="18"/>
        <v>0.9</v>
      </c>
      <c r="P19" s="17">
        <f t="shared" si="18"/>
        <v>0.9</v>
      </c>
      <c r="Q19" s="17">
        <f t="shared" si="18"/>
        <v>0.9</v>
      </c>
      <c r="R19" s="17">
        <f t="shared" si="18"/>
        <v>0.9</v>
      </c>
      <c r="S19" s="17">
        <f t="shared" si="18"/>
        <v>0.9</v>
      </c>
      <c r="U19" t="s">
        <v>110</v>
      </c>
      <c r="V19" s="8">
        <v>0.9</v>
      </c>
    </row>
    <row r="20" spans="1:22" x14ac:dyDescent="0.3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22" x14ac:dyDescent="0.35">
      <c r="A21" t="s">
        <v>191</v>
      </c>
      <c r="B21" s="15"/>
      <c r="C21" s="15"/>
      <c r="D21" s="15"/>
      <c r="E21" s="15"/>
      <c r="F21" s="15"/>
      <c r="G21" s="15"/>
      <c r="H21" s="15"/>
      <c r="I21" s="16">
        <f>(I14*I18*I19)*1000</f>
        <v>251371.83895960616</v>
      </c>
      <c r="J21" s="16">
        <f t="shared" ref="J21:S21" si="19">(J14*J18*J19)*1000</f>
        <v>573880.65148558596</v>
      </c>
      <c r="K21" s="16">
        <f t="shared" si="19"/>
        <v>982624.99345375155</v>
      </c>
      <c r="L21" s="16">
        <f t="shared" si="19"/>
        <v>1495551.9646199653</v>
      </c>
      <c r="M21" s="16">
        <f t="shared" si="19"/>
        <v>1707168.8287337783</v>
      </c>
      <c r="N21" s="16">
        <f t="shared" si="19"/>
        <v>1948728.9500775365</v>
      </c>
      <c r="O21" s="16">
        <f t="shared" si="19"/>
        <v>2224469.224691133</v>
      </c>
      <c r="P21" s="16">
        <f t="shared" si="19"/>
        <v>2539226.0588118662</v>
      </c>
      <c r="Q21" s="16">
        <f t="shared" si="19"/>
        <v>2898520.1980685978</v>
      </c>
      <c r="R21" s="16">
        <f t="shared" si="19"/>
        <v>3308653.5597948092</v>
      </c>
      <c r="S21" s="16">
        <f t="shared" si="19"/>
        <v>3776819.7668718756</v>
      </c>
    </row>
    <row r="24" spans="1:22" x14ac:dyDescent="0.35">
      <c r="A24" t="s">
        <v>120</v>
      </c>
      <c r="C24" t="s">
        <v>121</v>
      </c>
    </row>
    <row r="26" spans="1:22" x14ac:dyDescent="0.35">
      <c r="A26" t="s">
        <v>122</v>
      </c>
      <c r="C26" t="s">
        <v>123</v>
      </c>
    </row>
  </sheetData>
  <pageMargins left="0.7" right="0.7" top="0.75" bottom="0.75" header="0.3" footer="0.3"/>
  <pageSetup paperSize="9" orientation="portrait" r:id="rId1"/>
  <ignoredErrors>
    <ignoredError sqref="B11 C11:S11 B13:H13 I13:S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8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ColWidth="0" defaultRowHeight="14.5" x14ac:dyDescent="0.35"/>
  <cols>
    <col min="1" max="1" width="38.54296875" bestFit="1" customWidth="1"/>
    <col min="2" max="5" width="9.1796875" customWidth="1"/>
    <col min="6" max="6" width="10.7265625" customWidth="1"/>
    <col min="7" max="8" width="9.1796875" customWidth="1"/>
    <col min="9" max="11" width="9.54296875" bestFit="1" customWidth="1"/>
    <col min="12" max="19" width="10.54296875" bestFit="1" customWidth="1"/>
    <col min="20" max="20" width="9.1796875" customWidth="1"/>
    <col min="21" max="21" width="25" bestFit="1" customWidth="1"/>
    <col min="22" max="22" width="9.1796875" customWidth="1"/>
    <col min="23" max="16384" width="9.1796875" hidden="1"/>
  </cols>
  <sheetData>
    <row r="1" spans="1:22" x14ac:dyDescent="0.35">
      <c r="A1" t="s">
        <v>99</v>
      </c>
      <c r="B1" s="15">
        <v>2015</v>
      </c>
      <c r="C1" s="15">
        <v>2016</v>
      </c>
      <c r="D1" s="15">
        <v>2017</v>
      </c>
      <c r="E1" s="15">
        <v>2018</v>
      </c>
      <c r="F1" s="15">
        <v>2019</v>
      </c>
      <c r="G1" s="15">
        <v>2020</v>
      </c>
      <c r="H1" s="15">
        <v>2021</v>
      </c>
      <c r="I1" s="15">
        <v>2022</v>
      </c>
      <c r="J1" s="15">
        <v>2023</v>
      </c>
      <c r="K1" s="15">
        <v>2024</v>
      </c>
      <c r="L1" s="16">
        <v>2025</v>
      </c>
      <c r="M1" s="16">
        <v>2026</v>
      </c>
      <c r="N1" s="16">
        <v>2027</v>
      </c>
      <c r="O1" s="16">
        <v>2028</v>
      </c>
      <c r="P1" s="16">
        <v>2029.25</v>
      </c>
      <c r="Q1" s="16">
        <v>2030</v>
      </c>
      <c r="R1" s="16">
        <v>2031</v>
      </c>
      <c r="S1" s="16">
        <v>2032</v>
      </c>
    </row>
    <row r="2" spans="1:22" x14ac:dyDescent="0.35">
      <c r="A2" t="s">
        <v>90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2" x14ac:dyDescent="0.35">
      <c r="A3" t="s">
        <v>91</v>
      </c>
      <c r="B3" s="16">
        <v>320896.61800000002</v>
      </c>
      <c r="C3" s="16">
        <v>323127.51299999998</v>
      </c>
      <c r="D3" s="16">
        <f>C3+(C3*$V$3)</f>
        <v>325550.96934749995</v>
      </c>
      <c r="E3" s="16">
        <f>D3+(D3*$V$3)</f>
        <v>327992.60161760618</v>
      </c>
      <c r="F3" s="16">
        <f t="shared" ref="F3:S3" si="0">E3+(E3*$V$3)</f>
        <v>330452.54612973821</v>
      </c>
      <c r="G3" s="16">
        <f t="shared" si="0"/>
        <v>332930.94022571127</v>
      </c>
      <c r="H3" s="16">
        <f t="shared" si="0"/>
        <v>335427.92227740411</v>
      </c>
      <c r="I3" s="16">
        <f t="shared" si="0"/>
        <v>337943.63169448462</v>
      </c>
      <c r="J3" s="16">
        <f t="shared" si="0"/>
        <v>340478.20893219323</v>
      </c>
      <c r="K3" s="16">
        <f t="shared" si="0"/>
        <v>343031.79549918469</v>
      </c>
      <c r="L3" s="16">
        <f t="shared" si="0"/>
        <v>345604.53396542859</v>
      </c>
      <c r="M3" s="16">
        <f t="shared" si="0"/>
        <v>348196.5679701693</v>
      </c>
      <c r="N3" s="16">
        <f t="shared" si="0"/>
        <v>350808.0422299456</v>
      </c>
      <c r="O3" s="16">
        <f t="shared" si="0"/>
        <v>353439.10254667018</v>
      </c>
      <c r="P3" s="16">
        <f t="shared" si="0"/>
        <v>356089.8958157702</v>
      </c>
      <c r="Q3" s="16">
        <f t="shared" si="0"/>
        <v>358760.57003438845</v>
      </c>
      <c r="R3" s="16">
        <f t="shared" si="0"/>
        <v>361451.27430964634</v>
      </c>
      <c r="S3" s="16">
        <f t="shared" si="0"/>
        <v>364162.1588669687</v>
      </c>
      <c r="U3" s="15" t="s">
        <v>100</v>
      </c>
      <c r="V3" s="23">
        <v>7.4999999999999997E-3</v>
      </c>
    </row>
    <row r="4" spans="1:22" x14ac:dyDescent="0.35">
      <c r="A4" s="10" t="s">
        <v>119</v>
      </c>
      <c r="B4" s="7">
        <f>$V$4</f>
        <v>4.0000000000000002E-4</v>
      </c>
      <c r="C4" s="7">
        <f t="shared" ref="C4:S4" si="1">$V$4</f>
        <v>4.0000000000000002E-4</v>
      </c>
      <c r="D4" s="7">
        <f t="shared" si="1"/>
        <v>4.0000000000000002E-4</v>
      </c>
      <c r="E4" s="7">
        <f t="shared" si="1"/>
        <v>4.0000000000000002E-4</v>
      </c>
      <c r="F4" s="7">
        <f t="shared" si="1"/>
        <v>4.0000000000000002E-4</v>
      </c>
      <c r="G4" s="7">
        <f t="shared" si="1"/>
        <v>4.0000000000000002E-4</v>
      </c>
      <c r="H4" s="7">
        <f t="shared" si="1"/>
        <v>4.0000000000000002E-4</v>
      </c>
      <c r="I4" s="7">
        <f t="shared" si="1"/>
        <v>4.0000000000000002E-4</v>
      </c>
      <c r="J4" s="7">
        <f t="shared" si="1"/>
        <v>4.0000000000000002E-4</v>
      </c>
      <c r="K4" s="7">
        <f t="shared" si="1"/>
        <v>4.0000000000000002E-4</v>
      </c>
      <c r="L4" s="7">
        <f t="shared" si="1"/>
        <v>4.0000000000000002E-4</v>
      </c>
      <c r="M4" s="7">
        <f t="shared" si="1"/>
        <v>4.0000000000000002E-4</v>
      </c>
      <c r="N4" s="7">
        <f t="shared" si="1"/>
        <v>4.0000000000000002E-4</v>
      </c>
      <c r="O4" s="7">
        <f t="shared" si="1"/>
        <v>4.0000000000000002E-4</v>
      </c>
      <c r="P4" s="7">
        <f t="shared" si="1"/>
        <v>4.0000000000000002E-4</v>
      </c>
      <c r="Q4" s="7">
        <f t="shared" si="1"/>
        <v>4.0000000000000002E-4</v>
      </c>
      <c r="R4" s="7">
        <f t="shared" si="1"/>
        <v>4.0000000000000002E-4</v>
      </c>
      <c r="S4" s="7">
        <f t="shared" si="1"/>
        <v>4.0000000000000002E-4</v>
      </c>
      <c r="U4" s="15" t="s">
        <v>124</v>
      </c>
      <c r="V4" s="23">
        <f>400/1000000</f>
        <v>4.0000000000000002E-4</v>
      </c>
    </row>
    <row r="5" spans="1:22" x14ac:dyDescent="0.35">
      <c r="A5" t="s">
        <v>96</v>
      </c>
      <c r="B5" s="19">
        <f>B3*B4</f>
        <v>128.35864720000001</v>
      </c>
      <c r="C5" s="19">
        <f t="shared" ref="C5:S5" si="2">C3*C4</f>
        <v>129.25100520000001</v>
      </c>
      <c r="D5" s="19">
        <f t="shared" si="2"/>
        <v>130.22038773899999</v>
      </c>
      <c r="E5" s="19">
        <f t="shared" si="2"/>
        <v>131.19704064704248</v>
      </c>
      <c r="F5" s="19">
        <f t="shared" si="2"/>
        <v>132.18101845189528</v>
      </c>
      <c r="G5" s="19">
        <f t="shared" si="2"/>
        <v>133.1723760902845</v>
      </c>
      <c r="H5" s="19">
        <f t="shared" si="2"/>
        <v>134.17116891096165</v>
      </c>
      <c r="I5" s="19">
        <f t="shared" si="2"/>
        <v>135.17745267779387</v>
      </c>
      <c r="J5" s="19">
        <f t="shared" si="2"/>
        <v>136.1912835728773</v>
      </c>
      <c r="K5" s="19">
        <f t="shared" si="2"/>
        <v>137.21271819967387</v>
      </c>
      <c r="L5" s="19">
        <f t="shared" si="2"/>
        <v>138.24181358617145</v>
      </c>
      <c r="M5" s="19">
        <f t="shared" si="2"/>
        <v>139.27862718806773</v>
      </c>
      <c r="N5" s="19">
        <f t="shared" si="2"/>
        <v>140.32321689197823</v>
      </c>
      <c r="O5" s="19">
        <f t="shared" si="2"/>
        <v>141.37564101866809</v>
      </c>
      <c r="P5" s="19">
        <f t="shared" si="2"/>
        <v>142.43595832630808</v>
      </c>
      <c r="Q5" s="19">
        <f t="shared" si="2"/>
        <v>143.50422801375538</v>
      </c>
      <c r="R5" s="19">
        <f t="shared" si="2"/>
        <v>144.58050972385854</v>
      </c>
      <c r="S5" s="19">
        <f t="shared" si="2"/>
        <v>145.6648635467875</v>
      </c>
      <c r="U5" s="15"/>
      <c r="V5" s="15"/>
    </row>
    <row r="6" spans="1:22" x14ac:dyDescent="0.35">
      <c r="A6" s="10" t="s">
        <v>111</v>
      </c>
      <c r="B6" s="8">
        <f>$V$6</f>
        <v>0.45</v>
      </c>
      <c r="C6" s="8">
        <f t="shared" ref="C6:S6" si="3">$V$6</f>
        <v>0.45</v>
      </c>
      <c r="D6" s="8">
        <f t="shared" si="3"/>
        <v>0.45</v>
      </c>
      <c r="E6" s="8">
        <f t="shared" si="3"/>
        <v>0.45</v>
      </c>
      <c r="F6" s="8">
        <f t="shared" si="3"/>
        <v>0.45</v>
      </c>
      <c r="G6" s="8">
        <f t="shared" si="3"/>
        <v>0.45</v>
      </c>
      <c r="H6" s="8">
        <f t="shared" si="3"/>
        <v>0.45</v>
      </c>
      <c r="I6" s="8">
        <f t="shared" si="3"/>
        <v>0.45</v>
      </c>
      <c r="J6" s="8">
        <f t="shared" si="3"/>
        <v>0.45</v>
      </c>
      <c r="K6" s="8">
        <f t="shared" si="3"/>
        <v>0.45</v>
      </c>
      <c r="L6" s="8">
        <f t="shared" si="3"/>
        <v>0.45</v>
      </c>
      <c r="M6" s="8">
        <f t="shared" si="3"/>
        <v>0.45</v>
      </c>
      <c r="N6" s="8">
        <f t="shared" si="3"/>
        <v>0.45</v>
      </c>
      <c r="O6" s="8">
        <f t="shared" si="3"/>
        <v>0.45</v>
      </c>
      <c r="P6" s="8">
        <f t="shared" si="3"/>
        <v>0.45</v>
      </c>
      <c r="Q6" s="8">
        <f t="shared" si="3"/>
        <v>0.45</v>
      </c>
      <c r="R6" s="8">
        <f t="shared" si="3"/>
        <v>0.45</v>
      </c>
      <c r="S6" s="8">
        <f t="shared" si="3"/>
        <v>0.45</v>
      </c>
      <c r="U6" s="15" t="s">
        <v>125</v>
      </c>
      <c r="V6" s="17">
        <v>0.45</v>
      </c>
    </row>
    <row r="7" spans="1:22" x14ac:dyDescent="0.35">
      <c r="A7" t="s">
        <v>113</v>
      </c>
      <c r="B7" s="19">
        <f>B5*B6</f>
        <v>57.761391240000002</v>
      </c>
      <c r="C7" s="19">
        <f t="shared" ref="C7:S7" si="4">C5*C6</f>
        <v>58.162952340000004</v>
      </c>
      <c r="D7" s="19">
        <f t="shared" si="4"/>
        <v>58.599174482549998</v>
      </c>
      <c r="E7" s="19">
        <f t="shared" si="4"/>
        <v>59.038668291169117</v>
      </c>
      <c r="F7" s="19">
        <f t="shared" si="4"/>
        <v>59.481458303352881</v>
      </c>
      <c r="G7" s="19">
        <f t="shared" si="4"/>
        <v>59.927569240628024</v>
      </c>
      <c r="H7" s="19">
        <f t="shared" si="4"/>
        <v>60.377026009932749</v>
      </c>
      <c r="I7" s="19">
        <f t="shared" si="4"/>
        <v>60.829853705007238</v>
      </c>
      <c r="J7" s="19">
        <f t="shared" si="4"/>
        <v>61.286077607794788</v>
      </c>
      <c r="K7" s="19">
        <f t="shared" si="4"/>
        <v>61.745723189853244</v>
      </c>
      <c r="L7" s="19">
        <f t="shared" si="4"/>
        <v>62.208816113777154</v>
      </c>
      <c r="M7" s="19">
        <f t="shared" si="4"/>
        <v>62.675382234630483</v>
      </c>
      <c r="N7" s="19">
        <f t="shared" si="4"/>
        <v>63.14544760139021</v>
      </c>
      <c r="O7" s="19">
        <f t="shared" si="4"/>
        <v>63.619038458400645</v>
      </c>
      <c r="P7" s="19">
        <f t="shared" si="4"/>
        <v>64.09618124683864</v>
      </c>
      <c r="Q7" s="19">
        <f t="shared" si="4"/>
        <v>64.576902606189918</v>
      </c>
      <c r="R7" s="19">
        <f t="shared" si="4"/>
        <v>65.061229375736346</v>
      </c>
      <c r="S7" s="19">
        <f t="shared" si="4"/>
        <v>65.549188596054378</v>
      </c>
      <c r="U7" s="15"/>
      <c r="V7" s="15"/>
    </row>
    <row r="8" spans="1:22" s="20" customFormat="1" x14ac:dyDescent="0.35">
      <c r="A8" s="10" t="s">
        <v>126</v>
      </c>
      <c r="B8" s="22">
        <f>$V$8</f>
        <v>0.85</v>
      </c>
      <c r="C8" s="22">
        <f t="shared" ref="C8:S8" si="5">$V$8</f>
        <v>0.85</v>
      </c>
      <c r="D8" s="22">
        <f t="shared" si="5"/>
        <v>0.85</v>
      </c>
      <c r="E8" s="22">
        <f t="shared" si="5"/>
        <v>0.85</v>
      </c>
      <c r="F8" s="22">
        <f t="shared" si="5"/>
        <v>0.85</v>
      </c>
      <c r="G8" s="22">
        <f t="shared" si="5"/>
        <v>0.85</v>
      </c>
      <c r="H8" s="22">
        <f t="shared" si="5"/>
        <v>0.85</v>
      </c>
      <c r="I8" s="22">
        <f t="shared" si="5"/>
        <v>0.85</v>
      </c>
      <c r="J8" s="22">
        <f t="shared" si="5"/>
        <v>0.85</v>
      </c>
      <c r="K8" s="22">
        <f t="shared" si="5"/>
        <v>0.85</v>
      </c>
      <c r="L8" s="22">
        <f t="shared" si="5"/>
        <v>0.85</v>
      </c>
      <c r="M8" s="22">
        <f t="shared" si="5"/>
        <v>0.85</v>
      </c>
      <c r="N8" s="22">
        <f t="shared" si="5"/>
        <v>0.85</v>
      </c>
      <c r="O8" s="22">
        <f t="shared" si="5"/>
        <v>0.85</v>
      </c>
      <c r="P8" s="22">
        <f t="shared" si="5"/>
        <v>0.85</v>
      </c>
      <c r="Q8" s="22">
        <f t="shared" si="5"/>
        <v>0.85</v>
      </c>
      <c r="R8" s="22">
        <f t="shared" si="5"/>
        <v>0.85</v>
      </c>
      <c r="S8" s="22">
        <f t="shared" si="5"/>
        <v>0.85</v>
      </c>
      <c r="U8" s="15" t="s">
        <v>130</v>
      </c>
      <c r="V8" s="29">
        <v>0.85</v>
      </c>
    </row>
    <row r="9" spans="1:22" x14ac:dyDescent="0.35">
      <c r="A9" t="s">
        <v>128</v>
      </c>
      <c r="B9" s="19">
        <f>B7*B8</f>
        <v>49.097182554</v>
      </c>
      <c r="C9" s="19">
        <f t="shared" ref="C9:S9" si="6">C7*C8</f>
        <v>49.438509489000005</v>
      </c>
      <c r="D9" s="19">
        <f t="shared" si="6"/>
        <v>49.809298310167499</v>
      </c>
      <c r="E9" s="19">
        <f t="shared" si="6"/>
        <v>50.182868047493749</v>
      </c>
      <c r="F9" s="19">
        <f t="shared" si="6"/>
        <v>50.559239557849949</v>
      </c>
      <c r="G9" s="19">
        <f t="shared" si="6"/>
        <v>50.93843385453382</v>
      </c>
      <c r="H9" s="19">
        <f t="shared" si="6"/>
        <v>51.320472108442836</v>
      </c>
      <c r="I9" s="19">
        <f t="shared" si="6"/>
        <v>51.705375649256155</v>
      </c>
      <c r="J9" s="19">
        <f t="shared" si="6"/>
        <v>52.09316596662557</v>
      </c>
      <c r="K9" s="19">
        <f t="shared" si="6"/>
        <v>52.483864711375254</v>
      </c>
      <c r="L9" s="19">
        <f t="shared" si="6"/>
        <v>52.87749369671058</v>
      </c>
      <c r="M9" s="19">
        <f t="shared" si="6"/>
        <v>53.274074899435909</v>
      </c>
      <c r="N9" s="19">
        <f t="shared" si="6"/>
        <v>53.673630461181673</v>
      </c>
      <c r="O9" s="19">
        <f t="shared" si="6"/>
        <v>54.076182689640547</v>
      </c>
      <c r="P9" s="19">
        <f t="shared" si="6"/>
        <v>54.481754059812843</v>
      </c>
      <c r="Q9" s="19">
        <f t="shared" si="6"/>
        <v>54.890367215261428</v>
      </c>
      <c r="R9" s="19">
        <f t="shared" si="6"/>
        <v>55.302044969375892</v>
      </c>
      <c r="S9" s="19">
        <f t="shared" si="6"/>
        <v>55.716810306646217</v>
      </c>
      <c r="U9" s="15"/>
      <c r="V9" s="15"/>
    </row>
    <row r="10" spans="1:22" x14ac:dyDescent="0.35">
      <c r="A10" s="10" t="s">
        <v>129</v>
      </c>
      <c r="B10" s="17">
        <f>$V$10</f>
        <v>0.4</v>
      </c>
      <c r="C10" s="17">
        <f t="shared" ref="C10:S10" si="7">$V$10</f>
        <v>0.4</v>
      </c>
      <c r="D10" s="17">
        <f t="shared" si="7"/>
        <v>0.4</v>
      </c>
      <c r="E10" s="17">
        <f t="shared" si="7"/>
        <v>0.4</v>
      </c>
      <c r="F10" s="17">
        <f t="shared" si="7"/>
        <v>0.4</v>
      </c>
      <c r="G10" s="17">
        <f t="shared" si="7"/>
        <v>0.4</v>
      </c>
      <c r="H10" s="17">
        <f t="shared" si="7"/>
        <v>0.4</v>
      </c>
      <c r="I10" s="17">
        <f t="shared" si="7"/>
        <v>0.4</v>
      </c>
      <c r="J10" s="17">
        <f t="shared" si="7"/>
        <v>0.4</v>
      </c>
      <c r="K10" s="17">
        <f t="shared" si="7"/>
        <v>0.4</v>
      </c>
      <c r="L10" s="17">
        <f t="shared" si="7"/>
        <v>0.4</v>
      </c>
      <c r="M10" s="17">
        <f t="shared" si="7"/>
        <v>0.4</v>
      </c>
      <c r="N10" s="17">
        <f t="shared" si="7"/>
        <v>0.4</v>
      </c>
      <c r="O10" s="17">
        <f t="shared" si="7"/>
        <v>0.4</v>
      </c>
      <c r="P10" s="17">
        <f t="shared" si="7"/>
        <v>0.4</v>
      </c>
      <c r="Q10" s="17">
        <f t="shared" si="7"/>
        <v>0.4</v>
      </c>
      <c r="R10" s="17">
        <f t="shared" si="7"/>
        <v>0.4</v>
      </c>
      <c r="S10" s="17">
        <f t="shared" si="7"/>
        <v>0.4</v>
      </c>
      <c r="U10" s="15" t="s">
        <v>131</v>
      </c>
      <c r="V10" s="17">
        <v>0.4</v>
      </c>
    </row>
    <row r="11" spans="1:22" x14ac:dyDescent="0.35">
      <c r="A11" s="15" t="s">
        <v>127</v>
      </c>
      <c r="B11" s="16">
        <f>B10*B9</f>
        <v>19.638873021600002</v>
      </c>
      <c r="C11" s="16">
        <f t="shared" ref="C11:S11" si="8">C10*C9</f>
        <v>19.775403795600003</v>
      </c>
      <c r="D11" s="16">
        <f t="shared" si="8"/>
        <v>19.923719324067001</v>
      </c>
      <c r="E11" s="16">
        <f t="shared" si="8"/>
        <v>20.073147218997502</v>
      </c>
      <c r="F11" s="16">
        <f t="shared" si="8"/>
        <v>20.22369582313998</v>
      </c>
      <c r="G11" s="16">
        <f t="shared" si="8"/>
        <v>20.375373541813531</v>
      </c>
      <c r="H11" s="16">
        <f t="shared" si="8"/>
        <v>20.528188843377137</v>
      </c>
      <c r="I11" s="16">
        <f t="shared" si="8"/>
        <v>20.682150259702464</v>
      </c>
      <c r="J11" s="16">
        <f t="shared" si="8"/>
        <v>20.837266386650228</v>
      </c>
      <c r="K11" s="16">
        <f t="shared" si="8"/>
        <v>20.993545884550102</v>
      </c>
      <c r="L11" s="16">
        <f t="shared" si="8"/>
        <v>21.150997478684232</v>
      </c>
      <c r="M11" s="16">
        <f t="shared" si="8"/>
        <v>21.309629959774366</v>
      </c>
      <c r="N11" s="16">
        <f t="shared" si="8"/>
        <v>21.469452184472672</v>
      </c>
      <c r="O11" s="16">
        <f t="shared" si="8"/>
        <v>21.630473075856219</v>
      </c>
      <c r="P11" s="16">
        <f t="shared" si="8"/>
        <v>21.79270162392514</v>
      </c>
      <c r="Q11" s="16">
        <f t="shared" si="8"/>
        <v>21.956146886104573</v>
      </c>
      <c r="R11" s="16">
        <f t="shared" si="8"/>
        <v>22.120817987750357</v>
      </c>
      <c r="S11" s="16">
        <f t="shared" si="8"/>
        <v>22.286724122658487</v>
      </c>
      <c r="U11" s="15"/>
      <c r="V11" s="15"/>
    </row>
    <row r="12" spans="1:22" x14ac:dyDescent="0.35">
      <c r="A12" s="10" t="s">
        <v>97</v>
      </c>
      <c r="B12" s="24"/>
      <c r="C12" s="24"/>
      <c r="D12" s="24"/>
      <c r="E12" s="24"/>
      <c r="F12" s="24"/>
      <c r="G12" s="24"/>
      <c r="H12" s="24"/>
      <c r="I12" s="25">
        <f>V12</f>
        <v>0.1</v>
      </c>
      <c r="J12" s="25">
        <f>I12+0.005</f>
        <v>0.10500000000000001</v>
      </c>
      <c r="K12" s="25">
        <f>J12+0.005</f>
        <v>0.11000000000000001</v>
      </c>
      <c r="L12" s="25">
        <f>K12+$V$13</f>
        <v>0.11500000000000002</v>
      </c>
      <c r="M12" s="25">
        <f t="shared" ref="M12:S12" si="9">L12+$V$13</f>
        <v>0.12000000000000002</v>
      </c>
      <c r="N12" s="25">
        <f t="shared" si="9"/>
        <v>0.12500000000000003</v>
      </c>
      <c r="O12" s="25">
        <f t="shared" si="9"/>
        <v>0.13000000000000003</v>
      </c>
      <c r="P12" s="25">
        <f t="shared" si="9"/>
        <v>0.13500000000000004</v>
      </c>
      <c r="Q12" s="25">
        <f t="shared" si="9"/>
        <v>0.14000000000000004</v>
      </c>
      <c r="R12" s="25">
        <f t="shared" si="9"/>
        <v>0.14500000000000005</v>
      </c>
      <c r="S12" s="25">
        <f t="shared" si="9"/>
        <v>0.15000000000000005</v>
      </c>
      <c r="U12" s="15" t="s">
        <v>132</v>
      </c>
      <c r="V12" s="17">
        <v>0.1</v>
      </c>
    </row>
    <row r="13" spans="1:22" x14ac:dyDescent="0.35">
      <c r="A13" s="15" t="s">
        <v>98</v>
      </c>
      <c r="B13" s="15"/>
      <c r="C13" s="15"/>
      <c r="D13" s="15"/>
      <c r="E13" s="15"/>
      <c r="F13" s="15"/>
      <c r="G13" s="15"/>
      <c r="H13" s="15"/>
      <c r="I13" s="18">
        <f>I11*I12</f>
        <v>2.0682150259702463</v>
      </c>
      <c r="J13" s="18">
        <f t="shared" ref="J13:S13" si="10">J11*J12</f>
        <v>2.1879129705982741</v>
      </c>
      <c r="K13" s="18">
        <f t="shared" si="10"/>
        <v>2.3092900473005114</v>
      </c>
      <c r="L13" s="18">
        <f t="shared" si="10"/>
        <v>2.4323647100486872</v>
      </c>
      <c r="M13" s="18">
        <f t="shared" si="10"/>
        <v>2.5571555951729246</v>
      </c>
      <c r="N13" s="18">
        <f t="shared" si="10"/>
        <v>2.6836815230590845</v>
      </c>
      <c r="O13" s="18">
        <f t="shared" si="10"/>
        <v>2.8119614998613094</v>
      </c>
      <c r="P13" s="18">
        <f t="shared" si="10"/>
        <v>2.9420147192298947</v>
      </c>
      <c r="Q13" s="18">
        <f t="shared" si="10"/>
        <v>3.073860564054641</v>
      </c>
      <c r="R13" s="18">
        <f t="shared" si="10"/>
        <v>3.2075186082238027</v>
      </c>
      <c r="S13" s="18">
        <f t="shared" si="10"/>
        <v>3.3430086183987742</v>
      </c>
      <c r="U13" s="15" t="s">
        <v>133</v>
      </c>
      <c r="V13" s="15">
        <v>5.0000000000000001E-3</v>
      </c>
    </row>
    <row r="14" spans="1:22" x14ac:dyDescent="0.35">
      <c r="A14" s="15" t="s">
        <v>108</v>
      </c>
      <c r="B14" s="15"/>
      <c r="C14" s="15"/>
      <c r="D14" s="15"/>
      <c r="E14" s="15"/>
      <c r="F14" s="18"/>
      <c r="G14" s="15"/>
      <c r="H14" s="15"/>
      <c r="I14" s="16">
        <f>V14</f>
        <v>52500</v>
      </c>
      <c r="J14" s="16">
        <f>I14+(I14*J15)</f>
        <v>54075</v>
      </c>
      <c r="K14" s="16">
        <f t="shared" ref="K14:S14" si="11">J14+(J14*K15)</f>
        <v>55697.25</v>
      </c>
      <c r="L14" s="16">
        <f t="shared" si="11"/>
        <v>57368.167500000003</v>
      </c>
      <c r="M14" s="16">
        <f t="shared" si="11"/>
        <v>59089.212525000003</v>
      </c>
      <c r="N14" s="16">
        <f t="shared" si="11"/>
        <v>60861.888900750004</v>
      </c>
      <c r="O14" s="16">
        <f t="shared" si="11"/>
        <v>62687.745567772501</v>
      </c>
      <c r="P14" s="16">
        <f t="shared" si="11"/>
        <v>64568.377934805678</v>
      </c>
      <c r="Q14" s="16">
        <f t="shared" si="11"/>
        <v>66505.429272849855</v>
      </c>
      <c r="R14" s="16">
        <f t="shared" si="11"/>
        <v>68500.592151035351</v>
      </c>
      <c r="S14" s="16">
        <f t="shared" si="11"/>
        <v>70555.609915566412</v>
      </c>
      <c r="U14" s="15" t="s">
        <v>134</v>
      </c>
      <c r="V14" s="15">
        <f>(50000+55000)/2</f>
        <v>52500</v>
      </c>
    </row>
    <row r="15" spans="1:22" x14ac:dyDescent="0.35">
      <c r="A15" s="26" t="s">
        <v>104</v>
      </c>
      <c r="B15" s="26"/>
      <c r="C15" s="26"/>
      <c r="D15" s="26"/>
      <c r="E15" s="26"/>
      <c r="F15" s="26"/>
      <c r="G15" s="26"/>
      <c r="H15" s="26"/>
      <c r="I15" s="26"/>
      <c r="J15" s="27">
        <f>$V$15</f>
        <v>0.03</v>
      </c>
      <c r="K15" s="27">
        <f t="shared" ref="K15:S15" si="12">$V$15</f>
        <v>0.03</v>
      </c>
      <c r="L15" s="27">
        <f t="shared" si="12"/>
        <v>0.03</v>
      </c>
      <c r="M15" s="27">
        <f t="shared" si="12"/>
        <v>0.03</v>
      </c>
      <c r="N15" s="27">
        <f t="shared" si="12"/>
        <v>0.03</v>
      </c>
      <c r="O15" s="27">
        <f t="shared" si="12"/>
        <v>0.03</v>
      </c>
      <c r="P15" s="27">
        <f t="shared" si="12"/>
        <v>0.03</v>
      </c>
      <c r="Q15" s="27">
        <f t="shared" si="12"/>
        <v>0.03</v>
      </c>
      <c r="R15" s="27">
        <f t="shared" si="12"/>
        <v>0.03</v>
      </c>
      <c r="S15" s="27">
        <f t="shared" si="12"/>
        <v>0.03</v>
      </c>
      <c r="U15" s="15" t="s">
        <v>135</v>
      </c>
      <c r="V15" s="17">
        <v>0.03</v>
      </c>
    </row>
    <row r="16" spans="1:22" x14ac:dyDescent="0.35">
      <c r="A16" s="26" t="s">
        <v>105</v>
      </c>
      <c r="B16" s="26"/>
      <c r="C16" s="26"/>
      <c r="D16" s="26"/>
      <c r="E16" s="26"/>
      <c r="F16" s="28"/>
      <c r="G16" s="28"/>
      <c r="H16" s="28"/>
      <c r="I16" s="28">
        <f>$V$16</f>
        <v>0.2</v>
      </c>
      <c r="J16" s="28">
        <f t="shared" ref="J16:S16" si="13">$V$16</f>
        <v>0.2</v>
      </c>
      <c r="K16" s="28">
        <f t="shared" si="13"/>
        <v>0.2</v>
      </c>
      <c r="L16" s="28">
        <f t="shared" si="13"/>
        <v>0.2</v>
      </c>
      <c r="M16" s="28">
        <f t="shared" si="13"/>
        <v>0.2</v>
      </c>
      <c r="N16" s="28">
        <f t="shared" si="13"/>
        <v>0.2</v>
      </c>
      <c r="O16" s="28">
        <f t="shared" si="13"/>
        <v>0.2</v>
      </c>
      <c r="P16" s="28">
        <f t="shared" si="13"/>
        <v>0.2</v>
      </c>
      <c r="Q16" s="28">
        <f t="shared" si="13"/>
        <v>0.2</v>
      </c>
      <c r="R16" s="28">
        <f t="shared" si="13"/>
        <v>0.2</v>
      </c>
      <c r="S16" s="28">
        <f t="shared" si="13"/>
        <v>0.2</v>
      </c>
      <c r="U16" s="15" t="s">
        <v>106</v>
      </c>
      <c r="V16" s="17">
        <v>0.2</v>
      </c>
    </row>
    <row r="17" spans="1:22" x14ac:dyDescent="0.35">
      <c r="A17" s="15" t="s">
        <v>107</v>
      </c>
      <c r="B17" s="15"/>
      <c r="C17" s="15"/>
      <c r="D17" s="15"/>
      <c r="E17" s="15"/>
      <c r="F17" s="15"/>
      <c r="G17" s="15"/>
      <c r="H17" s="15"/>
      <c r="I17" s="16">
        <f>I14*(1-I16)</f>
        <v>42000</v>
      </c>
      <c r="J17" s="16">
        <f t="shared" ref="J17:S17" si="14">J14*(1-J16)</f>
        <v>43260</v>
      </c>
      <c r="K17" s="16">
        <f t="shared" si="14"/>
        <v>44557.8</v>
      </c>
      <c r="L17" s="16">
        <f t="shared" si="14"/>
        <v>45894.534000000007</v>
      </c>
      <c r="M17" s="16">
        <f t="shared" si="14"/>
        <v>47271.370020000002</v>
      </c>
      <c r="N17" s="16">
        <f t="shared" si="14"/>
        <v>48689.511120600007</v>
      </c>
      <c r="O17" s="16">
        <f t="shared" si="14"/>
        <v>50150.196454218007</v>
      </c>
      <c r="P17" s="16">
        <f t="shared" si="14"/>
        <v>51654.702347844548</v>
      </c>
      <c r="Q17" s="16">
        <f t="shared" si="14"/>
        <v>53204.343418279888</v>
      </c>
      <c r="R17" s="16">
        <f t="shared" si="14"/>
        <v>54800.473720828282</v>
      </c>
      <c r="S17" s="16">
        <f t="shared" si="14"/>
        <v>56444.487932453136</v>
      </c>
      <c r="U17" s="15"/>
      <c r="V17" s="15"/>
    </row>
    <row r="18" spans="1:22" x14ac:dyDescent="0.35">
      <c r="A18" s="26" t="s">
        <v>109</v>
      </c>
      <c r="B18" s="26"/>
      <c r="C18" s="26"/>
      <c r="D18" s="26"/>
      <c r="E18" s="26"/>
      <c r="F18" s="26"/>
      <c r="G18" s="26"/>
      <c r="H18" s="26"/>
      <c r="I18" s="27">
        <f>$V$18</f>
        <v>0.9</v>
      </c>
      <c r="J18" s="27">
        <f t="shared" ref="J18:S18" si="15">$V$18</f>
        <v>0.9</v>
      </c>
      <c r="K18" s="27">
        <f t="shared" si="15"/>
        <v>0.9</v>
      </c>
      <c r="L18" s="27">
        <f t="shared" si="15"/>
        <v>0.9</v>
      </c>
      <c r="M18" s="27">
        <f t="shared" si="15"/>
        <v>0.9</v>
      </c>
      <c r="N18" s="27">
        <f t="shared" si="15"/>
        <v>0.9</v>
      </c>
      <c r="O18" s="27">
        <f t="shared" si="15"/>
        <v>0.9</v>
      </c>
      <c r="P18" s="27">
        <f t="shared" si="15"/>
        <v>0.9</v>
      </c>
      <c r="Q18" s="27">
        <f t="shared" si="15"/>
        <v>0.9</v>
      </c>
      <c r="R18" s="27">
        <f t="shared" si="15"/>
        <v>0.9</v>
      </c>
      <c r="S18" s="27">
        <f t="shared" si="15"/>
        <v>0.9</v>
      </c>
      <c r="U18" s="15" t="s">
        <v>137</v>
      </c>
      <c r="V18" s="17">
        <v>0.9</v>
      </c>
    </row>
    <row r="19" spans="1:22" x14ac:dyDescent="0.35">
      <c r="A19" s="15" t="s">
        <v>136</v>
      </c>
      <c r="B19" s="15"/>
      <c r="C19" s="15"/>
      <c r="D19" s="15"/>
      <c r="E19" s="15"/>
      <c r="F19" s="15"/>
      <c r="G19" s="15"/>
      <c r="H19" s="15"/>
      <c r="I19" s="16">
        <f>I13*I17*I18</f>
        <v>78178.527981675317</v>
      </c>
      <c r="J19" s="16">
        <f t="shared" ref="J19:S19" si="16">J13*J17*J18</f>
        <v>85184.203597273197</v>
      </c>
      <c r="K19" s="16">
        <f t="shared" si="16"/>
        <v>92607.19566264606</v>
      </c>
      <c r="L19" s="16">
        <f t="shared" si="16"/>
        <v>100469.02039715667</v>
      </c>
      <c r="M19" s="16">
        <f t="shared" si="16"/>
        <v>108792.22350431938</v>
      </c>
      <c r="N19" s="16">
        <f t="shared" si="16"/>
        <v>117600.42722502066</v>
      </c>
      <c r="O19" s="16">
        <f t="shared" si="16"/>
        <v>126918.37947576797</v>
      </c>
      <c r="P19" s="16">
        <f t="shared" si="16"/>
        <v>136772.00516231789</v>
      </c>
      <c r="Q19" s="16">
        <f t="shared" si="16"/>
        <v>147188.45976288358</v>
      </c>
      <c r="R19" s="16">
        <f t="shared" si="16"/>
        <v>158196.18527913259</v>
      </c>
      <c r="S19" s="16">
        <f t="shared" si="16"/>
        <v>169824.96865736679</v>
      </c>
    </row>
    <row r="37" spans="2:2" x14ac:dyDescent="0.35">
      <c r="B37" s="5"/>
    </row>
    <row r="38" spans="2:2" x14ac:dyDescent="0.35">
      <c r="B38" s="7"/>
    </row>
  </sheetData>
  <pageMargins left="0.7" right="0.7" top="0.75" bottom="0.75" header="0.3" footer="0.3"/>
  <pageSetup paperSize="9" orientation="portrait" r:id="rId1"/>
  <ignoredErrors>
    <ignoredError sqref="E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2"/>
  <sheetViews>
    <sheetView zoomScaleNormal="100" workbookViewId="0">
      <pane xSplit="2" ySplit="2" topLeftCell="P16" activePane="bottomRight" state="frozen"/>
      <selection pane="topRight" activeCell="C1" sqref="C1"/>
      <selection pane="bottomLeft" activeCell="A3" sqref="A3"/>
      <selection pane="bottomRight" activeCell="W19" sqref="W19"/>
    </sheetView>
  </sheetViews>
  <sheetFormatPr defaultColWidth="0" defaultRowHeight="14.5" outlineLevelRow="1" outlineLevelCol="1" x14ac:dyDescent="0.35"/>
  <cols>
    <col min="1" max="1" width="56" customWidth="1"/>
    <col min="2" max="2" width="33.81640625" customWidth="1"/>
    <col min="3" max="3" width="9.1796875" customWidth="1"/>
    <col min="4" max="7" width="9.1796875" customWidth="1" outlineLevel="1"/>
    <col min="8" max="8" width="9.1796875" customWidth="1"/>
    <col min="9" max="9" width="9.1796875" customWidth="1" outlineLevel="1"/>
    <col min="10" max="10" width="9" customWidth="1" outlineLevel="1"/>
    <col min="11" max="12" width="9.1796875" customWidth="1" outlineLevel="1"/>
    <col min="13" max="13" width="7.54296875" customWidth="1"/>
    <col min="14" max="14" width="11.54296875" customWidth="1" outlineLevel="1"/>
    <col min="15" max="16" width="9.1796875" customWidth="1" outlineLevel="1"/>
    <col min="17" max="17" width="12" customWidth="1" outlineLevel="1"/>
    <col min="18" max="18" width="9.1796875" customWidth="1"/>
    <col min="19" max="19" width="8.7265625" customWidth="1"/>
    <col min="20" max="20" width="8.54296875" customWidth="1"/>
    <col min="21" max="24" width="9.54296875" customWidth="1"/>
    <col min="25" max="27" width="8.54296875" customWidth="1"/>
    <col min="28" max="28" width="9.1796875" customWidth="1"/>
    <col min="29" max="16384" width="9.1796875" hidden="1"/>
  </cols>
  <sheetData>
    <row r="1" spans="1:27" x14ac:dyDescent="0.35">
      <c r="B1" t="s">
        <v>178</v>
      </c>
      <c r="C1">
        <v>2015</v>
      </c>
      <c r="D1" t="s">
        <v>12</v>
      </c>
      <c r="E1" t="s">
        <v>14</v>
      </c>
      <c r="F1" t="s">
        <v>15</v>
      </c>
      <c r="G1" t="s">
        <v>16</v>
      </c>
      <c r="H1">
        <v>2016</v>
      </c>
      <c r="I1" t="s">
        <v>17</v>
      </c>
      <c r="J1" t="s">
        <v>18</v>
      </c>
      <c r="K1" t="s">
        <v>19</v>
      </c>
      <c r="L1" t="s">
        <v>20</v>
      </c>
      <c r="M1">
        <v>2017</v>
      </c>
      <c r="N1" t="s">
        <v>154</v>
      </c>
      <c r="O1" t="s">
        <v>155</v>
      </c>
      <c r="P1" t="s">
        <v>156</v>
      </c>
      <c r="Q1" t="s">
        <v>157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</row>
    <row r="2" spans="1:27" x14ac:dyDescent="0.35">
      <c r="A2" t="s">
        <v>158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78</v>
      </c>
      <c r="P2" t="s">
        <v>78</v>
      </c>
      <c r="Q2" t="s">
        <v>78</v>
      </c>
      <c r="R2" t="s">
        <v>78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</row>
    <row r="4" spans="1:27" x14ac:dyDescent="0.35">
      <c r="A4" t="s">
        <v>143</v>
      </c>
      <c r="B4" t="s">
        <v>152</v>
      </c>
    </row>
    <row r="5" spans="1:27" x14ac:dyDescent="0.35">
      <c r="A5" t="s">
        <v>142</v>
      </c>
    </row>
    <row r="6" spans="1:27" x14ac:dyDescent="0.35">
      <c r="A6" t="s">
        <v>145</v>
      </c>
    </row>
    <row r="7" spans="1:27" x14ac:dyDescent="0.35">
      <c r="A7" t="s">
        <v>161</v>
      </c>
      <c r="B7" t="s">
        <v>146</v>
      </c>
    </row>
    <row r="8" spans="1:27" x14ac:dyDescent="0.35">
      <c r="A8" s="32" t="s">
        <v>162</v>
      </c>
    </row>
    <row r="9" spans="1:27" x14ac:dyDescent="0.35">
      <c r="A9" t="s">
        <v>163</v>
      </c>
    </row>
    <row r="11" spans="1:27" x14ac:dyDescent="0.35">
      <c r="A11" t="s">
        <v>144</v>
      </c>
      <c r="B11" t="s">
        <v>151</v>
      </c>
    </row>
    <row r="12" spans="1:27" x14ac:dyDescent="0.35">
      <c r="A12" t="s">
        <v>147</v>
      </c>
      <c r="B12" t="s">
        <v>148</v>
      </c>
    </row>
    <row r="13" spans="1:27" x14ac:dyDescent="0.35">
      <c r="A13" t="s">
        <v>149</v>
      </c>
      <c r="B13" t="s">
        <v>150</v>
      </c>
      <c r="M13" s="5"/>
    </row>
    <row r="14" spans="1:27" x14ac:dyDescent="0.35">
      <c r="A14" s="32" t="s">
        <v>162</v>
      </c>
      <c r="M14" s="5"/>
    </row>
    <row r="15" spans="1:27" x14ac:dyDescent="0.35">
      <c r="A15" t="s">
        <v>163</v>
      </c>
      <c r="M15" s="5"/>
    </row>
    <row r="16" spans="1:27" x14ac:dyDescent="0.35">
      <c r="M16" s="5"/>
    </row>
    <row r="17" spans="1:28" x14ac:dyDescent="0.35">
      <c r="A17" s="15" t="s">
        <v>160</v>
      </c>
      <c r="B17" s="15"/>
      <c r="C17" s="15"/>
      <c r="D17" s="43">
        <v>17869</v>
      </c>
      <c r="E17" s="43">
        <v>13004</v>
      </c>
      <c r="F17" s="43">
        <v>13978</v>
      </c>
      <c r="G17" s="15">
        <v>12841</v>
      </c>
      <c r="H17" s="43">
        <v>57692</v>
      </c>
      <c r="I17" s="43">
        <v>10417</v>
      </c>
      <c r="J17" s="43">
        <v>8959</v>
      </c>
      <c r="K17" s="43">
        <v>7511</v>
      </c>
      <c r="L17" s="43">
        <v>10927</v>
      </c>
      <c r="M17" s="43">
        <v>37814</v>
      </c>
      <c r="N17" s="15">
        <v>23109</v>
      </c>
      <c r="O17" s="16">
        <f>N31*1000</f>
        <v>22438.502692236063</v>
      </c>
      <c r="P17" s="16">
        <f>O31*1000</f>
        <v>28195.74712461781</v>
      </c>
      <c r="Q17" s="16">
        <f>P31*1000</f>
        <v>30114.828602078396</v>
      </c>
      <c r="R17" s="16">
        <f>SUM(N17:Q17)</f>
        <v>103858.07841893227</v>
      </c>
      <c r="S17" s="16">
        <f>S31*1000</f>
        <v>140160.47484357446</v>
      </c>
      <c r="T17" s="16">
        <f t="shared" ref="T17:AA17" si="0">T31*1000</f>
        <v>163083.76653869168</v>
      </c>
      <c r="U17" s="16">
        <f t="shared" si="0"/>
        <v>189756.17011949481</v>
      </c>
      <c r="V17" s="16">
        <f t="shared" si="0"/>
        <v>220790.85406624991</v>
      </c>
      <c r="W17" s="16">
        <f t="shared" si="0"/>
        <v>187672.22595631244</v>
      </c>
      <c r="X17" s="16">
        <f t="shared" si="0"/>
        <v>159521.39206286555</v>
      </c>
      <c r="Y17" s="16">
        <f t="shared" si="0"/>
        <v>135593.18325343574</v>
      </c>
      <c r="Z17" s="16">
        <f t="shared" si="0"/>
        <v>115254.20576542037</v>
      </c>
      <c r="AA17" s="16">
        <f t="shared" si="0"/>
        <v>97966.074900607317</v>
      </c>
    </row>
    <row r="18" spans="1:28" x14ac:dyDescent="0.35">
      <c r="A18" s="15" t="s">
        <v>153</v>
      </c>
      <c r="B18" s="15"/>
      <c r="C18" s="15"/>
      <c r="D18" s="43">
        <v>30576</v>
      </c>
      <c r="E18" s="15"/>
      <c r="F18" s="15"/>
      <c r="G18" s="15"/>
      <c r="H18" s="43">
        <v>30576</v>
      </c>
      <c r="I18" s="15"/>
      <c r="J18" s="15"/>
      <c r="K18" s="15"/>
      <c r="L18" s="15">
        <v>65000</v>
      </c>
      <c r="M18" s="15">
        <v>65000</v>
      </c>
      <c r="N18" s="15">
        <v>15000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8" x14ac:dyDescent="0.35">
      <c r="A19" s="15" t="s">
        <v>159</v>
      </c>
      <c r="B19" s="15"/>
      <c r="C19" s="43">
        <v>160880</v>
      </c>
      <c r="D19" s="43">
        <f>SUM(D17,D18)</f>
        <v>48445</v>
      </c>
      <c r="E19" s="43">
        <f>SUM(E17,E18)</f>
        <v>13004</v>
      </c>
      <c r="F19" s="43">
        <f>SUM(F17,F18)</f>
        <v>13978</v>
      </c>
      <c r="G19" s="43">
        <v>12841</v>
      </c>
      <c r="H19" s="43">
        <v>88268</v>
      </c>
      <c r="I19" s="43">
        <f>I17+I18</f>
        <v>10417</v>
      </c>
      <c r="J19" s="43">
        <f>J17+J18</f>
        <v>8959</v>
      </c>
      <c r="K19" s="43">
        <f>K17+K18</f>
        <v>7511</v>
      </c>
      <c r="L19" s="15">
        <v>75927</v>
      </c>
      <c r="M19" s="43">
        <v>102814</v>
      </c>
      <c r="N19" s="43">
        <v>38109</v>
      </c>
      <c r="O19" s="16">
        <f>O17+O18</f>
        <v>22438.502692236063</v>
      </c>
      <c r="P19" s="16">
        <f t="shared" ref="P19:AA19" si="1">P17+P18</f>
        <v>28195.74712461781</v>
      </c>
      <c r="Q19" s="16">
        <f t="shared" si="1"/>
        <v>30114.828602078396</v>
      </c>
      <c r="R19" s="16">
        <f t="shared" si="1"/>
        <v>103858.07841893227</v>
      </c>
      <c r="S19" s="16">
        <f t="shared" si="1"/>
        <v>140160.47484357446</v>
      </c>
      <c r="T19" s="16">
        <f t="shared" si="1"/>
        <v>163083.76653869168</v>
      </c>
      <c r="U19" s="16">
        <f t="shared" si="1"/>
        <v>189756.17011949481</v>
      </c>
      <c r="V19" s="16">
        <f t="shared" si="1"/>
        <v>220790.85406624991</v>
      </c>
      <c r="W19" s="16">
        <f t="shared" si="1"/>
        <v>187672.22595631244</v>
      </c>
      <c r="X19" s="16">
        <f t="shared" si="1"/>
        <v>159521.39206286555</v>
      </c>
      <c r="Y19" s="16">
        <f t="shared" si="1"/>
        <v>135593.18325343574</v>
      </c>
      <c r="Z19" s="19">
        <f t="shared" si="1"/>
        <v>115254.20576542037</v>
      </c>
      <c r="AA19" s="19">
        <f t="shared" si="1"/>
        <v>97966.074900607317</v>
      </c>
    </row>
    <row r="20" spans="1:28" ht="15" thickBot="1" x14ac:dyDescent="0.4"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</row>
    <row r="21" spans="1:28" ht="15" thickBot="1" x14ac:dyDescent="0.4">
      <c r="A21" s="36"/>
      <c r="B21" s="37" t="s">
        <v>179</v>
      </c>
      <c r="C21" s="38">
        <v>2015</v>
      </c>
      <c r="D21" s="39" t="s">
        <v>12</v>
      </c>
      <c r="E21" s="39" t="s">
        <v>14</v>
      </c>
      <c r="F21" s="39" t="s">
        <v>15</v>
      </c>
      <c r="G21" s="39" t="s">
        <v>16</v>
      </c>
      <c r="H21" s="39">
        <v>2016</v>
      </c>
      <c r="I21" s="39" t="s">
        <v>17</v>
      </c>
      <c r="J21" s="39" t="s">
        <v>18</v>
      </c>
      <c r="K21" s="39" t="s">
        <v>19</v>
      </c>
      <c r="L21" s="39" t="s">
        <v>20</v>
      </c>
      <c r="M21" s="39">
        <v>2017</v>
      </c>
      <c r="N21" s="39" t="s">
        <v>177</v>
      </c>
      <c r="O21" s="39" t="s">
        <v>155</v>
      </c>
      <c r="P21" s="39" t="s">
        <v>156</v>
      </c>
      <c r="Q21" s="39" t="s">
        <v>157</v>
      </c>
      <c r="R21" s="39">
        <v>2018</v>
      </c>
      <c r="S21" s="39">
        <v>2019</v>
      </c>
      <c r="T21" s="39">
        <v>2020</v>
      </c>
      <c r="U21" s="39">
        <v>2021</v>
      </c>
      <c r="V21" s="39">
        <v>2022</v>
      </c>
      <c r="W21" s="39">
        <v>2023</v>
      </c>
      <c r="X21" s="39">
        <v>2024</v>
      </c>
      <c r="Y21" s="39">
        <v>2025</v>
      </c>
      <c r="Z21" s="39">
        <v>2026</v>
      </c>
      <c r="AA21" s="40">
        <v>2027</v>
      </c>
    </row>
    <row r="22" spans="1:28" x14ac:dyDescent="0.35">
      <c r="C22" s="5"/>
      <c r="D22" s="5"/>
      <c r="E22" s="5"/>
      <c r="F22" s="5"/>
      <c r="G22" s="5"/>
      <c r="H22" s="5"/>
      <c r="I22" s="5"/>
      <c r="J22" s="5"/>
      <c r="K22" s="5"/>
      <c r="M22" s="5"/>
      <c r="N22" s="5" t="s">
        <v>201</v>
      </c>
      <c r="O22" t="s">
        <v>202</v>
      </c>
      <c r="P22" t="s">
        <v>203</v>
      </c>
      <c r="Q22" t="s">
        <v>204</v>
      </c>
    </row>
    <row r="23" spans="1:28" x14ac:dyDescent="0.35">
      <c r="A23" s="33" t="s">
        <v>176</v>
      </c>
      <c r="B23" s="34">
        <f>15/100</f>
        <v>0.15</v>
      </c>
    </row>
    <row r="24" spans="1:28" x14ac:dyDescent="0.35">
      <c r="A24" s="33" t="s">
        <v>175</v>
      </c>
      <c r="B24" s="34">
        <f>(V26/H26)^(1/6)-1</f>
        <v>0.16355032844102912</v>
      </c>
    </row>
    <row r="25" spans="1:28" x14ac:dyDescent="0.35">
      <c r="A25" s="1" t="s">
        <v>173</v>
      </c>
    </row>
    <row r="26" spans="1:28" x14ac:dyDescent="0.35">
      <c r="A26" s="15" t="s">
        <v>168</v>
      </c>
      <c r="B26" s="15" t="s">
        <v>169</v>
      </c>
      <c r="C26" s="15"/>
      <c r="D26" s="15"/>
      <c r="E26" s="15"/>
      <c r="F26" s="15"/>
      <c r="G26" s="15"/>
      <c r="H26" s="15">
        <v>13.5</v>
      </c>
      <c r="I26" s="15">
        <v>3.92</v>
      </c>
      <c r="J26" s="15">
        <v>3.92</v>
      </c>
      <c r="K26" s="15">
        <v>3.92</v>
      </c>
      <c r="L26" s="15">
        <v>3.92</v>
      </c>
      <c r="M26" s="18">
        <f>H26+(H26*$B$24)</f>
        <v>15.707929433953893</v>
      </c>
      <c r="N26" s="18">
        <f>$R$26/4</f>
        <v>4.56924161300139</v>
      </c>
      <c r="O26" s="18">
        <f>$R$26/4</f>
        <v>4.56924161300139</v>
      </c>
      <c r="P26" s="18">
        <f>$R$26/4</f>
        <v>4.56924161300139</v>
      </c>
      <c r="Q26" s="18">
        <f>$R$26/4</f>
        <v>4.56924161300139</v>
      </c>
      <c r="R26" s="18">
        <f>M26+(M26*$B$24)</f>
        <v>18.27696645200556</v>
      </c>
      <c r="S26" s="18">
        <f>R26+(R26*$B$24)</f>
        <v>21.266170318136741</v>
      </c>
      <c r="T26" s="18">
        <f>S26+(S26*$B$24)</f>
        <v>24.744259458350868</v>
      </c>
      <c r="U26" s="18">
        <f>T26+(T26*$B$24)</f>
        <v>28.791191219794193</v>
      </c>
      <c r="V26" s="18">
        <v>33.5</v>
      </c>
      <c r="W26" s="18">
        <f>V26-V26*$B$23</f>
        <v>28.475000000000001</v>
      </c>
      <c r="X26" s="18">
        <f>W26-W26*$B$23</f>
        <v>24.203749999999999</v>
      </c>
      <c r="Y26" s="18">
        <f>X26-X26*$B$23</f>
        <v>20.5731875</v>
      </c>
      <c r="Z26" s="18">
        <f>Y26-Y26*$B$23</f>
        <v>17.487209374999999</v>
      </c>
      <c r="AA26" s="18">
        <f>Z26-Z26*$B$23</f>
        <v>14.864127968749999</v>
      </c>
    </row>
    <row r="27" spans="1:28" x14ac:dyDescent="0.35">
      <c r="A27" s="12" t="s">
        <v>170</v>
      </c>
      <c r="B27" s="41"/>
      <c r="C27" s="13"/>
      <c r="D27" s="13"/>
      <c r="E27" s="13"/>
      <c r="F27" s="13"/>
      <c r="G27" s="13"/>
      <c r="H27" s="13">
        <f>H28/H26</f>
        <v>0.11274074074074074</v>
      </c>
      <c r="I27" s="13"/>
      <c r="J27" s="13"/>
      <c r="K27" s="13"/>
      <c r="L27" s="13"/>
      <c r="M27" s="13">
        <f>M28/M26</f>
        <v>8.110553369600397E-2</v>
      </c>
      <c r="N27" s="13">
        <f>((H27+M27)/2)+0.02</f>
        <v>0.11692313721837236</v>
      </c>
      <c r="O27" s="13">
        <f>N27+0.03</f>
        <v>0.14692313721837236</v>
      </c>
      <c r="P27" s="13">
        <f>O27+0.01</f>
        <v>0.15692313721837237</v>
      </c>
      <c r="Q27" s="13">
        <f>P27</f>
        <v>0.15692313721837237</v>
      </c>
      <c r="R27" s="13">
        <f>Q27</f>
        <v>0.15692313721837237</v>
      </c>
      <c r="S27" s="13">
        <f t="shared" ref="S27:AA27" si="2">R27</f>
        <v>0.15692313721837237</v>
      </c>
      <c r="T27" s="13">
        <f t="shared" si="2"/>
        <v>0.15692313721837237</v>
      </c>
      <c r="U27" s="13">
        <f t="shared" si="2"/>
        <v>0.15692313721837237</v>
      </c>
      <c r="V27" s="13">
        <f t="shared" si="2"/>
        <v>0.15692313721837237</v>
      </c>
      <c r="W27" s="13">
        <f t="shared" si="2"/>
        <v>0.15692313721837237</v>
      </c>
      <c r="X27" s="13">
        <f t="shared" si="2"/>
        <v>0.15692313721837237</v>
      </c>
      <c r="Y27" s="13">
        <f t="shared" si="2"/>
        <v>0.15692313721837237</v>
      </c>
      <c r="Z27" s="13">
        <f t="shared" si="2"/>
        <v>0.15692313721837237</v>
      </c>
      <c r="AA27" s="13">
        <f t="shared" si="2"/>
        <v>0.15692313721837237</v>
      </c>
    </row>
    <row r="28" spans="1:28" x14ac:dyDescent="0.35">
      <c r="A28" s="15" t="s">
        <v>174</v>
      </c>
      <c r="B28" s="15"/>
      <c r="C28" s="42">
        <v>1.639</v>
      </c>
      <c r="D28" s="42"/>
      <c r="E28" s="42"/>
      <c r="F28" s="42"/>
      <c r="G28" s="42"/>
      <c r="H28" s="42">
        <v>1.522</v>
      </c>
      <c r="I28" s="42"/>
      <c r="J28" s="42"/>
      <c r="K28" s="42"/>
      <c r="L28" s="42"/>
      <c r="M28" s="42">
        <v>1.274</v>
      </c>
      <c r="N28" s="42">
        <f>N26*$N$27</f>
        <v>0.53425006410085862</v>
      </c>
      <c r="O28" s="42">
        <f>O26*O27</f>
        <v>0.67132731249090027</v>
      </c>
      <c r="P28" s="42">
        <f t="shared" ref="P28:AA28" si="3">P26*P27</f>
        <v>0.71701972862091423</v>
      </c>
      <c r="Q28" s="42">
        <f t="shared" si="3"/>
        <v>0.71701972862091423</v>
      </c>
      <c r="R28" s="42">
        <f t="shared" si="3"/>
        <v>2.8680789144836569</v>
      </c>
      <c r="S28" s="42">
        <f t="shared" si="3"/>
        <v>3.3371541629422494</v>
      </c>
      <c r="T28" s="42">
        <f t="shared" si="3"/>
        <v>3.8829468223498016</v>
      </c>
      <c r="U28" s="42">
        <f t="shared" si="3"/>
        <v>4.5180040504641621</v>
      </c>
      <c r="V28" s="42">
        <f t="shared" si="3"/>
        <v>5.2569250968154746</v>
      </c>
      <c r="W28" s="42">
        <f t="shared" si="3"/>
        <v>4.4683863322931536</v>
      </c>
      <c r="X28" s="42">
        <f t="shared" si="3"/>
        <v>3.7981283824491801</v>
      </c>
      <c r="Y28" s="42">
        <f t="shared" si="3"/>
        <v>3.2284091250818032</v>
      </c>
      <c r="Z28" s="42">
        <f t="shared" si="3"/>
        <v>2.7441477563195327</v>
      </c>
      <c r="AA28" s="42">
        <f t="shared" si="3"/>
        <v>2.3325255928716024</v>
      </c>
      <c r="AB28" s="15"/>
    </row>
    <row r="29" spans="1:28" x14ac:dyDescent="0.35">
      <c r="A29" s="15" t="s">
        <v>171</v>
      </c>
      <c r="B29" s="23">
        <f>((30+50)/2)/100</f>
        <v>0.4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>
        <f>N28*$B$29</f>
        <v>0.21370002564034346</v>
      </c>
      <c r="O29" s="15">
        <f t="shared" ref="O29:AA29" si="4">O28*$B$29</f>
        <v>0.26853092499636011</v>
      </c>
      <c r="P29" s="15">
        <f t="shared" si="4"/>
        <v>0.28680789144836571</v>
      </c>
      <c r="Q29" s="15">
        <f t="shared" si="4"/>
        <v>0.28680789144836571</v>
      </c>
      <c r="R29" s="15">
        <f t="shared" si="4"/>
        <v>1.1472315657934629</v>
      </c>
      <c r="S29" s="15">
        <f t="shared" si="4"/>
        <v>1.3348616651768999</v>
      </c>
      <c r="T29" s="15">
        <f t="shared" si="4"/>
        <v>1.5531787289399208</v>
      </c>
      <c r="U29" s="15">
        <f t="shared" si="4"/>
        <v>1.8072016201856649</v>
      </c>
      <c r="V29" s="15">
        <f t="shared" si="4"/>
        <v>2.1027700387261898</v>
      </c>
      <c r="W29" s="15">
        <f t="shared" si="4"/>
        <v>1.7873545329172615</v>
      </c>
      <c r="X29" s="15">
        <f t="shared" si="4"/>
        <v>1.5192513529796721</v>
      </c>
      <c r="Y29" s="15">
        <f t="shared" si="4"/>
        <v>1.2913636500327215</v>
      </c>
      <c r="Z29" s="15">
        <f t="shared" si="4"/>
        <v>1.0976591025278131</v>
      </c>
      <c r="AA29" s="15">
        <f t="shared" si="4"/>
        <v>0.93301023714864106</v>
      </c>
    </row>
    <row r="30" spans="1:28" x14ac:dyDescent="0.35">
      <c r="A30" s="12" t="s">
        <v>188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>
        <v>0.105</v>
      </c>
      <c r="O30" s="13">
        <v>0.105</v>
      </c>
      <c r="P30" s="13">
        <v>0.105</v>
      </c>
      <c r="Q30" s="13">
        <v>0.105</v>
      </c>
      <c r="R30" s="13">
        <v>0.105</v>
      </c>
      <c r="S30" s="13">
        <v>0.105</v>
      </c>
      <c r="T30" s="13">
        <v>0.105</v>
      </c>
      <c r="U30" s="13">
        <v>0.105</v>
      </c>
      <c r="V30" s="13">
        <v>0.105</v>
      </c>
      <c r="W30" s="13">
        <v>0.105</v>
      </c>
      <c r="X30" s="13">
        <v>0.105</v>
      </c>
      <c r="Y30" s="13">
        <v>0.105</v>
      </c>
      <c r="Z30" s="13">
        <v>0.105</v>
      </c>
      <c r="AA30" s="13">
        <v>0.105</v>
      </c>
    </row>
    <row r="31" spans="1:28" x14ac:dyDescent="0.35">
      <c r="A31" s="15" t="s">
        <v>172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8">
        <f>(N29*N30)*1000</f>
        <v>22.438502692236064</v>
      </c>
      <c r="O31" s="18">
        <f>(O29*O30)*1000</f>
        <v>28.19574712461781</v>
      </c>
      <c r="P31" s="18">
        <f t="shared" ref="P31:AA31" si="5">(P29*P30)*1000</f>
        <v>30.114828602078397</v>
      </c>
      <c r="Q31" s="18">
        <f t="shared" si="5"/>
        <v>30.114828602078397</v>
      </c>
      <c r="R31" s="18">
        <f>SUM(N31:Q31)</f>
        <v>110.86390702101068</v>
      </c>
      <c r="S31" s="18">
        <f t="shared" si="5"/>
        <v>140.16047484357446</v>
      </c>
      <c r="T31" s="18">
        <f t="shared" si="5"/>
        <v>163.08376653869169</v>
      </c>
      <c r="U31" s="18">
        <f t="shared" si="5"/>
        <v>189.75617011949481</v>
      </c>
      <c r="V31" s="18">
        <f t="shared" si="5"/>
        <v>220.79085406624992</v>
      </c>
      <c r="W31" s="18">
        <f t="shared" si="5"/>
        <v>187.67222595631245</v>
      </c>
      <c r="X31" s="18">
        <f t="shared" si="5"/>
        <v>159.52139206286554</v>
      </c>
      <c r="Y31" s="18">
        <f t="shared" si="5"/>
        <v>135.59318325343574</v>
      </c>
      <c r="Z31" s="18">
        <f t="shared" si="5"/>
        <v>115.25420576542037</v>
      </c>
      <c r="AA31" s="18">
        <f t="shared" si="5"/>
        <v>97.96607490060731</v>
      </c>
      <c r="AB31" s="15"/>
    </row>
    <row r="32" spans="1:28" x14ac:dyDescent="0.35">
      <c r="N32" s="8">
        <v>0.12</v>
      </c>
    </row>
    <row r="33" spans="1:28" hidden="1" outlineLevel="1" x14ac:dyDescent="0.35">
      <c r="A33" t="s">
        <v>180</v>
      </c>
      <c r="H33">
        <v>7.4</v>
      </c>
      <c r="M33">
        <f>H33+(H33*$S$34)</f>
        <v>7.4636191269663481</v>
      </c>
      <c r="R33">
        <f>M33+(M33*$S$34)</f>
        <v>7.5277851989753932</v>
      </c>
      <c r="S33">
        <f>R33+(R33*$S$34)</f>
        <v>7.5925029182117463</v>
      </c>
      <c r="T33">
        <f t="shared" ref="T33:AA33" si="6">S33+(S33*$S$34)</f>
        <v>7.6577770272855412</v>
      </c>
      <c r="U33">
        <f t="shared" si="6"/>
        <v>7.7236123095799822</v>
      </c>
      <c r="V33">
        <f t="shared" si="6"/>
        <v>7.7900135896018767</v>
      </c>
      <c r="W33">
        <f t="shared" si="6"/>
        <v>7.8569857333351818</v>
      </c>
      <c r="X33">
        <f t="shared" si="6"/>
        <v>7.9245336485975919</v>
      </c>
      <c r="Y33">
        <f t="shared" si="6"/>
        <v>7.9926622854001899</v>
      </c>
      <c r="Z33">
        <f t="shared" si="6"/>
        <v>8.0613766363101913</v>
      </c>
      <c r="AA33">
        <f t="shared" si="6"/>
        <v>8.1306817368168094</v>
      </c>
      <c r="AB33">
        <v>9.9</v>
      </c>
    </row>
    <row r="34" spans="1:28" hidden="1" outlineLevel="1" x14ac:dyDescent="0.35">
      <c r="A34" t="s">
        <v>181</v>
      </c>
      <c r="C34" s="8"/>
      <c r="D34" s="8"/>
      <c r="E34" s="8"/>
      <c r="F34" s="8"/>
      <c r="G34" s="8"/>
      <c r="J34" t="s">
        <v>89</v>
      </c>
      <c r="M34" t="s">
        <v>89</v>
      </c>
      <c r="S34" s="7">
        <f>((AB33/H33)^(1/34)-1)</f>
        <v>8.597179319776771E-3</v>
      </c>
    </row>
    <row r="35" spans="1:28" hidden="1" outlineLevel="1" x14ac:dyDescent="0.35">
      <c r="A35" t="s">
        <v>182</v>
      </c>
      <c r="C35" s="8"/>
      <c r="D35" s="8"/>
      <c r="E35" s="8"/>
      <c r="F35" s="8"/>
      <c r="G35" s="8"/>
      <c r="M35" s="8">
        <f>1/100</f>
        <v>0.01</v>
      </c>
      <c r="R35" s="8">
        <f t="shared" ref="R35:AA35" si="7">1/100</f>
        <v>0.01</v>
      </c>
      <c r="S35" s="8">
        <f t="shared" si="7"/>
        <v>0.01</v>
      </c>
      <c r="T35" s="8">
        <f t="shared" si="7"/>
        <v>0.01</v>
      </c>
      <c r="U35" s="8">
        <f t="shared" si="7"/>
        <v>0.01</v>
      </c>
      <c r="V35" s="8">
        <f t="shared" si="7"/>
        <v>0.01</v>
      </c>
      <c r="W35" s="8">
        <f t="shared" si="7"/>
        <v>0.01</v>
      </c>
      <c r="X35" s="8">
        <f t="shared" si="7"/>
        <v>0.01</v>
      </c>
      <c r="Y35" s="8">
        <f t="shared" si="7"/>
        <v>0.01</v>
      </c>
      <c r="Z35" s="8">
        <f t="shared" si="7"/>
        <v>0.01</v>
      </c>
      <c r="AA35" s="8">
        <f t="shared" si="7"/>
        <v>0.01</v>
      </c>
    </row>
    <row r="36" spans="1:28" hidden="1" outlineLevel="1" x14ac:dyDescent="0.35">
      <c r="A36" t="s">
        <v>183</v>
      </c>
      <c r="C36" s="8"/>
      <c r="D36" s="8"/>
      <c r="E36" s="8"/>
      <c r="F36" s="8"/>
      <c r="G36" s="8"/>
      <c r="M36">
        <f>M35*M33</f>
        <v>7.4636191269663477E-2</v>
      </c>
      <c r="R36">
        <f t="shared" ref="R36:AA36" si="8">R35*R33</f>
        <v>7.5277851989753938E-2</v>
      </c>
      <c r="S36">
        <f t="shared" si="8"/>
        <v>7.5925029182117465E-2</v>
      </c>
      <c r="T36">
        <f t="shared" si="8"/>
        <v>7.6577770272855408E-2</v>
      </c>
      <c r="U36">
        <f t="shared" si="8"/>
        <v>7.723612309579983E-2</v>
      </c>
      <c r="V36">
        <f t="shared" si="8"/>
        <v>7.7900135896018768E-2</v>
      </c>
      <c r="W36">
        <f t="shared" si="8"/>
        <v>7.8569857333351825E-2</v>
      </c>
      <c r="X36">
        <f t="shared" si="8"/>
        <v>7.9245336485975926E-2</v>
      </c>
      <c r="Y36">
        <f t="shared" si="8"/>
        <v>7.99266228540019E-2</v>
      </c>
      <c r="Z36">
        <f t="shared" si="8"/>
        <v>8.0613766363101913E-2</v>
      </c>
      <c r="AA36">
        <f t="shared" si="8"/>
        <v>8.1306817368168097E-2</v>
      </c>
    </row>
    <row r="37" spans="1:28" hidden="1" outlineLevel="1" x14ac:dyDescent="0.35">
      <c r="A37" t="s">
        <v>184</v>
      </c>
      <c r="C37" s="8"/>
      <c r="D37" s="8"/>
      <c r="E37" s="8"/>
      <c r="F37" s="8"/>
      <c r="G37" s="8"/>
      <c r="M37">
        <f>M36*1000</f>
        <v>74.63619126966347</v>
      </c>
      <c r="R37">
        <f t="shared" ref="R37:AA37" si="9">R36*1000</f>
        <v>75.277851989753941</v>
      </c>
      <c r="S37">
        <f t="shared" si="9"/>
        <v>75.92502918211747</v>
      </c>
      <c r="T37">
        <f t="shared" si="9"/>
        <v>76.577770272855403</v>
      </c>
      <c r="U37">
        <f t="shared" si="9"/>
        <v>77.236123095799826</v>
      </c>
      <c r="V37">
        <f t="shared" si="9"/>
        <v>77.900135896018767</v>
      </c>
      <c r="W37">
        <f t="shared" si="9"/>
        <v>78.56985733335182</v>
      </c>
      <c r="X37">
        <f t="shared" si="9"/>
        <v>79.245336485975926</v>
      </c>
      <c r="Y37">
        <f t="shared" si="9"/>
        <v>79.926622854001906</v>
      </c>
      <c r="Z37">
        <f t="shared" si="9"/>
        <v>80.613766363101917</v>
      </c>
      <c r="AA37">
        <f t="shared" si="9"/>
        <v>81.306817368168097</v>
      </c>
    </row>
    <row r="38" spans="1:28" hidden="1" outlineLevel="1" x14ac:dyDescent="0.35">
      <c r="A38" t="s">
        <v>105</v>
      </c>
      <c r="C38" s="8"/>
      <c r="D38" s="8"/>
      <c r="E38" s="8"/>
      <c r="F38" s="8"/>
      <c r="G38" s="8"/>
      <c r="M38" s="8">
        <v>1.2999999999999999E-2</v>
      </c>
      <c r="R38" s="8">
        <v>1.2999999999999999E-2</v>
      </c>
      <c r="S38" s="8">
        <v>1.2999999999999999E-2</v>
      </c>
      <c r="T38" s="8">
        <v>1.2999999999999999E-2</v>
      </c>
      <c r="U38" s="8">
        <v>1.2999999999999999E-2</v>
      </c>
      <c r="V38" s="8">
        <v>1.2999999999999999E-2</v>
      </c>
      <c r="W38" s="8">
        <v>1.2999999999999999E-2</v>
      </c>
      <c r="X38" s="8">
        <v>1.2999999999999999E-2</v>
      </c>
      <c r="Y38" s="8">
        <v>1.2999999999999999E-2</v>
      </c>
      <c r="Z38" s="8">
        <v>1.2999999999999999E-2</v>
      </c>
      <c r="AA38" s="8">
        <v>1.2999999999999999E-2</v>
      </c>
    </row>
    <row r="39" spans="1:28" hidden="1" outlineLevel="1" x14ac:dyDescent="0.35">
      <c r="A39" t="s">
        <v>185</v>
      </c>
      <c r="C39" s="8"/>
      <c r="D39" s="8"/>
      <c r="E39" s="8"/>
      <c r="F39" s="8"/>
      <c r="G39" s="8"/>
      <c r="M39">
        <f>M37*M38</f>
        <v>0.97027048650562508</v>
      </c>
      <c r="R39">
        <f t="shared" ref="R39:AA39" si="10">R37*R38</f>
        <v>0.97861207586680121</v>
      </c>
      <c r="S39">
        <f t="shared" si="10"/>
        <v>0.9870253793675271</v>
      </c>
      <c r="T39">
        <f t="shared" si="10"/>
        <v>0.99551101354712024</v>
      </c>
      <c r="U39">
        <f t="shared" si="10"/>
        <v>1.0040696002453977</v>
      </c>
      <c r="V39">
        <f t="shared" si="10"/>
        <v>1.0127017666482439</v>
      </c>
      <c r="W39">
        <f t="shared" si="10"/>
        <v>1.0214081453335737</v>
      </c>
      <c r="X39">
        <f t="shared" si="10"/>
        <v>1.0301893743176871</v>
      </c>
      <c r="Y39">
        <f t="shared" si="10"/>
        <v>1.0390460971020248</v>
      </c>
      <c r="Z39">
        <f t="shared" si="10"/>
        <v>1.0479789627203249</v>
      </c>
      <c r="AA39">
        <f t="shared" si="10"/>
        <v>1.0569886257861851</v>
      </c>
    </row>
    <row r="40" spans="1:28" hidden="1" outlineLevel="1" x14ac:dyDescent="0.35">
      <c r="A40" t="s">
        <v>186</v>
      </c>
      <c r="C40" s="8"/>
      <c r="D40" s="8"/>
      <c r="E40" s="8"/>
      <c r="F40" s="8"/>
      <c r="G40" s="8"/>
      <c r="M40">
        <v>26400</v>
      </c>
      <c r="R40">
        <v>26400</v>
      </c>
      <c r="S40">
        <v>26400</v>
      </c>
      <c r="T40">
        <v>26400</v>
      </c>
      <c r="U40">
        <v>26400</v>
      </c>
      <c r="V40">
        <v>26400</v>
      </c>
      <c r="W40">
        <v>26400</v>
      </c>
      <c r="X40">
        <v>26400</v>
      </c>
      <c r="Y40">
        <v>26400</v>
      </c>
      <c r="Z40">
        <v>26400</v>
      </c>
      <c r="AA40">
        <v>26400</v>
      </c>
    </row>
    <row r="41" spans="1:28" hidden="1" outlineLevel="1" x14ac:dyDescent="0.35">
      <c r="A41" t="s">
        <v>187</v>
      </c>
      <c r="C41" s="8"/>
      <c r="D41" s="8"/>
      <c r="E41" s="8"/>
      <c r="F41" s="8"/>
      <c r="G41" s="8"/>
      <c r="M41">
        <f>M39*M40/1000</f>
        <v>25.615140843748499</v>
      </c>
      <c r="R41">
        <f t="shared" ref="R41:AA41" si="11">R39*R40/1000</f>
        <v>25.835358802883551</v>
      </c>
      <c r="S41">
        <f t="shared" si="11"/>
        <v>26.057470015302716</v>
      </c>
      <c r="T41">
        <f t="shared" si="11"/>
        <v>26.281490757643972</v>
      </c>
      <c r="U41">
        <f t="shared" si="11"/>
        <v>26.507437446478498</v>
      </c>
      <c r="V41">
        <f t="shared" si="11"/>
        <v>26.735326639513637</v>
      </c>
      <c r="W41">
        <f t="shared" si="11"/>
        <v>26.965175036806347</v>
      </c>
      <c r="X41">
        <f t="shared" si="11"/>
        <v>27.196999481986939</v>
      </c>
      <c r="Y41">
        <f t="shared" si="11"/>
        <v>27.430816963493452</v>
      </c>
      <c r="Z41">
        <f t="shared" si="11"/>
        <v>27.66664461581658</v>
      </c>
      <c r="AA41">
        <f t="shared" si="11"/>
        <v>27.90449972075529</v>
      </c>
    </row>
    <row r="42" spans="1:28" collapsed="1" x14ac:dyDescent="0.35">
      <c r="C42" s="8"/>
      <c r="D42" s="8"/>
      <c r="E42" s="8"/>
      <c r="F42" s="8"/>
      <c r="G42" s="8"/>
    </row>
    <row r="43" spans="1:28" x14ac:dyDescent="0.35">
      <c r="C43" s="8"/>
      <c r="D43" s="8"/>
      <c r="E43" s="8"/>
      <c r="F43" s="8"/>
      <c r="G43" s="8"/>
      <c r="M43" s="35"/>
    </row>
    <row r="44" spans="1:28" x14ac:dyDescent="0.35">
      <c r="C44" s="8"/>
      <c r="D44" s="8"/>
      <c r="E44" s="8"/>
      <c r="F44" s="8"/>
      <c r="G44" s="8"/>
    </row>
    <row r="45" spans="1:28" x14ac:dyDescent="0.35">
      <c r="C45" s="8"/>
      <c r="D45" s="8"/>
      <c r="E45" s="8"/>
      <c r="F45" s="8"/>
      <c r="G45" s="8"/>
    </row>
    <row r="46" spans="1:28" x14ac:dyDescent="0.35">
      <c r="C46" s="8"/>
      <c r="D46" s="8"/>
      <c r="E46" s="8"/>
      <c r="F46" s="8"/>
      <c r="G46" s="8"/>
    </row>
    <row r="47" spans="1:28" x14ac:dyDescent="0.35">
      <c r="C47" s="8"/>
      <c r="D47" s="8"/>
      <c r="E47" s="8"/>
      <c r="F47" s="8"/>
      <c r="G47" s="8"/>
    </row>
    <row r="48" spans="1:28" x14ac:dyDescent="0.35">
      <c r="C48" s="7"/>
      <c r="D48" s="7"/>
      <c r="E48" s="7"/>
      <c r="F48" s="7"/>
      <c r="G48" s="7"/>
      <c r="T48" s="30"/>
    </row>
    <row r="49" spans="1:20" x14ac:dyDescent="0.35">
      <c r="A49" t="s">
        <v>164</v>
      </c>
      <c r="T49" s="30"/>
    </row>
    <row r="50" spans="1:20" x14ac:dyDescent="0.35">
      <c r="A50" t="s">
        <v>165</v>
      </c>
      <c r="T50" s="30"/>
    </row>
    <row r="52" spans="1:20" x14ac:dyDescent="0.35">
      <c r="A52" t="s">
        <v>166</v>
      </c>
    </row>
    <row r="53" spans="1:20" x14ac:dyDescent="0.35">
      <c r="A53" t="s">
        <v>167</v>
      </c>
    </row>
    <row r="54" spans="1:20" x14ac:dyDescent="0.35">
      <c r="A54" t="s">
        <v>138</v>
      </c>
      <c r="Q54" s="8"/>
    </row>
    <row r="55" spans="1:20" x14ac:dyDescent="0.35">
      <c r="Q55" s="8"/>
    </row>
    <row r="56" spans="1:20" x14ac:dyDescent="0.35">
      <c r="A56" t="s">
        <v>139</v>
      </c>
      <c r="P56" s="2"/>
      <c r="Q56" s="8"/>
    </row>
    <row r="57" spans="1:20" x14ac:dyDescent="0.35">
      <c r="A57" t="s">
        <v>141</v>
      </c>
      <c r="Q57" s="8"/>
    </row>
    <row r="58" spans="1:20" x14ac:dyDescent="0.35">
      <c r="A58" t="s">
        <v>140</v>
      </c>
      <c r="Q58" s="8"/>
    </row>
    <row r="61" spans="1:20" x14ac:dyDescent="0.35">
      <c r="Q61" s="8"/>
      <c r="R61" s="8"/>
    </row>
    <row r="62" spans="1:20" x14ac:dyDescent="0.35">
      <c r="Q62" s="8"/>
      <c r="R6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</vt:lpstr>
      <vt:lpstr>BS</vt:lpstr>
      <vt:lpstr>CF</vt:lpstr>
      <vt:lpstr>NASH</vt:lpstr>
      <vt:lpstr>PBC</vt:lpstr>
      <vt:lpstr>HCV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yadav</dc:creator>
  <cp:lastModifiedBy>Tina Bhadekar</cp:lastModifiedBy>
  <dcterms:created xsi:type="dcterms:W3CDTF">2018-01-27T06:55:53Z</dcterms:created>
  <dcterms:modified xsi:type="dcterms:W3CDTF">2020-12-09T02:58:29Z</dcterms:modified>
</cp:coreProperties>
</file>