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173ebab5d1ef4d/Desktop/"/>
    </mc:Choice>
  </mc:AlternateContent>
  <xr:revisionPtr revIDLastSave="0" documentId="8_{FEC3667E-79FC-4751-AFD1-D1146363943B}" xr6:coauthVersionLast="46" xr6:coauthVersionMax="46" xr10:uidLastSave="{00000000-0000-0000-0000-000000000000}"/>
  <bookViews>
    <workbookView xWindow="-110" yWindow="-110" windowWidth="19420" windowHeight="10420" activeTab="1" xr2:uid="{F24CE948-B4AD-4A91-8AFF-5BDFBA727F67}"/>
  </bookViews>
  <sheets>
    <sheet name="Valuation" sheetId="1" r:id="rId1"/>
    <sheet name="DCF" sheetId="2" r:id="rId2"/>
  </sheets>
  <externalReferences>
    <externalReference r:id="rId3"/>
    <externalReference r:id="rId4"/>
    <externalReference r:id="rId5"/>
  </externalReferences>
  <definedNames>
    <definedName name="tax">[2]Assumptions!$F$37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2" l="1"/>
  <c r="D48" i="2"/>
  <c r="C48" i="2"/>
  <c r="B48" i="2"/>
  <c r="E46" i="2"/>
  <c r="D46" i="2"/>
  <c r="C46" i="2"/>
  <c r="B46" i="2"/>
  <c r="B3" i="2"/>
  <c r="E3" i="2"/>
  <c r="B4" i="2"/>
  <c r="B9" i="2"/>
  <c r="C9" i="2"/>
  <c r="D9" i="2"/>
  <c r="D21" i="2"/>
  <c r="D22" i="2"/>
  <c r="E9" i="2"/>
  <c r="E20" i="2"/>
  <c r="E21" i="2"/>
  <c r="E22" i="2"/>
  <c r="F14" i="2"/>
  <c r="F15" i="2"/>
  <c r="F16" i="2"/>
  <c r="F17" i="2"/>
  <c r="F18" i="2"/>
  <c r="F19" i="2"/>
  <c r="F9" i="2"/>
  <c r="F20" i="2"/>
  <c r="F21" i="2"/>
  <c r="F22" i="2"/>
  <c r="G14" i="2"/>
  <c r="G15" i="2"/>
  <c r="G16" i="2"/>
  <c r="G17" i="2"/>
  <c r="G18" i="2"/>
  <c r="G19" i="2"/>
  <c r="G9" i="2"/>
  <c r="G20" i="2"/>
  <c r="G21" i="2"/>
  <c r="G22" i="2"/>
  <c r="H14" i="2"/>
  <c r="H15" i="2"/>
  <c r="H16" i="2"/>
  <c r="H17" i="2"/>
  <c r="H18" i="2"/>
  <c r="H19" i="2"/>
  <c r="H9" i="2"/>
  <c r="H20" i="2"/>
  <c r="H21" i="2"/>
  <c r="H22" i="2"/>
  <c r="I14" i="2"/>
  <c r="I15" i="2"/>
  <c r="I16" i="2"/>
  <c r="I17" i="2"/>
  <c r="I18" i="2"/>
  <c r="I19" i="2"/>
  <c r="I9" i="2"/>
  <c r="I20" i="2"/>
  <c r="I21" i="2"/>
  <c r="I22" i="2"/>
  <c r="J14" i="2"/>
  <c r="J15" i="2"/>
  <c r="J16" i="2"/>
  <c r="J17" i="2"/>
  <c r="J18" i="2"/>
  <c r="J19" i="2"/>
  <c r="J9" i="2"/>
  <c r="J20" i="2"/>
  <c r="J21" i="2"/>
  <c r="J22" i="2"/>
  <c r="K14" i="2"/>
  <c r="K15" i="2"/>
  <c r="K16" i="2"/>
  <c r="K17" i="2"/>
  <c r="K18" i="2"/>
  <c r="K19" i="2"/>
  <c r="K9" i="2"/>
  <c r="K20" i="2"/>
  <c r="K21" i="2"/>
  <c r="K22" i="2"/>
  <c r="L14" i="2"/>
  <c r="L15" i="2"/>
  <c r="L16" i="2"/>
  <c r="L17" i="2"/>
  <c r="L18" i="2"/>
  <c r="L19" i="2"/>
  <c r="L9" i="2"/>
  <c r="L20" i="2"/>
  <c r="L21" i="2"/>
  <c r="L22" i="2"/>
  <c r="M14" i="2"/>
  <c r="M15" i="2"/>
  <c r="M16" i="2"/>
  <c r="M17" i="2"/>
  <c r="M18" i="2"/>
  <c r="M19" i="2"/>
  <c r="M9" i="2"/>
  <c r="M20" i="2"/>
  <c r="M21" i="2"/>
  <c r="M22" i="2"/>
  <c r="B24" i="2"/>
  <c r="B25" i="2"/>
  <c r="B26" i="2"/>
  <c r="B27" i="2"/>
  <c r="B29" i="2"/>
  <c r="B31" i="2"/>
  <c r="B34" i="2"/>
  <c r="B35" i="2"/>
  <c r="D31" i="2"/>
  <c r="C30" i="2"/>
  <c r="E27" i="2"/>
  <c r="E18" i="2"/>
  <c r="D18" i="2"/>
  <c r="E17" i="2"/>
  <c r="E16" i="2"/>
  <c r="D16" i="2"/>
  <c r="E15" i="2"/>
  <c r="D15" i="2"/>
  <c r="E14" i="2"/>
  <c r="D14" i="2"/>
  <c r="M13" i="2"/>
  <c r="L13" i="2"/>
  <c r="K13" i="2"/>
  <c r="J13" i="2"/>
  <c r="I13" i="2"/>
  <c r="H13" i="2"/>
  <c r="G13" i="2"/>
  <c r="F13" i="2"/>
  <c r="E13" i="2"/>
  <c r="D13" i="2"/>
  <c r="Q10" i="2"/>
  <c r="Q11" i="2"/>
  <c r="Q12" i="2"/>
  <c r="P10" i="2"/>
  <c r="P11" i="2"/>
  <c r="P12" i="2"/>
  <c r="I38" i="1"/>
  <c r="I40" i="1"/>
  <c r="I32" i="1"/>
  <c r="I42" i="1"/>
  <c r="I25" i="1"/>
  <c r="I17" i="1"/>
  <c r="I26" i="1"/>
  <c r="I27" i="1"/>
  <c r="I19" i="1"/>
  <c r="I28" i="1"/>
  <c r="I29" i="1"/>
  <c r="G7" i="1"/>
  <c r="G9" i="1"/>
  <c r="G13" i="1"/>
  <c r="G18" i="1"/>
  <c r="H7" i="1"/>
  <c r="H9" i="1"/>
  <c r="G12" i="1"/>
  <c r="H16" i="1"/>
  <c r="H18" i="1"/>
  <c r="I18" i="1"/>
  <c r="I34" i="1"/>
  <c r="J28" i="1"/>
  <c r="L25" i="1"/>
  <c r="L27" i="1"/>
  <c r="I20" i="1"/>
  <c r="J19" i="1"/>
  <c r="J7" i="1"/>
  <c r="I7" i="1"/>
  <c r="B7" i="1"/>
</calcChain>
</file>

<file path=xl/sharedStrings.xml><?xml version="1.0" encoding="utf-8"?>
<sst xmlns="http://schemas.openxmlformats.org/spreadsheetml/2006/main" count="84" uniqueCount="64">
  <si>
    <t>Company</t>
  </si>
  <si>
    <t>Beta</t>
  </si>
  <si>
    <t>Price</t>
  </si>
  <si>
    <t>Sales</t>
  </si>
  <si>
    <t>EBITDA</t>
  </si>
  <si>
    <t>PAT</t>
  </si>
  <si>
    <t>PE</t>
  </si>
  <si>
    <t>EV/EBITDA</t>
  </si>
  <si>
    <t>P/BV</t>
  </si>
  <si>
    <t>M cap</t>
  </si>
  <si>
    <t>Debt (Secured)</t>
  </si>
  <si>
    <t>Brands</t>
  </si>
  <si>
    <t>Capacity - ENA</t>
  </si>
  <si>
    <t>Cost</t>
  </si>
  <si>
    <t>Empee</t>
  </si>
  <si>
    <t>70 (current) 360 (planned) + bottling + others</t>
  </si>
  <si>
    <t>Pioneer</t>
  </si>
  <si>
    <t>30 for ethanol</t>
  </si>
  <si>
    <t>Associated Alcohols &amp; Breweries Ltd</t>
  </si>
  <si>
    <t>expanding to 65</t>
  </si>
  <si>
    <t>Som Distilleries &amp; Breweries Ltd</t>
  </si>
  <si>
    <t>Globus Spirits</t>
  </si>
  <si>
    <t>Expanding to 162</t>
  </si>
  <si>
    <t>3341 (project cost</t>
  </si>
  <si>
    <t>Average</t>
  </si>
  <si>
    <t>discounted</t>
  </si>
  <si>
    <t>FY11</t>
  </si>
  <si>
    <t>Market Multiples</t>
  </si>
  <si>
    <t>EV</t>
  </si>
  <si>
    <t>Debt</t>
  </si>
  <si>
    <t>Equity infusion</t>
  </si>
  <si>
    <t>Post money</t>
  </si>
  <si>
    <t>DCF</t>
  </si>
  <si>
    <t>Post Money</t>
  </si>
  <si>
    <t>Pre Money</t>
  </si>
  <si>
    <t>Number of shares (lakhs)</t>
  </si>
  <si>
    <t>Price per share</t>
  </si>
  <si>
    <t>NAV</t>
  </si>
  <si>
    <t>FY09</t>
  </si>
  <si>
    <t>other costs</t>
  </si>
  <si>
    <t>Cost of Debt</t>
  </si>
  <si>
    <t>Post Tax Cost of Debt</t>
  </si>
  <si>
    <t>Cost of Equity</t>
  </si>
  <si>
    <t>RF</t>
  </si>
  <si>
    <t>Market Risk Premium</t>
  </si>
  <si>
    <t>Company Risk Premium</t>
  </si>
  <si>
    <t>Terminal Growth Rate</t>
  </si>
  <si>
    <t>WACC</t>
  </si>
  <si>
    <t>Target D/E ratio</t>
  </si>
  <si>
    <t>Add: Depreciation</t>
  </si>
  <si>
    <t>Add: Interst * (1-Tax)</t>
  </si>
  <si>
    <t>Less: Working Capital Investment</t>
  </si>
  <si>
    <t>Less: Capex</t>
  </si>
  <si>
    <t>Cashflows to firm</t>
  </si>
  <si>
    <t>Discount Factor</t>
  </si>
  <si>
    <t>Discounted Cash Flows</t>
  </si>
  <si>
    <t>Terminal Value</t>
  </si>
  <si>
    <t>Discounting factor</t>
  </si>
  <si>
    <t>Discounted Terminal Value</t>
  </si>
  <si>
    <t>Equity Value</t>
  </si>
  <si>
    <t>Infusion</t>
  </si>
  <si>
    <t>Pre money</t>
  </si>
  <si>
    <t>Number of Shares</t>
  </si>
  <si>
    <t>FY08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</si>
</sst>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0.0%"/>
    <numFmt numFmtId="166" formatCode="0.000%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name val="Courier"/>
      <family val="3"/>
    </font>
    <font>
      <b/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39" fontId="2" fillId="0" borderId="1" xfId="0" applyNumberFormat="1" applyFont="1" applyBorder="1"/>
    <xf numFmtId="39" fontId="2" fillId="0" borderId="0" xfId="0" applyNumberFormat="1" applyFont="1"/>
    <xf numFmtId="39" fontId="0" fillId="0" borderId="0" xfId="0" applyNumberFormat="1"/>
    <xf numFmtId="39" fontId="3" fillId="0" borderId="1" xfId="0" applyNumberFormat="1" applyFont="1" applyBorder="1"/>
    <xf numFmtId="39" fontId="3" fillId="0" borderId="0" xfId="0" applyNumberFormat="1" applyFont="1"/>
    <xf numFmtId="9" fontId="4" fillId="0" borderId="0" xfId="3" applyFont="1"/>
    <xf numFmtId="39" fontId="5" fillId="0" borderId="0" xfId="0" applyNumberFormat="1" applyFont="1"/>
    <xf numFmtId="9" fontId="1" fillId="0" borderId="0" xfId="3" applyFont="1"/>
    <xf numFmtId="37" fontId="0" fillId="0" borderId="0" xfId="0" applyNumberFormat="1"/>
    <xf numFmtId="43" fontId="3" fillId="0" borderId="0" xfId="1" applyFont="1" applyBorder="1"/>
    <xf numFmtId="165" fontId="2" fillId="0" borderId="0" xfId="3" applyNumberFormat="1" applyFont="1"/>
    <xf numFmtId="166" fontId="2" fillId="0" borderId="0" xfId="2" applyNumberFormat="1" applyFont="1"/>
    <xf numFmtId="9" fontId="2" fillId="0" borderId="0" xfId="3" applyFont="1"/>
    <xf numFmtId="167" fontId="2" fillId="0" borderId="0" xfId="1" applyNumberFormat="1" applyFont="1"/>
    <xf numFmtId="43" fontId="6" fillId="0" borderId="0" xfId="1" applyFont="1" applyFill="1" applyBorder="1" applyProtection="1">
      <protection hidden="1"/>
    </xf>
    <xf numFmtId="2" fontId="0" fillId="0" borderId="0" xfId="0" applyNumberFormat="1"/>
    <xf numFmtId="39" fontId="2" fillId="2" borderId="0" xfId="0" applyNumberFormat="1" applyFont="1" applyFill="1"/>
    <xf numFmtId="43" fontId="2" fillId="0" borderId="0" xfId="1" applyFont="1"/>
  </cellXfs>
  <cellStyles count="4">
    <cellStyle name="Comma" xfId="1" builtinId="3"/>
    <cellStyle name="Normal" xfId="0" builtinId="0"/>
    <cellStyle name="Percent" xfId="2" builtinId="5"/>
    <cellStyle name="Percent 2" xfId="3" xr:uid="{294DABCF-8931-4BC8-928D-DE86D6C4F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s\finance\cma\Workings%2029-01-2010%201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ings%2029-01-2010%20(4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uation Ratios"/>
      <sheetName val="DCF"/>
      <sheetName val="Capex"/>
      <sheetName val="Assumptions"/>
      <sheetName val="CMA"/>
      <sheetName val="Chart2"/>
      <sheetName val="Sheet1"/>
      <sheetName val="WORKING CAPITAL CALCULATIONS"/>
      <sheetName val="Sheet2"/>
      <sheetName val="COP MOF"/>
      <sheetName val="Loans"/>
      <sheetName val="PROJECTIONS"/>
      <sheetName val="Commonsize"/>
      <sheetName val="BS"/>
      <sheetName val="Cashflow"/>
      <sheetName val="Depreciation"/>
      <sheetName val="PPT"/>
      <sheetName val="PPT1"/>
      <sheetName val="PPT2"/>
      <sheetName val="Manpower cost"/>
      <sheetName val="New loan amortization schedule"/>
      <sheetName val="Interest rates"/>
      <sheetName val="Old loan amortization schedule"/>
      <sheetName val="FITL-Repay "/>
      <sheetName val="Repay WC"/>
      <sheetName val="Interest in lakhs"/>
      <sheetName val="Interest 08-10"/>
      <sheetName val="dep"/>
      <sheetName val="Shar Iss."/>
      <sheetName val="Debn.Iss"/>
      <sheetName val="VRS"/>
    </sheetNames>
    <sheetDataSet>
      <sheetData sheetId="0" refreshError="1"/>
      <sheetData sheetId="1" refreshError="1">
        <row r="7">
          <cell r="G7">
            <v>14.606</v>
          </cell>
          <cell r="H7">
            <v>8.1460000000000008</v>
          </cell>
        </row>
        <row r="32">
          <cell r="I32">
            <v>287.03284999999994</v>
          </cell>
        </row>
      </sheetData>
      <sheetData sheetId="2" refreshError="1">
        <row r="9">
          <cell r="B9">
            <v>0.11732385000000001</v>
          </cell>
        </row>
        <row r="27">
          <cell r="B27">
            <v>0</v>
          </cell>
        </row>
        <row r="28">
          <cell r="B28">
            <v>2700</v>
          </cell>
        </row>
        <row r="30">
          <cell r="B30">
            <v>3000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F7" t="str">
            <v>2009-10</v>
          </cell>
        </row>
        <row r="73">
          <cell r="G73">
            <v>-2.4840578135474516</v>
          </cell>
          <cell r="H73">
            <v>991.84505724288874</v>
          </cell>
        </row>
        <row r="78">
          <cell r="G78">
            <v>928.50195634664544</v>
          </cell>
          <cell r="H78">
            <v>2572.3183766525317</v>
          </cell>
        </row>
      </sheetData>
      <sheetData sheetId="13" refreshError="1"/>
      <sheetData sheetId="14" refreshError="1">
        <row r="4">
          <cell r="A4" t="str">
            <v>NET WORTH</v>
          </cell>
        </row>
        <row r="5">
          <cell r="B5">
            <v>2309.8674999999998</v>
          </cell>
          <cell r="D5">
            <v>2870.3284999999996</v>
          </cell>
        </row>
        <row r="14">
          <cell r="C14">
            <v>3516.4443795000002</v>
          </cell>
        </row>
        <row r="17">
          <cell r="C17">
            <v>6386.7728795000003</v>
          </cell>
        </row>
      </sheetData>
      <sheetData sheetId="15" refreshError="1">
        <row r="23">
          <cell r="F23">
            <v>0</v>
          </cell>
          <cell r="G23">
            <v>4234.9999999999991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F24">
            <v>1270.5</v>
          </cell>
          <cell r="G24">
            <v>-1270.5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uation Ratios"/>
      <sheetName val="DCF"/>
      <sheetName val="Capex"/>
      <sheetName val="Assumptions"/>
      <sheetName val="CMA"/>
      <sheetName val="Chart2"/>
      <sheetName val="Sheet1"/>
      <sheetName val="WORKING CAPITAL CALCULATIONS"/>
      <sheetName val="Sheet2"/>
      <sheetName val="COP MOF"/>
      <sheetName val="Loans"/>
      <sheetName val="PROJECTIONS"/>
      <sheetName val="Commonsize"/>
      <sheetName val="BS"/>
      <sheetName val="Cashflow"/>
      <sheetName val="Depreciation"/>
      <sheetName val="PPT"/>
      <sheetName val="PPT1"/>
      <sheetName val="PPT2"/>
      <sheetName val="Manpower cost"/>
      <sheetName val="New loan amortization schedule"/>
      <sheetName val="Interest rates"/>
      <sheetName val="Old loan amortization schedule"/>
      <sheetName val="FITL-Repay "/>
      <sheetName val="Repay WC"/>
      <sheetName val="Interest in lakhs"/>
      <sheetName val="Interest 08-10"/>
      <sheetName val="dep"/>
      <sheetName val="Shar Iss."/>
      <sheetName val="Debn.Iss"/>
      <sheetName val="V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E6">
            <v>100000</v>
          </cell>
        </row>
        <row r="37">
          <cell r="F37">
            <v>0.33990000000000004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Ratio"/>
      <sheetName val="DCF"/>
      <sheetName val="Balance sheet"/>
      <sheetName val="Cash flow"/>
      <sheetName val="Working cap calculations"/>
      <sheetName val="Projection"/>
      <sheetName val="Assumptions"/>
      <sheetName val="Manpower cost"/>
      <sheetName val="Depreciation"/>
      <sheetName val="Commonsize"/>
      <sheetName val="Interest"/>
      <sheetName val="working of IMFL bottling"/>
      <sheetName val="Sheet1"/>
    </sheetNames>
    <sheetDataSet>
      <sheetData sheetId="0">
        <row r="7">
          <cell r="B7">
            <v>0.58668000000000009</v>
          </cell>
        </row>
      </sheetData>
      <sheetData sheetId="1"/>
      <sheetData sheetId="2"/>
      <sheetData sheetId="3">
        <row r="26">
          <cell r="H26">
            <v>400.12000000000012</v>
          </cell>
          <cell r="I26">
            <v>1042.8651428341202</v>
          </cell>
          <cell r="J26">
            <v>3296.6225487156898</v>
          </cell>
          <cell r="K26">
            <v>925.06769454517871</v>
          </cell>
          <cell r="L26">
            <v>1206.5926266759789</v>
          </cell>
          <cell r="M26">
            <v>1577.2685269400909</v>
          </cell>
          <cell r="N26">
            <v>2066.4264091186706</v>
          </cell>
          <cell r="O26">
            <v>2713.3709900784706</v>
          </cell>
          <cell r="P26">
            <v>3656.5043238167673</v>
          </cell>
        </row>
        <row r="27">
          <cell r="H27">
            <v>1733.8999999999999</v>
          </cell>
          <cell r="I27">
            <v>1131.40602739726</v>
          </cell>
          <cell r="J27">
            <v>-268.06547945205421</v>
          </cell>
          <cell r="K27">
            <v>-444.51198630137014</v>
          </cell>
          <cell r="L27">
            <v>1769.4595462328775</v>
          </cell>
          <cell r="M27">
            <v>1065.086285316781</v>
          </cell>
          <cell r="N27">
            <v>1473.3429038687946</v>
          </cell>
          <cell r="O27">
            <v>2036.9080697673644</v>
          </cell>
          <cell r="P27">
            <v>2952.8452789620223</v>
          </cell>
        </row>
        <row r="28">
          <cell r="H28">
            <v>-89.25</v>
          </cell>
          <cell r="I28">
            <v>117.44999999999999</v>
          </cell>
          <cell r="J28">
            <v>33.759000000000015</v>
          </cell>
          <cell r="K28">
            <v>37.134900000000016</v>
          </cell>
          <cell r="L28">
            <v>40.848390000000052</v>
          </cell>
          <cell r="M28">
            <v>44.93322900000004</v>
          </cell>
          <cell r="N28">
            <v>49.426551900000106</v>
          </cell>
          <cell r="O28">
            <v>54.369207090000032</v>
          </cell>
          <cell r="P28">
            <v>59.806127799000024</v>
          </cell>
        </row>
      </sheetData>
      <sheetData sheetId="4"/>
      <sheetData sheetId="5">
        <row r="7">
          <cell r="H7" t="str">
            <v>2011-12</v>
          </cell>
          <cell r="I7" t="str">
            <v>2012-13</v>
          </cell>
          <cell r="J7" t="str">
            <v>2013-14</v>
          </cell>
          <cell r="K7" t="str">
            <v>2014-15</v>
          </cell>
          <cell r="L7" t="str">
            <v>2015-16</v>
          </cell>
          <cell r="M7" t="str">
            <v>2016-17</v>
          </cell>
          <cell r="N7" t="str">
            <v>2017-18</v>
          </cell>
          <cell r="O7" t="str">
            <v>2018-19</v>
          </cell>
          <cell r="P7" t="str">
            <v>2019-20</v>
          </cell>
          <cell r="Q7" t="str">
            <v>2020-21</v>
          </cell>
        </row>
        <row r="58">
          <cell r="H58">
            <v>550.41999999999996</v>
          </cell>
          <cell r="I58">
            <v>486.58</v>
          </cell>
          <cell r="J58">
            <v>444.25199999999995</v>
          </cell>
          <cell r="K58">
            <v>451.22447999999997</v>
          </cell>
          <cell r="L58">
            <v>424.15101119999997</v>
          </cell>
          <cell r="M58">
            <v>398.701950528</v>
          </cell>
          <cell r="N58">
            <v>374.77983349632001</v>
          </cell>
          <cell r="O58">
            <v>352.2930434865408</v>
          </cell>
          <cell r="P58">
            <v>331.15546087734833</v>
          </cell>
          <cell r="Q58">
            <v>0</v>
          </cell>
        </row>
        <row r="68">
          <cell r="H68">
            <v>600.52</v>
          </cell>
          <cell r="I68">
            <v>767.04</v>
          </cell>
          <cell r="J68">
            <v>156</v>
          </cell>
          <cell r="K68">
            <v>823.33333333333337</v>
          </cell>
          <cell r="L68">
            <v>617.5</v>
          </cell>
          <cell r="M68">
            <v>397.09999999999997</v>
          </cell>
          <cell r="N68">
            <v>595.65</v>
          </cell>
          <cell r="O68">
            <v>508.25</v>
          </cell>
          <cell r="P68">
            <v>420.85</v>
          </cell>
          <cell r="Q68">
            <v>300.67499999999995</v>
          </cell>
        </row>
        <row r="69">
          <cell r="M69">
            <v>617.5</v>
          </cell>
          <cell r="N69">
            <v>617.5</v>
          </cell>
          <cell r="O69">
            <v>617.5</v>
          </cell>
          <cell r="P69">
            <v>617.5</v>
          </cell>
          <cell r="Q69">
            <v>617.5</v>
          </cell>
        </row>
        <row r="75">
          <cell r="H75">
            <v>6.2599999999998239</v>
          </cell>
          <cell r="I75">
            <v>10.180000000000124</v>
          </cell>
          <cell r="J75">
            <v>9.5444639903496657</v>
          </cell>
          <cell r="K75">
            <v>327.03905509769152</v>
          </cell>
          <cell r="L75">
            <v>460.35638394815214</v>
          </cell>
          <cell r="M75">
            <v>1203.861213086381</v>
          </cell>
          <cell r="N75">
            <v>2315.2013391604646</v>
          </cell>
          <cell r="O75">
            <v>4415.7212092467635</v>
          </cell>
          <cell r="P75">
            <v>7583.1571407782467</v>
          </cell>
          <cell r="Q75">
            <v>12960.408128411229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BE6A-8682-49FA-B984-222D0EC1486F}">
  <dimension ref="A1:O42"/>
  <sheetViews>
    <sheetView workbookViewId="0">
      <selection activeCell="C14" sqref="C14"/>
    </sheetView>
  </sheetViews>
  <sheetFormatPr defaultColWidth="9.1796875" defaultRowHeight="14.5" x14ac:dyDescent="0.35"/>
  <cols>
    <col min="1" max="16384" width="9.1796875" style="3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5" x14ac:dyDescent="0.35">
      <c r="A2" s="1" t="s">
        <v>14</v>
      </c>
      <c r="B2" s="1">
        <v>0.64249999999999996</v>
      </c>
      <c r="C2" s="1">
        <v>131.75</v>
      </c>
      <c r="D2" s="1">
        <v>485.03</v>
      </c>
      <c r="E2" s="1">
        <v>35.6</v>
      </c>
      <c r="F2" s="1">
        <v>11.07</v>
      </c>
      <c r="G2" s="1">
        <v>16.579999999999998</v>
      </c>
      <c r="H2" s="1">
        <v>8.5500000000000007</v>
      </c>
      <c r="I2" s="1">
        <v>1.1299999999999999</v>
      </c>
      <c r="J2" s="1">
        <v>250.32</v>
      </c>
      <c r="K2" s="2">
        <v>183.9</v>
      </c>
      <c r="L2" s="2"/>
      <c r="M2" s="2" t="s">
        <v>15</v>
      </c>
      <c r="N2" s="2"/>
    </row>
    <row r="3" spans="1:15" x14ac:dyDescent="0.35">
      <c r="A3" s="1" t="s">
        <v>16</v>
      </c>
      <c r="B3" s="1">
        <v>0.78869999999999996</v>
      </c>
      <c r="C3" s="1">
        <v>44</v>
      </c>
      <c r="D3" s="1">
        <v>72.989999999999995</v>
      </c>
      <c r="E3" s="1">
        <v>16.39</v>
      </c>
      <c r="F3" s="1">
        <v>7.86</v>
      </c>
      <c r="G3" s="1">
        <v>10.82</v>
      </c>
      <c r="H3" s="1">
        <v>8.98</v>
      </c>
      <c r="I3" s="1">
        <v>1.64</v>
      </c>
      <c r="J3" s="1">
        <v>57.16</v>
      </c>
      <c r="K3" s="2">
        <v>56.44</v>
      </c>
      <c r="L3" s="2"/>
      <c r="M3" s="2">
        <v>100</v>
      </c>
      <c r="N3" s="2" t="s">
        <v>17</v>
      </c>
    </row>
    <row r="4" spans="1:15" x14ac:dyDescent="0.35">
      <c r="A4" s="1" t="s">
        <v>18</v>
      </c>
      <c r="B4" s="1">
        <v>0.39129999999999998</v>
      </c>
      <c r="C4" s="1">
        <v>37</v>
      </c>
      <c r="D4" s="1">
        <v>101.69</v>
      </c>
      <c r="E4" s="1">
        <v>7.48</v>
      </c>
      <c r="F4" s="1">
        <v>1.17</v>
      </c>
      <c r="G4" s="1">
        <v>24.11</v>
      </c>
      <c r="H4" s="1">
        <v>6.49</v>
      </c>
      <c r="I4" s="1">
        <v>0.52</v>
      </c>
      <c r="J4" s="1">
        <v>33.450000000000003</v>
      </c>
      <c r="K4" s="2">
        <v>15.41</v>
      </c>
      <c r="L4" s="2"/>
      <c r="M4" s="2">
        <v>42</v>
      </c>
      <c r="N4" s="2" t="s">
        <v>19</v>
      </c>
    </row>
    <row r="5" spans="1:15" x14ac:dyDescent="0.35">
      <c r="A5" s="1" t="s">
        <v>20</v>
      </c>
      <c r="B5" s="1">
        <v>0.50819999999999999</v>
      </c>
      <c r="C5" s="1">
        <v>24.4</v>
      </c>
      <c r="D5" s="1">
        <v>72.94</v>
      </c>
      <c r="E5" s="1">
        <v>10.050000000000001</v>
      </c>
      <c r="F5" s="1">
        <v>6.52</v>
      </c>
      <c r="G5" s="1">
        <v>7.39</v>
      </c>
      <c r="H5" s="1">
        <v>7.04</v>
      </c>
      <c r="I5" s="1">
        <v>1.58</v>
      </c>
      <c r="J5" s="1">
        <v>44.16</v>
      </c>
      <c r="K5" s="2">
        <v>10.07</v>
      </c>
      <c r="L5" s="2"/>
      <c r="M5" s="2"/>
      <c r="N5" s="2"/>
    </row>
    <row r="6" spans="1:15" x14ac:dyDescent="0.35">
      <c r="A6" s="1" t="s">
        <v>21</v>
      </c>
      <c r="B6" s="1">
        <v>0.60270000000000001</v>
      </c>
      <c r="C6" s="1">
        <v>93.95</v>
      </c>
      <c r="D6" s="1">
        <v>201.95</v>
      </c>
      <c r="E6" s="1">
        <v>28.63</v>
      </c>
      <c r="F6" s="1">
        <v>12.93</v>
      </c>
      <c r="G6" s="1">
        <v>14.13</v>
      </c>
      <c r="H6" s="1">
        <v>9.67</v>
      </c>
      <c r="I6" s="1">
        <v>1.25</v>
      </c>
      <c r="J6" s="1">
        <v>185.65</v>
      </c>
      <c r="K6" s="2">
        <v>16.37</v>
      </c>
      <c r="L6" s="2"/>
      <c r="M6" s="2">
        <v>48</v>
      </c>
      <c r="N6" s="2" t="s">
        <v>22</v>
      </c>
      <c r="O6" s="2" t="s">
        <v>23</v>
      </c>
    </row>
    <row r="7" spans="1:15" x14ac:dyDescent="0.35">
      <c r="A7" s="4" t="s">
        <v>24</v>
      </c>
      <c r="B7" s="1">
        <f>AVERAGE(B2:B6)</f>
        <v>0.58668000000000009</v>
      </c>
      <c r="C7" s="1"/>
      <c r="D7" s="1"/>
      <c r="E7" s="1"/>
      <c r="F7" s="1"/>
      <c r="G7" s="4">
        <f>AVERAGE(G2:G6)</f>
        <v>14.606</v>
      </c>
      <c r="H7" s="4">
        <f>AVERAGE(H2:H6)</f>
        <v>8.1460000000000008</v>
      </c>
      <c r="I7" s="4">
        <f>AVERAGE(I2:I6)</f>
        <v>1.2239999999999998</v>
      </c>
      <c r="J7" s="4">
        <f>AVERAGE(J2:J6)</f>
        <v>114.148</v>
      </c>
      <c r="K7" s="5"/>
      <c r="L7" s="5"/>
      <c r="M7" s="2"/>
      <c r="N7" s="2"/>
    </row>
    <row r="9" spans="1:15" x14ac:dyDescent="0.35">
      <c r="D9" s="2"/>
      <c r="E9" s="3" t="s">
        <v>25</v>
      </c>
      <c r="F9" s="6">
        <v>0.8</v>
      </c>
      <c r="G9" s="3">
        <f>G7*F9</f>
        <v>11.684800000000001</v>
      </c>
      <c r="H9" s="3">
        <f>H7*F9</f>
        <v>6.5168000000000008</v>
      </c>
    </row>
    <row r="10" spans="1:15" x14ac:dyDescent="0.35">
      <c r="A10" s="2"/>
    </row>
    <row r="11" spans="1:15" x14ac:dyDescent="0.35">
      <c r="G11" s="3" t="s">
        <v>26</v>
      </c>
    </row>
    <row r="12" spans="1:15" x14ac:dyDescent="0.35">
      <c r="F12" s="3" t="s">
        <v>4</v>
      </c>
      <c r="G12" s="3">
        <f>[1]PROJECTIONS!G78</f>
        <v>928.50195634664544</v>
      </c>
    </row>
    <row r="13" spans="1:15" x14ac:dyDescent="0.35">
      <c r="F13" s="3" t="s">
        <v>5</v>
      </c>
      <c r="G13" s="3">
        <f>[1]PROJECTIONS!G73</f>
        <v>-2.4840578135474516</v>
      </c>
    </row>
    <row r="15" spans="1:15" x14ac:dyDescent="0.35">
      <c r="F15" s="7" t="s">
        <v>27</v>
      </c>
    </row>
    <row r="16" spans="1:15" x14ac:dyDescent="0.35">
      <c r="F16" s="3" t="s">
        <v>28</v>
      </c>
      <c r="H16" s="3">
        <f>H9*G12/(1+[1]DCF!B9)</f>
        <v>5415.4948443280964</v>
      </c>
    </row>
    <row r="17" spans="6:12" x14ac:dyDescent="0.35">
      <c r="F17" s="3" t="s">
        <v>29</v>
      </c>
      <c r="I17" s="3">
        <f>[1]DCF!B28</f>
        <v>2700</v>
      </c>
    </row>
    <row r="18" spans="6:12" x14ac:dyDescent="0.35">
      <c r="G18" s="3">
        <f>G9*G13</f>
        <v>-29.025718739739265</v>
      </c>
      <c r="H18" s="3">
        <f>H16-I17</f>
        <v>2715.4948443280964</v>
      </c>
      <c r="I18" s="3">
        <f>AVERAGE(G18:H18)</f>
        <v>1343.2345627941786</v>
      </c>
    </row>
    <row r="19" spans="6:12" x14ac:dyDescent="0.35">
      <c r="F19" s="3" t="s">
        <v>30</v>
      </c>
      <c r="I19" s="3">
        <f>[1]DCF!B30</f>
        <v>3000</v>
      </c>
      <c r="J19" s="8">
        <f>I19/I20</f>
        <v>0.69072944521559032</v>
      </c>
      <c r="L19" s="9"/>
    </row>
    <row r="20" spans="6:12" x14ac:dyDescent="0.35">
      <c r="F20" s="3" t="s">
        <v>31</v>
      </c>
      <c r="I20" s="3">
        <f>I18+I19</f>
        <v>4343.2345627941786</v>
      </c>
      <c r="J20" s="9"/>
      <c r="L20" s="9"/>
    </row>
    <row r="21" spans="6:12" x14ac:dyDescent="0.35">
      <c r="J21" s="9"/>
    </row>
    <row r="24" spans="6:12" x14ac:dyDescent="0.35">
      <c r="F24" s="7" t="s">
        <v>32</v>
      </c>
    </row>
    <row r="25" spans="6:12" x14ac:dyDescent="0.35">
      <c r="F25" s="3" t="s">
        <v>28</v>
      </c>
      <c r="I25" s="3">
        <f>[1]DCF!B27</f>
        <v>0</v>
      </c>
      <c r="L25" s="3">
        <f>75</f>
        <v>75</v>
      </c>
    </row>
    <row r="26" spans="6:12" x14ac:dyDescent="0.35">
      <c r="F26" s="3" t="s">
        <v>29</v>
      </c>
      <c r="I26" s="3">
        <f>I17</f>
        <v>2700</v>
      </c>
      <c r="L26" s="3">
        <v>25</v>
      </c>
    </row>
    <row r="27" spans="6:12" x14ac:dyDescent="0.35">
      <c r="F27" s="3" t="s">
        <v>33</v>
      </c>
      <c r="I27" s="3">
        <f>I25-I26</f>
        <v>-2700</v>
      </c>
      <c r="L27" s="3">
        <f>L25+L26</f>
        <v>100</v>
      </c>
    </row>
    <row r="28" spans="6:12" x14ac:dyDescent="0.35">
      <c r="F28" s="3" t="s">
        <v>30</v>
      </c>
      <c r="I28" s="3">
        <f>I19</f>
        <v>3000</v>
      </c>
      <c r="J28" s="8">
        <f>I28/I27</f>
        <v>-1.1111111111111112</v>
      </c>
    </row>
    <row r="29" spans="6:12" x14ac:dyDescent="0.35">
      <c r="F29" s="3" t="s">
        <v>34</v>
      </c>
      <c r="I29" s="3">
        <f>I27-I28</f>
        <v>-5700</v>
      </c>
    </row>
    <row r="32" spans="6:12" x14ac:dyDescent="0.35">
      <c r="F32" s="3" t="s">
        <v>35</v>
      </c>
      <c r="I32" s="3">
        <f>[1]BS!D5/10</f>
        <v>287.03284999999994</v>
      </c>
    </row>
    <row r="34" spans="6:9" x14ac:dyDescent="0.35">
      <c r="F34" s="3" t="s">
        <v>36</v>
      </c>
      <c r="I34" s="3">
        <f>((I29+I18)/2)/I32</f>
        <v>-7.5893150160440213</v>
      </c>
    </row>
    <row r="38" spans="6:9" x14ac:dyDescent="0.35">
      <c r="F38" s="7" t="s">
        <v>37</v>
      </c>
      <c r="G38" s="3" t="s">
        <v>38</v>
      </c>
      <c r="I38" s="3">
        <f>[1]BS!C17-[1]BS!C14</f>
        <v>2870.3285000000001</v>
      </c>
    </row>
    <row r="39" spans="6:9" x14ac:dyDescent="0.35">
      <c r="G39" s="3" t="s">
        <v>39</v>
      </c>
      <c r="I39" s="3">
        <v>1500</v>
      </c>
    </row>
    <row r="40" spans="6:9" x14ac:dyDescent="0.35">
      <c r="I40" s="3">
        <f>SUM(I38:I39)</f>
        <v>4370.3284999999996</v>
      </c>
    </row>
    <row r="42" spans="6:9" x14ac:dyDescent="0.35">
      <c r="F42" s="3" t="s">
        <v>36</v>
      </c>
      <c r="I42" s="3">
        <f>I40/I32</f>
        <v>15.225882682069319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F40D-3ACC-4700-8F04-5D9B3322C8F6}">
  <dimension ref="A2:Q50"/>
  <sheetViews>
    <sheetView tabSelected="1" workbookViewId="0">
      <selection activeCell="I15" sqref="I15"/>
    </sheetView>
  </sheetViews>
  <sheetFormatPr defaultColWidth="9.1796875" defaultRowHeight="12.5" x14ac:dyDescent="0.25"/>
  <cols>
    <col min="1" max="1" width="22" style="2" customWidth="1"/>
    <col min="2" max="2" width="13.7265625" style="2" customWidth="1"/>
    <col min="3" max="3" width="9.1796875" style="2"/>
    <col min="4" max="4" width="20.7265625" style="2" customWidth="1"/>
    <col min="5" max="5" width="9.26953125" style="2" bestFit="1" customWidth="1"/>
    <col min="6" max="11" width="9.1796875" style="2"/>
    <col min="12" max="12" width="11.54296875" style="2" customWidth="1"/>
    <col min="13" max="13" width="11.453125" style="2" customWidth="1"/>
    <col min="14" max="256" width="9.1796875" style="2"/>
    <col min="257" max="257" width="22" style="2" customWidth="1"/>
    <col min="258" max="258" width="13.7265625" style="2" customWidth="1"/>
    <col min="259" max="259" width="9.1796875" style="2"/>
    <col min="260" max="260" width="20.7265625" style="2" customWidth="1"/>
    <col min="261" max="261" width="9.26953125" style="2" bestFit="1" customWidth="1"/>
    <col min="262" max="267" width="9.1796875" style="2"/>
    <col min="268" max="268" width="11.54296875" style="2" customWidth="1"/>
    <col min="269" max="269" width="11.453125" style="2" customWidth="1"/>
    <col min="270" max="512" width="9.1796875" style="2"/>
    <col min="513" max="513" width="22" style="2" customWidth="1"/>
    <col min="514" max="514" width="13.7265625" style="2" customWidth="1"/>
    <col min="515" max="515" width="9.1796875" style="2"/>
    <col min="516" max="516" width="20.7265625" style="2" customWidth="1"/>
    <col min="517" max="517" width="9.26953125" style="2" bestFit="1" customWidth="1"/>
    <col min="518" max="523" width="9.1796875" style="2"/>
    <col min="524" max="524" width="11.54296875" style="2" customWidth="1"/>
    <col min="525" max="525" width="11.453125" style="2" customWidth="1"/>
    <col min="526" max="768" width="9.1796875" style="2"/>
    <col min="769" max="769" width="22" style="2" customWidth="1"/>
    <col min="770" max="770" width="13.7265625" style="2" customWidth="1"/>
    <col min="771" max="771" width="9.1796875" style="2"/>
    <col min="772" max="772" width="20.7265625" style="2" customWidth="1"/>
    <col min="773" max="773" width="9.26953125" style="2" bestFit="1" customWidth="1"/>
    <col min="774" max="779" width="9.1796875" style="2"/>
    <col min="780" max="780" width="11.54296875" style="2" customWidth="1"/>
    <col min="781" max="781" width="11.453125" style="2" customWidth="1"/>
    <col min="782" max="1024" width="9.1796875" style="2"/>
    <col min="1025" max="1025" width="22" style="2" customWidth="1"/>
    <col min="1026" max="1026" width="13.7265625" style="2" customWidth="1"/>
    <col min="1027" max="1027" width="9.1796875" style="2"/>
    <col min="1028" max="1028" width="20.7265625" style="2" customWidth="1"/>
    <col min="1029" max="1029" width="9.26953125" style="2" bestFit="1" customWidth="1"/>
    <col min="1030" max="1035" width="9.1796875" style="2"/>
    <col min="1036" max="1036" width="11.54296875" style="2" customWidth="1"/>
    <col min="1037" max="1037" width="11.453125" style="2" customWidth="1"/>
    <col min="1038" max="1280" width="9.1796875" style="2"/>
    <col min="1281" max="1281" width="22" style="2" customWidth="1"/>
    <col min="1282" max="1282" width="13.7265625" style="2" customWidth="1"/>
    <col min="1283" max="1283" width="9.1796875" style="2"/>
    <col min="1284" max="1284" width="20.7265625" style="2" customWidth="1"/>
    <col min="1285" max="1285" width="9.26953125" style="2" bestFit="1" customWidth="1"/>
    <col min="1286" max="1291" width="9.1796875" style="2"/>
    <col min="1292" max="1292" width="11.54296875" style="2" customWidth="1"/>
    <col min="1293" max="1293" width="11.453125" style="2" customWidth="1"/>
    <col min="1294" max="1536" width="9.1796875" style="2"/>
    <col min="1537" max="1537" width="22" style="2" customWidth="1"/>
    <col min="1538" max="1538" width="13.7265625" style="2" customWidth="1"/>
    <col min="1539" max="1539" width="9.1796875" style="2"/>
    <col min="1540" max="1540" width="20.7265625" style="2" customWidth="1"/>
    <col min="1541" max="1541" width="9.26953125" style="2" bestFit="1" customWidth="1"/>
    <col min="1542" max="1547" width="9.1796875" style="2"/>
    <col min="1548" max="1548" width="11.54296875" style="2" customWidth="1"/>
    <col min="1549" max="1549" width="11.453125" style="2" customWidth="1"/>
    <col min="1550" max="1792" width="9.1796875" style="2"/>
    <col min="1793" max="1793" width="22" style="2" customWidth="1"/>
    <col min="1794" max="1794" width="13.7265625" style="2" customWidth="1"/>
    <col min="1795" max="1795" width="9.1796875" style="2"/>
    <col min="1796" max="1796" width="20.7265625" style="2" customWidth="1"/>
    <col min="1797" max="1797" width="9.26953125" style="2" bestFit="1" customWidth="1"/>
    <col min="1798" max="1803" width="9.1796875" style="2"/>
    <col min="1804" max="1804" width="11.54296875" style="2" customWidth="1"/>
    <col min="1805" max="1805" width="11.453125" style="2" customWidth="1"/>
    <col min="1806" max="2048" width="9.1796875" style="2"/>
    <col min="2049" max="2049" width="22" style="2" customWidth="1"/>
    <col min="2050" max="2050" width="13.7265625" style="2" customWidth="1"/>
    <col min="2051" max="2051" width="9.1796875" style="2"/>
    <col min="2052" max="2052" width="20.7265625" style="2" customWidth="1"/>
    <col min="2053" max="2053" width="9.26953125" style="2" bestFit="1" customWidth="1"/>
    <col min="2054" max="2059" width="9.1796875" style="2"/>
    <col min="2060" max="2060" width="11.54296875" style="2" customWidth="1"/>
    <col min="2061" max="2061" width="11.453125" style="2" customWidth="1"/>
    <col min="2062" max="2304" width="9.1796875" style="2"/>
    <col min="2305" max="2305" width="22" style="2" customWidth="1"/>
    <col min="2306" max="2306" width="13.7265625" style="2" customWidth="1"/>
    <col min="2307" max="2307" width="9.1796875" style="2"/>
    <col min="2308" max="2308" width="20.7265625" style="2" customWidth="1"/>
    <col min="2309" max="2309" width="9.26953125" style="2" bestFit="1" customWidth="1"/>
    <col min="2310" max="2315" width="9.1796875" style="2"/>
    <col min="2316" max="2316" width="11.54296875" style="2" customWidth="1"/>
    <col min="2317" max="2317" width="11.453125" style="2" customWidth="1"/>
    <col min="2318" max="2560" width="9.1796875" style="2"/>
    <col min="2561" max="2561" width="22" style="2" customWidth="1"/>
    <col min="2562" max="2562" width="13.7265625" style="2" customWidth="1"/>
    <col min="2563" max="2563" width="9.1796875" style="2"/>
    <col min="2564" max="2564" width="20.7265625" style="2" customWidth="1"/>
    <col min="2565" max="2565" width="9.26953125" style="2" bestFit="1" customWidth="1"/>
    <col min="2566" max="2571" width="9.1796875" style="2"/>
    <col min="2572" max="2572" width="11.54296875" style="2" customWidth="1"/>
    <col min="2573" max="2573" width="11.453125" style="2" customWidth="1"/>
    <col min="2574" max="2816" width="9.1796875" style="2"/>
    <col min="2817" max="2817" width="22" style="2" customWidth="1"/>
    <col min="2818" max="2818" width="13.7265625" style="2" customWidth="1"/>
    <col min="2819" max="2819" width="9.1796875" style="2"/>
    <col min="2820" max="2820" width="20.7265625" style="2" customWidth="1"/>
    <col min="2821" max="2821" width="9.26953125" style="2" bestFit="1" customWidth="1"/>
    <col min="2822" max="2827" width="9.1796875" style="2"/>
    <col min="2828" max="2828" width="11.54296875" style="2" customWidth="1"/>
    <col min="2829" max="2829" width="11.453125" style="2" customWidth="1"/>
    <col min="2830" max="3072" width="9.1796875" style="2"/>
    <col min="3073" max="3073" width="22" style="2" customWidth="1"/>
    <col min="3074" max="3074" width="13.7265625" style="2" customWidth="1"/>
    <col min="3075" max="3075" width="9.1796875" style="2"/>
    <col min="3076" max="3076" width="20.7265625" style="2" customWidth="1"/>
    <col min="3077" max="3077" width="9.26953125" style="2" bestFit="1" customWidth="1"/>
    <col min="3078" max="3083" width="9.1796875" style="2"/>
    <col min="3084" max="3084" width="11.54296875" style="2" customWidth="1"/>
    <col min="3085" max="3085" width="11.453125" style="2" customWidth="1"/>
    <col min="3086" max="3328" width="9.1796875" style="2"/>
    <col min="3329" max="3329" width="22" style="2" customWidth="1"/>
    <col min="3330" max="3330" width="13.7265625" style="2" customWidth="1"/>
    <col min="3331" max="3331" width="9.1796875" style="2"/>
    <col min="3332" max="3332" width="20.7265625" style="2" customWidth="1"/>
    <col min="3333" max="3333" width="9.26953125" style="2" bestFit="1" customWidth="1"/>
    <col min="3334" max="3339" width="9.1796875" style="2"/>
    <col min="3340" max="3340" width="11.54296875" style="2" customWidth="1"/>
    <col min="3341" max="3341" width="11.453125" style="2" customWidth="1"/>
    <col min="3342" max="3584" width="9.1796875" style="2"/>
    <col min="3585" max="3585" width="22" style="2" customWidth="1"/>
    <col min="3586" max="3586" width="13.7265625" style="2" customWidth="1"/>
    <col min="3587" max="3587" width="9.1796875" style="2"/>
    <col min="3588" max="3588" width="20.7265625" style="2" customWidth="1"/>
    <col min="3589" max="3589" width="9.26953125" style="2" bestFit="1" customWidth="1"/>
    <col min="3590" max="3595" width="9.1796875" style="2"/>
    <col min="3596" max="3596" width="11.54296875" style="2" customWidth="1"/>
    <col min="3597" max="3597" width="11.453125" style="2" customWidth="1"/>
    <col min="3598" max="3840" width="9.1796875" style="2"/>
    <col min="3841" max="3841" width="22" style="2" customWidth="1"/>
    <col min="3842" max="3842" width="13.7265625" style="2" customWidth="1"/>
    <col min="3843" max="3843" width="9.1796875" style="2"/>
    <col min="3844" max="3844" width="20.7265625" style="2" customWidth="1"/>
    <col min="3845" max="3845" width="9.26953125" style="2" bestFit="1" customWidth="1"/>
    <col min="3846" max="3851" width="9.1796875" style="2"/>
    <col min="3852" max="3852" width="11.54296875" style="2" customWidth="1"/>
    <col min="3853" max="3853" width="11.453125" style="2" customWidth="1"/>
    <col min="3854" max="4096" width="9.1796875" style="2"/>
    <col min="4097" max="4097" width="22" style="2" customWidth="1"/>
    <col min="4098" max="4098" width="13.7265625" style="2" customWidth="1"/>
    <col min="4099" max="4099" width="9.1796875" style="2"/>
    <col min="4100" max="4100" width="20.7265625" style="2" customWidth="1"/>
    <col min="4101" max="4101" width="9.26953125" style="2" bestFit="1" customWidth="1"/>
    <col min="4102" max="4107" width="9.1796875" style="2"/>
    <col min="4108" max="4108" width="11.54296875" style="2" customWidth="1"/>
    <col min="4109" max="4109" width="11.453125" style="2" customWidth="1"/>
    <col min="4110" max="4352" width="9.1796875" style="2"/>
    <col min="4353" max="4353" width="22" style="2" customWidth="1"/>
    <col min="4354" max="4354" width="13.7265625" style="2" customWidth="1"/>
    <col min="4355" max="4355" width="9.1796875" style="2"/>
    <col min="4356" max="4356" width="20.7265625" style="2" customWidth="1"/>
    <col min="4357" max="4357" width="9.26953125" style="2" bestFit="1" customWidth="1"/>
    <col min="4358" max="4363" width="9.1796875" style="2"/>
    <col min="4364" max="4364" width="11.54296875" style="2" customWidth="1"/>
    <col min="4365" max="4365" width="11.453125" style="2" customWidth="1"/>
    <col min="4366" max="4608" width="9.1796875" style="2"/>
    <col min="4609" max="4609" width="22" style="2" customWidth="1"/>
    <col min="4610" max="4610" width="13.7265625" style="2" customWidth="1"/>
    <col min="4611" max="4611" width="9.1796875" style="2"/>
    <col min="4612" max="4612" width="20.7265625" style="2" customWidth="1"/>
    <col min="4613" max="4613" width="9.26953125" style="2" bestFit="1" customWidth="1"/>
    <col min="4614" max="4619" width="9.1796875" style="2"/>
    <col min="4620" max="4620" width="11.54296875" style="2" customWidth="1"/>
    <col min="4621" max="4621" width="11.453125" style="2" customWidth="1"/>
    <col min="4622" max="4864" width="9.1796875" style="2"/>
    <col min="4865" max="4865" width="22" style="2" customWidth="1"/>
    <col min="4866" max="4866" width="13.7265625" style="2" customWidth="1"/>
    <col min="4867" max="4867" width="9.1796875" style="2"/>
    <col min="4868" max="4868" width="20.7265625" style="2" customWidth="1"/>
    <col min="4869" max="4869" width="9.26953125" style="2" bestFit="1" customWidth="1"/>
    <col min="4870" max="4875" width="9.1796875" style="2"/>
    <col min="4876" max="4876" width="11.54296875" style="2" customWidth="1"/>
    <col min="4877" max="4877" width="11.453125" style="2" customWidth="1"/>
    <col min="4878" max="5120" width="9.1796875" style="2"/>
    <col min="5121" max="5121" width="22" style="2" customWidth="1"/>
    <col min="5122" max="5122" width="13.7265625" style="2" customWidth="1"/>
    <col min="5123" max="5123" width="9.1796875" style="2"/>
    <col min="5124" max="5124" width="20.7265625" style="2" customWidth="1"/>
    <col min="5125" max="5125" width="9.26953125" style="2" bestFit="1" customWidth="1"/>
    <col min="5126" max="5131" width="9.1796875" style="2"/>
    <col min="5132" max="5132" width="11.54296875" style="2" customWidth="1"/>
    <col min="5133" max="5133" width="11.453125" style="2" customWidth="1"/>
    <col min="5134" max="5376" width="9.1796875" style="2"/>
    <col min="5377" max="5377" width="22" style="2" customWidth="1"/>
    <col min="5378" max="5378" width="13.7265625" style="2" customWidth="1"/>
    <col min="5379" max="5379" width="9.1796875" style="2"/>
    <col min="5380" max="5380" width="20.7265625" style="2" customWidth="1"/>
    <col min="5381" max="5381" width="9.26953125" style="2" bestFit="1" customWidth="1"/>
    <col min="5382" max="5387" width="9.1796875" style="2"/>
    <col min="5388" max="5388" width="11.54296875" style="2" customWidth="1"/>
    <col min="5389" max="5389" width="11.453125" style="2" customWidth="1"/>
    <col min="5390" max="5632" width="9.1796875" style="2"/>
    <col min="5633" max="5633" width="22" style="2" customWidth="1"/>
    <col min="5634" max="5634" width="13.7265625" style="2" customWidth="1"/>
    <col min="5635" max="5635" width="9.1796875" style="2"/>
    <col min="5636" max="5636" width="20.7265625" style="2" customWidth="1"/>
    <col min="5637" max="5637" width="9.26953125" style="2" bestFit="1" customWidth="1"/>
    <col min="5638" max="5643" width="9.1796875" style="2"/>
    <col min="5644" max="5644" width="11.54296875" style="2" customWidth="1"/>
    <col min="5645" max="5645" width="11.453125" style="2" customWidth="1"/>
    <col min="5646" max="5888" width="9.1796875" style="2"/>
    <col min="5889" max="5889" width="22" style="2" customWidth="1"/>
    <col min="5890" max="5890" width="13.7265625" style="2" customWidth="1"/>
    <col min="5891" max="5891" width="9.1796875" style="2"/>
    <col min="5892" max="5892" width="20.7265625" style="2" customWidth="1"/>
    <col min="5893" max="5893" width="9.26953125" style="2" bestFit="1" customWidth="1"/>
    <col min="5894" max="5899" width="9.1796875" style="2"/>
    <col min="5900" max="5900" width="11.54296875" style="2" customWidth="1"/>
    <col min="5901" max="5901" width="11.453125" style="2" customWidth="1"/>
    <col min="5902" max="6144" width="9.1796875" style="2"/>
    <col min="6145" max="6145" width="22" style="2" customWidth="1"/>
    <col min="6146" max="6146" width="13.7265625" style="2" customWidth="1"/>
    <col min="6147" max="6147" width="9.1796875" style="2"/>
    <col min="6148" max="6148" width="20.7265625" style="2" customWidth="1"/>
    <col min="6149" max="6149" width="9.26953125" style="2" bestFit="1" customWidth="1"/>
    <col min="6150" max="6155" width="9.1796875" style="2"/>
    <col min="6156" max="6156" width="11.54296875" style="2" customWidth="1"/>
    <col min="6157" max="6157" width="11.453125" style="2" customWidth="1"/>
    <col min="6158" max="6400" width="9.1796875" style="2"/>
    <col min="6401" max="6401" width="22" style="2" customWidth="1"/>
    <col min="6402" max="6402" width="13.7265625" style="2" customWidth="1"/>
    <col min="6403" max="6403" width="9.1796875" style="2"/>
    <col min="6404" max="6404" width="20.7265625" style="2" customWidth="1"/>
    <col min="6405" max="6405" width="9.26953125" style="2" bestFit="1" customWidth="1"/>
    <col min="6406" max="6411" width="9.1796875" style="2"/>
    <col min="6412" max="6412" width="11.54296875" style="2" customWidth="1"/>
    <col min="6413" max="6413" width="11.453125" style="2" customWidth="1"/>
    <col min="6414" max="6656" width="9.1796875" style="2"/>
    <col min="6657" max="6657" width="22" style="2" customWidth="1"/>
    <col min="6658" max="6658" width="13.7265625" style="2" customWidth="1"/>
    <col min="6659" max="6659" width="9.1796875" style="2"/>
    <col min="6660" max="6660" width="20.7265625" style="2" customWidth="1"/>
    <col min="6661" max="6661" width="9.26953125" style="2" bestFit="1" customWidth="1"/>
    <col min="6662" max="6667" width="9.1796875" style="2"/>
    <col min="6668" max="6668" width="11.54296875" style="2" customWidth="1"/>
    <col min="6669" max="6669" width="11.453125" style="2" customWidth="1"/>
    <col min="6670" max="6912" width="9.1796875" style="2"/>
    <col min="6913" max="6913" width="22" style="2" customWidth="1"/>
    <col min="6914" max="6914" width="13.7265625" style="2" customWidth="1"/>
    <col min="6915" max="6915" width="9.1796875" style="2"/>
    <col min="6916" max="6916" width="20.7265625" style="2" customWidth="1"/>
    <col min="6917" max="6917" width="9.26953125" style="2" bestFit="1" customWidth="1"/>
    <col min="6918" max="6923" width="9.1796875" style="2"/>
    <col min="6924" max="6924" width="11.54296875" style="2" customWidth="1"/>
    <col min="6925" max="6925" width="11.453125" style="2" customWidth="1"/>
    <col min="6926" max="7168" width="9.1796875" style="2"/>
    <col min="7169" max="7169" width="22" style="2" customWidth="1"/>
    <col min="7170" max="7170" width="13.7265625" style="2" customWidth="1"/>
    <col min="7171" max="7171" width="9.1796875" style="2"/>
    <col min="7172" max="7172" width="20.7265625" style="2" customWidth="1"/>
    <col min="7173" max="7173" width="9.26953125" style="2" bestFit="1" customWidth="1"/>
    <col min="7174" max="7179" width="9.1796875" style="2"/>
    <col min="7180" max="7180" width="11.54296875" style="2" customWidth="1"/>
    <col min="7181" max="7181" width="11.453125" style="2" customWidth="1"/>
    <col min="7182" max="7424" width="9.1796875" style="2"/>
    <col min="7425" max="7425" width="22" style="2" customWidth="1"/>
    <col min="7426" max="7426" width="13.7265625" style="2" customWidth="1"/>
    <col min="7427" max="7427" width="9.1796875" style="2"/>
    <col min="7428" max="7428" width="20.7265625" style="2" customWidth="1"/>
    <col min="7429" max="7429" width="9.26953125" style="2" bestFit="1" customWidth="1"/>
    <col min="7430" max="7435" width="9.1796875" style="2"/>
    <col min="7436" max="7436" width="11.54296875" style="2" customWidth="1"/>
    <col min="7437" max="7437" width="11.453125" style="2" customWidth="1"/>
    <col min="7438" max="7680" width="9.1796875" style="2"/>
    <col min="7681" max="7681" width="22" style="2" customWidth="1"/>
    <col min="7682" max="7682" width="13.7265625" style="2" customWidth="1"/>
    <col min="7683" max="7683" width="9.1796875" style="2"/>
    <col min="7684" max="7684" width="20.7265625" style="2" customWidth="1"/>
    <col min="7685" max="7685" width="9.26953125" style="2" bestFit="1" customWidth="1"/>
    <col min="7686" max="7691" width="9.1796875" style="2"/>
    <col min="7692" max="7692" width="11.54296875" style="2" customWidth="1"/>
    <col min="7693" max="7693" width="11.453125" style="2" customWidth="1"/>
    <col min="7694" max="7936" width="9.1796875" style="2"/>
    <col min="7937" max="7937" width="22" style="2" customWidth="1"/>
    <col min="7938" max="7938" width="13.7265625" style="2" customWidth="1"/>
    <col min="7939" max="7939" width="9.1796875" style="2"/>
    <col min="7940" max="7940" width="20.7265625" style="2" customWidth="1"/>
    <col min="7941" max="7941" width="9.26953125" style="2" bestFit="1" customWidth="1"/>
    <col min="7942" max="7947" width="9.1796875" style="2"/>
    <col min="7948" max="7948" width="11.54296875" style="2" customWidth="1"/>
    <col min="7949" max="7949" width="11.453125" style="2" customWidth="1"/>
    <col min="7950" max="8192" width="9.1796875" style="2"/>
    <col min="8193" max="8193" width="22" style="2" customWidth="1"/>
    <col min="8194" max="8194" width="13.7265625" style="2" customWidth="1"/>
    <col min="8195" max="8195" width="9.1796875" style="2"/>
    <col min="8196" max="8196" width="20.7265625" style="2" customWidth="1"/>
    <col min="8197" max="8197" width="9.26953125" style="2" bestFit="1" customWidth="1"/>
    <col min="8198" max="8203" width="9.1796875" style="2"/>
    <col min="8204" max="8204" width="11.54296875" style="2" customWidth="1"/>
    <col min="8205" max="8205" width="11.453125" style="2" customWidth="1"/>
    <col min="8206" max="8448" width="9.1796875" style="2"/>
    <col min="8449" max="8449" width="22" style="2" customWidth="1"/>
    <col min="8450" max="8450" width="13.7265625" style="2" customWidth="1"/>
    <col min="8451" max="8451" width="9.1796875" style="2"/>
    <col min="8452" max="8452" width="20.7265625" style="2" customWidth="1"/>
    <col min="8453" max="8453" width="9.26953125" style="2" bestFit="1" customWidth="1"/>
    <col min="8454" max="8459" width="9.1796875" style="2"/>
    <col min="8460" max="8460" width="11.54296875" style="2" customWidth="1"/>
    <col min="8461" max="8461" width="11.453125" style="2" customWidth="1"/>
    <col min="8462" max="8704" width="9.1796875" style="2"/>
    <col min="8705" max="8705" width="22" style="2" customWidth="1"/>
    <col min="8706" max="8706" width="13.7265625" style="2" customWidth="1"/>
    <col min="8707" max="8707" width="9.1796875" style="2"/>
    <col min="8708" max="8708" width="20.7265625" style="2" customWidth="1"/>
    <col min="8709" max="8709" width="9.26953125" style="2" bestFit="1" customWidth="1"/>
    <col min="8710" max="8715" width="9.1796875" style="2"/>
    <col min="8716" max="8716" width="11.54296875" style="2" customWidth="1"/>
    <col min="8717" max="8717" width="11.453125" style="2" customWidth="1"/>
    <col min="8718" max="8960" width="9.1796875" style="2"/>
    <col min="8961" max="8961" width="22" style="2" customWidth="1"/>
    <col min="8962" max="8962" width="13.7265625" style="2" customWidth="1"/>
    <col min="8963" max="8963" width="9.1796875" style="2"/>
    <col min="8964" max="8964" width="20.7265625" style="2" customWidth="1"/>
    <col min="8965" max="8965" width="9.26953125" style="2" bestFit="1" customWidth="1"/>
    <col min="8966" max="8971" width="9.1796875" style="2"/>
    <col min="8972" max="8972" width="11.54296875" style="2" customWidth="1"/>
    <col min="8973" max="8973" width="11.453125" style="2" customWidth="1"/>
    <col min="8974" max="9216" width="9.1796875" style="2"/>
    <col min="9217" max="9217" width="22" style="2" customWidth="1"/>
    <col min="9218" max="9218" width="13.7265625" style="2" customWidth="1"/>
    <col min="9219" max="9219" width="9.1796875" style="2"/>
    <col min="9220" max="9220" width="20.7265625" style="2" customWidth="1"/>
    <col min="9221" max="9221" width="9.26953125" style="2" bestFit="1" customWidth="1"/>
    <col min="9222" max="9227" width="9.1796875" style="2"/>
    <col min="9228" max="9228" width="11.54296875" style="2" customWidth="1"/>
    <col min="9229" max="9229" width="11.453125" style="2" customWidth="1"/>
    <col min="9230" max="9472" width="9.1796875" style="2"/>
    <col min="9473" max="9473" width="22" style="2" customWidth="1"/>
    <col min="9474" max="9474" width="13.7265625" style="2" customWidth="1"/>
    <col min="9475" max="9475" width="9.1796875" style="2"/>
    <col min="9476" max="9476" width="20.7265625" style="2" customWidth="1"/>
    <col min="9477" max="9477" width="9.26953125" style="2" bestFit="1" customWidth="1"/>
    <col min="9478" max="9483" width="9.1796875" style="2"/>
    <col min="9484" max="9484" width="11.54296875" style="2" customWidth="1"/>
    <col min="9485" max="9485" width="11.453125" style="2" customWidth="1"/>
    <col min="9486" max="9728" width="9.1796875" style="2"/>
    <col min="9729" max="9729" width="22" style="2" customWidth="1"/>
    <col min="9730" max="9730" width="13.7265625" style="2" customWidth="1"/>
    <col min="9731" max="9731" width="9.1796875" style="2"/>
    <col min="9732" max="9732" width="20.7265625" style="2" customWidth="1"/>
    <col min="9733" max="9733" width="9.26953125" style="2" bestFit="1" customWidth="1"/>
    <col min="9734" max="9739" width="9.1796875" style="2"/>
    <col min="9740" max="9740" width="11.54296875" style="2" customWidth="1"/>
    <col min="9741" max="9741" width="11.453125" style="2" customWidth="1"/>
    <col min="9742" max="9984" width="9.1796875" style="2"/>
    <col min="9985" max="9985" width="22" style="2" customWidth="1"/>
    <col min="9986" max="9986" width="13.7265625" style="2" customWidth="1"/>
    <col min="9987" max="9987" width="9.1796875" style="2"/>
    <col min="9988" max="9988" width="20.7265625" style="2" customWidth="1"/>
    <col min="9989" max="9989" width="9.26953125" style="2" bestFit="1" customWidth="1"/>
    <col min="9990" max="9995" width="9.1796875" style="2"/>
    <col min="9996" max="9996" width="11.54296875" style="2" customWidth="1"/>
    <col min="9997" max="9997" width="11.453125" style="2" customWidth="1"/>
    <col min="9998" max="10240" width="9.1796875" style="2"/>
    <col min="10241" max="10241" width="22" style="2" customWidth="1"/>
    <col min="10242" max="10242" width="13.7265625" style="2" customWidth="1"/>
    <col min="10243" max="10243" width="9.1796875" style="2"/>
    <col min="10244" max="10244" width="20.7265625" style="2" customWidth="1"/>
    <col min="10245" max="10245" width="9.26953125" style="2" bestFit="1" customWidth="1"/>
    <col min="10246" max="10251" width="9.1796875" style="2"/>
    <col min="10252" max="10252" width="11.54296875" style="2" customWidth="1"/>
    <col min="10253" max="10253" width="11.453125" style="2" customWidth="1"/>
    <col min="10254" max="10496" width="9.1796875" style="2"/>
    <col min="10497" max="10497" width="22" style="2" customWidth="1"/>
    <col min="10498" max="10498" width="13.7265625" style="2" customWidth="1"/>
    <col min="10499" max="10499" width="9.1796875" style="2"/>
    <col min="10500" max="10500" width="20.7265625" style="2" customWidth="1"/>
    <col min="10501" max="10501" width="9.26953125" style="2" bestFit="1" customWidth="1"/>
    <col min="10502" max="10507" width="9.1796875" style="2"/>
    <col min="10508" max="10508" width="11.54296875" style="2" customWidth="1"/>
    <col min="10509" max="10509" width="11.453125" style="2" customWidth="1"/>
    <col min="10510" max="10752" width="9.1796875" style="2"/>
    <col min="10753" max="10753" width="22" style="2" customWidth="1"/>
    <col min="10754" max="10754" width="13.7265625" style="2" customWidth="1"/>
    <col min="10755" max="10755" width="9.1796875" style="2"/>
    <col min="10756" max="10756" width="20.7265625" style="2" customWidth="1"/>
    <col min="10757" max="10757" width="9.26953125" style="2" bestFit="1" customWidth="1"/>
    <col min="10758" max="10763" width="9.1796875" style="2"/>
    <col min="10764" max="10764" width="11.54296875" style="2" customWidth="1"/>
    <col min="10765" max="10765" width="11.453125" style="2" customWidth="1"/>
    <col min="10766" max="11008" width="9.1796875" style="2"/>
    <col min="11009" max="11009" width="22" style="2" customWidth="1"/>
    <col min="11010" max="11010" width="13.7265625" style="2" customWidth="1"/>
    <col min="11011" max="11011" width="9.1796875" style="2"/>
    <col min="11012" max="11012" width="20.7265625" style="2" customWidth="1"/>
    <col min="11013" max="11013" width="9.26953125" style="2" bestFit="1" customWidth="1"/>
    <col min="11014" max="11019" width="9.1796875" style="2"/>
    <col min="11020" max="11020" width="11.54296875" style="2" customWidth="1"/>
    <col min="11021" max="11021" width="11.453125" style="2" customWidth="1"/>
    <col min="11022" max="11264" width="9.1796875" style="2"/>
    <col min="11265" max="11265" width="22" style="2" customWidth="1"/>
    <col min="11266" max="11266" width="13.7265625" style="2" customWidth="1"/>
    <col min="11267" max="11267" width="9.1796875" style="2"/>
    <col min="11268" max="11268" width="20.7265625" style="2" customWidth="1"/>
    <col min="11269" max="11269" width="9.26953125" style="2" bestFit="1" customWidth="1"/>
    <col min="11270" max="11275" width="9.1796875" style="2"/>
    <col min="11276" max="11276" width="11.54296875" style="2" customWidth="1"/>
    <col min="11277" max="11277" width="11.453125" style="2" customWidth="1"/>
    <col min="11278" max="11520" width="9.1796875" style="2"/>
    <col min="11521" max="11521" width="22" style="2" customWidth="1"/>
    <col min="11522" max="11522" width="13.7265625" style="2" customWidth="1"/>
    <col min="11523" max="11523" width="9.1796875" style="2"/>
    <col min="11524" max="11524" width="20.7265625" style="2" customWidth="1"/>
    <col min="11525" max="11525" width="9.26953125" style="2" bestFit="1" customWidth="1"/>
    <col min="11526" max="11531" width="9.1796875" style="2"/>
    <col min="11532" max="11532" width="11.54296875" style="2" customWidth="1"/>
    <col min="11533" max="11533" width="11.453125" style="2" customWidth="1"/>
    <col min="11534" max="11776" width="9.1796875" style="2"/>
    <col min="11777" max="11777" width="22" style="2" customWidth="1"/>
    <col min="11778" max="11778" width="13.7265625" style="2" customWidth="1"/>
    <col min="11779" max="11779" width="9.1796875" style="2"/>
    <col min="11780" max="11780" width="20.7265625" style="2" customWidth="1"/>
    <col min="11781" max="11781" width="9.26953125" style="2" bestFit="1" customWidth="1"/>
    <col min="11782" max="11787" width="9.1796875" style="2"/>
    <col min="11788" max="11788" width="11.54296875" style="2" customWidth="1"/>
    <col min="11789" max="11789" width="11.453125" style="2" customWidth="1"/>
    <col min="11790" max="12032" width="9.1796875" style="2"/>
    <col min="12033" max="12033" width="22" style="2" customWidth="1"/>
    <col min="12034" max="12034" width="13.7265625" style="2" customWidth="1"/>
    <col min="12035" max="12035" width="9.1796875" style="2"/>
    <col min="12036" max="12036" width="20.7265625" style="2" customWidth="1"/>
    <col min="12037" max="12037" width="9.26953125" style="2" bestFit="1" customWidth="1"/>
    <col min="12038" max="12043" width="9.1796875" style="2"/>
    <col min="12044" max="12044" width="11.54296875" style="2" customWidth="1"/>
    <col min="12045" max="12045" width="11.453125" style="2" customWidth="1"/>
    <col min="12046" max="12288" width="9.1796875" style="2"/>
    <col min="12289" max="12289" width="22" style="2" customWidth="1"/>
    <col min="12290" max="12290" width="13.7265625" style="2" customWidth="1"/>
    <col min="12291" max="12291" width="9.1796875" style="2"/>
    <col min="12292" max="12292" width="20.7265625" style="2" customWidth="1"/>
    <col min="12293" max="12293" width="9.26953125" style="2" bestFit="1" customWidth="1"/>
    <col min="12294" max="12299" width="9.1796875" style="2"/>
    <col min="12300" max="12300" width="11.54296875" style="2" customWidth="1"/>
    <col min="12301" max="12301" width="11.453125" style="2" customWidth="1"/>
    <col min="12302" max="12544" width="9.1796875" style="2"/>
    <col min="12545" max="12545" width="22" style="2" customWidth="1"/>
    <col min="12546" max="12546" width="13.7265625" style="2" customWidth="1"/>
    <col min="12547" max="12547" width="9.1796875" style="2"/>
    <col min="12548" max="12548" width="20.7265625" style="2" customWidth="1"/>
    <col min="12549" max="12549" width="9.26953125" style="2" bestFit="1" customWidth="1"/>
    <col min="12550" max="12555" width="9.1796875" style="2"/>
    <col min="12556" max="12556" width="11.54296875" style="2" customWidth="1"/>
    <col min="12557" max="12557" width="11.453125" style="2" customWidth="1"/>
    <col min="12558" max="12800" width="9.1796875" style="2"/>
    <col min="12801" max="12801" width="22" style="2" customWidth="1"/>
    <col min="12802" max="12802" width="13.7265625" style="2" customWidth="1"/>
    <col min="12803" max="12803" width="9.1796875" style="2"/>
    <col min="12804" max="12804" width="20.7265625" style="2" customWidth="1"/>
    <col min="12805" max="12805" width="9.26953125" style="2" bestFit="1" customWidth="1"/>
    <col min="12806" max="12811" width="9.1796875" style="2"/>
    <col min="12812" max="12812" width="11.54296875" style="2" customWidth="1"/>
    <col min="12813" max="12813" width="11.453125" style="2" customWidth="1"/>
    <col min="12814" max="13056" width="9.1796875" style="2"/>
    <col min="13057" max="13057" width="22" style="2" customWidth="1"/>
    <col min="13058" max="13058" width="13.7265625" style="2" customWidth="1"/>
    <col min="13059" max="13059" width="9.1796875" style="2"/>
    <col min="13060" max="13060" width="20.7265625" style="2" customWidth="1"/>
    <col min="13061" max="13061" width="9.26953125" style="2" bestFit="1" customWidth="1"/>
    <col min="13062" max="13067" width="9.1796875" style="2"/>
    <col min="13068" max="13068" width="11.54296875" style="2" customWidth="1"/>
    <col min="13069" max="13069" width="11.453125" style="2" customWidth="1"/>
    <col min="13070" max="13312" width="9.1796875" style="2"/>
    <col min="13313" max="13313" width="22" style="2" customWidth="1"/>
    <col min="13314" max="13314" width="13.7265625" style="2" customWidth="1"/>
    <col min="13315" max="13315" width="9.1796875" style="2"/>
    <col min="13316" max="13316" width="20.7265625" style="2" customWidth="1"/>
    <col min="13317" max="13317" width="9.26953125" style="2" bestFit="1" customWidth="1"/>
    <col min="13318" max="13323" width="9.1796875" style="2"/>
    <col min="13324" max="13324" width="11.54296875" style="2" customWidth="1"/>
    <col min="13325" max="13325" width="11.453125" style="2" customWidth="1"/>
    <col min="13326" max="13568" width="9.1796875" style="2"/>
    <col min="13569" max="13569" width="22" style="2" customWidth="1"/>
    <col min="13570" max="13570" width="13.7265625" style="2" customWidth="1"/>
    <col min="13571" max="13571" width="9.1796875" style="2"/>
    <col min="13572" max="13572" width="20.7265625" style="2" customWidth="1"/>
    <col min="13573" max="13573" width="9.26953125" style="2" bestFit="1" customWidth="1"/>
    <col min="13574" max="13579" width="9.1796875" style="2"/>
    <col min="13580" max="13580" width="11.54296875" style="2" customWidth="1"/>
    <col min="13581" max="13581" width="11.453125" style="2" customWidth="1"/>
    <col min="13582" max="13824" width="9.1796875" style="2"/>
    <col min="13825" max="13825" width="22" style="2" customWidth="1"/>
    <col min="13826" max="13826" width="13.7265625" style="2" customWidth="1"/>
    <col min="13827" max="13827" width="9.1796875" style="2"/>
    <col min="13828" max="13828" width="20.7265625" style="2" customWidth="1"/>
    <col min="13829" max="13829" width="9.26953125" style="2" bestFit="1" customWidth="1"/>
    <col min="13830" max="13835" width="9.1796875" style="2"/>
    <col min="13836" max="13836" width="11.54296875" style="2" customWidth="1"/>
    <col min="13837" max="13837" width="11.453125" style="2" customWidth="1"/>
    <col min="13838" max="14080" width="9.1796875" style="2"/>
    <col min="14081" max="14081" width="22" style="2" customWidth="1"/>
    <col min="14082" max="14082" width="13.7265625" style="2" customWidth="1"/>
    <col min="14083" max="14083" width="9.1796875" style="2"/>
    <col min="14084" max="14084" width="20.7265625" style="2" customWidth="1"/>
    <col min="14085" max="14085" width="9.26953125" style="2" bestFit="1" customWidth="1"/>
    <col min="14086" max="14091" width="9.1796875" style="2"/>
    <col min="14092" max="14092" width="11.54296875" style="2" customWidth="1"/>
    <col min="14093" max="14093" width="11.453125" style="2" customWidth="1"/>
    <col min="14094" max="14336" width="9.1796875" style="2"/>
    <col min="14337" max="14337" width="22" style="2" customWidth="1"/>
    <col min="14338" max="14338" width="13.7265625" style="2" customWidth="1"/>
    <col min="14339" max="14339" width="9.1796875" style="2"/>
    <col min="14340" max="14340" width="20.7265625" style="2" customWidth="1"/>
    <col min="14341" max="14341" width="9.26953125" style="2" bestFit="1" customWidth="1"/>
    <col min="14342" max="14347" width="9.1796875" style="2"/>
    <col min="14348" max="14348" width="11.54296875" style="2" customWidth="1"/>
    <col min="14349" max="14349" width="11.453125" style="2" customWidth="1"/>
    <col min="14350" max="14592" width="9.1796875" style="2"/>
    <col min="14593" max="14593" width="22" style="2" customWidth="1"/>
    <col min="14594" max="14594" width="13.7265625" style="2" customWidth="1"/>
    <col min="14595" max="14595" width="9.1796875" style="2"/>
    <col min="14596" max="14596" width="20.7265625" style="2" customWidth="1"/>
    <col min="14597" max="14597" width="9.26953125" style="2" bestFit="1" customWidth="1"/>
    <col min="14598" max="14603" width="9.1796875" style="2"/>
    <col min="14604" max="14604" width="11.54296875" style="2" customWidth="1"/>
    <col min="14605" max="14605" width="11.453125" style="2" customWidth="1"/>
    <col min="14606" max="14848" width="9.1796875" style="2"/>
    <col min="14849" max="14849" width="22" style="2" customWidth="1"/>
    <col min="14850" max="14850" width="13.7265625" style="2" customWidth="1"/>
    <col min="14851" max="14851" width="9.1796875" style="2"/>
    <col min="14852" max="14852" width="20.7265625" style="2" customWidth="1"/>
    <col min="14853" max="14853" width="9.26953125" style="2" bestFit="1" customWidth="1"/>
    <col min="14854" max="14859" width="9.1796875" style="2"/>
    <col min="14860" max="14860" width="11.54296875" style="2" customWidth="1"/>
    <col min="14861" max="14861" width="11.453125" style="2" customWidth="1"/>
    <col min="14862" max="15104" width="9.1796875" style="2"/>
    <col min="15105" max="15105" width="22" style="2" customWidth="1"/>
    <col min="15106" max="15106" width="13.7265625" style="2" customWidth="1"/>
    <col min="15107" max="15107" width="9.1796875" style="2"/>
    <col min="15108" max="15108" width="20.7265625" style="2" customWidth="1"/>
    <col min="15109" max="15109" width="9.26953125" style="2" bestFit="1" customWidth="1"/>
    <col min="15110" max="15115" width="9.1796875" style="2"/>
    <col min="15116" max="15116" width="11.54296875" style="2" customWidth="1"/>
    <col min="15117" max="15117" width="11.453125" style="2" customWidth="1"/>
    <col min="15118" max="15360" width="9.1796875" style="2"/>
    <col min="15361" max="15361" width="22" style="2" customWidth="1"/>
    <col min="15362" max="15362" width="13.7265625" style="2" customWidth="1"/>
    <col min="15363" max="15363" width="9.1796875" style="2"/>
    <col min="15364" max="15364" width="20.7265625" style="2" customWidth="1"/>
    <col min="15365" max="15365" width="9.26953125" style="2" bestFit="1" customWidth="1"/>
    <col min="15366" max="15371" width="9.1796875" style="2"/>
    <col min="15372" max="15372" width="11.54296875" style="2" customWidth="1"/>
    <col min="15373" max="15373" width="11.453125" style="2" customWidth="1"/>
    <col min="15374" max="15616" width="9.1796875" style="2"/>
    <col min="15617" max="15617" width="22" style="2" customWidth="1"/>
    <col min="15618" max="15618" width="13.7265625" style="2" customWidth="1"/>
    <col min="15619" max="15619" width="9.1796875" style="2"/>
    <col min="15620" max="15620" width="20.7265625" style="2" customWidth="1"/>
    <col min="15621" max="15621" width="9.26953125" style="2" bestFit="1" customWidth="1"/>
    <col min="15622" max="15627" width="9.1796875" style="2"/>
    <col min="15628" max="15628" width="11.54296875" style="2" customWidth="1"/>
    <col min="15629" max="15629" width="11.453125" style="2" customWidth="1"/>
    <col min="15630" max="15872" width="9.1796875" style="2"/>
    <col min="15873" max="15873" width="22" style="2" customWidth="1"/>
    <col min="15874" max="15874" width="13.7265625" style="2" customWidth="1"/>
    <col min="15875" max="15875" width="9.1796875" style="2"/>
    <col min="15876" max="15876" width="20.7265625" style="2" customWidth="1"/>
    <col min="15877" max="15877" width="9.26953125" style="2" bestFit="1" customWidth="1"/>
    <col min="15878" max="15883" width="9.1796875" style="2"/>
    <col min="15884" max="15884" width="11.54296875" style="2" customWidth="1"/>
    <col min="15885" max="15885" width="11.453125" style="2" customWidth="1"/>
    <col min="15886" max="16128" width="9.1796875" style="2"/>
    <col min="16129" max="16129" width="22" style="2" customWidth="1"/>
    <col min="16130" max="16130" width="13.7265625" style="2" customWidth="1"/>
    <col min="16131" max="16131" width="9.1796875" style="2"/>
    <col min="16132" max="16132" width="20.7265625" style="2" customWidth="1"/>
    <col min="16133" max="16133" width="9.26953125" style="2" bestFit="1" customWidth="1"/>
    <col min="16134" max="16139" width="9.1796875" style="2"/>
    <col min="16140" max="16140" width="11.54296875" style="2" customWidth="1"/>
    <col min="16141" max="16141" width="11.453125" style="2" customWidth="1"/>
    <col min="16142" max="16384" width="9.1796875" style="2"/>
  </cols>
  <sheetData>
    <row r="2" spans="1:17" ht="13" x14ac:dyDescent="0.3">
      <c r="A2" s="10" t="s">
        <v>40</v>
      </c>
      <c r="B2" s="11">
        <v>0.13</v>
      </c>
      <c r="D2" s="12"/>
    </row>
    <row r="3" spans="1:17" ht="13" x14ac:dyDescent="0.3">
      <c r="A3" s="10" t="s">
        <v>41</v>
      </c>
      <c r="B3" s="11">
        <f>B2*(1-tax)</f>
        <v>8.5812999999999987E-2</v>
      </c>
      <c r="D3" s="2" t="s">
        <v>1</v>
      </c>
      <c r="E3" s="2">
        <f>'[3]Valuation Ratio'!B7</f>
        <v>0.58668000000000009</v>
      </c>
    </row>
    <row r="4" spans="1:17" ht="13" x14ac:dyDescent="0.3">
      <c r="A4" s="10" t="s">
        <v>42</v>
      </c>
      <c r="B4" s="11">
        <f>E4+(E3*(E4+E5))+E6</f>
        <v>0.15213520000000003</v>
      </c>
      <c r="D4" s="2" t="s">
        <v>43</v>
      </c>
      <c r="E4" s="13">
        <v>7.0000000000000007E-2</v>
      </c>
    </row>
    <row r="5" spans="1:17" ht="13" x14ac:dyDescent="0.3">
      <c r="A5" s="10"/>
      <c r="B5" s="13"/>
      <c r="D5" s="2" t="s">
        <v>44</v>
      </c>
      <c r="E5" s="13">
        <v>7.0000000000000007E-2</v>
      </c>
    </row>
    <row r="6" spans="1:17" ht="13" x14ac:dyDescent="0.3">
      <c r="A6" s="10"/>
      <c r="B6" s="14"/>
      <c r="D6" s="2" t="s">
        <v>45</v>
      </c>
      <c r="E6" s="13"/>
    </row>
    <row r="7" spans="1:17" ht="13" x14ac:dyDescent="0.3">
      <c r="A7" s="10"/>
      <c r="B7" s="14"/>
    </row>
    <row r="8" spans="1:17" ht="13" x14ac:dyDescent="0.3">
      <c r="A8" s="10" t="s">
        <v>46</v>
      </c>
      <c r="B8" s="13">
        <v>0.04</v>
      </c>
    </row>
    <row r="9" spans="1:17" ht="13" x14ac:dyDescent="0.3">
      <c r="A9" s="10" t="s">
        <v>47</v>
      </c>
      <c r="B9" s="13">
        <f>(B3*B11+B4*(1-B11))</f>
        <v>0.1189741</v>
      </c>
      <c r="C9" s="13">
        <f t="shared" ref="C9:M9" si="0">B9</f>
        <v>0.1189741</v>
      </c>
      <c r="D9" s="13">
        <f t="shared" si="0"/>
        <v>0.1189741</v>
      </c>
      <c r="E9" s="13">
        <f t="shared" si="0"/>
        <v>0.1189741</v>
      </c>
      <c r="F9" s="13">
        <f t="shared" si="0"/>
        <v>0.1189741</v>
      </c>
      <c r="G9" s="13">
        <f t="shared" si="0"/>
        <v>0.1189741</v>
      </c>
      <c r="H9" s="13">
        <f t="shared" si="0"/>
        <v>0.1189741</v>
      </c>
      <c r="I9" s="13">
        <f t="shared" si="0"/>
        <v>0.1189741</v>
      </c>
      <c r="J9" s="13">
        <f t="shared" si="0"/>
        <v>0.1189741</v>
      </c>
      <c r="K9" s="13">
        <f t="shared" si="0"/>
        <v>0.1189741</v>
      </c>
      <c r="L9" s="13">
        <f t="shared" si="0"/>
        <v>0.1189741</v>
      </c>
      <c r="M9" s="13">
        <f t="shared" si="0"/>
        <v>0.1189741</v>
      </c>
    </row>
    <row r="10" spans="1:17" ht="13" x14ac:dyDescent="0.3">
      <c r="A10" s="10"/>
      <c r="B10" s="14"/>
      <c r="P10" s="2">
        <f>'[1]Valuation Ratios'!G7*0.6</f>
        <v>8.7636000000000003</v>
      </c>
      <c r="Q10" s="2">
        <f>'[1]Valuation Ratios'!H7*0.6</f>
        <v>4.8875999999999999</v>
      </c>
    </row>
    <row r="11" spans="1:17" x14ac:dyDescent="0.25">
      <c r="A11" s="2" t="s">
        <v>48</v>
      </c>
      <c r="B11" s="13">
        <v>0.5</v>
      </c>
      <c r="P11" s="2">
        <f>P10*[1]PROJECTIONS!H73</f>
        <v>8692.1333436537807</v>
      </c>
      <c r="Q11" s="2">
        <f>Q10*[1]PROJECTIONS!H78</f>
        <v>12572.463297726914</v>
      </c>
    </row>
    <row r="12" spans="1:17" x14ac:dyDescent="0.25">
      <c r="P12" s="2">
        <f>P11/250</f>
        <v>34.768533374615124</v>
      </c>
      <c r="Q12" s="2">
        <f>Q11/250</f>
        <v>50.289853190907657</v>
      </c>
    </row>
    <row r="13" spans="1:17" ht="13" x14ac:dyDescent="0.3">
      <c r="D13" s="2" t="str">
        <f>[3]Projection!H7</f>
        <v>2011-12</v>
      </c>
      <c r="E13" s="2" t="str">
        <f>[3]Projection!I7</f>
        <v>2012-13</v>
      </c>
      <c r="F13" s="2" t="str">
        <f>[3]Projection!J7</f>
        <v>2013-14</v>
      </c>
      <c r="G13" s="2" t="str">
        <f>[3]Projection!K7</f>
        <v>2014-15</v>
      </c>
      <c r="H13" s="5" t="str">
        <f>[3]Projection!L7</f>
        <v>2015-16</v>
      </c>
      <c r="I13" s="2" t="str">
        <f>[3]Projection!M7</f>
        <v>2016-17</v>
      </c>
      <c r="J13" s="2" t="str">
        <f>[3]Projection!N7</f>
        <v>2017-18</v>
      </c>
      <c r="K13" s="2" t="str">
        <f>[3]Projection!O7</f>
        <v>2018-19</v>
      </c>
      <c r="L13" s="2" t="str">
        <f>[3]Projection!P7</f>
        <v>2019-20</v>
      </c>
      <c r="M13" s="2" t="str">
        <f>[3]Projection!Q7</f>
        <v>2020-21</v>
      </c>
    </row>
    <row r="14" spans="1:17" ht="13.5" x14ac:dyDescent="0.35">
      <c r="A14" s="15" t="s">
        <v>5</v>
      </c>
      <c r="D14" s="2">
        <f>[3]Projection!H75</f>
        <v>6.2599999999998239</v>
      </c>
      <c r="E14" s="2">
        <f>[3]Projection!I75</f>
        <v>10.180000000000124</v>
      </c>
      <c r="F14" s="2">
        <f>[3]Projection!J75</f>
        <v>9.5444639903496657</v>
      </c>
      <c r="G14" s="2">
        <f>[3]Projection!K75</f>
        <v>327.03905509769152</v>
      </c>
      <c r="H14" s="2">
        <f>[3]Projection!L75</f>
        <v>460.35638394815214</v>
      </c>
      <c r="I14" s="2">
        <f>[3]Projection!M75</f>
        <v>1203.861213086381</v>
      </c>
      <c r="J14" s="2">
        <f>[3]Projection!N75</f>
        <v>2315.2013391604646</v>
      </c>
      <c r="K14" s="2">
        <f>[3]Projection!O75</f>
        <v>4415.7212092467635</v>
      </c>
      <c r="L14" s="2">
        <f>[3]Projection!P75</f>
        <v>7583.1571407782467</v>
      </c>
      <c r="M14" s="2">
        <f>[3]Projection!Q75</f>
        <v>12960.408128411229</v>
      </c>
    </row>
    <row r="15" spans="1:17" ht="13.5" x14ac:dyDescent="0.35">
      <c r="A15" s="15" t="s">
        <v>49</v>
      </c>
      <c r="D15" s="2">
        <f>[3]Projection!H58</f>
        <v>550.41999999999996</v>
      </c>
      <c r="E15" s="2">
        <f>[3]Projection!I58</f>
        <v>486.58</v>
      </c>
      <c r="F15" s="2">
        <f>[3]Projection!J58</f>
        <v>444.25199999999995</v>
      </c>
      <c r="G15" s="2">
        <f>[3]Projection!K58</f>
        <v>451.22447999999997</v>
      </c>
      <c r="H15" s="2">
        <f>[3]Projection!L58</f>
        <v>424.15101119999997</v>
      </c>
      <c r="I15" s="2">
        <f>[3]Projection!M58</f>
        <v>398.701950528</v>
      </c>
      <c r="J15" s="2">
        <f>[3]Projection!N58</f>
        <v>374.77983349632001</v>
      </c>
      <c r="K15" s="2">
        <f>[3]Projection!O58</f>
        <v>352.2930434865408</v>
      </c>
      <c r="L15" s="2">
        <f>[3]Projection!P58</f>
        <v>331.15546087734833</v>
      </c>
      <c r="M15" s="2">
        <f>[3]Projection!Q58</f>
        <v>0</v>
      </c>
    </row>
    <row r="16" spans="1:17" ht="13.5" x14ac:dyDescent="0.35">
      <c r="A16" s="15" t="s">
        <v>50</v>
      </c>
      <c r="D16" s="2">
        <f>([3]Projection!H68+[3]Projection!H69)*(1-0.33)</f>
        <v>402.34839999999997</v>
      </c>
      <c r="E16" s="2">
        <f>([3]Projection!I68+[3]Projection!I69)*(1-0.33)</f>
        <v>513.91679999999997</v>
      </c>
      <c r="F16" s="2">
        <f>([3]Projection!J68+[3]Projection!J69)*(1-0.33)</f>
        <v>104.51999999999998</v>
      </c>
      <c r="G16" s="2">
        <f>([3]Projection!K68+[3]Projection!K69)*(1-0.33)</f>
        <v>551.63333333333333</v>
      </c>
      <c r="H16" s="2">
        <f>([3]Projection!L68+[3]Projection!L69)*(1-0.33)</f>
        <v>413.72499999999997</v>
      </c>
      <c r="I16" s="2">
        <f>([3]Projection!M68+[3]Projection!M69)*(1-0.33)</f>
        <v>679.78199999999981</v>
      </c>
      <c r="J16" s="2">
        <f>([3]Projection!N68+[3]Projection!N69)*(1-0.33)</f>
        <v>812.81049999999993</v>
      </c>
      <c r="K16" s="2">
        <f>([3]Projection!O68+[3]Projection!O69)*(1-0.33)</f>
        <v>754.25249999999994</v>
      </c>
      <c r="L16" s="2">
        <f>([3]Projection!P68+[3]Projection!P69)*(1-0.33)</f>
        <v>695.69449999999983</v>
      </c>
      <c r="M16" s="2">
        <f>([3]Projection!Q68+[3]Projection!Q69)*(1-0.33)</f>
        <v>615.17724999999996</v>
      </c>
    </row>
    <row r="17" spans="1:13" ht="13.5" x14ac:dyDescent="0.35">
      <c r="A17" s="15" t="s">
        <v>51</v>
      </c>
      <c r="E17" s="2">
        <f>'[3]Cash flow'!H26+'[3]Cash flow'!H27+'[3]Cash flow'!H28</f>
        <v>2044.77</v>
      </c>
      <c r="F17" s="2">
        <f>'[3]Cash flow'!I26+'[3]Cash flow'!I27+'[3]Cash flow'!I28</f>
        <v>2291.7211702313798</v>
      </c>
      <c r="G17" s="2">
        <f>'[3]Cash flow'!J26+'[3]Cash flow'!J27+'[3]Cash flow'!J28</f>
        <v>3062.3160692636357</v>
      </c>
      <c r="H17" s="2">
        <f>'[3]Cash flow'!K26+'[3]Cash flow'!K27+'[3]Cash flow'!K28</f>
        <v>517.69060824380858</v>
      </c>
      <c r="I17" s="2">
        <f>'[3]Cash flow'!L26+'[3]Cash flow'!L27+'[3]Cash flow'!L28</f>
        <v>3016.9005629088565</v>
      </c>
      <c r="J17" s="2">
        <f>'[3]Cash flow'!M26+'[3]Cash flow'!M27+'[3]Cash flow'!M28</f>
        <v>2687.288041256872</v>
      </c>
      <c r="K17" s="2">
        <f>'[3]Cash flow'!N26+'[3]Cash flow'!N27+'[3]Cash flow'!N28</f>
        <v>3589.1958648874652</v>
      </c>
      <c r="L17" s="2">
        <f>'[3]Cash flow'!O26+'[3]Cash flow'!O27+'[3]Cash flow'!O28</f>
        <v>4804.6482669358347</v>
      </c>
      <c r="M17" s="2">
        <f>'[3]Cash flow'!P26+'[3]Cash flow'!P27+'[3]Cash flow'!P28</f>
        <v>6669.1557305777897</v>
      </c>
    </row>
    <row r="18" spans="1:13" ht="13.5" x14ac:dyDescent="0.35">
      <c r="A18" s="15" t="s">
        <v>52</v>
      </c>
      <c r="D18" s="2">
        <f>[1]Cashflow!F23+[1]Cashflow!F24</f>
        <v>1270.5</v>
      </c>
      <c r="E18" s="2">
        <f>[1]Cashflow!G23+[1]Cashflow!G24</f>
        <v>2964.4999999999991</v>
      </c>
      <c r="F18" s="2">
        <f>[1]Cashflow!H23+[1]Cashflow!H24</f>
        <v>0</v>
      </c>
      <c r="G18" s="2">
        <f>[1]Cashflow!I23+[1]Cashflow!I24</f>
        <v>0</v>
      </c>
      <c r="H18" s="2">
        <f>[1]Cashflow!J23+[1]Cashflow!J24</f>
        <v>0</v>
      </c>
      <c r="I18" s="2">
        <f>[1]Cashflow!K23+[1]Cashflow!K24</f>
        <v>0</v>
      </c>
      <c r="J18" s="2">
        <f>[1]Cashflow!L23+[1]Cashflow!L24</f>
        <v>0</v>
      </c>
      <c r="K18" s="2">
        <f>[1]Cashflow!M23+[1]Cashflow!M24</f>
        <v>0</v>
      </c>
      <c r="L18" s="2">
        <f>[1]Cashflow!N23+[1]Cashflow!N24</f>
        <v>0</v>
      </c>
      <c r="M18" s="2">
        <f>[1]Cashflow!O23+[1]Cashflow!O24</f>
        <v>0</v>
      </c>
    </row>
    <row r="19" spans="1:13" ht="13" x14ac:dyDescent="0.3">
      <c r="A19" s="5" t="s">
        <v>53</v>
      </c>
      <c r="B19" s="5"/>
      <c r="C19" s="5"/>
      <c r="D19" s="5"/>
      <c r="E19" s="5"/>
      <c r="F19" s="5">
        <f>F14+F15+F16-F17-F18</f>
        <v>-1733.4047062410302</v>
      </c>
      <c r="G19" s="5">
        <f t="shared" ref="G19:M19" si="1">G14+G15+G16-G17-G18</f>
        <v>-1732.4192008326108</v>
      </c>
      <c r="H19" s="5">
        <f t="shared" si="1"/>
        <v>780.54178690434355</v>
      </c>
      <c r="I19" s="5">
        <f t="shared" si="1"/>
        <v>-734.55539929447559</v>
      </c>
      <c r="J19" s="5">
        <f t="shared" si="1"/>
        <v>815.50363139991259</v>
      </c>
      <c r="K19" s="5">
        <f t="shared" si="1"/>
        <v>1933.070887845839</v>
      </c>
      <c r="L19" s="5">
        <f t="shared" si="1"/>
        <v>3805.358834719761</v>
      </c>
      <c r="M19" s="5">
        <f t="shared" si="1"/>
        <v>6906.42964783344</v>
      </c>
    </row>
    <row r="20" spans="1:13" x14ac:dyDescent="0.25">
      <c r="D20" s="2">
        <v>0.5</v>
      </c>
      <c r="E20" s="2">
        <f t="shared" ref="E20:M20" si="2">D20+1</f>
        <v>1.5</v>
      </c>
      <c r="F20" s="2">
        <f t="shared" si="2"/>
        <v>2.5</v>
      </c>
      <c r="G20" s="2">
        <f t="shared" si="2"/>
        <v>3.5</v>
      </c>
      <c r="H20" s="2">
        <f t="shared" si="2"/>
        <v>4.5</v>
      </c>
      <c r="I20" s="2">
        <f t="shared" si="2"/>
        <v>5.5</v>
      </c>
      <c r="J20" s="2">
        <f t="shared" si="2"/>
        <v>6.5</v>
      </c>
      <c r="K20" s="2">
        <f t="shared" si="2"/>
        <v>7.5</v>
      </c>
      <c r="L20" s="2">
        <f t="shared" si="2"/>
        <v>8.5</v>
      </c>
      <c r="M20" s="2">
        <f t="shared" si="2"/>
        <v>9.5</v>
      </c>
    </row>
    <row r="21" spans="1:13" ht="14.5" x14ac:dyDescent="0.35">
      <c r="A21" s="2" t="s">
        <v>54</v>
      </c>
      <c r="C21" s="16"/>
      <c r="D21" s="2">
        <f>1/(1+D9)^D20</f>
        <v>0.945344240936006</v>
      </c>
      <c r="E21" s="2">
        <f>1/(1+E9)^E20</f>
        <v>0.84483120827908886</v>
      </c>
      <c r="F21" s="2">
        <f>1/(1+F9)^F20</f>
        <v>0.75500515005583146</v>
      </c>
      <c r="G21" s="2">
        <f t="shared" ref="G21:M21" si="3">1/(1+G9)^G20</f>
        <v>0.67472978155243402</v>
      </c>
      <c r="H21" s="2">
        <f t="shared" si="3"/>
        <v>0.60298963269340544</v>
      </c>
      <c r="I21" s="2">
        <f t="shared" si="3"/>
        <v>0.53887720251380755</v>
      </c>
      <c r="J21" s="2">
        <f t="shared" si="3"/>
        <v>0.48158147942281015</v>
      </c>
      <c r="K21" s="2">
        <f t="shared" si="3"/>
        <v>0.43037768204180077</v>
      </c>
      <c r="L21" s="2">
        <f t="shared" si="3"/>
        <v>0.3846180908403517</v>
      </c>
      <c r="M21" s="2">
        <f t="shared" si="3"/>
        <v>0.34372385459176558</v>
      </c>
    </row>
    <row r="22" spans="1:13" x14ac:dyDescent="0.25">
      <c r="A22" s="2" t="s">
        <v>55</v>
      </c>
      <c r="D22" s="2">
        <f>D19*D21</f>
        <v>0</v>
      </c>
      <c r="E22" s="2">
        <f>E19*E21</f>
        <v>0</v>
      </c>
      <c r="F22" s="2">
        <f>F19*F21</f>
        <v>-1308.7294803429934</v>
      </c>
      <c r="G22" s="2">
        <f>G19*G21</f>
        <v>-1168.9148289350298</v>
      </c>
      <c r="H22" s="2">
        <f t="shared" ref="H22:M22" si="4">H19*H21</f>
        <v>470.65860538730448</v>
      </c>
      <c r="I22" s="2">
        <f t="shared" si="4"/>
        <v>-395.83515866321989</v>
      </c>
      <c r="J22" s="2">
        <f t="shared" si="4"/>
        <v>392.73144528424399</v>
      </c>
      <c r="K22" s="2">
        <f t="shared" si="4"/>
        <v>831.95056793357799</v>
      </c>
      <c r="L22" s="2">
        <f t="shared" si="4"/>
        <v>1463.6098499723798</v>
      </c>
      <c r="M22" s="2">
        <f t="shared" si="4"/>
        <v>2373.9046200201601</v>
      </c>
    </row>
    <row r="24" spans="1:13" x14ac:dyDescent="0.25">
      <c r="A24" s="2" t="s">
        <v>56</v>
      </c>
      <c r="B24" s="2">
        <f>M19*(1+B8)/(B9-B8)</f>
        <v>90949.9042565446</v>
      </c>
    </row>
    <row r="25" spans="1:13" x14ac:dyDescent="0.25">
      <c r="A25" s="2" t="s">
        <v>57</v>
      </c>
      <c r="B25" s="2">
        <f>M21</f>
        <v>0.34372385459176558</v>
      </c>
    </row>
    <row r="26" spans="1:13" x14ac:dyDescent="0.25">
      <c r="A26" s="2" t="s">
        <v>58</v>
      </c>
      <c r="B26" s="2">
        <f>B24*B25</f>
        <v>31261.651665811536</v>
      </c>
    </row>
    <row r="27" spans="1:13" ht="13" x14ac:dyDescent="0.3">
      <c r="A27" s="5" t="s">
        <v>28</v>
      </c>
      <c r="B27" s="5">
        <f>SUM(D22:M22)+B26</f>
        <v>33921.027286467957</v>
      </c>
      <c r="E27" s="2">
        <f>40/0.25</f>
        <v>160</v>
      </c>
    </row>
    <row r="28" spans="1:13" x14ac:dyDescent="0.25">
      <c r="A28" s="2" t="s">
        <v>29</v>
      </c>
      <c r="B28" s="17">
        <v>6500</v>
      </c>
    </row>
    <row r="29" spans="1:13" x14ac:dyDescent="0.25">
      <c r="A29" s="2" t="s">
        <v>59</v>
      </c>
      <c r="B29" s="2">
        <f>B27-B28</f>
        <v>27421.027286467957</v>
      </c>
    </row>
    <row r="30" spans="1:13" x14ac:dyDescent="0.25">
      <c r="A30" s="2" t="s">
        <v>60</v>
      </c>
      <c r="B30" s="2">
        <v>6500</v>
      </c>
      <c r="C30" s="2">
        <f>B30/B29</f>
        <v>0.23704436497197515</v>
      </c>
    </row>
    <row r="31" spans="1:13" x14ac:dyDescent="0.25">
      <c r="A31" s="2" t="s">
        <v>61</v>
      </c>
      <c r="B31" s="2">
        <f>B29-B30</f>
        <v>20921.027286467957</v>
      </c>
      <c r="D31" s="13">
        <f>(B31/[1]BS!B5)^(1/2)-1</f>
        <v>2.0095250931202595</v>
      </c>
    </row>
    <row r="34" spans="1:5" x14ac:dyDescent="0.25">
      <c r="A34" s="2" t="s">
        <v>62</v>
      </c>
      <c r="B34" s="2">
        <f>'[1]Valuation Ratios'!I32</f>
        <v>287.03284999999994</v>
      </c>
    </row>
    <row r="35" spans="1:5" x14ac:dyDescent="0.25">
      <c r="A35" s="2" t="s">
        <v>36</v>
      </c>
      <c r="B35" s="18">
        <f>B31/B34</f>
        <v>72.88722279163504</v>
      </c>
    </row>
    <row r="36" spans="1:5" x14ac:dyDescent="0.25">
      <c r="B36" s="18"/>
    </row>
    <row r="37" spans="1:5" x14ac:dyDescent="0.25">
      <c r="B37" s="18"/>
    </row>
    <row r="38" spans="1:5" x14ac:dyDescent="0.25">
      <c r="B38" s="18"/>
    </row>
    <row r="39" spans="1:5" x14ac:dyDescent="0.25">
      <c r="B39" s="18"/>
    </row>
    <row r="40" spans="1:5" x14ac:dyDescent="0.25">
      <c r="B40" s="18"/>
    </row>
    <row r="41" spans="1:5" x14ac:dyDescent="0.25">
      <c r="B41" s="18"/>
    </row>
    <row r="42" spans="1:5" x14ac:dyDescent="0.25">
      <c r="B42" s="2" t="s">
        <v>14</v>
      </c>
      <c r="D42" s="2" t="s">
        <v>16</v>
      </c>
    </row>
    <row r="43" spans="1:5" x14ac:dyDescent="0.25">
      <c r="B43" s="2" t="s">
        <v>38</v>
      </c>
      <c r="C43" s="2" t="s">
        <v>63</v>
      </c>
      <c r="D43" s="2" t="s">
        <v>38</v>
      </c>
      <c r="E43" s="2" t="s">
        <v>63</v>
      </c>
    </row>
    <row r="44" spans="1:5" x14ac:dyDescent="0.25">
      <c r="A44" s="2" t="s">
        <v>3</v>
      </c>
      <c r="B44" s="2">
        <v>438.05</v>
      </c>
      <c r="C44" s="2">
        <v>361.53</v>
      </c>
      <c r="D44" s="2">
        <v>72.989999999999995</v>
      </c>
      <c r="E44" s="2">
        <v>67.38</v>
      </c>
    </row>
    <row r="45" spans="1:5" x14ac:dyDescent="0.25">
      <c r="A45" s="2" t="s">
        <v>4</v>
      </c>
      <c r="B45" s="2">
        <v>26.26</v>
      </c>
      <c r="C45" s="2">
        <v>22.86</v>
      </c>
      <c r="D45" s="2">
        <v>16.39</v>
      </c>
      <c r="E45" s="2">
        <v>22.84</v>
      </c>
    </row>
    <row r="46" spans="1:5" x14ac:dyDescent="0.25">
      <c r="B46" s="13">
        <f>B45/B44</f>
        <v>5.9947494578244498E-2</v>
      </c>
      <c r="C46" s="13">
        <f>C45/C44</f>
        <v>6.3231267114762263E-2</v>
      </c>
      <c r="D46" s="13">
        <f>D45/D44</f>
        <v>0.22455130839841075</v>
      </c>
      <c r="E46" s="13">
        <f>E45/E44</f>
        <v>0.33897298901751266</v>
      </c>
    </row>
    <row r="47" spans="1:5" x14ac:dyDescent="0.25">
      <c r="A47" s="2" t="s">
        <v>5</v>
      </c>
      <c r="B47" s="2">
        <v>10.119999999999999</v>
      </c>
      <c r="C47" s="2">
        <v>11.31</v>
      </c>
      <c r="D47" s="2">
        <v>7.86</v>
      </c>
      <c r="E47" s="2">
        <v>12.87</v>
      </c>
    </row>
    <row r="48" spans="1:5" x14ac:dyDescent="0.25">
      <c r="B48" s="13">
        <f>B47/B44</f>
        <v>2.3102385572423237E-2</v>
      </c>
      <c r="C48" s="13">
        <f>C47/C44</f>
        <v>3.1283710895361382E-2</v>
      </c>
      <c r="D48" s="13">
        <f>D47/D44</f>
        <v>0.10768598438142213</v>
      </c>
      <c r="E48" s="13">
        <f>E47/E44</f>
        <v>0.19100623330365094</v>
      </c>
    </row>
    <row r="50" spans="1:4" x14ac:dyDescent="0.25">
      <c r="A50" s="2" t="s">
        <v>7</v>
      </c>
      <c r="B50" s="2">
        <v>8.5500000000000007</v>
      </c>
      <c r="D50" s="2">
        <v>8.98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Valuation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Bhadekar</dc:creator>
  <cp:lastModifiedBy>Tina Bhadekar</cp:lastModifiedBy>
  <dcterms:created xsi:type="dcterms:W3CDTF">2021-01-25T06:28:21Z</dcterms:created>
  <dcterms:modified xsi:type="dcterms:W3CDTF">2021-01-25T06:29:43Z</dcterms:modified>
</cp:coreProperties>
</file>